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WEB\covid\data\"/>
    </mc:Choice>
  </mc:AlternateContent>
  <xr:revisionPtr revIDLastSave="0" documentId="13_ncr:1_{EB5EF545-BA0D-401C-897D-1212D89B5D5C}" xr6:coauthVersionLast="46" xr6:coauthVersionMax="46" xr10:uidLastSave="{00000000-0000-0000-0000-000000000000}"/>
  <bookViews>
    <workbookView xWindow="-345" yWindow="120" windowWidth="11955" windowHeight="10545" tabRatio="599" activeTab="1" xr2:uid="{00000000-000D-0000-FFFF-FFFF00000000}"/>
  </bookViews>
  <sheets>
    <sheet name="argentina_gral" sheetId="1" r:id="rId1"/>
    <sheet name="casos_provincias" sheetId="3" r:id="rId2"/>
    <sheet name="Hoja1" sheetId="12" r:id="rId3"/>
    <sheet name="UTI" sheetId="5" r:id="rId4"/>
    <sheet name="Hoja6" sheetId="26" r:id="rId5"/>
    <sheet name="Hoja7" sheetId="27" r:id="rId6"/>
    <sheet name="Hoja8" sheetId="28" r:id="rId7"/>
    <sheet name="Hoja2" sheetId="25" r:id="rId8"/>
    <sheet name="argentina_gral (2)" sheetId="23" r:id="rId9"/>
    <sheet name="caba_ind" sheetId="20" r:id="rId10"/>
    <sheet name="Hoja3" sheetId="18" r:id="rId11"/>
    <sheet name="POBLA" sheetId="16" r:id="rId12"/>
    <sheet name="Hoja4" sheetId="22" r:id="rId13"/>
    <sheet name="POBL" sheetId="15" r:id="rId14"/>
    <sheet name="POBLAC_AMBA" sheetId="9" r:id="rId15"/>
    <sheet name="Hoja5" sheetId="24" r:id="rId16"/>
  </sheets>
  <definedNames>
    <definedName name="_xlnm._FilterDatabase" localSheetId="0" hidden="1">argentina_gral!$A$1:$R$388</definedName>
    <definedName name="_xlnm._FilterDatabase" localSheetId="8" hidden="1">'argentina_gral (2)'!$A$1:$V$388</definedName>
    <definedName name="_xlnm._FilterDatabase" localSheetId="1" hidden="1">casos_provincias!$A$1:$H$9769</definedName>
    <definedName name="_xlnm._FilterDatabase" localSheetId="14" hidden="1">POBLAC_AMBA!$A$1:$AW$31</definedName>
  </definedNames>
  <calcPr calcId="181029"/>
  <pivotCaches>
    <pivotCache cacheId="54" r:id="rId1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817" i="3" l="1"/>
  <c r="G9817" i="3"/>
  <c r="F9817" i="3"/>
  <c r="H9816" i="3"/>
  <c r="G9816" i="3"/>
  <c r="F9816" i="3"/>
  <c r="H9815" i="3"/>
  <c r="G9815" i="3"/>
  <c r="F9815" i="3"/>
  <c r="H9814" i="3"/>
  <c r="G9814" i="3"/>
  <c r="F9814" i="3"/>
  <c r="H9813" i="3"/>
  <c r="G9813" i="3"/>
  <c r="F9813" i="3"/>
  <c r="H9812" i="3"/>
  <c r="G9812" i="3"/>
  <c r="F9812" i="3"/>
  <c r="H9811" i="3"/>
  <c r="G9811" i="3"/>
  <c r="F9811" i="3"/>
  <c r="H9810" i="3"/>
  <c r="G9810" i="3"/>
  <c r="F9810" i="3"/>
  <c r="H9809" i="3"/>
  <c r="G9809" i="3"/>
  <c r="F9809" i="3"/>
  <c r="H9808" i="3"/>
  <c r="G9808" i="3"/>
  <c r="F9808" i="3"/>
  <c r="H9807" i="3"/>
  <c r="G9807" i="3"/>
  <c r="F9807" i="3"/>
  <c r="H9806" i="3"/>
  <c r="G9806" i="3"/>
  <c r="F9806" i="3"/>
  <c r="H9805" i="3"/>
  <c r="G9805" i="3"/>
  <c r="F9805" i="3"/>
  <c r="H9804" i="3"/>
  <c r="G9804" i="3"/>
  <c r="F9804" i="3"/>
  <c r="H9803" i="3"/>
  <c r="G9803" i="3"/>
  <c r="F9803" i="3"/>
  <c r="H9802" i="3"/>
  <c r="G9802" i="3"/>
  <c r="F9802" i="3"/>
  <c r="H9801" i="3"/>
  <c r="G9801" i="3"/>
  <c r="F9801" i="3"/>
  <c r="H9800" i="3"/>
  <c r="G9800" i="3"/>
  <c r="F9800" i="3"/>
  <c r="H9799" i="3"/>
  <c r="G9799" i="3"/>
  <c r="F9799" i="3"/>
  <c r="H9798" i="3"/>
  <c r="G9798" i="3"/>
  <c r="F9798" i="3"/>
  <c r="H9797" i="3"/>
  <c r="G9797" i="3"/>
  <c r="F9797" i="3"/>
  <c r="H9796" i="3"/>
  <c r="G9796" i="3"/>
  <c r="F9796" i="3"/>
  <c r="H9795" i="3"/>
  <c r="G9795" i="3"/>
  <c r="F9795" i="3"/>
  <c r="H9794" i="3"/>
  <c r="G9794" i="3"/>
  <c r="F9794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S410" i="1"/>
  <c r="T410" i="1"/>
  <c r="J410" i="1"/>
  <c r="E410" i="1"/>
  <c r="F410" i="1"/>
  <c r="C410" i="1"/>
  <c r="R410" i="1" s="1"/>
  <c r="H9793" i="3"/>
  <c r="G9793" i="3"/>
  <c r="F9793" i="3"/>
  <c r="H9792" i="3"/>
  <c r="G9792" i="3"/>
  <c r="F9792" i="3"/>
  <c r="H9791" i="3"/>
  <c r="G9791" i="3"/>
  <c r="F9791" i="3"/>
  <c r="H9790" i="3"/>
  <c r="G9790" i="3"/>
  <c r="F9790" i="3"/>
  <c r="H9789" i="3"/>
  <c r="G9789" i="3"/>
  <c r="F9789" i="3"/>
  <c r="H9788" i="3"/>
  <c r="G9788" i="3"/>
  <c r="F9788" i="3"/>
  <c r="H9787" i="3"/>
  <c r="G9787" i="3"/>
  <c r="F9787" i="3"/>
  <c r="H9786" i="3"/>
  <c r="G9786" i="3"/>
  <c r="F9786" i="3"/>
  <c r="H9785" i="3"/>
  <c r="G9785" i="3"/>
  <c r="F9785" i="3"/>
  <c r="H9784" i="3"/>
  <c r="G9784" i="3"/>
  <c r="F9784" i="3"/>
  <c r="H9783" i="3"/>
  <c r="G9783" i="3"/>
  <c r="F9783" i="3"/>
  <c r="H9782" i="3"/>
  <c r="G9782" i="3"/>
  <c r="F9782" i="3"/>
  <c r="H9781" i="3"/>
  <c r="G9781" i="3"/>
  <c r="F9781" i="3"/>
  <c r="H9780" i="3"/>
  <c r="G9780" i="3"/>
  <c r="F9780" i="3"/>
  <c r="H9779" i="3"/>
  <c r="G9779" i="3"/>
  <c r="F9779" i="3"/>
  <c r="H9778" i="3"/>
  <c r="G9778" i="3"/>
  <c r="F9778" i="3"/>
  <c r="H9777" i="3"/>
  <c r="G9777" i="3"/>
  <c r="F9777" i="3"/>
  <c r="H9776" i="3"/>
  <c r="G9776" i="3"/>
  <c r="F9776" i="3"/>
  <c r="H9775" i="3"/>
  <c r="G9775" i="3"/>
  <c r="F9775" i="3"/>
  <c r="H9774" i="3"/>
  <c r="G9774" i="3"/>
  <c r="F9774" i="3"/>
  <c r="H9773" i="3"/>
  <c r="G9773" i="3"/>
  <c r="F9773" i="3"/>
  <c r="H9772" i="3"/>
  <c r="G9772" i="3"/>
  <c r="F9772" i="3"/>
  <c r="H9771" i="3"/>
  <c r="G9771" i="3"/>
  <c r="F9771" i="3"/>
  <c r="H9770" i="3"/>
  <c r="G9770" i="3"/>
  <c r="F9770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C409" i="1"/>
  <c r="E409" i="1"/>
  <c r="F409" i="1"/>
  <c r="J409" i="1"/>
  <c r="R409" i="1"/>
  <c r="S409" i="1"/>
  <c r="T409" i="1"/>
  <c r="BB22" i="27"/>
  <c r="BB21" i="27"/>
  <c r="BB20" i="27"/>
  <c r="BB19" i="27"/>
  <c r="BB18" i="27"/>
  <c r="BB17" i="27"/>
  <c r="BB16" i="27"/>
  <c r="BB15" i="27"/>
  <c r="BB14" i="27"/>
  <c r="AZ22" i="27"/>
  <c r="AZ21" i="27"/>
  <c r="AZ20" i="27"/>
  <c r="AZ19" i="27"/>
  <c r="AZ18" i="27"/>
  <c r="AZ17" i="27"/>
  <c r="AZ16" i="27"/>
  <c r="AZ15" i="27"/>
  <c r="AZ14" i="27"/>
  <c r="AX22" i="27"/>
  <c r="AX21" i="27"/>
  <c r="AX20" i="27"/>
  <c r="AX19" i="27"/>
  <c r="AX18" i="27"/>
  <c r="AX17" i="27"/>
  <c r="AX16" i="27"/>
  <c r="AX15" i="27"/>
  <c r="AX14" i="27"/>
  <c r="AV22" i="27"/>
  <c r="AV21" i="27"/>
  <c r="AV20" i="27"/>
  <c r="AV19" i="27"/>
  <c r="AV18" i="27"/>
  <c r="AV17" i="27"/>
  <c r="AV16" i="27"/>
  <c r="AV15" i="27"/>
  <c r="AV14" i="27"/>
  <c r="AT22" i="27"/>
  <c r="AT21" i="27"/>
  <c r="AT20" i="27"/>
  <c r="AT19" i="27"/>
  <c r="AT18" i="27"/>
  <c r="AT17" i="27"/>
  <c r="AT16" i="27"/>
  <c r="AT15" i="27"/>
  <c r="AT14" i="27"/>
  <c r="AR22" i="27"/>
  <c r="AR21" i="27"/>
  <c r="AR20" i="27"/>
  <c r="AR19" i="27"/>
  <c r="AR18" i="27"/>
  <c r="AR17" i="27"/>
  <c r="AR16" i="27"/>
  <c r="AR15" i="27"/>
  <c r="AR14" i="27"/>
  <c r="AP22" i="27"/>
  <c r="AP21" i="27"/>
  <c r="AP20" i="27"/>
  <c r="AP19" i="27"/>
  <c r="AP18" i="27"/>
  <c r="AP17" i="27"/>
  <c r="AP16" i="27"/>
  <c r="AP15" i="27"/>
  <c r="AP14" i="27"/>
  <c r="AN22" i="27"/>
  <c r="AN21" i="27"/>
  <c r="AN20" i="27"/>
  <c r="AN19" i="27"/>
  <c r="AN18" i="27"/>
  <c r="AN17" i="27"/>
  <c r="AN16" i="27"/>
  <c r="AN15" i="27"/>
  <c r="AN14" i="27"/>
  <c r="AL22" i="27"/>
  <c r="AL21" i="27"/>
  <c r="AL20" i="27"/>
  <c r="AL19" i="27"/>
  <c r="AL18" i="27"/>
  <c r="AL17" i="27"/>
  <c r="AL16" i="27"/>
  <c r="AL15" i="27"/>
  <c r="AL14" i="27"/>
  <c r="AJ22" i="27"/>
  <c r="AJ21" i="27"/>
  <c r="AJ20" i="27"/>
  <c r="AJ19" i="27"/>
  <c r="AJ18" i="27"/>
  <c r="AJ17" i="27"/>
  <c r="AJ16" i="27"/>
  <c r="AJ15" i="27"/>
  <c r="AJ14" i="27"/>
  <c r="AH22" i="27"/>
  <c r="AH21" i="27"/>
  <c r="AH20" i="27"/>
  <c r="AH19" i="27"/>
  <c r="AH18" i="27"/>
  <c r="AH17" i="27"/>
  <c r="AH16" i="27"/>
  <c r="AH15" i="27"/>
  <c r="AH14" i="27"/>
  <c r="AF22" i="27"/>
  <c r="AF21" i="27"/>
  <c r="AF20" i="27"/>
  <c r="AF19" i="27"/>
  <c r="AF18" i="27"/>
  <c r="AF17" i="27"/>
  <c r="AF16" i="27"/>
  <c r="AF15" i="27"/>
  <c r="AF14" i="27"/>
  <c r="AD22" i="27"/>
  <c r="AD21" i="27"/>
  <c r="AD20" i="27"/>
  <c r="AD19" i="27"/>
  <c r="AD18" i="27"/>
  <c r="AD17" i="27"/>
  <c r="AD16" i="27"/>
  <c r="AD15" i="27"/>
  <c r="AD14" i="27"/>
  <c r="AB22" i="27"/>
  <c r="AB21" i="27"/>
  <c r="AB20" i="27"/>
  <c r="AB19" i="27"/>
  <c r="AB18" i="27"/>
  <c r="AB17" i="27"/>
  <c r="AB16" i="27"/>
  <c r="AB15" i="27"/>
  <c r="AB14" i="27"/>
  <c r="Z22" i="27"/>
  <c r="Z21" i="27"/>
  <c r="Z20" i="27"/>
  <c r="Z19" i="27"/>
  <c r="Z18" i="27"/>
  <c r="Z17" i="27"/>
  <c r="Z16" i="27"/>
  <c r="Z15" i="27"/>
  <c r="Z14" i="27"/>
  <c r="X22" i="27"/>
  <c r="X21" i="27"/>
  <c r="X20" i="27"/>
  <c r="X19" i="27"/>
  <c r="X18" i="27"/>
  <c r="X17" i="27"/>
  <c r="X16" i="27"/>
  <c r="X15" i="27"/>
  <c r="X14" i="27"/>
  <c r="V22" i="27"/>
  <c r="V21" i="27"/>
  <c r="V20" i="27"/>
  <c r="V19" i="27"/>
  <c r="V18" i="27"/>
  <c r="V17" i="27"/>
  <c r="V16" i="27"/>
  <c r="V15" i="27"/>
  <c r="V14" i="27"/>
  <c r="T22" i="27"/>
  <c r="T21" i="27"/>
  <c r="T20" i="27"/>
  <c r="T19" i="27"/>
  <c r="T18" i="27"/>
  <c r="T17" i="27"/>
  <c r="T16" i="27"/>
  <c r="T15" i="27"/>
  <c r="T14" i="27"/>
  <c r="R22" i="27"/>
  <c r="R21" i="27"/>
  <c r="R20" i="27"/>
  <c r="R19" i="27"/>
  <c r="R18" i="27"/>
  <c r="R17" i="27"/>
  <c r="R16" i="27"/>
  <c r="R15" i="27"/>
  <c r="R14" i="27"/>
  <c r="P22" i="27"/>
  <c r="P21" i="27"/>
  <c r="P20" i="27"/>
  <c r="P19" i="27"/>
  <c r="P18" i="27"/>
  <c r="P17" i="27"/>
  <c r="P16" i="27"/>
  <c r="P15" i="27"/>
  <c r="P14" i="27"/>
  <c r="N15" i="27"/>
  <c r="N16" i="27"/>
  <c r="N17" i="27"/>
  <c r="N18" i="27"/>
  <c r="N19" i="27"/>
  <c r="N20" i="27"/>
  <c r="N21" i="27"/>
  <c r="N22" i="27"/>
  <c r="N14" i="27"/>
  <c r="L15" i="27"/>
  <c r="L16" i="27"/>
  <c r="L17" i="27"/>
  <c r="L18" i="27"/>
  <c r="L19" i="27"/>
  <c r="L20" i="27"/>
  <c r="L21" i="27"/>
  <c r="L22" i="27"/>
  <c r="L14" i="27"/>
  <c r="L17" i="5"/>
  <c r="K18" i="5"/>
  <c r="J17" i="5"/>
  <c r="I411" i="23"/>
  <c r="V409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185" i="23"/>
  <c r="AF186" i="23"/>
  <c r="AF187" i="23"/>
  <c r="AF188" i="23"/>
  <c r="AF189" i="23"/>
  <c r="AF190" i="23"/>
  <c r="AF191" i="23"/>
  <c r="AF192" i="23"/>
  <c r="AF193" i="23"/>
  <c r="AF194" i="23"/>
  <c r="AF195" i="23"/>
  <c r="AF196" i="23"/>
  <c r="AF197" i="23"/>
  <c r="AF198" i="23"/>
  <c r="AF199" i="23"/>
  <c r="AF200" i="23"/>
  <c r="AF201" i="23"/>
  <c r="AF202" i="23"/>
  <c r="AF203" i="23"/>
  <c r="AF204" i="23"/>
  <c r="AF205" i="23"/>
  <c r="AF206" i="23"/>
  <c r="AF207" i="23"/>
  <c r="AF208" i="23"/>
  <c r="AF209" i="23"/>
  <c r="AF210" i="23"/>
  <c r="AF211" i="23"/>
  <c r="AF212" i="23"/>
  <c r="AF213" i="23"/>
  <c r="AF214" i="23"/>
  <c r="AF215" i="23"/>
  <c r="AF216" i="23"/>
  <c r="AF217" i="23"/>
  <c r="AF218" i="23"/>
  <c r="AF219" i="23"/>
  <c r="AF220" i="23"/>
  <c r="AF221" i="23"/>
  <c r="AF222" i="23"/>
  <c r="AF223" i="23"/>
  <c r="AF224" i="23"/>
  <c r="AF225" i="23"/>
  <c r="AF226" i="23"/>
  <c r="AF227" i="23"/>
  <c r="AF228" i="23"/>
  <c r="AF229" i="23"/>
  <c r="AF230" i="23"/>
  <c r="AF231" i="23"/>
  <c r="AF232" i="23"/>
  <c r="AF233" i="23"/>
  <c r="AF234" i="23"/>
  <c r="AF235" i="23"/>
  <c r="AF236" i="23"/>
  <c r="AF237" i="23"/>
  <c r="AF238" i="23"/>
  <c r="AF239" i="23"/>
  <c r="AF240" i="23"/>
  <c r="AF241" i="23"/>
  <c r="AF242" i="23"/>
  <c r="AF243" i="23"/>
  <c r="AF244" i="23"/>
  <c r="AF245" i="23"/>
  <c r="AF246" i="23"/>
  <c r="AF247" i="23"/>
  <c r="AF248" i="23"/>
  <c r="AF249" i="23"/>
  <c r="AF250" i="23"/>
  <c r="AF251" i="23"/>
  <c r="AF252" i="23"/>
  <c r="AF253" i="23"/>
  <c r="AF254" i="23"/>
  <c r="AF255" i="23"/>
  <c r="AF256" i="23"/>
  <c r="AF257" i="23"/>
  <c r="AF258" i="23"/>
  <c r="AF259" i="23"/>
  <c r="AF260" i="23"/>
  <c r="AF261" i="23"/>
  <c r="AF262" i="23"/>
  <c r="AF263" i="23"/>
  <c r="AF264" i="23"/>
  <c r="AF265" i="23"/>
  <c r="AF266" i="23"/>
  <c r="AF267" i="23"/>
  <c r="AF268" i="23"/>
  <c r="AF269" i="23"/>
  <c r="AF270" i="23"/>
  <c r="AF271" i="23"/>
  <c r="AF272" i="23"/>
  <c r="AF273" i="23"/>
  <c r="AF274" i="23"/>
  <c r="AF275" i="23"/>
  <c r="AF276" i="23"/>
  <c r="AF277" i="23"/>
  <c r="AF278" i="23"/>
  <c r="AF279" i="23"/>
  <c r="AF280" i="23"/>
  <c r="AF281" i="23"/>
  <c r="AF282" i="23"/>
  <c r="AF283" i="23"/>
  <c r="AF284" i="23"/>
  <c r="AF285" i="23"/>
  <c r="AF286" i="23"/>
  <c r="AF287" i="23"/>
  <c r="AF288" i="23"/>
  <c r="AF289" i="23"/>
  <c r="AF290" i="23"/>
  <c r="AF291" i="23"/>
  <c r="AF292" i="23"/>
  <c r="AF293" i="23"/>
  <c r="AF294" i="23"/>
  <c r="AF295" i="23"/>
  <c r="AF296" i="23"/>
  <c r="AF297" i="23"/>
  <c r="AF298" i="23"/>
  <c r="AF299" i="23"/>
  <c r="AF300" i="23"/>
  <c r="AF301" i="23"/>
  <c r="AF302" i="23"/>
  <c r="AF303" i="23"/>
  <c r="AF304" i="23"/>
  <c r="AF305" i="23"/>
  <c r="AF306" i="23"/>
  <c r="AF307" i="23"/>
  <c r="AF308" i="23"/>
  <c r="AF309" i="23"/>
  <c r="AF310" i="23"/>
  <c r="AF311" i="23"/>
  <c r="AF312" i="23"/>
  <c r="AF313" i="23"/>
  <c r="AF314" i="23"/>
  <c r="AF315" i="23"/>
  <c r="AF316" i="23"/>
  <c r="AF317" i="23"/>
  <c r="AF318" i="23"/>
  <c r="AF319" i="23"/>
  <c r="AF320" i="23"/>
  <c r="AF321" i="23"/>
  <c r="AF322" i="23"/>
  <c r="AF323" i="23"/>
  <c r="AF324" i="23"/>
  <c r="AF325" i="23"/>
  <c r="AF326" i="23"/>
  <c r="AF327" i="23"/>
  <c r="AF328" i="23"/>
  <c r="AF329" i="23"/>
  <c r="AF330" i="23"/>
  <c r="AF331" i="23"/>
  <c r="AF332" i="23"/>
  <c r="AF333" i="23"/>
  <c r="AF334" i="23"/>
  <c r="AF335" i="23"/>
  <c r="AF336" i="23"/>
  <c r="AF337" i="23"/>
  <c r="AF338" i="23"/>
  <c r="AF339" i="23"/>
  <c r="AF340" i="23"/>
  <c r="AF341" i="23"/>
  <c r="AF342" i="23"/>
  <c r="AF343" i="23"/>
  <c r="AF344" i="23"/>
  <c r="AF345" i="23"/>
  <c r="AF346" i="23"/>
  <c r="AF347" i="23"/>
  <c r="AF348" i="23"/>
  <c r="AF349" i="23"/>
  <c r="AF350" i="23"/>
  <c r="AF351" i="23"/>
  <c r="AF352" i="23"/>
  <c r="AF353" i="23"/>
  <c r="AF354" i="23"/>
  <c r="AF355" i="23"/>
  <c r="AF356" i="23"/>
  <c r="AF357" i="23"/>
  <c r="AF358" i="23"/>
  <c r="AF359" i="23"/>
  <c r="AF360" i="23"/>
  <c r="AF361" i="23"/>
  <c r="AF362" i="23"/>
  <c r="AF363" i="23"/>
  <c r="AF364" i="23"/>
  <c r="AF365" i="23"/>
  <c r="AF366" i="23"/>
  <c r="AF367" i="23"/>
  <c r="AF368" i="23"/>
  <c r="AF369" i="23"/>
  <c r="AF370" i="23"/>
  <c r="AF371" i="23"/>
  <c r="AF372" i="23"/>
  <c r="AF373" i="23"/>
  <c r="AF374" i="23"/>
  <c r="AF375" i="23"/>
  <c r="AF376" i="23"/>
  <c r="AF377" i="23"/>
  <c r="AF378" i="23"/>
  <c r="AF379" i="23"/>
  <c r="AF380" i="23"/>
  <c r="AF381" i="23"/>
  <c r="AF382" i="23"/>
  <c r="AF383" i="23"/>
  <c r="AF384" i="23"/>
  <c r="AF385" i="23"/>
  <c r="AF386" i="23"/>
  <c r="AF387" i="23"/>
  <c r="AF388" i="23"/>
  <c r="AF389" i="23"/>
  <c r="AF390" i="23"/>
  <c r="AF391" i="23"/>
  <c r="AF392" i="23"/>
  <c r="AF393" i="23"/>
  <c r="AF394" i="23"/>
  <c r="AF395" i="23"/>
  <c r="AF396" i="23"/>
  <c r="AF397" i="23"/>
  <c r="AF398" i="23"/>
  <c r="AF399" i="23"/>
  <c r="AF400" i="23"/>
  <c r="AF401" i="23"/>
  <c r="AF402" i="23"/>
  <c r="AF403" i="23"/>
  <c r="AF404" i="23"/>
  <c r="AF405" i="23"/>
  <c r="AF406" i="23"/>
  <c r="AF407" i="23"/>
  <c r="AF408" i="23"/>
  <c r="AF4" i="23"/>
  <c r="AF5" i="23"/>
  <c r="AF6" i="23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3" i="23"/>
  <c r="AF2" i="23"/>
  <c r="C401" i="23"/>
  <c r="C408" i="23"/>
  <c r="AE392" i="23"/>
  <c r="AE393" i="23"/>
  <c r="AE394" i="23"/>
  <c r="AE395" i="23"/>
  <c r="AE396" i="23"/>
  <c r="AE397" i="23"/>
  <c r="AE398" i="23"/>
  <c r="AE399" i="23"/>
  <c r="AE400" i="23"/>
  <c r="AE401" i="23"/>
  <c r="AE402" i="23"/>
  <c r="AE403" i="23"/>
  <c r="AE404" i="23"/>
  <c r="AE405" i="23"/>
  <c r="AE406" i="23"/>
  <c r="AE407" i="23"/>
  <c r="AE408" i="23"/>
  <c r="W406" i="23"/>
  <c r="W405" i="23"/>
  <c r="W407" i="23"/>
  <c r="W408" i="23"/>
  <c r="M408" i="23"/>
  <c r="AA408" i="23"/>
  <c r="AB408" i="23"/>
  <c r="K408" i="23"/>
  <c r="F408" i="23"/>
  <c r="AC408" i="23" s="1"/>
  <c r="H408" i="23"/>
  <c r="H9769" i="3"/>
  <c r="G9769" i="3"/>
  <c r="H9768" i="3"/>
  <c r="G9768" i="3"/>
  <c r="H9767" i="3"/>
  <c r="G9767" i="3"/>
  <c r="H9766" i="3"/>
  <c r="G9766" i="3"/>
  <c r="H9765" i="3"/>
  <c r="G9765" i="3"/>
  <c r="H9764" i="3"/>
  <c r="G9764" i="3"/>
  <c r="H9763" i="3"/>
  <c r="G9763" i="3"/>
  <c r="H9762" i="3"/>
  <c r="G9762" i="3"/>
  <c r="H9761" i="3"/>
  <c r="G9761" i="3"/>
  <c r="H9760" i="3"/>
  <c r="G9760" i="3"/>
  <c r="H9759" i="3"/>
  <c r="G9759" i="3"/>
  <c r="H9758" i="3"/>
  <c r="G9758" i="3"/>
  <c r="H9757" i="3"/>
  <c r="G9757" i="3"/>
  <c r="H9756" i="3"/>
  <c r="G9756" i="3"/>
  <c r="H9755" i="3"/>
  <c r="G9755" i="3"/>
  <c r="H9754" i="3"/>
  <c r="G9754" i="3"/>
  <c r="H9753" i="3"/>
  <c r="G9753" i="3"/>
  <c r="H9752" i="3"/>
  <c r="G9752" i="3"/>
  <c r="H9751" i="3"/>
  <c r="G9751" i="3"/>
  <c r="H9750" i="3"/>
  <c r="G9750" i="3"/>
  <c r="H9749" i="3"/>
  <c r="G9749" i="3"/>
  <c r="H9748" i="3"/>
  <c r="G9748" i="3"/>
  <c r="H9747" i="3"/>
  <c r="G9747" i="3"/>
  <c r="H9746" i="3"/>
  <c r="G9746" i="3"/>
  <c r="S408" i="1"/>
  <c r="J408" i="1"/>
  <c r="E408" i="1"/>
  <c r="F408" i="1"/>
  <c r="C408" i="1"/>
  <c r="Z406" i="23"/>
  <c r="AA406" i="23"/>
  <c r="AB406" i="23"/>
  <c r="AC406" i="23"/>
  <c r="AB407" i="23"/>
  <c r="G406" i="23"/>
  <c r="H406" i="23"/>
  <c r="H407" i="23"/>
  <c r="M407" i="23"/>
  <c r="N407" i="23"/>
  <c r="N408" i="23" s="1"/>
  <c r="K407" i="23"/>
  <c r="F407" i="23"/>
  <c r="AC407" i="23" s="1"/>
  <c r="C407" i="23"/>
  <c r="H9745" i="3"/>
  <c r="G9745" i="3"/>
  <c r="H9744" i="3"/>
  <c r="G9744" i="3"/>
  <c r="H9743" i="3"/>
  <c r="G9743" i="3"/>
  <c r="H9742" i="3"/>
  <c r="G9742" i="3"/>
  <c r="H9741" i="3"/>
  <c r="G9741" i="3"/>
  <c r="H9740" i="3"/>
  <c r="G9740" i="3"/>
  <c r="H9739" i="3"/>
  <c r="G9739" i="3"/>
  <c r="H9738" i="3"/>
  <c r="G9738" i="3"/>
  <c r="H9737" i="3"/>
  <c r="G9737" i="3"/>
  <c r="H9736" i="3"/>
  <c r="G9736" i="3"/>
  <c r="H9735" i="3"/>
  <c r="G9735" i="3"/>
  <c r="H9734" i="3"/>
  <c r="G9734" i="3"/>
  <c r="H9733" i="3"/>
  <c r="G9733" i="3"/>
  <c r="H9732" i="3"/>
  <c r="G9732" i="3"/>
  <c r="H9731" i="3"/>
  <c r="G9731" i="3"/>
  <c r="H9730" i="3"/>
  <c r="G9730" i="3"/>
  <c r="H9729" i="3"/>
  <c r="G9729" i="3"/>
  <c r="H9728" i="3"/>
  <c r="G9728" i="3"/>
  <c r="H9727" i="3"/>
  <c r="G9727" i="3"/>
  <c r="H9726" i="3"/>
  <c r="G9726" i="3"/>
  <c r="H9725" i="3"/>
  <c r="G9725" i="3"/>
  <c r="H9724" i="3"/>
  <c r="G9724" i="3"/>
  <c r="H9723" i="3"/>
  <c r="G9723" i="3"/>
  <c r="H9722" i="3"/>
  <c r="G9722" i="3"/>
  <c r="S407" i="1"/>
  <c r="J407" i="1"/>
  <c r="F407" i="1"/>
  <c r="C407" i="1"/>
  <c r="M406" i="23"/>
  <c r="N406" i="23"/>
  <c r="K406" i="23"/>
  <c r="F406" i="23"/>
  <c r="C406" i="23"/>
  <c r="H9721" i="3"/>
  <c r="G9721" i="3"/>
  <c r="H9720" i="3"/>
  <c r="G9720" i="3"/>
  <c r="H9719" i="3"/>
  <c r="G9719" i="3"/>
  <c r="H9718" i="3"/>
  <c r="G9718" i="3"/>
  <c r="H9717" i="3"/>
  <c r="G9717" i="3"/>
  <c r="H9716" i="3"/>
  <c r="G9716" i="3"/>
  <c r="H9715" i="3"/>
  <c r="G9715" i="3"/>
  <c r="H9714" i="3"/>
  <c r="G9714" i="3"/>
  <c r="H9713" i="3"/>
  <c r="G9713" i="3"/>
  <c r="H9712" i="3"/>
  <c r="G9712" i="3"/>
  <c r="H9711" i="3"/>
  <c r="G9711" i="3"/>
  <c r="H9710" i="3"/>
  <c r="G9710" i="3"/>
  <c r="H9709" i="3"/>
  <c r="G9709" i="3"/>
  <c r="H9708" i="3"/>
  <c r="G9708" i="3"/>
  <c r="H9707" i="3"/>
  <c r="G9707" i="3"/>
  <c r="H9706" i="3"/>
  <c r="G9706" i="3"/>
  <c r="H9705" i="3"/>
  <c r="G9705" i="3"/>
  <c r="H9704" i="3"/>
  <c r="G9704" i="3"/>
  <c r="H9703" i="3"/>
  <c r="G9703" i="3"/>
  <c r="H9702" i="3"/>
  <c r="G9702" i="3"/>
  <c r="H9701" i="3"/>
  <c r="G9701" i="3"/>
  <c r="H9700" i="3"/>
  <c r="G9700" i="3"/>
  <c r="H9699" i="3"/>
  <c r="G9699" i="3"/>
  <c r="H9698" i="3"/>
  <c r="G9698" i="3"/>
  <c r="S406" i="1"/>
  <c r="J406" i="1"/>
  <c r="F406" i="1"/>
  <c r="C406" i="1"/>
  <c r="Z408" i="23" l="1"/>
  <c r="G407" i="23"/>
  <c r="G408" i="23"/>
  <c r="AA407" i="23"/>
  <c r="Z407" i="23"/>
  <c r="R408" i="1"/>
  <c r="T408" i="1"/>
  <c r="M404" i="1" l="1"/>
  <c r="M405" i="1"/>
  <c r="AC405" i="23" l="1"/>
  <c r="AD81" i="23"/>
  <c r="AD82" i="23"/>
  <c r="AD83" i="23"/>
  <c r="AD84" i="23"/>
  <c r="AD85" i="23"/>
  <c r="AD86" i="23"/>
  <c r="AD87" i="23"/>
  <c r="AD88" i="23"/>
  <c r="AD89" i="23"/>
  <c r="AD90" i="23"/>
  <c r="AD91" i="23"/>
  <c r="AD92" i="23"/>
  <c r="AD93" i="23"/>
  <c r="AD94" i="23"/>
  <c r="AD95" i="23"/>
  <c r="AD96" i="23"/>
  <c r="AD97" i="23"/>
  <c r="AD98" i="23"/>
  <c r="AD99" i="23"/>
  <c r="AD100" i="23"/>
  <c r="AD101" i="23"/>
  <c r="AD102" i="23"/>
  <c r="AD103" i="23"/>
  <c r="AD104" i="23"/>
  <c r="AD105" i="23"/>
  <c r="AD106" i="23"/>
  <c r="AD107" i="23"/>
  <c r="AD108" i="23"/>
  <c r="AD109" i="23"/>
  <c r="AD110" i="23"/>
  <c r="AD111" i="23"/>
  <c r="AD112" i="23"/>
  <c r="AD113" i="23"/>
  <c r="AD114" i="23"/>
  <c r="AD115" i="23"/>
  <c r="AD116" i="23"/>
  <c r="AD117" i="23"/>
  <c r="AD118" i="23"/>
  <c r="AD119" i="23"/>
  <c r="AD120" i="23"/>
  <c r="AD121" i="23"/>
  <c r="AD122" i="23"/>
  <c r="AD123" i="23"/>
  <c r="AD124" i="23"/>
  <c r="AD125" i="23"/>
  <c r="AD126" i="23"/>
  <c r="AD127" i="23"/>
  <c r="AD128" i="23"/>
  <c r="AD129" i="23"/>
  <c r="AD130" i="23"/>
  <c r="AD131" i="23"/>
  <c r="AD132" i="23"/>
  <c r="AD133" i="23"/>
  <c r="AD134" i="23"/>
  <c r="AD135" i="23"/>
  <c r="AD136" i="23"/>
  <c r="AD137" i="23"/>
  <c r="AD138" i="23"/>
  <c r="AD139" i="23"/>
  <c r="AD140" i="23"/>
  <c r="AD141" i="23"/>
  <c r="AD142" i="23"/>
  <c r="AD143" i="23"/>
  <c r="AD144" i="23"/>
  <c r="AD145" i="23"/>
  <c r="AD146" i="23"/>
  <c r="AD147" i="23"/>
  <c r="AD148" i="23"/>
  <c r="AD149" i="23"/>
  <c r="AD150" i="23"/>
  <c r="AD151" i="23"/>
  <c r="AD152" i="23"/>
  <c r="AD153" i="23"/>
  <c r="AD154" i="23"/>
  <c r="AD155" i="23"/>
  <c r="AD156" i="23"/>
  <c r="AD157" i="23"/>
  <c r="AD158" i="23"/>
  <c r="AD159" i="23"/>
  <c r="AD160" i="23"/>
  <c r="AD161" i="23"/>
  <c r="AD162" i="23"/>
  <c r="AD163" i="23"/>
  <c r="AD164" i="23"/>
  <c r="AD165" i="23"/>
  <c r="AD166" i="23"/>
  <c r="V2" i="23"/>
  <c r="V3" i="23"/>
  <c r="V4" i="23"/>
  <c r="V5" i="23"/>
  <c r="V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Y112" i="23" s="1"/>
  <c r="V113" i="23"/>
  <c r="Y113" i="23" s="1"/>
  <c r="V114" i="23"/>
  <c r="V115" i="23"/>
  <c r="V116" i="23"/>
  <c r="V117" i="23"/>
  <c r="Y117" i="23" s="1"/>
  <c r="V118" i="23"/>
  <c r="V119" i="23"/>
  <c r="V120" i="23"/>
  <c r="Y120" i="23" s="1"/>
  <c r="V121" i="23"/>
  <c r="Y121" i="23" s="1"/>
  <c r="V122" i="23"/>
  <c r="V123" i="23"/>
  <c r="V124" i="23"/>
  <c r="Y124" i="23" s="1"/>
  <c r="V125" i="23"/>
  <c r="Y125" i="23" s="1"/>
  <c r="V126" i="23"/>
  <c r="V127" i="23"/>
  <c r="V128" i="23"/>
  <c r="V129" i="23"/>
  <c r="V130" i="23"/>
  <c r="V131" i="23"/>
  <c r="V132" i="23"/>
  <c r="V133" i="23"/>
  <c r="Y133" i="23" s="1"/>
  <c r="V134" i="23"/>
  <c r="V135" i="23"/>
  <c r="V136" i="23"/>
  <c r="V137" i="23"/>
  <c r="V138" i="23"/>
  <c r="V139" i="23"/>
  <c r="V140" i="23"/>
  <c r="V141" i="23"/>
  <c r="Y141" i="23" s="1"/>
  <c r="V142" i="23"/>
  <c r="V143" i="23"/>
  <c r="V144" i="23"/>
  <c r="Y144" i="23" s="1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Y157" i="23" s="1"/>
  <c r="V158" i="23"/>
  <c r="V159" i="23"/>
  <c r="V160" i="23"/>
  <c r="AD167" i="23" s="1"/>
  <c r="V161" i="23"/>
  <c r="AD168" i="23" s="1"/>
  <c r="V162" i="23"/>
  <c r="V163" i="23"/>
  <c r="V164" i="23"/>
  <c r="AD171" i="23" s="1"/>
  <c r="V165" i="23"/>
  <c r="AD169" i="23"/>
  <c r="AD170" i="23"/>
  <c r="AD172" i="23"/>
  <c r="AD173" i="23"/>
  <c r="AD174" i="23"/>
  <c r="AD175" i="23"/>
  <c r="AD176" i="23"/>
  <c r="AD177" i="23"/>
  <c r="AD178" i="23"/>
  <c r="AD179" i="23"/>
  <c r="AD180" i="23"/>
  <c r="AD181" i="23"/>
  <c r="AD182" i="23"/>
  <c r="AD183" i="23"/>
  <c r="AD184" i="23"/>
  <c r="AD185" i="23"/>
  <c r="AD186" i="23"/>
  <c r="AD187" i="23"/>
  <c r="AD188" i="23"/>
  <c r="AD189" i="23"/>
  <c r="AD190" i="23"/>
  <c r="AD191" i="23"/>
  <c r="AD192" i="23"/>
  <c r="AD193" i="23"/>
  <c r="AD194" i="23"/>
  <c r="AD195" i="23"/>
  <c r="AD196" i="23"/>
  <c r="AD197" i="23"/>
  <c r="AD198" i="23"/>
  <c r="AD199" i="23"/>
  <c r="AD200" i="23"/>
  <c r="AD201" i="23"/>
  <c r="AD202" i="23"/>
  <c r="AD203" i="23"/>
  <c r="AD204" i="23"/>
  <c r="AD205" i="23"/>
  <c r="AD206" i="23"/>
  <c r="AD207" i="23"/>
  <c r="AD208" i="23"/>
  <c r="AD209" i="23"/>
  <c r="AD210" i="23"/>
  <c r="AD211" i="23"/>
  <c r="AD212" i="23"/>
  <c r="AD213" i="23"/>
  <c r="AD214" i="23"/>
  <c r="AD215" i="23"/>
  <c r="AD216" i="23"/>
  <c r="AD217" i="23"/>
  <c r="AD218" i="23"/>
  <c r="AD219" i="23"/>
  <c r="AD220" i="23"/>
  <c r="AD221" i="23"/>
  <c r="AD222" i="23"/>
  <c r="AD223" i="23"/>
  <c r="AD224" i="23"/>
  <c r="AD225" i="23"/>
  <c r="AD226" i="23"/>
  <c r="AD227" i="23"/>
  <c r="AD228" i="23"/>
  <c r="AD229" i="23"/>
  <c r="AD230" i="23"/>
  <c r="AD231" i="23"/>
  <c r="AD232" i="23"/>
  <c r="AD233" i="23"/>
  <c r="AD234" i="23"/>
  <c r="AD235" i="23"/>
  <c r="AD236" i="23"/>
  <c r="AD237" i="23"/>
  <c r="AD238" i="23"/>
  <c r="AD239" i="23"/>
  <c r="AD240" i="23"/>
  <c r="AD241" i="23"/>
  <c r="AD242" i="23"/>
  <c r="AD243" i="23"/>
  <c r="AD244" i="23"/>
  <c r="AD245" i="23"/>
  <c r="AD246" i="23"/>
  <c r="AD247" i="23"/>
  <c r="AD248" i="23"/>
  <c r="AD249" i="23"/>
  <c r="AD250" i="23"/>
  <c r="AD251" i="23"/>
  <c r="AD252" i="23"/>
  <c r="AD253" i="23"/>
  <c r="AD254" i="23"/>
  <c r="AD255" i="23"/>
  <c r="AD256" i="23"/>
  <c r="AD257" i="23"/>
  <c r="AD258" i="23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87" i="23"/>
  <c r="AD288" i="23"/>
  <c r="AD289" i="23"/>
  <c r="AD290" i="23"/>
  <c r="AD291" i="23"/>
  <c r="AD292" i="23"/>
  <c r="AD293" i="23"/>
  <c r="AD294" i="23"/>
  <c r="AD295" i="23"/>
  <c r="AD296" i="23"/>
  <c r="AD297" i="23"/>
  <c r="AD298" i="23"/>
  <c r="AD299" i="23"/>
  <c r="AD300" i="23"/>
  <c r="AD301" i="23"/>
  <c r="AD302" i="23"/>
  <c r="AD303" i="23"/>
  <c r="AD304" i="23"/>
  <c r="AD305" i="23"/>
  <c r="AD306" i="23"/>
  <c r="AD307" i="23"/>
  <c r="AD308" i="23"/>
  <c r="AD309" i="23"/>
  <c r="AD310" i="23"/>
  <c r="AD311" i="23"/>
  <c r="AD312" i="23"/>
  <c r="AD313" i="23"/>
  <c r="AD314" i="23"/>
  <c r="AD315" i="23"/>
  <c r="AD316" i="23"/>
  <c r="AD317" i="23"/>
  <c r="AD318" i="23"/>
  <c r="AD319" i="23"/>
  <c r="AD320" i="23"/>
  <c r="AD321" i="23"/>
  <c r="AD322" i="23"/>
  <c r="AD323" i="23"/>
  <c r="AD324" i="23"/>
  <c r="AD325" i="23"/>
  <c r="AD326" i="23"/>
  <c r="AD327" i="23"/>
  <c r="AD328" i="23"/>
  <c r="AD329" i="23"/>
  <c r="AD330" i="23"/>
  <c r="AD331" i="23"/>
  <c r="AD332" i="23"/>
  <c r="AD333" i="23"/>
  <c r="AD334" i="23"/>
  <c r="AD335" i="23"/>
  <c r="AD336" i="23"/>
  <c r="AD337" i="23"/>
  <c r="AD338" i="23"/>
  <c r="AD339" i="23"/>
  <c r="AD340" i="23"/>
  <c r="AD341" i="23"/>
  <c r="AD342" i="23"/>
  <c r="AD343" i="23"/>
  <c r="AD344" i="23"/>
  <c r="AD345" i="23"/>
  <c r="AD346" i="23"/>
  <c r="AD347" i="23"/>
  <c r="AD348" i="23"/>
  <c r="AD349" i="23"/>
  <c r="AD350" i="23"/>
  <c r="AD351" i="23"/>
  <c r="AD352" i="23"/>
  <c r="AD353" i="23"/>
  <c r="AD354" i="23"/>
  <c r="AD355" i="23"/>
  <c r="AD356" i="23"/>
  <c r="AD357" i="23"/>
  <c r="AD358" i="23"/>
  <c r="AD359" i="23"/>
  <c r="AD360" i="23"/>
  <c r="AD361" i="23"/>
  <c r="AD362" i="23"/>
  <c r="AD363" i="23"/>
  <c r="AD364" i="23"/>
  <c r="AD365" i="23"/>
  <c r="AD366" i="23"/>
  <c r="AD367" i="23"/>
  <c r="AD368" i="23"/>
  <c r="AD369" i="23"/>
  <c r="AD370" i="23"/>
  <c r="AD371" i="23"/>
  <c r="AD372" i="23"/>
  <c r="AD373" i="23"/>
  <c r="AD374" i="23"/>
  <c r="AD375" i="23"/>
  <c r="AD376" i="23"/>
  <c r="AD377" i="23"/>
  <c r="AD378" i="23"/>
  <c r="AD379" i="23"/>
  <c r="AD380" i="23"/>
  <c r="AD381" i="23"/>
  <c r="AD382" i="23"/>
  <c r="AD383" i="23"/>
  <c r="AD384" i="23"/>
  <c r="AD385" i="23"/>
  <c r="AD386" i="23"/>
  <c r="AD387" i="23"/>
  <c r="AD388" i="23"/>
  <c r="AD389" i="23"/>
  <c r="AD390" i="23"/>
  <c r="AD391" i="23"/>
  <c r="AD392" i="23"/>
  <c r="AD393" i="23"/>
  <c r="AD394" i="23"/>
  <c r="AD395" i="23"/>
  <c r="AD396" i="23"/>
  <c r="AD397" i="23"/>
  <c r="AD398" i="23"/>
  <c r="AD399" i="23"/>
  <c r="AD400" i="23"/>
  <c r="K405" i="23"/>
  <c r="H404" i="23"/>
  <c r="H405" i="23"/>
  <c r="AB405" i="23"/>
  <c r="AA405" i="23"/>
  <c r="Z405" i="23"/>
  <c r="M405" i="23"/>
  <c r="F405" i="23"/>
  <c r="C405" i="23"/>
  <c r="AC404" i="23"/>
  <c r="AB404" i="23"/>
  <c r="W404" i="23"/>
  <c r="M404" i="23"/>
  <c r="K404" i="23"/>
  <c r="F404" i="23"/>
  <c r="C404" i="23"/>
  <c r="AB403" i="23"/>
  <c r="AA403" i="23"/>
  <c r="W403" i="23"/>
  <c r="M403" i="23"/>
  <c r="K403" i="23"/>
  <c r="H403" i="23"/>
  <c r="F403" i="23"/>
  <c r="AC403" i="23" s="1"/>
  <c r="C403" i="23"/>
  <c r="Z403" i="23" s="1"/>
  <c r="AB402" i="23"/>
  <c r="W402" i="23"/>
  <c r="M402" i="23"/>
  <c r="K402" i="23"/>
  <c r="H402" i="23"/>
  <c r="F402" i="23"/>
  <c r="C402" i="23"/>
  <c r="AB401" i="23"/>
  <c r="W401" i="23"/>
  <c r="S401" i="23"/>
  <c r="M401" i="23"/>
  <c r="K401" i="23"/>
  <c r="H401" i="23"/>
  <c r="S402" i="23" s="1"/>
  <c r="F401" i="23"/>
  <c r="AB400" i="23"/>
  <c r="W400" i="23"/>
  <c r="M400" i="23"/>
  <c r="K400" i="23"/>
  <c r="H400" i="23"/>
  <c r="F400" i="23"/>
  <c r="AC400" i="23" s="1"/>
  <c r="C400" i="23"/>
  <c r="AB399" i="23"/>
  <c r="W399" i="23"/>
  <c r="M399" i="23"/>
  <c r="AA399" i="23" s="1"/>
  <c r="K399" i="23"/>
  <c r="H399" i="23"/>
  <c r="F399" i="23"/>
  <c r="AC399" i="23" s="1"/>
  <c r="C399" i="23"/>
  <c r="AB398" i="23"/>
  <c r="W398" i="23"/>
  <c r="M398" i="23"/>
  <c r="AA398" i="23" s="1"/>
  <c r="K398" i="23"/>
  <c r="H398" i="23"/>
  <c r="F398" i="23"/>
  <c r="C398" i="23"/>
  <c r="AB397" i="23"/>
  <c r="W397" i="23"/>
  <c r="M397" i="23"/>
  <c r="AA397" i="23" s="1"/>
  <c r="K397" i="23"/>
  <c r="H397" i="23"/>
  <c r="F397" i="23"/>
  <c r="C397" i="23"/>
  <c r="Z397" i="23" s="1"/>
  <c r="AB396" i="23"/>
  <c r="W396" i="23"/>
  <c r="M396" i="23"/>
  <c r="AA396" i="23" s="1"/>
  <c r="K396" i="23"/>
  <c r="H396" i="23"/>
  <c r="F396" i="23"/>
  <c r="C396" i="23"/>
  <c r="Z396" i="23" s="1"/>
  <c r="AB395" i="23"/>
  <c r="W395" i="23"/>
  <c r="M395" i="23"/>
  <c r="AA395" i="23" s="1"/>
  <c r="K395" i="23"/>
  <c r="H395" i="23"/>
  <c r="F395" i="23"/>
  <c r="AC395" i="23" s="1"/>
  <c r="C395" i="23"/>
  <c r="Z395" i="23" s="1"/>
  <c r="AB394" i="23"/>
  <c r="W394" i="23"/>
  <c r="Q394" i="23"/>
  <c r="M394" i="23"/>
  <c r="AA394" i="23" s="1"/>
  <c r="K394" i="23"/>
  <c r="H394" i="23"/>
  <c r="F394" i="23"/>
  <c r="AC394" i="23" s="1"/>
  <c r="C394" i="23"/>
  <c r="AC393" i="23"/>
  <c r="AB393" i="23"/>
  <c r="W393" i="23"/>
  <c r="Q393" i="23"/>
  <c r="N393" i="23"/>
  <c r="N394" i="23" s="1"/>
  <c r="N395" i="23" s="1"/>
  <c r="N396" i="23" s="1"/>
  <c r="N397" i="23" s="1"/>
  <c r="N398" i="23" s="1"/>
  <c r="M393" i="23"/>
  <c r="K393" i="23"/>
  <c r="H393" i="23"/>
  <c r="F393" i="23"/>
  <c r="C393" i="23"/>
  <c r="AB392" i="23"/>
  <c r="W392" i="23"/>
  <c r="Q392" i="23"/>
  <c r="M392" i="23"/>
  <c r="K392" i="23"/>
  <c r="H392" i="23"/>
  <c r="F392" i="23"/>
  <c r="C392" i="23"/>
  <c r="AA392" i="23" s="1"/>
  <c r="AB391" i="23"/>
  <c r="Z391" i="23"/>
  <c r="W391" i="23"/>
  <c r="Q391" i="23"/>
  <c r="M391" i="23"/>
  <c r="AA391" i="23" s="1"/>
  <c r="K391" i="23"/>
  <c r="H391" i="23"/>
  <c r="F391" i="23"/>
  <c r="AC391" i="23" s="1"/>
  <c r="C391" i="23"/>
  <c r="AB390" i="23"/>
  <c r="W390" i="23"/>
  <c r="Q390" i="23"/>
  <c r="N390" i="23"/>
  <c r="N391" i="23" s="1"/>
  <c r="N392" i="23" s="1"/>
  <c r="M390" i="23"/>
  <c r="AA390" i="23" s="1"/>
  <c r="K390" i="23"/>
  <c r="H390" i="23"/>
  <c r="F390" i="23"/>
  <c r="AC390" i="23" s="1"/>
  <c r="C390" i="23"/>
  <c r="AB389" i="23"/>
  <c r="W389" i="23"/>
  <c r="Q389" i="23"/>
  <c r="M389" i="23"/>
  <c r="K389" i="23"/>
  <c r="H389" i="23"/>
  <c r="F389" i="23"/>
  <c r="AC389" i="23" s="1"/>
  <c r="C389" i="23"/>
  <c r="AC388" i="23"/>
  <c r="AB388" i="23"/>
  <c r="W388" i="23"/>
  <c r="Q388" i="23"/>
  <c r="N388" i="23"/>
  <c r="N387" i="23" s="1"/>
  <c r="N386" i="23" s="1"/>
  <c r="N385" i="23" s="1"/>
  <c r="N384" i="23" s="1"/>
  <c r="N383" i="23" s="1"/>
  <c r="N382" i="23" s="1"/>
  <c r="N381" i="23" s="1"/>
  <c r="N380" i="23" s="1"/>
  <c r="N379" i="23" s="1"/>
  <c r="N378" i="23" s="1"/>
  <c r="N377" i="23" s="1"/>
  <c r="N376" i="23" s="1"/>
  <c r="N375" i="23" s="1"/>
  <c r="M388" i="23"/>
  <c r="K388" i="23"/>
  <c r="H388" i="23"/>
  <c r="F388" i="23"/>
  <c r="C388" i="23"/>
  <c r="AC387" i="23"/>
  <c r="AB387" i="23"/>
  <c r="W387" i="23"/>
  <c r="Q387" i="23"/>
  <c r="M387" i="23"/>
  <c r="K387" i="23"/>
  <c r="H387" i="23"/>
  <c r="F387" i="23"/>
  <c r="C387" i="23"/>
  <c r="AA387" i="23" s="1"/>
  <c r="AB386" i="23"/>
  <c r="Z386" i="23"/>
  <c r="W386" i="23"/>
  <c r="Q386" i="23"/>
  <c r="M386" i="23"/>
  <c r="AA386" i="23" s="1"/>
  <c r="K386" i="23"/>
  <c r="H386" i="23"/>
  <c r="F386" i="23"/>
  <c r="AC386" i="23" s="1"/>
  <c r="C386" i="23"/>
  <c r="AB385" i="23"/>
  <c r="W385" i="23"/>
  <c r="Q385" i="23"/>
  <c r="M385" i="23"/>
  <c r="AA385" i="23" s="1"/>
  <c r="K385" i="23"/>
  <c r="H385" i="23"/>
  <c r="F385" i="23"/>
  <c r="AC385" i="23" s="1"/>
  <c r="C385" i="23"/>
  <c r="AB384" i="23"/>
  <c r="W384" i="23"/>
  <c r="Q384" i="23"/>
  <c r="M384" i="23"/>
  <c r="K384" i="23"/>
  <c r="H384" i="23"/>
  <c r="F384" i="23"/>
  <c r="C384" i="23"/>
  <c r="AB383" i="23"/>
  <c r="W383" i="23"/>
  <c r="Q383" i="23"/>
  <c r="M383" i="23"/>
  <c r="K383" i="23"/>
  <c r="H383" i="23"/>
  <c r="F383" i="23"/>
  <c r="C383" i="23"/>
  <c r="AB382" i="23"/>
  <c r="W382" i="23"/>
  <c r="Q382" i="23"/>
  <c r="M382" i="23"/>
  <c r="K382" i="23"/>
  <c r="H382" i="23"/>
  <c r="F382" i="23"/>
  <c r="C382" i="23"/>
  <c r="AB381" i="23"/>
  <c r="AA381" i="23"/>
  <c r="Z381" i="23"/>
  <c r="W381" i="23"/>
  <c r="Q381" i="23"/>
  <c r="M381" i="23"/>
  <c r="K381" i="23"/>
  <c r="H381" i="23"/>
  <c r="F381" i="23"/>
  <c r="C381" i="23"/>
  <c r="AC380" i="23"/>
  <c r="AB380" i="23"/>
  <c r="W380" i="23"/>
  <c r="Q380" i="23"/>
  <c r="M380" i="23"/>
  <c r="AA380" i="23" s="1"/>
  <c r="K380" i="23"/>
  <c r="H380" i="23"/>
  <c r="F380" i="23"/>
  <c r="C380" i="23"/>
  <c r="Z380" i="23" s="1"/>
  <c r="AB379" i="23"/>
  <c r="Z379" i="23"/>
  <c r="W379" i="23"/>
  <c r="Q379" i="23"/>
  <c r="M379" i="23"/>
  <c r="K379" i="23"/>
  <c r="H379" i="23"/>
  <c r="F379" i="23"/>
  <c r="C379" i="23"/>
  <c r="AA379" i="23" s="1"/>
  <c r="AC378" i="23"/>
  <c r="AB378" i="23"/>
  <c r="AA378" i="23"/>
  <c r="Z378" i="23"/>
  <c r="W378" i="23"/>
  <c r="Q378" i="23"/>
  <c r="M378" i="23"/>
  <c r="K378" i="23"/>
  <c r="H378" i="23"/>
  <c r="F378" i="23"/>
  <c r="C378" i="23"/>
  <c r="AC392" i="23" s="1"/>
  <c r="AB377" i="23"/>
  <c r="Z377" i="23"/>
  <c r="W377" i="23"/>
  <c r="Q377" i="23"/>
  <c r="M377" i="23"/>
  <c r="AA377" i="23" s="1"/>
  <c r="K377" i="23"/>
  <c r="H377" i="23"/>
  <c r="F377" i="23"/>
  <c r="C377" i="23"/>
  <c r="AB376" i="23"/>
  <c r="AA376" i="23"/>
  <c r="W376" i="23"/>
  <c r="Q376" i="23"/>
  <c r="M376" i="23"/>
  <c r="K376" i="23"/>
  <c r="H376" i="23"/>
  <c r="F376" i="23"/>
  <c r="C376" i="23"/>
  <c r="AB375" i="23"/>
  <c r="Z375" i="23"/>
  <c r="W375" i="23"/>
  <c r="Q375" i="23"/>
  <c r="M375" i="23"/>
  <c r="AA375" i="23" s="1"/>
  <c r="K375" i="23"/>
  <c r="H375" i="23"/>
  <c r="F375" i="23"/>
  <c r="C375" i="23"/>
  <c r="AB374" i="23"/>
  <c r="AA374" i="23"/>
  <c r="W374" i="23"/>
  <c r="Q374" i="23"/>
  <c r="N374" i="23"/>
  <c r="N373" i="23" s="1"/>
  <c r="N372" i="23" s="1"/>
  <c r="N371" i="23" s="1"/>
  <c r="N370" i="23" s="1"/>
  <c r="N369" i="23" s="1"/>
  <c r="N368" i="23" s="1"/>
  <c r="N367" i="23" s="1"/>
  <c r="N366" i="23" s="1"/>
  <c r="N365" i="23" s="1"/>
  <c r="N364" i="23" s="1"/>
  <c r="N363" i="23" s="1"/>
  <c r="N362" i="23" s="1"/>
  <c r="N361" i="23" s="1"/>
  <c r="N360" i="23" s="1"/>
  <c r="N359" i="23" s="1"/>
  <c r="N358" i="23" s="1"/>
  <c r="N357" i="23" s="1"/>
  <c r="N356" i="23" s="1"/>
  <c r="N355" i="23" s="1"/>
  <c r="N354" i="23" s="1"/>
  <c r="N353" i="23" s="1"/>
  <c r="N352" i="23" s="1"/>
  <c r="N351" i="23" s="1"/>
  <c r="N350" i="23" s="1"/>
  <c r="N349" i="23" s="1"/>
  <c r="N348" i="23" s="1"/>
  <c r="N347" i="23" s="1"/>
  <c r="N346" i="23" s="1"/>
  <c r="N345" i="23" s="1"/>
  <c r="N344" i="23" s="1"/>
  <c r="N343" i="23" s="1"/>
  <c r="N342" i="23" s="1"/>
  <c r="N341" i="23" s="1"/>
  <c r="N340" i="23" s="1"/>
  <c r="N339" i="23" s="1"/>
  <c r="N338" i="23" s="1"/>
  <c r="N337" i="23" s="1"/>
  <c r="N336" i="23" s="1"/>
  <c r="N335" i="23" s="1"/>
  <c r="N334" i="23" s="1"/>
  <c r="N333" i="23" s="1"/>
  <c r="N332" i="23" s="1"/>
  <c r="N331" i="23" s="1"/>
  <c r="N330" i="23" s="1"/>
  <c r="N329" i="23" s="1"/>
  <c r="N328" i="23" s="1"/>
  <c r="N327" i="23" s="1"/>
  <c r="N326" i="23" s="1"/>
  <c r="N325" i="23" s="1"/>
  <c r="N324" i="23" s="1"/>
  <c r="N323" i="23" s="1"/>
  <c r="N322" i="23" s="1"/>
  <c r="N321" i="23" s="1"/>
  <c r="N320" i="23" s="1"/>
  <c r="N319" i="23" s="1"/>
  <c r="N318" i="23" s="1"/>
  <c r="N317" i="23" s="1"/>
  <c r="N316" i="23" s="1"/>
  <c r="N315" i="23" s="1"/>
  <c r="N314" i="23" s="1"/>
  <c r="N313" i="23" s="1"/>
  <c r="N312" i="23" s="1"/>
  <c r="N311" i="23" s="1"/>
  <c r="N310" i="23" s="1"/>
  <c r="N309" i="23" s="1"/>
  <c r="N308" i="23" s="1"/>
  <c r="N307" i="23" s="1"/>
  <c r="N306" i="23" s="1"/>
  <c r="N305" i="23" s="1"/>
  <c r="N304" i="23" s="1"/>
  <c r="N303" i="23" s="1"/>
  <c r="N302" i="23" s="1"/>
  <c r="N301" i="23" s="1"/>
  <c r="N300" i="23" s="1"/>
  <c r="N299" i="23" s="1"/>
  <c r="N298" i="23" s="1"/>
  <c r="N297" i="23" s="1"/>
  <c r="N296" i="23" s="1"/>
  <c r="N295" i="23" s="1"/>
  <c r="N294" i="23" s="1"/>
  <c r="N293" i="23" s="1"/>
  <c r="N292" i="23" s="1"/>
  <c r="N291" i="23" s="1"/>
  <c r="N290" i="23" s="1"/>
  <c r="N289" i="23" s="1"/>
  <c r="N288" i="23" s="1"/>
  <c r="N287" i="23" s="1"/>
  <c r="N286" i="23" s="1"/>
  <c r="N285" i="23" s="1"/>
  <c r="N284" i="23" s="1"/>
  <c r="N283" i="23" s="1"/>
  <c r="N282" i="23" s="1"/>
  <c r="N281" i="23" s="1"/>
  <c r="N280" i="23" s="1"/>
  <c r="N279" i="23" s="1"/>
  <c r="N278" i="23" s="1"/>
  <c r="N277" i="23" s="1"/>
  <c r="N276" i="23" s="1"/>
  <c r="N275" i="23" s="1"/>
  <c r="N274" i="23" s="1"/>
  <c r="N273" i="23" s="1"/>
  <c r="N272" i="23" s="1"/>
  <c r="N271" i="23" s="1"/>
  <c r="N270" i="23" s="1"/>
  <c r="N269" i="23" s="1"/>
  <c r="N268" i="23" s="1"/>
  <c r="N267" i="23" s="1"/>
  <c r="N266" i="23" s="1"/>
  <c r="N265" i="23" s="1"/>
  <c r="N264" i="23" s="1"/>
  <c r="N263" i="23" s="1"/>
  <c r="N262" i="23" s="1"/>
  <c r="N261" i="23" s="1"/>
  <c r="N260" i="23" s="1"/>
  <c r="N259" i="23" s="1"/>
  <c r="N258" i="23" s="1"/>
  <c r="N257" i="23" s="1"/>
  <c r="N256" i="23" s="1"/>
  <c r="N255" i="23" s="1"/>
  <c r="N254" i="23" s="1"/>
  <c r="N253" i="23" s="1"/>
  <c r="N252" i="23" s="1"/>
  <c r="N251" i="23" s="1"/>
  <c r="N250" i="23" s="1"/>
  <c r="N249" i="23" s="1"/>
  <c r="N248" i="23" s="1"/>
  <c r="N247" i="23" s="1"/>
  <c r="N246" i="23" s="1"/>
  <c r="N245" i="23" s="1"/>
  <c r="N244" i="23" s="1"/>
  <c r="N243" i="23" s="1"/>
  <c r="N242" i="23" s="1"/>
  <c r="N241" i="23" s="1"/>
  <c r="N240" i="23" s="1"/>
  <c r="M374" i="23"/>
  <c r="K374" i="23"/>
  <c r="H374" i="23"/>
  <c r="F374" i="23"/>
  <c r="C374" i="23"/>
  <c r="AB373" i="23"/>
  <c r="W373" i="23"/>
  <c r="Q373" i="23"/>
  <c r="M373" i="23"/>
  <c r="AA373" i="23" s="1"/>
  <c r="K373" i="23"/>
  <c r="H373" i="23"/>
  <c r="F373" i="23"/>
  <c r="C373" i="23"/>
  <c r="AB372" i="23"/>
  <c r="AA372" i="23"/>
  <c r="W372" i="23"/>
  <c r="Q372" i="23"/>
  <c r="M372" i="23"/>
  <c r="K372" i="23"/>
  <c r="H372" i="23"/>
  <c r="F372" i="23"/>
  <c r="C372" i="23"/>
  <c r="AB371" i="23"/>
  <c r="Z371" i="23"/>
  <c r="W371" i="23"/>
  <c r="Q371" i="23"/>
  <c r="M371" i="23"/>
  <c r="AA371" i="23" s="1"/>
  <c r="K371" i="23"/>
  <c r="H371" i="23"/>
  <c r="F371" i="23"/>
  <c r="C371" i="23"/>
  <c r="AB370" i="23"/>
  <c r="W370" i="23"/>
  <c r="M370" i="23"/>
  <c r="K370" i="23"/>
  <c r="H370" i="23"/>
  <c r="F370" i="23"/>
  <c r="C370" i="23"/>
  <c r="AB369" i="23"/>
  <c r="W369" i="23"/>
  <c r="Q369" i="23"/>
  <c r="M369" i="23"/>
  <c r="K369" i="23"/>
  <c r="H369" i="23"/>
  <c r="F369" i="23"/>
  <c r="C369" i="23"/>
  <c r="AB368" i="23"/>
  <c r="W368" i="23"/>
  <c r="Q368" i="23"/>
  <c r="M368" i="23"/>
  <c r="K368" i="23"/>
  <c r="H368" i="23"/>
  <c r="F368" i="23"/>
  <c r="C368" i="23"/>
  <c r="AB367" i="23"/>
  <c r="W367" i="23"/>
  <c r="Q367" i="23"/>
  <c r="M367" i="23"/>
  <c r="K367" i="23"/>
  <c r="H367" i="23"/>
  <c r="F367" i="23"/>
  <c r="C367" i="23"/>
  <c r="AB366" i="23"/>
  <c r="W366" i="23"/>
  <c r="Q366" i="23"/>
  <c r="M366" i="23"/>
  <c r="K366" i="23"/>
  <c r="H366" i="23"/>
  <c r="F366" i="23"/>
  <c r="C366" i="23"/>
  <c r="AB365" i="23"/>
  <c r="W365" i="23"/>
  <c r="Q365" i="23"/>
  <c r="M365" i="23"/>
  <c r="K365" i="23"/>
  <c r="H365" i="23"/>
  <c r="F365" i="23"/>
  <c r="C365" i="23"/>
  <c r="AB364" i="23"/>
  <c r="W364" i="23"/>
  <c r="Q364" i="23"/>
  <c r="M364" i="23"/>
  <c r="K364" i="23"/>
  <c r="H364" i="23"/>
  <c r="F364" i="23"/>
  <c r="C364" i="23"/>
  <c r="AB363" i="23"/>
  <c r="W363" i="23"/>
  <c r="Q363" i="23"/>
  <c r="M363" i="23"/>
  <c r="K363" i="23"/>
  <c r="H363" i="23"/>
  <c r="F363" i="23"/>
  <c r="C363" i="23"/>
  <c r="AB362" i="23"/>
  <c r="W362" i="23"/>
  <c r="Q362" i="23"/>
  <c r="M362" i="23"/>
  <c r="K362" i="23"/>
  <c r="H362" i="23"/>
  <c r="F362" i="23"/>
  <c r="C362" i="23"/>
  <c r="AB361" i="23"/>
  <c r="W361" i="23"/>
  <c r="Q361" i="23"/>
  <c r="M361" i="23"/>
  <c r="AA361" i="23" s="1"/>
  <c r="K361" i="23"/>
  <c r="H361" i="23"/>
  <c r="F361" i="23"/>
  <c r="C361" i="23"/>
  <c r="AB360" i="23"/>
  <c r="W360" i="23"/>
  <c r="Q360" i="23"/>
  <c r="M360" i="23"/>
  <c r="K360" i="23"/>
  <c r="H360" i="23"/>
  <c r="F360" i="23"/>
  <c r="C360" i="23"/>
  <c r="AB359" i="23"/>
  <c r="W359" i="23"/>
  <c r="Q359" i="23"/>
  <c r="M359" i="23"/>
  <c r="AA359" i="23" s="1"/>
  <c r="K359" i="23"/>
  <c r="H359" i="23"/>
  <c r="F359" i="23"/>
  <c r="C359" i="23"/>
  <c r="AB358" i="23"/>
  <c r="W358" i="23"/>
  <c r="Q358" i="23"/>
  <c r="M358" i="23"/>
  <c r="K358" i="23"/>
  <c r="H358" i="23"/>
  <c r="F358" i="23"/>
  <c r="C358" i="23"/>
  <c r="AB357" i="23"/>
  <c r="Z357" i="23"/>
  <c r="W357" i="23"/>
  <c r="Q357" i="23"/>
  <c r="M357" i="23"/>
  <c r="AA357" i="23" s="1"/>
  <c r="K357" i="23"/>
  <c r="H357" i="23"/>
  <c r="F357" i="23"/>
  <c r="C357" i="23"/>
  <c r="AB356" i="23"/>
  <c r="Z356" i="23"/>
  <c r="W356" i="23"/>
  <c r="Q356" i="23"/>
  <c r="M356" i="23"/>
  <c r="AA356" i="23" s="1"/>
  <c r="K356" i="23"/>
  <c r="H356" i="23"/>
  <c r="F356" i="23"/>
  <c r="C356" i="23"/>
  <c r="AB355" i="23"/>
  <c r="W355" i="23"/>
  <c r="Q355" i="23"/>
  <c r="M355" i="23"/>
  <c r="AA355" i="23" s="1"/>
  <c r="K355" i="23"/>
  <c r="H355" i="23"/>
  <c r="F355" i="23"/>
  <c r="C355" i="23"/>
  <c r="AB354" i="23"/>
  <c r="W354" i="23"/>
  <c r="Q354" i="23"/>
  <c r="M354" i="23"/>
  <c r="AA354" i="23" s="1"/>
  <c r="K354" i="23"/>
  <c r="H354" i="23"/>
  <c r="F354" i="23"/>
  <c r="C354" i="23"/>
  <c r="AB353" i="23"/>
  <c r="W353" i="23"/>
  <c r="Q353" i="23"/>
  <c r="M353" i="23"/>
  <c r="AA353" i="23" s="1"/>
  <c r="K353" i="23"/>
  <c r="H353" i="23"/>
  <c r="F353" i="23"/>
  <c r="C353" i="23"/>
  <c r="AB352" i="23"/>
  <c r="W352" i="23"/>
  <c r="Q352" i="23"/>
  <c r="M352" i="23"/>
  <c r="AA352" i="23" s="1"/>
  <c r="K352" i="23"/>
  <c r="H352" i="23"/>
  <c r="F352" i="23"/>
  <c r="C352" i="23"/>
  <c r="AB351" i="23"/>
  <c r="W351" i="23"/>
  <c r="Q351" i="23"/>
  <c r="M351" i="23"/>
  <c r="AA351" i="23" s="1"/>
  <c r="K351" i="23"/>
  <c r="H351" i="23"/>
  <c r="F351" i="23"/>
  <c r="C351" i="23"/>
  <c r="AB350" i="23"/>
  <c r="W350" i="23"/>
  <c r="Q350" i="23"/>
  <c r="M350" i="23"/>
  <c r="AA350" i="23" s="1"/>
  <c r="K350" i="23"/>
  <c r="H350" i="23"/>
  <c r="F350" i="23"/>
  <c r="C350" i="23"/>
  <c r="AB349" i="23"/>
  <c r="W349" i="23"/>
  <c r="M349" i="23"/>
  <c r="K349" i="23"/>
  <c r="H349" i="23"/>
  <c r="F349" i="23"/>
  <c r="C349" i="23"/>
  <c r="AA349" i="23" s="1"/>
  <c r="AB348" i="23"/>
  <c r="W348" i="23"/>
  <c r="Q348" i="23"/>
  <c r="M348" i="23"/>
  <c r="K348" i="23"/>
  <c r="H348" i="23"/>
  <c r="F348" i="23"/>
  <c r="C348" i="23"/>
  <c r="AB347" i="23"/>
  <c r="W347" i="23"/>
  <c r="Q347" i="23"/>
  <c r="M347" i="23"/>
  <c r="K347" i="23"/>
  <c r="H347" i="23"/>
  <c r="F347" i="23"/>
  <c r="C347" i="23"/>
  <c r="AB346" i="23"/>
  <c r="W346" i="23"/>
  <c r="Q346" i="23"/>
  <c r="M346" i="23"/>
  <c r="K346" i="23"/>
  <c r="H346" i="23"/>
  <c r="F346" i="23"/>
  <c r="C346" i="23"/>
  <c r="AB345" i="23"/>
  <c r="W345" i="23"/>
  <c r="Q345" i="23"/>
  <c r="M345" i="23"/>
  <c r="K345" i="23"/>
  <c r="H345" i="23"/>
  <c r="F345" i="23"/>
  <c r="C345" i="23"/>
  <c r="AB344" i="23"/>
  <c r="W344" i="23"/>
  <c r="Q344" i="23"/>
  <c r="M344" i="23"/>
  <c r="K344" i="23"/>
  <c r="H344" i="23"/>
  <c r="F344" i="23"/>
  <c r="C344" i="23"/>
  <c r="AB343" i="23"/>
  <c r="W343" i="23"/>
  <c r="Q343" i="23"/>
  <c r="M343" i="23"/>
  <c r="K343" i="23"/>
  <c r="H343" i="23"/>
  <c r="F343" i="23"/>
  <c r="C343" i="23"/>
  <c r="AB342" i="23"/>
  <c r="W342" i="23"/>
  <c r="Q342" i="23"/>
  <c r="M342" i="23"/>
  <c r="K342" i="23"/>
  <c r="H342" i="23"/>
  <c r="F342" i="23"/>
  <c r="C342" i="23"/>
  <c r="AB341" i="23"/>
  <c r="W341" i="23"/>
  <c r="Q341" i="23"/>
  <c r="M341" i="23"/>
  <c r="K341" i="23"/>
  <c r="H341" i="23"/>
  <c r="F341" i="23"/>
  <c r="C341" i="23"/>
  <c r="AB340" i="23"/>
  <c r="W340" i="23"/>
  <c r="Q340" i="23"/>
  <c r="M340" i="23"/>
  <c r="K340" i="23"/>
  <c r="H340" i="23"/>
  <c r="F340" i="23"/>
  <c r="C340" i="23"/>
  <c r="AB339" i="23"/>
  <c r="W339" i="23"/>
  <c r="Q339" i="23"/>
  <c r="M339" i="23"/>
  <c r="K339" i="23"/>
  <c r="H339" i="23"/>
  <c r="F339" i="23"/>
  <c r="C339" i="23"/>
  <c r="AB338" i="23"/>
  <c r="W338" i="23"/>
  <c r="Q338" i="23"/>
  <c r="M338" i="23"/>
  <c r="K338" i="23"/>
  <c r="H338" i="23"/>
  <c r="F338" i="23"/>
  <c r="C338" i="23"/>
  <c r="AB337" i="23"/>
  <c r="W337" i="23"/>
  <c r="Q337" i="23"/>
  <c r="M337" i="23"/>
  <c r="K337" i="23"/>
  <c r="H337" i="23"/>
  <c r="F337" i="23"/>
  <c r="C337" i="23"/>
  <c r="AB336" i="23"/>
  <c r="W336" i="23"/>
  <c r="Q336" i="23"/>
  <c r="M336" i="23"/>
  <c r="K336" i="23"/>
  <c r="H336" i="23"/>
  <c r="F336" i="23"/>
  <c r="C336" i="23"/>
  <c r="AB335" i="23"/>
  <c r="W335" i="23"/>
  <c r="Q335" i="23"/>
  <c r="M335" i="23"/>
  <c r="K335" i="23"/>
  <c r="H335" i="23"/>
  <c r="F335" i="23"/>
  <c r="C335" i="23"/>
  <c r="AB334" i="23"/>
  <c r="W334" i="23"/>
  <c r="Q334" i="23"/>
  <c r="M334" i="23"/>
  <c r="K334" i="23"/>
  <c r="H334" i="23"/>
  <c r="F334" i="23"/>
  <c r="C334" i="23"/>
  <c r="AB333" i="23"/>
  <c r="W333" i="23"/>
  <c r="Q333" i="23"/>
  <c r="M333" i="23"/>
  <c r="K333" i="23"/>
  <c r="H333" i="23"/>
  <c r="F333" i="23"/>
  <c r="C333" i="23"/>
  <c r="AB332" i="23"/>
  <c r="W332" i="23"/>
  <c r="Q332" i="23"/>
  <c r="M332" i="23"/>
  <c r="K332" i="23"/>
  <c r="H332" i="23"/>
  <c r="F332" i="23"/>
  <c r="C332" i="23"/>
  <c r="AB331" i="23"/>
  <c r="W331" i="23"/>
  <c r="Q331" i="23"/>
  <c r="M331" i="23"/>
  <c r="K331" i="23"/>
  <c r="H331" i="23"/>
  <c r="F331" i="23"/>
  <c r="C331" i="23"/>
  <c r="AB330" i="23"/>
  <c r="W330" i="23"/>
  <c r="Q330" i="23"/>
  <c r="M330" i="23"/>
  <c r="K330" i="23"/>
  <c r="H330" i="23"/>
  <c r="F330" i="23"/>
  <c r="C330" i="23"/>
  <c r="Z330" i="23" s="1"/>
  <c r="AB329" i="23"/>
  <c r="W329" i="23"/>
  <c r="Q329" i="23"/>
  <c r="M329" i="23"/>
  <c r="K329" i="23"/>
  <c r="H329" i="23"/>
  <c r="F329" i="23"/>
  <c r="C329" i="23"/>
  <c r="AB328" i="23"/>
  <c r="W328" i="23"/>
  <c r="Q328" i="23"/>
  <c r="M328" i="23"/>
  <c r="K328" i="23"/>
  <c r="H328" i="23"/>
  <c r="F328" i="23"/>
  <c r="C328" i="23"/>
  <c r="Z328" i="23" s="1"/>
  <c r="AB327" i="23"/>
  <c r="W327" i="23"/>
  <c r="Q327" i="23"/>
  <c r="M327" i="23"/>
  <c r="K327" i="23"/>
  <c r="H327" i="23"/>
  <c r="F327" i="23"/>
  <c r="C327" i="23"/>
  <c r="AB326" i="23"/>
  <c r="W326" i="23"/>
  <c r="Q326" i="23"/>
  <c r="M326" i="23"/>
  <c r="K326" i="23"/>
  <c r="H326" i="23"/>
  <c r="F326" i="23"/>
  <c r="C326" i="23"/>
  <c r="Z326" i="23" s="1"/>
  <c r="AB325" i="23"/>
  <c r="W325" i="23"/>
  <c r="Q325" i="23"/>
  <c r="M325" i="23"/>
  <c r="K325" i="23"/>
  <c r="H325" i="23"/>
  <c r="F325" i="23"/>
  <c r="C325" i="23"/>
  <c r="AB324" i="23"/>
  <c r="AA324" i="23"/>
  <c r="W324" i="23"/>
  <c r="Q324" i="23"/>
  <c r="M324" i="23"/>
  <c r="K324" i="23"/>
  <c r="H324" i="23"/>
  <c r="F324" i="23"/>
  <c r="C324" i="23"/>
  <c r="Z324" i="23" s="1"/>
  <c r="AB323" i="23"/>
  <c r="W323" i="23"/>
  <c r="Q323" i="23"/>
  <c r="M323" i="23"/>
  <c r="K323" i="23"/>
  <c r="H323" i="23"/>
  <c r="F323" i="23"/>
  <c r="C323" i="23"/>
  <c r="AA323" i="23" s="1"/>
  <c r="AB322" i="23"/>
  <c r="AA322" i="23"/>
  <c r="W322" i="23"/>
  <c r="Q322" i="23"/>
  <c r="M322" i="23"/>
  <c r="K322" i="23"/>
  <c r="H322" i="23"/>
  <c r="F322" i="23"/>
  <c r="C322" i="23"/>
  <c r="Z322" i="23" s="1"/>
  <c r="AB321" i="23"/>
  <c r="W321" i="23"/>
  <c r="Q321" i="23"/>
  <c r="M321" i="23"/>
  <c r="K321" i="23"/>
  <c r="H321" i="23"/>
  <c r="F321" i="23"/>
  <c r="C321" i="23"/>
  <c r="AA321" i="23" s="1"/>
  <c r="AB320" i="23"/>
  <c r="AA320" i="23"/>
  <c r="W320" i="23"/>
  <c r="Q320" i="23"/>
  <c r="M320" i="23"/>
  <c r="K320" i="23"/>
  <c r="H320" i="23"/>
  <c r="F320" i="23"/>
  <c r="C320" i="23"/>
  <c r="Z320" i="23" s="1"/>
  <c r="AB319" i="23"/>
  <c r="W319" i="23"/>
  <c r="Q319" i="23"/>
  <c r="M319" i="23"/>
  <c r="K319" i="23"/>
  <c r="H319" i="23"/>
  <c r="F319" i="23"/>
  <c r="C319" i="23"/>
  <c r="AA319" i="23" s="1"/>
  <c r="AB318" i="23"/>
  <c r="AA318" i="23"/>
  <c r="W318" i="23"/>
  <c r="Q318" i="23"/>
  <c r="M318" i="23"/>
  <c r="K318" i="23"/>
  <c r="H318" i="23"/>
  <c r="F318" i="23"/>
  <c r="C318" i="23"/>
  <c r="Z318" i="23" s="1"/>
  <c r="AB317" i="23"/>
  <c r="W317" i="23"/>
  <c r="Q317" i="23"/>
  <c r="M317" i="23"/>
  <c r="K317" i="23"/>
  <c r="H317" i="23"/>
  <c r="F317" i="23"/>
  <c r="C317" i="23"/>
  <c r="AA317" i="23" s="1"/>
  <c r="AB316" i="23"/>
  <c r="AA316" i="23"/>
  <c r="W316" i="23"/>
  <c r="Q316" i="23"/>
  <c r="M316" i="23"/>
  <c r="K316" i="23"/>
  <c r="H316" i="23"/>
  <c r="F316" i="23"/>
  <c r="C316" i="23"/>
  <c r="Z316" i="23" s="1"/>
  <c r="AB315" i="23"/>
  <c r="W315" i="23"/>
  <c r="Q315" i="23"/>
  <c r="M315" i="23"/>
  <c r="K315" i="23"/>
  <c r="H315" i="23"/>
  <c r="F315" i="23"/>
  <c r="C315" i="23"/>
  <c r="AA315" i="23" s="1"/>
  <c r="AB314" i="23"/>
  <c r="AA314" i="23"/>
  <c r="W314" i="23"/>
  <c r="Q314" i="23"/>
  <c r="M314" i="23"/>
  <c r="K314" i="23"/>
  <c r="H314" i="23"/>
  <c r="F314" i="23"/>
  <c r="C314" i="23"/>
  <c r="AB313" i="23"/>
  <c r="W313" i="23"/>
  <c r="Q313" i="23"/>
  <c r="M313" i="23"/>
  <c r="K313" i="23"/>
  <c r="H313" i="23"/>
  <c r="F313" i="23"/>
  <c r="C313" i="23"/>
  <c r="AA313" i="23" s="1"/>
  <c r="AB312" i="23"/>
  <c r="AA312" i="23"/>
  <c r="W312" i="23"/>
  <c r="Q312" i="23"/>
  <c r="M312" i="23"/>
  <c r="K312" i="23"/>
  <c r="H312" i="23"/>
  <c r="F312" i="23"/>
  <c r="C312" i="23"/>
  <c r="Z312" i="23" s="1"/>
  <c r="AB311" i="23"/>
  <c r="Z311" i="23"/>
  <c r="W311" i="23"/>
  <c r="Q311" i="23"/>
  <c r="M311" i="23"/>
  <c r="K311" i="23"/>
  <c r="H311" i="23"/>
  <c r="F311" i="23"/>
  <c r="C311" i="23"/>
  <c r="AA311" i="23" s="1"/>
  <c r="AB310" i="23"/>
  <c r="AA310" i="23"/>
  <c r="W310" i="23"/>
  <c r="Q310" i="23"/>
  <c r="M310" i="23"/>
  <c r="K310" i="23"/>
  <c r="H310" i="23"/>
  <c r="F310" i="23"/>
  <c r="C310" i="23"/>
  <c r="Z310" i="23" s="1"/>
  <c r="AB309" i="23"/>
  <c r="W309" i="23"/>
  <c r="Q309" i="23"/>
  <c r="M309" i="23"/>
  <c r="K309" i="23"/>
  <c r="H309" i="23"/>
  <c r="F309" i="23"/>
  <c r="C309" i="23"/>
  <c r="AA309" i="23" s="1"/>
  <c r="AB308" i="23"/>
  <c r="W308" i="23"/>
  <c r="M308" i="23"/>
  <c r="K308" i="23"/>
  <c r="H308" i="23"/>
  <c r="F308" i="23"/>
  <c r="C308" i="23"/>
  <c r="Z308" i="23" s="1"/>
  <c r="AB307" i="23"/>
  <c r="W307" i="23"/>
  <c r="M307" i="23"/>
  <c r="K307" i="23"/>
  <c r="H307" i="23"/>
  <c r="F307" i="23"/>
  <c r="C307" i="23"/>
  <c r="AB306" i="23"/>
  <c r="AA306" i="23"/>
  <c r="W306" i="23"/>
  <c r="Q306" i="23"/>
  <c r="M306" i="23"/>
  <c r="K306" i="23"/>
  <c r="H306" i="23"/>
  <c r="F306" i="23"/>
  <c r="C306" i="23"/>
  <c r="Z306" i="23" s="1"/>
  <c r="AB305" i="23"/>
  <c r="W305" i="23"/>
  <c r="Q305" i="23"/>
  <c r="M305" i="23"/>
  <c r="K305" i="23"/>
  <c r="H305" i="23"/>
  <c r="F305" i="23"/>
  <c r="C305" i="23"/>
  <c r="AA305" i="23" s="1"/>
  <c r="AB304" i="23"/>
  <c r="AA304" i="23"/>
  <c r="W304" i="23"/>
  <c r="Q304" i="23"/>
  <c r="M304" i="23"/>
  <c r="K304" i="23"/>
  <c r="H304" i="23"/>
  <c r="F304" i="23"/>
  <c r="C304" i="23"/>
  <c r="Z304" i="23" s="1"/>
  <c r="AB303" i="23"/>
  <c r="W303" i="23"/>
  <c r="Q303" i="23"/>
  <c r="M303" i="23"/>
  <c r="K303" i="23"/>
  <c r="H303" i="23"/>
  <c r="F303" i="23"/>
  <c r="C303" i="23"/>
  <c r="AA303" i="23" s="1"/>
  <c r="AB302" i="23"/>
  <c r="AA302" i="23"/>
  <c r="W302" i="23"/>
  <c r="Q302" i="23"/>
  <c r="M302" i="23"/>
  <c r="K302" i="23"/>
  <c r="H302" i="23"/>
  <c r="F302" i="23"/>
  <c r="C302" i="23"/>
  <c r="Z302" i="23" s="1"/>
  <c r="AB301" i="23"/>
  <c r="W301" i="23"/>
  <c r="Q301" i="23"/>
  <c r="M301" i="23"/>
  <c r="K301" i="23"/>
  <c r="H301" i="23"/>
  <c r="F301" i="23"/>
  <c r="C301" i="23"/>
  <c r="AA301" i="23" s="1"/>
  <c r="AB300" i="23"/>
  <c r="AA300" i="23"/>
  <c r="W300" i="23"/>
  <c r="Q300" i="23"/>
  <c r="M300" i="23"/>
  <c r="K300" i="23"/>
  <c r="H300" i="23"/>
  <c r="F300" i="23"/>
  <c r="C300" i="23"/>
  <c r="Z300" i="23" s="1"/>
  <c r="AB299" i="23"/>
  <c r="W299" i="23"/>
  <c r="Q299" i="23"/>
  <c r="M299" i="23"/>
  <c r="K299" i="23"/>
  <c r="H299" i="23"/>
  <c r="F299" i="23"/>
  <c r="C299" i="23"/>
  <c r="AA299" i="23" s="1"/>
  <c r="AB298" i="23"/>
  <c r="AA298" i="23"/>
  <c r="W298" i="23"/>
  <c r="Q298" i="23"/>
  <c r="M298" i="23"/>
  <c r="K298" i="23"/>
  <c r="H298" i="23"/>
  <c r="F298" i="23"/>
  <c r="C298" i="23"/>
  <c r="Z298" i="23" s="1"/>
  <c r="AB297" i="23"/>
  <c r="W297" i="23"/>
  <c r="Q297" i="23"/>
  <c r="M297" i="23"/>
  <c r="K297" i="23"/>
  <c r="H297" i="23"/>
  <c r="F297" i="23"/>
  <c r="C297" i="23"/>
  <c r="AA297" i="23" s="1"/>
  <c r="AB296" i="23"/>
  <c r="AA296" i="23"/>
  <c r="W296" i="23"/>
  <c r="Q296" i="23"/>
  <c r="M296" i="23"/>
  <c r="K296" i="23"/>
  <c r="H296" i="23"/>
  <c r="F296" i="23"/>
  <c r="C296" i="23"/>
  <c r="Z296" i="23" s="1"/>
  <c r="AB295" i="23"/>
  <c r="W295" i="23"/>
  <c r="Q295" i="23"/>
  <c r="M295" i="23"/>
  <c r="K295" i="23"/>
  <c r="H295" i="23"/>
  <c r="F295" i="23"/>
  <c r="C295" i="23"/>
  <c r="AA295" i="23" s="1"/>
  <c r="AB294" i="23"/>
  <c r="AA294" i="23"/>
  <c r="W294" i="23"/>
  <c r="Q294" i="23"/>
  <c r="M294" i="23"/>
  <c r="K294" i="23"/>
  <c r="H294" i="23"/>
  <c r="F294" i="23"/>
  <c r="C294" i="23"/>
  <c r="Z294" i="23" s="1"/>
  <c r="AB293" i="23"/>
  <c r="W293" i="23"/>
  <c r="Q293" i="23"/>
  <c r="M293" i="23"/>
  <c r="K293" i="23"/>
  <c r="H293" i="23"/>
  <c r="F293" i="23"/>
  <c r="C293" i="23"/>
  <c r="AA293" i="23" s="1"/>
  <c r="AB292" i="23"/>
  <c r="AA292" i="23"/>
  <c r="W292" i="23"/>
  <c r="Q292" i="23"/>
  <c r="M292" i="23"/>
  <c r="K292" i="23"/>
  <c r="H292" i="23"/>
  <c r="F292" i="23"/>
  <c r="C292" i="23"/>
  <c r="Z292" i="23" s="1"/>
  <c r="AB291" i="23"/>
  <c r="Z291" i="23"/>
  <c r="W291" i="23"/>
  <c r="Q291" i="23"/>
  <c r="M291" i="23"/>
  <c r="K291" i="23"/>
  <c r="H291" i="23"/>
  <c r="F291" i="23"/>
  <c r="C291" i="23"/>
  <c r="AA291" i="23" s="1"/>
  <c r="AB290" i="23"/>
  <c r="AA290" i="23"/>
  <c r="W290" i="23"/>
  <c r="Q290" i="23"/>
  <c r="M290" i="23"/>
  <c r="K290" i="23"/>
  <c r="H290" i="23"/>
  <c r="F290" i="23"/>
  <c r="C290" i="23"/>
  <c r="Z290" i="23" s="1"/>
  <c r="AB289" i="23"/>
  <c r="W289" i="23"/>
  <c r="Q289" i="23"/>
  <c r="M289" i="23"/>
  <c r="K289" i="23"/>
  <c r="H289" i="23"/>
  <c r="F289" i="23"/>
  <c r="C289" i="23"/>
  <c r="AA289" i="23" s="1"/>
  <c r="AB288" i="23"/>
  <c r="AA288" i="23"/>
  <c r="W288" i="23"/>
  <c r="Q288" i="23"/>
  <c r="M288" i="23"/>
  <c r="K288" i="23"/>
  <c r="H288" i="23"/>
  <c r="F288" i="23"/>
  <c r="C288" i="23"/>
  <c r="AB287" i="23"/>
  <c r="W287" i="23"/>
  <c r="Q287" i="23"/>
  <c r="M287" i="23"/>
  <c r="K287" i="23"/>
  <c r="H287" i="23"/>
  <c r="F287" i="23"/>
  <c r="C287" i="23"/>
  <c r="AA287" i="23" s="1"/>
  <c r="AB286" i="23"/>
  <c r="AA286" i="23"/>
  <c r="W286" i="23"/>
  <c r="Q286" i="23"/>
  <c r="M286" i="23"/>
  <c r="K286" i="23"/>
  <c r="H286" i="23"/>
  <c r="F286" i="23"/>
  <c r="C286" i="23"/>
  <c r="Z286" i="23" s="1"/>
  <c r="AB285" i="23"/>
  <c r="W285" i="23"/>
  <c r="Q285" i="23"/>
  <c r="M285" i="23"/>
  <c r="K285" i="23"/>
  <c r="H285" i="23"/>
  <c r="F285" i="23"/>
  <c r="C285" i="23"/>
  <c r="AB284" i="23"/>
  <c r="W284" i="23"/>
  <c r="Q284" i="23"/>
  <c r="M284" i="23"/>
  <c r="AA284" i="23" s="1"/>
  <c r="K284" i="23"/>
  <c r="H284" i="23"/>
  <c r="F284" i="23"/>
  <c r="C284" i="23"/>
  <c r="AB283" i="23"/>
  <c r="W283" i="23"/>
  <c r="Q283" i="23"/>
  <c r="M283" i="23"/>
  <c r="K283" i="23"/>
  <c r="H283" i="23"/>
  <c r="F283" i="23"/>
  <c r="C283" i="23"/>
  <c r="AA283" i="23" s="1"/>
  <c r="AB282" i="23"/>
  <c r="W282" i="23"/>
  <c r="Q282" i="23"/>
  <c r="M282" i="23"/>
  <c r="K282" i="23"/>
  <c r="H282" i="23"/>
  <c r="F282" i="23"/>
  <c r="C282" i="23"/>
  <c r="AB281" i="23"/>
  <c r="W281" i="23"/>
  <c r="Q281" i="23"/>
  <c r="M281" i="23"/>
  <c r="K281" i="23"/>
  <c r="H281" i="23"/>
  <c r="F281" i="23"/>
  <c r="C281" i="23"/>
  <c r="AA281" i="23" s="1"/>
  <c r="AB280" i="23"/>
  <c r="W280" i="23"/>
  <c r="Q280" i="23"/>
  <c r="M280" i="23"/>
  <c r="AA280" i="23" s="1"/>
  <c r="K280" i="23"/>
  <c r="H280" i="23"/>
  <c r="F280" i="23"/>
  <c r="C280" i="23"/>
  <c r="AB279" i="23"/>
  <c r="W279" i="23"/>
  <c r="Q279" i="23"/>
  <c r="M279" i="23"/>
  <c r="K279" i="23"/>
  <c r="H279" i="23"/>
  <c r="F279" i="23"/>
  <c r="C279" i="23"/>
  <c r="AA279" i="23" s="1"/>
  <c r="AB278" i="23"/>
  <c r="W278" i="23"/>
  <c r="Q278" i="23"/>
  <c r="M278" i="23"/>
  <c r="K278" i="23"/>
  <c r="H278" i="23"/>
  <c r="F278" i="23"/>
  <c r="C278" i="23"/>
  <c r="AA278" i="23" s="1"/>
  <c r="AB277" i="23"/>
  <c r="W277" i="23"/>
  <c r="Q277" i="23"/>
  <c r="M277" i="23"/>
  <c r="K277" i="23"/>
  <c r="H277" i="23"/>
  <c r="F277" i="23"/>
  <c r="C277" i="23"/>
  <c r="AA277" i="23" s="1"/>
  <c r="AB276" i="23"/>
  <c r="W276" i="23"/>
  <c r="Q276" i="23"/>
  <c r="M276" i="23"/>
  <c r="K276" i="23"/>
  <c r="H276" i="23"/>
  <c r="F276" i="23"/>
  <c r="C276" i="23"/>
  <c r="AA276" i="23" s="1"/>
  <c r="AB275" i="23"/>
  <c r="W275" i="23"/>
  <c r="Q275" i="23"/>
  <c r="M275" i="23"/>
  <c r="K275" i="23"/>
  <c r="H275" i="23"/>
  <c r="F275" i="23"/>
  <c r="C275" i="23"/>
  <c r="AA275" i="23" s="1"/>
  <c r="AB274" i="23"/>
  <c r="W274" i="23"/>
  <c r="Q274" i="23"/>
  <c r="M274" i="23"/>
  <c r="K274" i="23"/>
  <c r="H274" i="23"/>
  <c r="F274" i="23"/>
  <c r="C274" i="23"/>
  <c r="AA274" i="23" s="1"/>
  <c r="AB273" i="23"/>
  <c r="W273" i="23"/>
  <c r="Q273" i="23"/>
  <c r="M273" i="23"/>
  <c r="K273" i="23"/>
  <c r="H273" i="23"/>
  <c r="F273" i="23"/>
  <c r="C273" i="23"/>
  <c r="AB272" i="23"/>
  <c r="W272" i="23"/>
  <c r="Q272" i="23"/>
  <c r="M272" i="23"/>
  <c r="K272" i="23"/>
  <c r="H272" i="23"/>
  <c r="F272" i="23"/>
  <c r="C272" i="23"/>
  <c r="AB271" i="23"/>
  <c r="W271" i="23"/>
  <c r="Q271" i="23"/>
  <c r="M271" i="23"/>
  <c r="K271" i="23"/>
  <c r="H271" i="23"/>
  <c r="F271" i="23"/>
  <c r="C271" i="23"/>
  <c r="AB270" i="23"/>
  <c r="W270" i="23"/>
  <c r="Q270" i="23"/>
  <c r="M270" i="23"/>
  <c r="K270" i="23"/>
  <c r="H270" i="23"/>
  <c r="F270" i="23"/>
  <c r="C270" i="23"/>
  <c r="AB269" i="23"/>
  <c r="W269" i="23"/>
  <c r="Q269" i="23"/>
  <c r="M269" i="23"/>
  <c r="K269" i="23"/>
  <c r="H269" i="23"/>
  <c r="F269" i="23"/>
  <c r="C269" i="23"/>
  <c r="AB268" i="23"/>
  <c r="W268" i="23"/>
  <c r="Q268" i="23"/>
  <c r="M268" i="23"/>
  <c r="K268" i="23"/>
  <c r="H268" i="23"/>
  <c r="F268" i="23"/>
  <c r="C268" i="23"/>
  <c r="AB267" i="23"/>
  <c r="W267" i="23"/>
  <c r="Q267" i="23"/>
  <c r="M267" i="23"/>
  <c r="K267" i="23"/>
  <c r="H267" i="23"/>
  <c r="F267" i="23"/>
  <c r="C267" i="23"/>
  <c r="AB266" i="23"/>
  <c r="W266" i="23"/>
  <c r="Q266" i="23"/>
  <c r="M266" i="23"/>
  <c r="K266" i="23"/>
  <c r="H266" i="23"/>
  <c r="F266" i="23"/>
  <c r="C266" i="23"/>
  <c r="AB265" i="23"/>
  <c r="W265" i="23"/>
  <c r="Q265" i="23"/>
  <c r="M265" i="23"/>
  <c r="K265" i="23"/>
  <c r="H265" i="23"/>
  <c r="F265" i="23"/>
  <c r="C265" i="23"/>
  <c r="AB264" i="23"/>
  <c r="W264" i="23"/>
  <c r="Q264" i="23"/>
  <c r="M264" i="23"/>
  <c r="K264" i="23"/>
  <c r="H264" i="23"/>
  <c r="F264" i="23"/>
  <c r="C264" i="23"/>
  <c r="AB263" i="23"/>
  <c r="W263" i="23"/>
  <c r="Q263" i="23"/>
  <c r="M263" i="23"/>
  <c r="K263" i="23"/>
  <c r="H263" i="23"/>
  <c r="F263" i="23"/>
  <c r="C263" i="23"/>
  <c r="AB262" i="23"/>
  <c r="W262" i="23"/>
  <c r="Q262" i="23"/>
  <c r="M262" i="23"/>
  <c r="K262" i="23"/>
  <c r="H262" i="23"/>
  <c r="F262" i="23"/>
  <c r="C262" i="23"/>
  <c r="AB261" i="23"/>
  <c r="W261" i="23"/>
  <c r="Q261" i="23"/>
  <c r="M261" i="23"/>
  <c r="K261" i="23"/>
  <c r="H261" i="23"/>
  <c r="F261" i="23"/>
  <c r="C261" i="23"/>
  <c r="AB260" i="23"/>
  <c r="W260" i="23"/>
  <c r="Q260" i="23"/>
  <c r="M260" i="23"/>
  <c r="K260" i="23"/>
  <c r="H260" i="23"/>
  <c r="F260" i="23"/>
  <c r="C260" i="23"/>
  <c r="AB259" i="23"/>
  <c r="W259" i="23"/>
  <c r="Q259" i="23"/>
  <c r="M259" i="23"/>
  <c r="K259" i="23"/>
  <c r="H259" i="23"/>
  <c r="F259" i="23"/>
  <c r="C259" i="23"/>
  <c r="AB258" i="23"/>
  <c r="W258" i="23"/>
  <c r="Q258" i="23"/>
  <c r="M258" i="23"/>
  <c r="K258" i="23"/>
  <c r="H258" i="23"/>
  <c r="F258" i="23"/>
  <c r="C258" i="23"/>
  <c r="AB257" i="23"/>
  <c r="W257" i="23"/>
  <c r="Q257" i="23"/>
  <c r="M257" i="23"/>
  <c r="K257" i="23"/>
  <c r="H257" i="23"/>
  <c r="F257" i="23"/>
  <c r="C257" i="23"/>
  <c r="AB256" i="23"/>
  <c r="W256" i="23"/>
  <c r="Q256" i="23"/>
  <c r="M256" i="23"/>
  <c r="K256" i="23"/>
  <c r="H256" i="23"/>
  <c r="F256" i="23"/>
  <c r="C256" i="23"/>
  <c r="AB255" i="23"/>
  <c r="W255" i="23"/>
  <c r="Q255" i="23"/>
  <c r="M255" i="23"/>
  <c r="K255" i="23"/>
  <c r="H255" i="23"/>
  <c r="F255" i="23"/>
  <c r="C255" i="23"/>
  <c r="AB254" i="23"/>
  <c r="W254" i="23"/>
  <c r="Q254" i="23"/>
  <c r="M254" i="23"/>
  <c r="K254" i="23"/>
  <c r="H254" i="23"/>
  <c r="F254" i="23"/>
  <c r="C254" i="23"/>
  <c r="AB253" i="23"/>
  <c r="W253" i="23"/>
  <c r="Q253" i="23"/>
  <c r="M253" i="23"/>
  <c r="K253" i="23"/>
  <c r="H253" i="23"/>
  <c r="F253" i="23"/>
  <c r="C253" i="23"/>
  <c r="AB252" i="23"/>
  <c r="W252" i="23"/>
  <c r="Q252" i="23"/>
  <c r="M252" i="23"/>
  <c r="K252" i="23"/>
  <c r="H252" i="23"/>
  <c r="F252" i="23"/>
  <c r="C252" i="23"/>
  <c r="AB251" i="23"/>
  <c r="W251" i="23"/>
  <c r="Q251" i="23"/>
  <c r="M251" i="23"/>
  <c r="K251" i="23"/>
  <c r="H251" i="23"/>
  <c r="F251" i="23"/>
  <c r="C251" i="23"/>
  <c r="AB250" i="23"/>
  <c r="W250" i="23"/>
  <c r="Q250" i="23"/>
  <c r="M250" i="23"/>
  <c r="K250" i="23"/>
  <c r="H250" i="23"/>
  <c r="F250" i="23"/>
  <c r="C250" i="23"/>
  <c r="AB249" i="23"/>
  <c r="W249" i="23"/>
  <c r="Q249" i="23"/>
  <c r="M249" i="23"/>
  <c r="K249" i="23"/>
  <c r="H249" i="23"/>
  <c r="F249" i="23"/>
  <c r="C249" i="23"/>
  <c r="AB248" i="23"/>
  <c r="W248" i="23"/>
  <c r="Q248" i="23"/>
  <c r="M248" i="23"/>
  <c r="K248" i="23"/>
  <c r="H248" i="23"/>
  <c r="F248" i="23"/>
  <c r="C248" i="23"/>
  <c r="AB247" i="23"/>
  <c r="W247" i="23"/>
  <c r="Q247" i="23"/>
  <c r="M247" i="23"/>
  <c r="K247" i="23"/>
  <c r="H247" i="23"/>
  <c r="F247" i="23"/>
  <c r="C247" i="23"/>
  <c r="AB246" i="23"/>
  <c r="W246" i="23"/>
  <c r="Q246" i="23"/>
  <c r="M246" i="23"/>
  <c r="K246" i="23"/>
  <c r="H246" i="23"/>
  <c r="F246" i="23"/>
  <c r="C246" i="23"/>
  <c r="AB245" i="23"/>
  <c r="AA245" i="23"/>
  <c r="Q245" i="23"/>
  <c r="M245" i="23"/>
  <c r="K245" i="23"/>
  <c r="H245" i="23"/>
  <c r="F245" i="23"/>
  <c r="C245" i="23"/>
  <c r="AB244" i="23"/>
  <c r="Q244" i="23"/>
  <c r="M244" i="23"/>
  <c r="K244" i="23"/>
  <c r="H244" i="23"/>
  <c r="F244" i="23"/>
  <c r="C244" i="23"/>
  <c r="AA244" i="23" s="1"/>
  <c r="AB243" i="23"/>
  <c r="AA243" i="23"/>
  <c r="Q243" i="23"/>
  <c r="M243" i="23"/>
  <c r="K243" i="23"/>
  <c r="H243" i="23"/>
  <c r="F243" i="23"/>
  <c r="C243" i="23"/>
  <c r="Z243" i="23" s="1"/>
  <c r="AB242" i="23"/>
  <c r="Q242" i="23"/>
  <c r="M242" i="23"/>
  <c r="K242" i="23"/>
  <c r="H242" i="23"/>
  <c r="F242" i="23"/>
  <c r="C242" i="23"/>
  <c r="AB241" i="23"/>
  <c r="Q241" i="23"/>
  <c r="M241" i="23"/>
  <c r="AA241" i="23" s="1"/>
  <c r="K241" i="23"/>
  <c r="H241" i="23"/>
  <c r="F241" i="23"/>
  <c r="C241" i="23"/>
  <c r="AB240" i="23"/>
  <c r="Z240" i="23"/>
  <c r="Q240" i="23"/>
  <c r="M240" i="23"/>
  <c r="K240" i="23"/>
  <c r="H240" i="23"/>
  <c r="F240" i="23"/>
  <c r="C240" i="23"/>
  <c r="AA240" i="23" s="1"/>
  <c r="AB239" i="23"/>
  <c r="AA239" i="23"/>
  <c r="Q239" i="23"/>
  <c r="N239" i="23"/>
  <c r="N238" i="23" s="1"/>
  <c r="N237" i="23" s="1"/>
  <c r="N236" i="23" s="1"/>
  <c r="N235" i="23" s="1"/>
  <c r="N234" i="23" s="1"/>
  <c r="N233" i="23" s="1"/>
  <c r="M239" i="23"/>
  <c r="K239" i="23"/>
  <c r="H239" i="23"/>
  <c r="F239" i="23"/>
  <c r="C239" i="23"/>
  <c r="AB238" i="23"/>
  <c r="Q238" i="23"/>
  <c r="M238" i="23"/>
  <c r="K238" i="23"/>
  <c r="H238" i="23"/>
  <c r="F238" i="23"/>
  <c r="C238" i="23"/>
  <c r="AB237" i="23"/>
  <c r="Q237" i="23"/>
  <c r="M237" i="23"/>
  <c r="AA237" i="23" s="1"/>
  <c r="K237" i="23"/>
  <c r="H237" i="23"/>
  <c r="F237" i="23"/>
  <c r="C237" i="23"/>
  <c r="AB236" i="23"/>
  <c r="Q236" i="23"/>
  <c r="M236" i="23"/>
  <c r="K236" i="23"/>
  <c r="H236" i="23"/>
  <c r="F236" i="23"/>
  <c r="C236" i="23"/>
  <c r="AA236" i="23" s="1"/>
  <c r="AB235" i="23"/>
  <c r="Q235" i="23"/>
  <c r="M235" i="23"/>
  <c r="K235" i="23"/>
  <c r="H235" i="23"/>
  <c r="F235" i="23"/>
  <c r="C235" i="23"/>
  <c r="AB234" i="23"/>
  <c r="Q234" i="23"/>
  <c r="M234" i="23"/>
  <c r="K234" i="23"/>
  <c r="H234" i="23"/>
  <c r="F234" i="23"/>
  <c r="C234" i="23"/>
  <c r="AA234" i="23" s="1"/>
  <c r="AB233" i="23"/>
  <c r="M233" i="23"/>
  <c r="K233" i="23"/>
  <c r="H233" i="23"/>
  <c r="F233" i="23"/>
  <c r="C233" i="23"/>
  <c r="AB232" i="23"/>
  <c r="AA232" i="23"/>
  <c r="N232" i="23"/>
  <c r="N231" i="23" s="1"/>
  <c r="N230" i="23" s="1"/>
  <c r="N229" i="23" s="1"/>
  <c r="N228" i="23" s="1"/>
  <c r="N227" i="23" s="1"/>
  <c r="N226" i="23" s="1"/>
  <c r="N225" i="23" s="1"/>
  <c r="N224" i="23" s="1"/>
  <c r="N223" i="23" s="1"/>
  <c r="N222" i="23" s="1"/>
  <c r="N221" i="23" s="1"/>
  <c r="N220" i="23" s="1"/>
  <c r="N219" i="23" s="1"/>
  <c r="N218" i="23" s="1"/>
  <c r="N217" i="23" s="1"/>
  <c r="N216" i="23" s="1"/>
  <c r="N215" i="23" s="1"/>
  <c r="N214" i="23" s="1"/>
  <c r="N213" i="23" s="1"/>
  <c r="N212" i="23" s="1"/>
  <c r="N211" i="23" s="1"/>
  <c r="N210" i="23" s="1"/>
  <c r="N209" i="23" s="1"/>
  <c r="N208" i="23" s="1"/>
  <c r="N207" i="23" s="1"/>
  <c r="N206" i="23" s="1"/>
  <c r="N205" i="23" s="1"/>
  <c r="N204" i="23" s="1"/>
  <c r="N203" i="23" s="1"/>
  <c r="N202" i="23" s="1"/>
  <c r="N201" i="23" s="1"/>
  <c r="N200" i="23" s="1"/>
  <c r="N199" i="23" s="1"/>
  <c r="N198" i="23" s="1"/>
  <c r="N197" i="23" s="1"/>
  <c r="N196" i="23" s="1"/>
  <c r="N195" i="23" s="1"/>
  <c r="N194" i="23" s="1"/>
  <c r="N193" i="23" s="1"/>
  <c r="N192" i="23" s="1"/>
  <c r="N191" i="23" s="1"/>
  <c r="N190" i="23" s="1"/>
  <c r="N189" i="23" s="1"/>
  <c r="N188" i="23" s="1"/>
  <c r="N187" i="23" s="1"/>
  <c r="N186" i="23" s="1"/>
  <c r="N185" i="23" s="1"/>
  <c r="N184" i="23" s="1"/>
  <c r="N183" i="23" s="1"/>
  <c r="N182" i="23" s="1"/>
  <c r="N181" i="23" s="1"/>
  <c r="N180" i="23" s="1"/>
  <c r="N179" i="23" s="1"/>
  <c r="N178" i="23" s="1"/>
  <c r="N177" i="23" s="1"/>
  <c r="N176" i="23" s="1"/>
  <c r="N175" i="23" s="1"/>
  <c r="N174" i="23" s="1"/>
  <c r="N173" i="23" s="1"/>
  <c r="N172" i="23" s="1"/>
  <c r="N171" i="23" s="1"/>
  <c r="N170" i="23" s="1"/>
  <c r="M232" i="23"/>
  <c r="K232" i="23"/>
  <c r="H232" i="23"/>
  <c r="F232" i="23"/>
  <c r="C232" i="23"/>
  <c r="Z232" i="23" s="1"/>
  <c r="AB231" i="23"/>
  <c r="Q231" i="23"/>
  <c r="M231" i="23"/>
  <c r="K231" i="23"/>
  <c r="H231" i="23"/>
  <c r="F231" i="23"/>
  <c r="C231" i="23"/>
  <c r="AB230" i="23"/>
  <c r="Q230" i="23"/>
  <c r="M230" i="23"/>
  <c r="K230" i="23"/>
  <c r="H230" i="23"/>
  <c r="F230" i="23"/>
  <c r="C230" i="23"/>
  <c r="Z230" i="23" s="1"/>
  <c r="AB229" i="23"/>
  <c r="Q229" i="23"/>
  <c r="M229" i="23"/>
  <c r="K229" i="23"/>
  <c r="H229" i="23"/>
  <c r="F229" i="23"/>
  <c r="C229" i="23"/>
  <c r="AA229" i="23" s="1"/>
  <c r="AB228" i="23"/>
  <c r="AA228" i="23"/>
  <c r="Q228" i="23"/>
  <c r="M228" i="23"/>
  <c r="K228" i="23"/>
  <c r="H228" i="23"/>
  <c r="F228" i="23"/>
  <c r="C228" i="23"/>
  <c r="AB227" i="23"/>
  <c r="Q227" i="23"/>
  <c r="M227" i="23"/>
  <c r="K227" i="23"/>
  <c r="H227" i="23"/>
  <c r="F227" i="23"/>
  <c r="C227" i="23"/>
  <c r="AB226" i="23"/>
  <c r="Q226" i="23"/>
  <c r="M226" i="23"/>
  <c r="K226" i="23"/>
  <c r="H226" i="23"/>
  <c r="F226" i="23"/>
  <c r="C226" i="23"/>
  <c r="Z226" i="23" s="1"/>
  <c r="AB225" i="23"/>
  <c r="Q225" i="23"/>
  <c r="M225" i="23"/>
  <c r="K225" i="23"/>
  <c r="H225" i="23"/>
  <c r="F225" i="23"/>
  <c r="C225" i="23"/>
  <c r="AA225" i="23" s="1"/>
  <c r="AB224" i="23"/>
  <c r="AA224" i="23"/>
  <c r="Q224" i="23"/>
  <c r="M224" i="23"/>
  <c r="K224" i="23"/>
  <c r="H224" i="23"/>
  <c r="F224" i="23"/>
  <c r="C224" i="23"/>
  <c r="AB223" i="23"/>
  <c r="Q223" i="23"/>
  <c r="M223" i="23"/>
  <c r="K223" i="23"/>
  <c r="H223" i="23"/>
  <c r="F223" i="23"/>
  <c r="C223" i="23"/>
  <c r="AB222" i="23"/>
  <c r="Q222" i="23"/>
  <c r="M222" i="23"/>
  <c r="K222" i="23"/>
  <c r="H222" i="23"/>
  <c r="F222" i="23"/>
  <c r="C222" i="23"/>
  <c r="Z222" i="23" s="1"/>
  <c r="AB221" i="23"/>
  <c r="Q221" i="23"/>
  <c r="M221" i="23"/>
  <c r="K221" i="23"/>
  <c r="H221" i="23"/>
  <c r="F221" i="23"/>
  <c r="C221" i="23"/>
  <c r="AA221" i="23" s="1"/>
  <c r="AB220" i="23"/>
  <c r="AA220" i="23"/>
  <c r="Q220" i="23"/>
  <c r="M220" i="23"/>
  <c r="K220" i="23"/>
  <c r="H220" i="23"/>
  <c r="F220" i="23"/>
  <c r="C220" i="23"/>
  <c r="AB219" i="23"/>
  <c r="Q219" i="23"/>
  <c r="M219" i="23"/>
  <c r="K219" i="23"/>
  <c r="H219" i="23"/>
  <c r="F219" i="23"/>
  <c r="C219" i="23"/>
  <c r="AB218" i="23"/>
  <c r="Q218" i="23"/>
  <c r="M218" i="23"/>
  <c r="K218" i="23"/>
  <c r="H218" i="23"/>
  <c r="F218" i="23"/>
  <c r="C218" i="23"/>
  <c r="Z218" i="23" s="1"/>
  <c r="AB217" i="23"/>
  <c r="Q217" i="23"/>
  <c r="M217" i="23"/>
  <c r="K217" i="23"/>
  <c r="H217" i="23"/>
  <c r="F217" i="23"/>
  <c r="C217" i="23"/>
  <c r="AA217" i="23" s="1"/>
  <c r="AB216" i="23"/>
  <c r="AA216" i="23"/>
  <c r="Q216" i="23"/>
  <c r="M216" i="23"/>
  <c r="K216" i="23"/>
  <c r="H216" i="23"/>
  <c r="F216" i="23"/>
  <c r="C216" i="23"/>
  <c r="AB215" i="23"/>
  <c r="Q215" i="23"/>
  <c r="M215" i="23"/>
  <c r="K215" i="23"/>
  <c r="H215" i="23"/>
  <c r="F215" i="23"/>
  <c r="C215" i="23"/>
  <c r="AB214" i="23"/>
  <c r="Q214" i="23"/>
  <c r="M214" i="23"/>
  <c r="K214" i="23"/>
  <c r="H214" i="23"/>
  <c r="F214" i="23"/>
  <c r="C214" i="23"/>
  <c r="Z214" i="23" s="1"/>
  <c r="AB213" i="23"/>
  <c r="Q213" i="23"/>
  <c r="M213" i="23"/>
  <c r="K213" i="23"/>
  <c r="H213" i="23"/>
  <c r="F213" i="23"/>
  <c r="C213" i="23"/>
  <c r="AA213" i="23" s="1"/>
  <c r="AB212" i="23"/>
  <c r="AA212" i="23"/>
  <c r="Q212" i="23"/>
  <c r="M212" i="23"/>
  <c r="K212" i="23"/>
  <c r="H212" i="23"/>
  <c r="F212" i="23"/>
  <c r="C212" i="23"/>
  <c r="AB211" i="23"/>
  <c r="Q211" i="23"/>
  <c r="M211" i="23"/>
  <c r="K211" i="23"/>
  <c r="H211" i="23"/>
  <c r="F211" i="23"/>
  <c r="C211" i="23"/>
  <c r="AB210" i="23"/>
  <c r="Q210" i="23"/>
  <c r="M210" i="23"/>
  <c r="K210" i="23"/>
  <c r="H210" i="23"/>
  <c r="F210" i="23"/>
  <c r="C210" i="23"/>
  <c r="Z210" i="23" s="1"/>
  <c r="AB209" i="23"/>
  <c r="Z209" i="23"/>
  <c r="Q209" i="23"/>
  <c r="M209" i="23"/>
  <c r="K209" i="23"/>
  <c r="H209" i="23"/>
  <c r="F209" i="23"/>
  <c r="C209" i="23"/>
  <c r="AA209" i="23" s="1"/>
  <c r="AB208" i="23"/>
  <c r="AA208" i="23"/>
  <c r="Q208" i="23"/>
  <c r="M208" i="23"/>
  <c r="K208" i="23"/>
  <c r="H208" i="23"/>
  <c r="C208" i="23"/>
  <c r="AB207" i="23"/>
  <c r="Q207" i="23"/>
  <c r="M207" i="23"/>
  <c r="K207" i="23"/>
  <c r="H207" i="23"/>
  <c r="C207" i="23"/>
  <c r="AB206" i="23"/>
  <c r="AA206" i="23"/>
  <c r="Q206" i="23"/>
  <c r="M206" i="23"/>
  <c r="K206" i="23"/>
  <c r="H206" i="23"/>
  <c r="C206" i="23"/>
  <c r="Z206" i="23" s="1"/>
  <c r="AB205" i="23"/>
  <c r="Q205" i="23"/>
  <c r="M205" i="23"/>
  <c r="K205" i="23"/>
  <c r="H205" i="23"/>
  <c r="F205" i="23"/>
  <c r="C205" i="23"/>
  <c r="AA205" i="23" s="1"/>
  <c r="AB204" i="23"/>
  <c r="AA204" i="23"/>
  <c r="Q204" i="23"/>
  <c r="M204" i="23"/>
  <c r="K204" i="23"/>
  <c r="H204" i="23"/>
  <c r="C204" i="23"/>
  <c r="AB203" i="23"/>
  <c r="Z203" i="23"/>
  <c r="Q203" i="23"/>
  <c r="M203" i="23"/>
  <c r="K203" i="23"/>
  <c r="H203" i="23"/>
  <c r="E203" i="23"/>
  <c r="C203" i="23"/>
  <c r="AB202" i="23"/>
  <c r="Z202" i="23"/>
  <c r="P202" i="23"/>
  <c r="O202" i="23" s="1"/>
  <c r="M202" i="23"/>
  <c r="K202" i="23"/>
  <c r="H202" i="23"/>
  <c r="E202" i="23"/>
  <c r="F208" i="23" s="1"/>
  <c r="C202" i="23"/>
  <c r="AB201" i="23"/>
  <c r="AA201" i="23"/>
  <c r="P201" i="23"/>
  <c r="O201" i="23"/>
  <c r="M201" i="23"/>
  <c r="K201" i="23"/>
  <c r="H201" i="23"/>
  <c r="E201" i="23"/>
  <c r="F206" i="23" s="1"/>
  <c r="C201" i="23"/>
  <c r="AB200" i="23"/>
  <c r="Z200" i="23"/>
  <c r="P200" i="23"/>
  <c r="O200" i="23" s="1"/>
  <c r="M200" i="23"/>
  <c r="K200" i="23"/>
  <c r="H200" i="23"/>
  <c r="C200" i="23"/>
  <c r="AA200" i="23" s="1"/>
  <c r="AB199" i="23"/>
  <c r="P199" i="23"/>
  <c r="O199" i="23" s="1"/>
  <c r="M199" i="23"/>
  <c r="K199" i="23"/>
  <c r="H199" i="23"/>
  <c r="E199" i="23"/>
  <c r="C199" i="23"/>
  <c r="AA199" i="23" s="1"/>
  <c r="AB198" i="23"/>
  <c r="P198" i="23"/>
  <c r="O198" i="23"/>
  <c r="M198" i="23"/>
  <c r="AA198" i="23" s="1"/>
  <c r="K198" i="23"/>
  <c r="H198" i="23"/>
  <c r="E198" i="23"/>
  <c r="F204" i="23" s="1"/>
  <c r="C198" i="23"/>
  <c r="AB197" i="23"/>
  <c r="Z197" i="23"/>
  <c r="P197" i="23"/>
  <c r="O197" i="23" s="1"/>
  <c r="M197" i="23"/>
  <c r="K197" i="23"/>
  <c r="H197" i="23"/>
  <c r="E197" i="23"/>
  <c r="F201" i="23" s="1"/>
  <c r="C197" i="23"/>
  <c r="AA197" i="23" s="1"/>
  <c r="AB196" i="23"/>
  <c r="AA196" i="23"/>
  <c r="P196" i="23"/>
  <c r="O196" i="23"/>
  <c r="M196" i="23"/>
  <c r="K196" i="23"/>
  <c r="H196" i="23"/>
  <c r="E196" i="23"/>
  <c r="F202" i="23" s="1"/>
  <c r="C196" i="23"/>
  <c r="Z196" i="23" s="1"/>
  <c r="AB195" i="23"/>
  <c r="P195" i="23"/>
  <c r="O195" i="23" s="1"/>
  <c r="M195" i="23"/>
  <c r="K195" i="23"/>
  <c r="H195" i="23"/>
  <c r="E195" i="23"/>
  <c r="C195" i="23"/>
  <c r="AA195" i="23" s="1"/>
  <c r="AB194" i="23"/>
  <c r="P194" i="23"/>
  <c r="O194" i="23" s="1"/>
  <c r="M194" i="23"/>
  <c r="AA194" i="23" s="1"/>
  <c r="K194" i="23"/>
  <c r="H194" i="23"/>
  <c r="E194" i="23"/>
  <c r="F200" i="23" s="1"/>
  <c r="C194" i="23"/>
  <c r="AB193" i="23"/>
  <c r="AA193" i="23"/>
  <c r="P193" i="23"/>
  <c r="O193" i="23"/>
  <c r="M193" i="23"/>
  <c r="K193" i="23"/>
  <c r="H193" i="23"/>
  <c r="E193" i="23"/>
  <c r="F199" i="23" s="1"/>
  <c r="C193" i="23"/>
  <c r="Z193" i="23" s="1"/>
  <c r="AB192" i="23"/>
  <c r="P192" i="23"/>
  <c r="O192" i="23" s="1"/>
  <c r="M192" i="23"/>
  <c r="K192" i="23"/>
  <c r="H192" i="23"/>
  <c r="E192" i="23"/>
  <c r="F198" i="23" s="1"/>
  <c r="C192" i="23"/>
  <c r="Z192" i="23" s="1"/>
  <c r="AB191" i="23"/>
  <c r="P191" i="23"/>
  <c r="O191" i="23"/>
  <c r="M191" i="23"/>
  <c r="AA191" i="23" s="1"/>
  <c r="K191" i="23"/>
  <c r="H191" i="23"/>
  <c r="E191" i="23"/>
  <c r="C191" i="23"/>
  <c r="Z191" i="23" s="1"/>
  <c r="AB190" i="23"/>
  <c r="P190" i="23"/>
  <c r="O190" i="23" s="1"/>
  <c r="M190" i="23"/>
  <c r="K190" i="23"/>
  <c r="H190" i="23"/>
  <c r="E190" i="23"/>
  <c r="F196" i="23" s="1"/>
  <c r="C190" i="23"/>
  <c r="AA190" i="23" s="1"/>
  <c r="AB189" i="23"/>
  <c r="AA189" i="23"/>
  <c r="P189" i="23"/>
  <c r="O189" i="23"/>
  <c r="M189" i="23"/>
  <c r="K189" i="23"/>
  <c r="H189" i="23"/>
  <c r="E189" i="23"/>
  <c r="C189" i="23"/>
  <c r="Z189" i="23" s="1"/>
  <c r="AB188" i="23"/>
  <c r="P188" i="23"/>
  <c r="O188" i="23" s="1"/>
  <c r="M188" i="23"/>
  <c r="K188" i="23"/>
  <c r="H188" i="23"/>
  <c r="E188" i="23"/>
  <c r="F194" i="23" s="1"/>
  <c r="C188" i="23"/>
  <c r="AA188" i="23" s="1"/>
  <c r="AB187" i="23"/>
  <c r="P187" i="23"/>
  <c r="O187" i="23"/>
  <c r="M187" i="23"/>
  <c r="AA187" i="23" s="1"/>
  <c r="K187" i="23"/>
  <c r="H187" i="23"/>
  <c r="E187" i="23"/>
  <c r="C187" i="23"/>
  <c r="Z187" i="23" s="1"/>
  <c r="AB186" i="23"/>
  <c r="P186" i="23"/>
  <c r="O186" i="23" s="1"/>
  <c r="M186" i="23"/>
  <c r="K186" i="23"/>
  <c r="H186" i="23"/>
  <c r="E186" i="23"/>
  <c r="F192" i="23" s="1"/>
  <c r="C186" i="23"/>
  <c r="AA186" i="23" s="1"/>
  <c r="AB185" i="23"/>
  <c r="AA185" i="23"/>
  <c r="P185" i="23"/>
  <c r="O185" i="23"/>
  <c r="M185" i="23"/>
  <c r="K185" i="23"/>
  <c r="H185" i="23"/>
  <c r="E185" i="23"/>
  <c r="C185" i="23"/>
  <c r="Z185" i="23" s="1"/>
  <c r="AB184" i="23"/>
  <c r="P184" i="23"/>
  <c r="O184" i="23" s="1"/>
  <c r="M184" i="23"/>
  <c r="K184" i="23"/>
  <c r="H184" i="23"/>
  <c r="E184" i="23"/>
  <c r="F189" i="23" s="1"/>
  <c r="C184" i="23"/>
  <c r="AA184" i="23" s="1"/>
  <c r="AB183" i="23"/>
  <c r="P183" i="23"/>
  <c r="O183" i="23"/>
  <c r="M183" i="23"/>
  <c r="AA183" i="23" s="1"/>
  <c r="K183" i="23"/>
  <c r="H183" i="23"/>
  <c r="E183" i="23"/>
  <c r="C183" i="23"/>
  <c r="Z183" i="23" s="1"/>
  <c r="AB182" i="23"/>
  <c r="P182" i="23"/>
  <c r="O182" i="23" s="1"/>
  <c r="M182" i="23"/>
  <c r="K182" i="23"/>
  <c r="H182" i="23"/>
  <c r="E182" i="23"/>
  <c r="F188" i="23" s="1"/>
  <c r="C182" i="23"/>
  <c r="AA182" i="23" s="1"/>
  <c r="AB181" i="23"/>
  <c r="AA181" i="23"/>
  <c r="P181" i="23"/>
  <c r="O181" i="23"/>
  <c r="M181" i="23"/>
  <c r="K181" i="23"/>
  <c r="H181" i="23"/>
  <c r="E181" i="23"/>
  <c r="C181" i="23"/>
  <c r="Z181" i="23" s="1"/>
  <c r="AB180" i="23"/>
  <c r="P180" i="23"/>
  <c r="O180" i="23" s="1"/>
  <c r="M180" i="23"/>
  <c r="K180" i="23"/>
  <c r="H180" i="23"/>
  <c r="E180" i="23"/>
  <c r="F185" i="23" s="1"/>
  <c r="C180" i="23"/>
  <c r="AA180" i="23" s="1"/>
  <c r="AB179" i="23"/>
  <c r="P179" i="23"/>
  <c r="O179" i="23"/>
  <c r="M179" i="23"/>
  <c r="AA179" i="23" s="1"/>
  <c r="K179" i="23"/>
  <c r="H179" i="23"/>
  <c r="E179" i="23"/>
  <c r="C179" i="23"/>
  <c r="Z179" i="23" s="1"/>
  <c r="AB178" i="23"/>
  <c r="P178" i="23"/>
  <c r="O178" i="23" s="1"/>
  <c r="M178" i="23"/>
  <c r="K178" i="23"/>
  <c r="H178" i="23"/>
  <c r="E178" i="23"/>
  <c r="F184" i="23" s="1"/>
  <c r="C178" i="23"/>
  <c r="AA178" i="23" s="1"/>
  <c r="AB177" i="23"/>
  <c r="AA177" i="23"/>
  <c r="P177" i="23"/>
  <c r="O177" i="23"/>
  <c r="M177" i="23"/>
  <c r="K177" i="23"/>
  <c r="H177" i="23"/>
  <c r="E177" i="23"/>
  <c r="C177" i="23"/>
  <c r="Z177" i="23" s="1"/>
  <c r="AB176" i="23"/>
  <c r="P176" i="23"/>
  <c r="O176" i="23" s="1"/>
  <c r="M176" i="23"/>
  <c r="K176" i="23"/>
  <c r="H176" i="23"/>
  <c r="E176" i="23"/>
  <c r="F181" i="23" s="1"/>
  <c r="C176" i="23"/>
  <c r="AA176" i="23" s="1"/>
  <c r="AB175" i="23"/>
  <c r="P175" i="23"/>
  <c r="O175" i="23"/>
  <c r="M175" i="23"/>
  <c r="AA175" i="23" s="1"/>
  <c r="K175" i="23"/>
  <c r="H175" i="23"/>
  <c r="F175" i="23"/>
  <c r="E175" i="23"/>
  <c r="F180" i="23" s="1"/>
  <c r="C175" i="23"/>
  <c r="Z175" i="23" s="1"/>
  <c r="AB174" i="23"/>
  <c r="P174" i="23"/>
  <c r="O174" i="23" s="1"/>
  <c r="M174" i="23"/>
  <c r="K174" i="23"/>
  <c r="H174" i="23"/>
  <c r="C174" i="23"/>
  <c r="AA174" i="23" s="1"/>
  <c r="AB173" i="23"/>
  <c r="P173" i="23"/>
  <c r="O173" i="23" s="1"/>
  <c r="M173" i="23"/>
  <c r="K173" i="23"/>
  <c r="H173" i="23"/>
  <c r="E173" i="23"/>
  <c r="F177" i="23" s="1"/>
  <c r="C173" i="23"/>
  <c r="AA173" i="23" s="1"/>
  <c r="AB172" i="23"/>
  <c r="P172" i="23"/>
  <c r="O172" i="23"/>
  <c r="M172" i="23"/>
  <c r="AA172" i="23" s="1"/>
  <c r="K172" i="23"/>
  <c r="H172" i="23"/>
  <c r="E172" i="23"/>
  <c r="F178" i="23" s="1"/>
  <c r="C172" i="23"/>
  <c r="Z172" i="23" s="1"/>
  <c r="AB171" i="23"/>
  <c r="P171" i="23"/>
  <c r="O171" i="23"/>
  <c r="M171" i="23"/>
  <c r="K171" i="23"/>
  <c r="H171" i="23"/>
  <c r="E171" i="23"/>
  <c r="C171" i="23"/>
  <c r="Z171" i="23" s="1"/>
  <c r="AB170" i="23"/>
  <c r="U170" i="23"/>
  <c r="P170" i="23"/>
  <c r="O170" i="23"/>
  <c r="M170" i="23"/>
  <c r="K170" i="23"/>
  <c r="H170" i="23"/>
  <c r="E170" i="23"/>
  <c r="F176" i="23" s="1"/>
  <c r="C170" i="23"/>
  <c r="Z170" i="23" s="1"/>
  <c r="AB169" i="23"/>
  <c r="U169" i="23"/>
  <c r="P169" i="23"/>
  <c r="O169" i="23"/>
  <c r="N169" i="23"/>
  <c r="M169" i="23"/>
  <c r="K169" i="23"/>
  <c r="H169" i="23"/>
  <c r="E169" i="23"/>
  <c r="C169" i="23"/>
  <c r="Z169" i="23" s="1"/>
  <c r="AB168" i="23"/>
  <c r="U168" i="23"/>
  <c r="P168" i="23"/>
  <c r="O168" i="23"/>
  <c r="M168" i="23"/>
  <c r="K168" i="23"/>
  <c r="H168" i="23"/>
  <c r="E168" i="23"/>
  <c r="F174" i="23" s="1"/>
  <c r="C168" i="23"/>
  <c r="Z174" i="23" s="1"/>
  <c r="AB167" i="23"/>
  <c r="U167" i="23"/>
  <c r="P167" i="23"/>
  <c r="O167" i="23" s="1"/>
  <c r="N167" i="23"/>
  <c r="M167" i="23"/>
  <c r="K167" i="23"/>
  <c r="H167" i="23"/>
  <c r="E167" i="23"/>
  <c r="F173" i="23" s="1"/>
  <c r="C167" i="23"/>
  <c r="Z167" i="23" s="1"/>
  <c r="AB166" i="23"/>
  <c r="U166" i="23"/>
  <c r="P166" i="23"/>
  <c r="O166" i="23" s="1"/>
  <c r="M166" i="23"/>
  <c r="K166" i="23"/>
  <c r="H166" i="23"/>
  <c r="E166" i="23"/>
  <c r="C166" i="23"/>
  <c r="AB165" i="23"/>
  <c r="U165" i="23"/>
  <c r="P165" i="23"/>
  <c r="O165" i="23"/>
  <c r="M165" i="23"/>
  <c r="K165" i="23"/>
  <c r="H165" i="23"/>
  <c r="E165" i="23"/>
  <c r="F171" i="23" s="1"/>
  <c r="C165" i="23"/>
  <c r="Z165" i="23" s="1"/>
  <c r="AB164" i="23"/>
  <c r="Z164" i="23"/>
  <c r="U164" i="23"/>
  <c r="P164" i="23"/>
  <c r="O164" i="23" s="1"/>
  <c r="M164" i="23"/>
  <c r="K164" i="23"/>
  <c r="H164" i="23"/>
  <c r="E164" i="23"/>
  <c r="C164" i="23"/>
  <c r="AB163" i="23"/>
  <c r="U163" i="23"/>
  <c r="P163" i="23"/>
  <c r="O163" i="23"/>
  <c r="N163" i="23"/>
  <c r="M163" i="23"/>
  <c r="K163" i="23"/>
  <c r="H163" i="23"/>
  <c r="E163" i="23"/>
  <c r="C163" i="23"/>
  <c r="Z163" i="23" s="1"/>
  <c r="AB162" i="23"/>
  <c r="U162" i="23"/>
  <c r="P162" i="23"/>
  <c r="O162" i="23"/>
  <c r="M162" i="23"/>
  <c r="K162" i="23"/>
  <c r="H162" i="23"/>
  <c r="E162" i="23"/>
  <c r="F167" i="23" s="1"/>
  <c r="C162" i="23"/>
  <c r="Z162" i="23" s="1"/>
  <c r="AB161" i="23"/>
  <c r="Z161" i="23"/>
  <c r="U161" i="23"/>
  <c r="P161" i="23"/>
  <c r="O161" i="23" s="1"/>
  <c r="M161" i="23"/>
  <c r="K161" i="23"/>
  <c r="H161" i="23"/>
  <c r="F161" i="23"/>
  <c r="C161" i="23"/>
  <c r="AB160" i="23"/>
  <c r="U160" i="23"/>
  <c r="P160" i="23"/>
  <c r="O160" i="23" s="1"/>
  <c r="M160" i="23"/>
  <c r="K160" i="23"/>
  <c r="H160" i="23"/>
  <c r="F160" i="23"/>
  <c r="C160" i="23"/>
  <c r="Z166" i="23" s="1"/>
  <c r="AB159" i="23"/>
  <c r="U159" i="23"/>
  <c r="P159" i="23"/>
  <c r="O159" i="23" s="1"/>
  <c r="N159" i="23"/>
  <c r="M159" i="23"/>
  <c r="K159" i="23"/>
  <c r="H159" i="23"/>
  <c r="C159" i="23"/>
  <c r="AB158" i="23"/>
  <c r="U158" i="23"/>
  <c r="P158" i="23"/>
  <c r="O158" i="23"/>
  <c r="M158" i="23"/>
  <c r="K158" i="23"/>
  <c r="H158" i="23"/>
  <c r="C158" i="23"/>
  <c r="AB157" i="23"/>
  <c r="U157" i="23"/>
  <c r="P157" i="23"/>
  <c r="O157" i="23"/>
  <c r="N157" i="23"/>
  <c r="M157" i="23"/>
  <c r="K157" i="23"/>
  <c r="H157" i="23"/>
  <c r="E157" i="23"/>
  <c r="C157" i="23"/>
  <c r="Z157" i="23" s="1"/>
  <c r="AB156" i="23"/>
  <c r="Y156" i="23"/>
  <c r="U156" i="23"/>
  <c r="P156" i="23"/>
  <c r="O156" i="23"/>
  <c r="N156" i="23"/>
  <c r="M156" i="23"/>
  <c r="K156" i="23"/>
  <c r="H156" i="23"/>
  <c r="E156" i="23"/>
  <c r="F162" i="23" s="1"/>
  <c r="C156" i="23"/>
  <c r="Z156" i="23" s="1"/>
  <c r="AB155" i="23"/>
  <c r="Z155" i="23"/>
  <c r="Y155" i="23"/>
  <c r="U155" i="23"/>
  <c r="P155" i="23"/>
  <c r="O155" i="23"/>
  <c r="M155" i="23"/>
  <c r="K155" i="23"/>
  <c r="H155" i="23"/>
  <c r="C155" i="23"/>
  <c r="AB154" i="23"/>
  <c r="Y154" i="23"/>
  <c r="U154" i="23"/>
  <c r="P154" i="23"/>
  <c r="O154" i="23"/>
  <c r="M154" i="23"/>
  <c r="K154" i="23"/>
  <c r="H154" i="23"/>
  <c r="G154" i="23"/>
  <c r="E154" i="23"/>
  <c r="C154" i="23"/>
  <c r="Z154" i="23" s="1"/>
  <c r="AB153" i="23"/>
  <c r="Y153" i="23"/>
  <c r="U153" i="23"/>
  <c r="P153" i="23"/>
  <c r="O153" i="23" s="1"/>
  <c r="M153" i="23"/>
  <c r="K153" i="23"/>
  <c r="H153" i="23"/>
  <c r="E153" i="23"/>
  <c r="F159" i="23" s="1"/>
  <c r="C153" i="23"/>
  <c r="Z153" i="23" s="1"/>
  <c r="AB152" i="23"/>
  <c r="U152" i="23"/>
  <c r="P152" i="23"/>
  <c r="O152" i="23" s="1"/>
  <c r="N152" i="23"/>
  <c r="M152" i="23"/>
  <c r="K152" i="23"/>
  <c r="H152" i="23"/>
  <c r="E152" i="23"/>
  <c r="F158" i="23" s="1"/>
  <c r="C152" i="23"/>
  <c r="Z158" i="23" s="1"/>
  <c r="AB151" i="23"/>
  <c r="Y151" i="23"/>
  <c r="U151" i="23"/>
  <c r="P151" i="23"/>
  <c r="O151" i="23" s="1"/>
  <c r="M151" i="23"/>
  <c r="K151" i="23"/>
  <c r="H151" i="23"/>
  <c r="F151" i="23"/>
  <c r="E151" i="23"/>
  <c r="C151" i="23"/>
  <c r="AB150" i="23"/>
  <c r="Y150" i="23"/>
  <c r="U150" i="23"/>
  <c r="P150" i="23"/>
  <c r="O150" i="23"/>
  <c r="M150" i="23"/>
  <c r="K150" i="23"/>
  <c r="H150" i="23"/>
  <c r="G150" i="23"/>
  <c r="G151" i="23" s="1"/>
  <c r="C150" i="23"/>
  <c r="AB149" i="23"/>
  <c r="Y149" i="23"/>
  <c r="U149" i="23"/>
  <c r="P149" i="23"/>
  <c r="O149" i="23"/>
  <c r="M149" i="23"/>
  <c r="K149" i="23"/>
  <c r="H149" i="23"/>
  <c r="F149" i="23"/>
  <c r="E149" i="23"/>
  <c r="F155" i="23" s="1"/>
  <c r="C149" i="23"/>
  <c r="AB148" i="23"/>
  <c r="Y148" i="23"/>
  <c r="U148" i="23"/>
  <c r="P148" i="23"/>
  <c r="N148" i="23"/>
  <c r="M148" i="23"/>
  <c r="K148" i="23"/>
  <c r="H148" i="23"/>
  <c r="E148" i="23"/>
  <c r="F154" i="23" s="1"/>
  <c r="C148" i="23"/>
  <c r="AB147" i="23"/>
  <c r="Y147" i="23"/>
  <c r="U147" i="23"/>
  <c r="P147" i="23"/>
  <c r="O147" i="23" s="1"/>
  <c r="M147" i="23"/>
  <c r="K147" i="23"/>
  <c r="H147" i="23"/>
  <c r="C147" i="23"/>
  <c r="Z147" i="23" s="1"/>
  <c r="AB146" i="23"/>
  <c r="Y146" i="23"/>
  <c r="U146" i="23"/>
  <c r="P146" i="23"/>
  <c r="O146" i="23" s="1"/>
  <c r="M146" i="23"/>
  <c r="K146" i="23"/>
  <c r="H146" i="23"/>
  <c r="C146" i="23"/>
  <c r="Z146" i="23" s="1"/>
  <c r="AB145" i="23"/>
  <c r="Y145" i="23"/>
  <c r="U145" i="23"/>
  <c r="N145" i="23"/>
  <c r="M145" i="23"/>
  <c r="K145" i="23"/>
  <c r="H145" i="23"/>
  <c r="E145" i="23"/>
  <c r="F147" i="23" s="1"/>
  <c r="C145" i="23"/>
  <c r="Z145" i="23" s="1"/>
  <c r="AB144" i="23"/>
  <c r="U144" i="23"/>
  <c r="M144" i="23"/>
  <c r="K144" i="23"/>
  <c r="H144" i="23"/>
  <c r="F144" i="23"/>
  <c r="E144" i="23"/>
  <c r="F150" i="23" s="1"/>
  <c r="AB143" i="23"/>
  <c r="Y143" i="23"/>
  <c r="U143" i="23"/>
  <c r="N143" i="23"/>
  <c r="M143" i="23"/>
  <c r="K143" i="23"/>
  <c r="H143" i="23"/>
  <c r="F143" i="23"/>
  <c r="C143" i="23"/>
  <c r="Z149" i="23" s="1"/>
  <c r="Y142" i="23"/>
  <c r="M142" i="23"/>
  <c r="K142" i="23"/>
  <c r="H142" i="23"/>
  <c r="G142" i="23"/>
  <c r="X142" i="23" s="1"/>
  <c r="F142" i="23"/>
  <c r="D142" i="23"/>
  <c r="D143" i="23" s="1"/>
  <c r="AB141" i="23"/>
  <c r="W141" i="23"/>
  <c r="U141" i="23"/>
  <c r="M141" i="23"/>
  <c r="K141" i="23"/>
  <c r="H141" i="23"/>
  <c r="G141" i="23"/>
  <c r="X141" i="23" s="1"/>
  <c r="F141" i="23"/>
  <c r="C141" i="23"/>
  <c r="Z141" i="23" s="1"/>
  <c r="AB140" i="23"/>
  <c r="Z140" i="23"/>
  <c r="Y140" i="23"/>
  <c r="U140" i="23"/>
  <c r="M140" i="23"/>
  <c r="K140" i="23"/>
  <c r="H140" i="23"/>
  <c r="F140" i="23"/>
  <c r="D140" i="23"/>
  <c r="W140" i="23" s="1"/>
  <c r="C140" i="23"/>
  <c r="AB139" i="23"/>
  <c r="Y139" i="23"/>
  <c r="W139" i="23"/>
  <c r="P139" i="23"/>
  <c r="M139" i="23"/>
  <c r="K139" i="23"/>
  <c r="H139" i="23"/>
  <c r="F139" i="23"/>
  <c r="D139" i="23"/>
  <c r="X139" i="23" s="1"/>
  <c r="C139" i="23"/>
  <c r="Z139" i="23" s="1"/>
  <c r="B139" i="23"/>
  <c r="C144" i="23" s="1"/>
  <c r="AB138" i="23"/>
  <c r="Y138" i="23"/>
  <c r="W138" i="23"/>
  <c r="U138" i="23"/>
  <c r="M138" i="23"/>
  <c r="K138" i="23"/>
  <c r="H138" i="23"/>
  <c r="F138" i="23"/>
  <c r="D138" i="23"/>
  <c r="X138" i="23" s="1"/>
  <c r="C138" i="23"/>
  <c r="Z138" i="23" s="1"/>
  <c r="AB137" i="23"/>
  <c r="X137" i="23"/>
  <c r="W137" i="23"/>
  <c r="Y137" i="23"/>
  <c r="U137" i="23"/>
  <c r="P137" i="23"/>
  <c r="O137" i="23" s="1"/>
  <c r="M137" i="23"/>
  <c r="K137" i="23"/>
  <c r="H137" i="23"/>
  <c r="F137" i="23"/>
  <c r="C137" i="23"/>
  <c r="Z137" i="23" s="1"/>
  <c r="AB136" i="23"/>
  <c r="Z136" i="23"/>
  <c r="Y136" i="23"/>
  <c r="P136" i="23"/>
  <c r="M136" i="23"/>
  <c r="K136" i="23"/>
  <c r="H136" i="23"/>
  <c r="F136" i="23"/>
  <c r="D136" i="23"/>
  <c r="X136" i="23" s="1"/>
  <c r="C136" i="23"/>
  <c r="AB135" i="23"/>
  <c r="Y135" i="23"/>
  <c r="X135" i="23"/>
  <c r="W135" i="23"/>
  <c r="U135" i="23"/>
  <c r="P135" i="23"/>
  <c r="M135" i="23"/>
  <c r="K135" i="23"/>
  <c r="H135" i="23"/>
  <c r="F135" i="23"/>
  <c r="C135" i="23"/>
  <c r="Z135" i="23" s="1"/>
  <c r="AB134" i="23"/>
  <c r="X134" i="23"/>
  <c r="W134" i="23"/>
  <c r="Y134" i="23"/>
  <c r="U134" i="23"/>
  <c r="P134" i="23"/>
  <c r="M134" i="23"/>
  <c r="K134" i="23"/>
  <c r="H134" i="23"/>
  <c r="F134" i="23"/>
  <c r="C134" i="23"/>
  <c r="AB133" i="23"/>
  <c r="X133" i="23"/>
  <c r="W133" i="23"/>
  <c r="U133" i="23"/>
  <c r="Q133" i="23"/>
  <c r="M133" i="23"/>
  <c r="K133" i="23"/>
  <c r="H133" i="23"/>
  <c r="F133" i="23"/>
  <c r="C133" i="23"/>
  <c r="Z133" i="23" s="1"/>
  <c r="AB132" i="23"/>
  <c r="X132" i="23"/>
  <c r="W132" i="23"/>
  <c r="Y132" i="23"/>
  <c r="Q132" i="23"/>
  <c r="M132" i="23"/>
  <c r="K132" i="23"/>
  <c r="H132" i="23"/>
  <c r="F132" i="23"/>
  <c r="C132" i="23"/>
  <c r="AB131" i="23"/>
  <c r="Z131" i="23"/>
  <c r="X131" i="23"/>
  <c r="W131" i="23"/>
  <c r="Y131" i="23"/>
  <c r="Q131" i="23"/>
  <c r="M131" i="23"/>
  <c r="K131" i="23"/>
  <c r="H131" i="23"/>
  <c r="F131" i="23"/>
  <c r="C131" i="23"/>
  <c r="AB130" i="23"/>
  <c r="Z130" i="23"/>
  <c r="X130" i="23"/>
  <c r="W130" i="23"/>
  <c r="Y130" i="23"/>
  <c r="U130" i="23"/>
  <c r="M130" i="23"/>
  <c r="K130" i="23"/>
  <c r="H130" i="23"/>
  <c r="F130" i="23"/>
  <c r="C130" i="23"/>
  <c r="AB129" i="23"/>
  <c r="Z129" i="23"/>
  <c r="X129" i="23"/>
  <c r="W129" i="23"/>
  <c r="Y129" i="23"/>
  <c r="U129" i="23"/>
  <c r="M129" i="23"/>
  <c r="K129" i="23"/>
  <c r="H129" i="23"/>
  <c r="F129" i="23"/>
  <c r="C129" i="23"/>
  <c r="AB128" i="23"/>
  <c r="Z128" i="23"/>
  <c r="X128" i="23"/>
  <c r="W128" i="23"/>
  <c r="Y128" i="23"/>
  <c r="U128" i="23"/>
  <c r="M128" i="23"/>
  <c r="K128" i="23"/>
  <c r="H128" i="23"/>
  <c r="F128" i="23"/>
  <c r="C128" i="23"/>
  <c r="Z134" i="23" s="1"/>
  <c r="AB127" i="23"/>
  <c r="X127" i="23"/>
  <c r="W127" i="23"/>
  <c r="Y127" i="23"/>
  <c r="U127" i="23"/>
  <c r="P127" i="23"/>
  <c r="M127" i="23"/>
  <c r="K127" i="23"/>
  <c r="H127" i="23"/>
  <c r="F127" i="23"/>
  <c r="C127" i="23"/>
  <c r="AB126" i="23"/>
  <c r="Y126" i="23"/>
  <c r="U126" i="23"/>
  <c r="M126" i="23"/>
  <c r="K126" i="23"/>
  <c r="H126" i="23"/>
  <c r="F126" i="23"/>
  <c r="C126" i="23"/>
  <c r="Z126" i="23" s="1"/>
  <c r="AB125" i="23"/>
  <c r="M125" i="23"/>
  <c r="K125" i="23"/>
  <c r="H125" i="23"/>
  <c r="F125" i="23"/>
  <c r="C125" i="23"/>
  <c r="Z125" i="23" s="1"/>
  <c r="AB124" i="23"/>
  <c r="Z124" i="23"/>
  <c r="Q124" i="23"/>
  <c r="M124" i="23"/>
  <c r="K124" i="23"/>
  <c r="H124" i="23"/>
  <c r="F124" i="23"/>
  <c r="C124" i="23"/>
  <c r="AB123" i="23"/>
  <c r="Y123" i="23"/>
  <c r="P123" i="23"/>
  <c r="O123" i="23"/>
  <c r="M123" i="23"/>
  <c r="K123" i="23"/>
  <c r="H123" i="23"/>
  <c r="F123" i="23"/>
  <c r="D123" i="23"/>
  <c r="C123" i="23"/>
  <c r="Z123" i="23" s="1"/>
  <c r="AB122" i="23"/>
  <c r="Y122" i="23"/>
  <c r="U122" i="23"/>
  <c r="M122" i="23"/>
  <c r="K122" i="23"/>
  <c r="H122" i="23"/>
  <c r="G122" i="23"/>
  <c r="X122" i="23" s="1"/>
  <c r="F122" i="23"/>
  <c r="D122" i="23"/>
  <c r="W122" i="23" s="1"/>
  <c r="C122" i="23"/>
  <c r="Z122" i="23" s="1"/>
  <c r="AB121" i="23"/>
  <c r="X121" i="23"/>
  <c r="W121" i="23"/>
  <c r="U121" i="23"/>
  <c r="P121" i="23"/>
  <c r="M121" i="23"/>
  <c r="K121" i="23"/>
  <c r="H121" i="23"/>
  <c r="F121" i="23"/>
  <c r="C121" i="23"/>
  <c r="Z121" i="23" s="1"/>
  <c r="AB120" i="23"/>
  <c r="Z120" i="23"/>
  <c r="P120" i="23"/>
  <c r="M120" i="23"/>
  <c r="K120" i="23"/>
  <c r="H120" i="23"/>
  <c r="G120" i="23"/>
  <c r="F120" i="23"/>
  <c r="C120" i="23"/>
  <c r="AB119" i="23"/>
  <c r="Y119" i="23"/>
  <c r="M119" i="23"/>
  <c r="K119" i="23"/>
  <c r="H119" i="23"/>
  <c r="G119" i="23"/>
  <c r="X119" i="23" s="1"/>
  <c r="F119" i="23"/>
  <c r="D119" i="23"/>
  <c r="D120" i="23" s="1"/>
  <c r="C119" i="23"/>
  <c r="Z119" i="23" s="1"/>
  <c r="AB118" i="23"/>
  <c r="Y118" i="23"/>
  <c r="X118" i="23"/>
  <c r="W118" i="23"/>
  <c r="U118" i="23"/>
  <c r="M118" i="23"/>
  <c r="K118" i="23"/>
  <c r="H118" i="23"/>
  <c r="F118" i="23"/>
  <c r="C118" i="23"/>
  <c r="Z118" i="23" s="1"/>
  <c r="AB117" i="23"/>
  <c r="X117" i="23"/>
  <c r="W117" i="23"/>
  <c r="U117" i="23"/>
  <c r="M117" i="23"/>
  <c r="K117" i="23"/>
  <c r="H117" i="23"/>
  <c r="F117" i="23"/>
  <c r="C117" i="23"/>
  <c r="Z117" i="23" s="1"/>
  <c r="AB116" i="23"/>
  <c r="Y116" i="23"/>
  <c r="X116" i="23"/>
  <c r="W116" i="23"/>
  <c r="U116" i="23"/>
  <c r="M116" i="23"/>
  <c r="K116" i="23"/>
  <c r="H116" i="23"/>
  <c r="F116" i="23"/>
  <c r="C116" i="23"/>
  <c r="Z116" i="23" s="1"/>
  <c r="AB115" i="23"/>
  <c r="Y115" i="23"/>
  <c r="X115" i="23"/>
  <c r="W115" i="23"/>
  <c r="U115" i="23"/>
  <c r="M115" i="23"/>
  <c r="K115" i="23"/>
  <c r="H115" i="23"/>
  <c r="F115" i="23"/>
  <c r="C115" i="23"/>
  <c r="Z115" i="23" s="1"/>
  <c r="AB114" i="23"/>
  <c r="Y114" i="23"/>
  <c r="U114" i="23"/>
  <c r="M114" i="23"/>
  <c r="K114" i="23"/>
  <c r="H114" i="23"/>
  <c r="G114" i="23"/>
  <c r="X114" i="23" s="1"/>
  <c r="F114" i="23"/>
  <c r="D114" i="23"/>
  <c r="W114" i="23" s="1"/>
  <c r="C114" i="23"/>
  <c r="Z114" i="23" s="1"/>
  <c r="AB113" i="23"/>
  <c r="W113" i="23"/>
  <c r="U113" i="23"/>
  <c r="M113" i="23"/>
  <c r="K113" i="23"/>
  <c r="H113" i="23"/>
  <c r="G113" i="23"/>
  <c r="X113" i="23" s="1"/>
  <c r="F113" i="23"/>
  <c r="C113" i="23"/>
  <c r="Z113" i="23" s="1"/>
  <c r="AB112" i="23"/>
  <c r="X112" i="23"/>
  <c r="W112" i="23"/>
  <c r="U112" i="23"/>
  <c r="M112" i="23"/>
  <c r="K112" i="23"/>
  <c r="H112" i="23"/>
  <c r="F112" i="23"/>
  <c r="C112" i="23"/>
  <c r="Z112" i="23" s="1"/>
  <c r="AB111" i="23"/>
  <c r="Z111" i="23"/>
  <c r="X111" i="23"/>
  <c r="W111" i="23"/>
  <c r="U111" i="23"/>
  <c r="M111" i="23"/>
  <c r="K111" i="23"/>
  <c r="H111" i="23"/>
  <c r="F111" i="23"/>
  <c r="C111" i="23"/>
  <c r="AB110" i="23"/>
  <c r="X110" i="23"/>
  <c r="W110" i="23"/>
  <c r="U110" i="23"/>
  <c r="M110" i="23"/>
  <c r="K110" i="23"/>
  <c r="H110" i="23"/>
  <c r="F110" i="23"/>
  <c r="C110" i="23"/>
  <c r="Z110" i="23" s="1"/>
  <c r="AB109" i="23"/>
  <c r="Z109" i="23"/>
  <c r="X109" i="23"/>
  <c r="W109" i="23"/>
  <c r="U109" i="23"/>
  <c r="M109" i="23"/>
  <c r="K109" i="23"/>
  <c r="H109" i="23"/>
  <c r="F109" i="23"/>
  <c r="C109" i="23"/>
  <c r="AB108" i="23"/>
  <c r="X108" i="23"/>
  <c r="W108" i="23"/>
  <c r="U108" i="23"/>
  <c r="M108" i="23"/>
  <c r="K108" i="23"/>
  <c r="H108" i="23"/>
  <c r="F108" i="23"/>
  <c r="C108" i="23"/>
  <c r="Z108" i="23" s="1"/>
  <c r="AB107" i="23"/>
  <c r="Z107" i="23"/>
  <c r="X107" i="23"/>
  <c r="W107" i="23"/>
  <c r="U107" i="23"/>
  <c r="M107" i="23"/>
  <c r="K107" i="23"/>
  <c r="H107" i="23"/>
  <c r="F107" i="23"/>
  <c r="C107" i="23"/>
  <c r="AB106" i="23"/>
  <c r="X106" i="23"/>
  <c r="W106" i="23"/>
  <c r="U106" i="23"/>
  <c r="M106" i="23"/>
  <c r="K106" i="23"/>
  <c r="H106" i="23"/>
  <c r="F106" i="23"/>
  <c r="C106" i="23"/>
  <c r="Z106" i="23" s="1"/>
  <c r="AB105" i="23"/>
  <c r="Z105" i="23"/>
  <c r="X105" i="23"/>
  <c r="W105" i="23"/>
  <c r="U105" i="23"/>
  <c r="M105" i="23"/>
  <c r="K105" i="23"/>
  <c r="H105" i="23"/>
  <c r="F105" i="23"/>
  <c r="C105" i="23"/>
  <c r="AB104" i="23"/>
  <c r="X104" i="23"/>
  <c r="W104" i="23"/>
  <c r="U104" i="23"/>
  <c r="M104" i="23"/>
  <c r="K104" i="23"/>
  <c r="H104" i="23"/>
  <c r="F104" i="23"/>
  <c r="C104" i="23"/>
  <c r="Z104" i="23" s="1"/>
  <c r="AB103" i="23"/>
  <c r="Z103" i="23"/>
  <c r="X103" i="23"/>
  <c r="W103" i="23"/>
  <c r="U103" i="23"/>
  <c r="M103" i="23"/>
  <c r="K103" i="23"/>
  <c r="H103" i="23"/>
  <c r="F103" i="23"/>
  <c r="C103" i="23"/>
  <c r="AB102" i="23"/>
  <c r="X102" i="23"/>
  <c r="W102" i="23"/>
  <c r="U102" i="23"/>
  <c r="M102" i="23"/>
  <c r="K102" i="23"/>
  <c r="H102" i="23"/>
  <c r="F102" i="23"/>
  <c r="C102" i="23"/>
  <c r="Z102" i="23" s="1"/>
  <c r="AB101" i="23"/>
  <c r="Z101" i="23"/>
  <c r="X101" i="23"/>
  <c r="W101" i="23"/>
  <c r="U101" i="23"/>
  <c r="M101" i="23"/>
  <c r="K101" i="23"/>
  <c r="H101" i="23"/>
  <c r="F101" i="23"/>
  <c r="C101" i="23"/>
  <c r="AB100" i="23"/>
  <c r="X100" i="23"/>
  <c r="W100" i="23"/>
  <c r="U100" i="23"/>
  <c r="M100" i="23"/>
  <c r="K100" i="23"/>
  <c r="H100" i="23"/>
  <c r="F100" i="23"/>
  <c r="C100" i="23"/>
  <c r="Z100" i="23" s="1"/>
  <c r="AB99" i="23"/>
  <c r="Z99" i="23"/>
  <c r="X99" i="23"/>
  <c r="W99" i="23"/>
  <c r="U99" i="23"/>
  <c r="M99" i="23"/>
  <c r="K99" i="23"/>
  <c r="H99" i="23"/>
  <c r="F99" i="23"/>
  <c r="C99" i="23"/>
  <c r="AB98" i="23"/>
  <c r="X98" i="23"/>
  <c r="W98" i="23"/>
  <c r="U98" i="23"/>
  <c r="M98" i="23"/>
  <c r="K98" i="23"/>
  <c r="H98" i="23"/>
  <c r="F98" i="23"/>
  <c r="C98" i="23"/>
  <c r="Z98" i="23" s="1"/>
  <c r="AB97" i="23"/>
  <c r="Z97" i="23"/>
  <c r="X97" i="23"/>
  <c r="W97" i="23"/>
  <c r="U97" i="23"/>
  <c r="M97" i="23"/>
  <c r="K97" i="23"/>
  <c r="H97" i="23"/>
  <c r="F97" i="23"/>
  <c r="C97" i="23"/>
  <c r="AB96" i="23"/>
  <c r="X96" i="23"/>
  <c r="W96" i="23"/>
  <c r="U96" i="23"/>
  <c r="M96" i="23"/>
  <c r="K96" i="23"/>
  <c r="H96" i="23"/>
  <c r="F96" i="23"/>
  <c r="C96" i="23"/>
  <c r="Z96" i="23" s="1"/>
  <c r="AB95" i="23"/>
  <c r="Z95" i="23"/>
  <c r="X95" i="23"/>
  <c r="W95" i="23"/>
  <c r="U95" i="23"/>
  <c r="M95" i="23"/>
  <c r="K95" i="23"/>
  <c r="H95" i="23"/>
  <c r="F95" i="23"/>
  <c r="C95" i="23"/>
  <c r="AB94" i="23"/>
  <c r="X94" i="23"/>
  <c r="W94" i="23"/>
  <c r="U94" i="23"/>
  <c r="M94" i="23"/>
  <c r="K94" i="23"/>
  <c r="H94" i="23"/>
  <c r="F94" i="23"/>
  <c r="C94" i="23"/>
  <c r="Z94" i="23" s="1"/>
  <c r="AB93" i="23"/>
  <c r="Z93" i="23"/>
  <c r="X93" i="23"/>
  <c r="W93" i="23"/>
  <c r="U93" i="23"/>
  <c r="M93" i="23"/>
  <c r="K93" i="23"/>
  <c r="H93" i="23"/>
  <c r="F93" i="23"/>
  <c r="C93" i="23"/>
  <c r="AB92" i="23"/>
  <c r="X92" i="23"/>
  <c r="W92" i="23"/>
  <c r="U92" i="23"/>
  <c r="M92" i="23"/>
  <c r="K92" i="23"/>
  <c r="H92" i="23"/>
  <c r="F92" i="23"/>
  <c r="C92" i="23"/>
  <c r="Z92" i="23" s="1"/>
  <c r="AB91" i="23"/>
  <c r="Z91" i="23"/>
  <c r="X91" i="23"/>
  <c r="W91" i="23"/>
  <c r="U91" i="23"/>
  <c r="M91" i="23"/>
  <c r="K91" i="23"/>
  <c r="H91" i="23"/>
  <c r="F91" i="23"/>
  <c r="C91" i="23"/>
  <c r="AB90" i="23"/>
  <c r="X90" i="23"/>
  <c r="W90" i="23"/>
  <c r="U90" i="23"/>
  <c r="M90" i="23"/>
  <c r="K90" i="23"/>
  <c r="H90" i="23"/>
  <c r="F90" i="23"/>
  <c r="C90" i="23"/>
  <c r="Z90" i="23" s="1"/>
  <c r="AB89" i="23"/>
  <c r="Z89" i="23"/>
  <c r="X89" i="23"/>
  <c r="W89" i="23"/>
  <c r="U89" i="23"/>
  <c r="M89" i="23"/>
  <c r="K89" i="23"/>
  <c r="H89" i="23"/>
  <c r="F89" i="23"/>
  <c r="C89" i="23"/>
  <c r="AB88" i="23"/>
  <c r="X88" i="23"/>
  <c r="W88" i="23"/>
  <c r="U88" i="23"/>
  <c r="M88" i="23"/>
  <c r="K88" i="23"/>
  <c r="H88" i="23"/>
  <c r="F88" i="23"/>
  <c r="C88" i="23"/>
  <c r="Z88" i="23" s="1"/>
  <c r="AB87" i="23"/>
  <c r="Z87" i="23"/>
  <c r="X87" i="23"/>
  <c r="W87" i="23"/>
  <c r="U87" i="23"/>
  <c r="M87" i="23"/>
  <c r="K87" i="23"/>
  <c r="H87" i="23"/>
  <c r="F87" i="23"/>
  <c r="C87" i="23"/>
  <c r="AB86" i="23"/>
  <c r="X86" i="23"/>
  <c r="W86" i="23"/>
  <c r="U86" i="23"/>
  <c r="M86" i="23"/>
  <c r="K86" i="23"/>
  <c r="H86" i="23"/>
  <c r="F86" i="23"/>
  <c r="C86" i="23"/>
  <c r="Z86" i="23" s="1"/>
  <c r="AB85" i="23"/>
  <c r="Z85" i="23"/>
  <c r="X85" i="23"/>
  <c r="W85" i="23"/>
  <c r="U85" i="23"/>
  <c r="M85" i="23"/>
  <c r="K85" i="23"/>
  <c r="H85" i="23"/>
  <c r="F85" i="23"/>
  <c r="C85" i="23"/>
  <c r="AB84" i="23"/>
  <c r="X84" i="23"/>
  <c r="W84" i="23"/>
  <c r="U84" i="23"/>
  <c r="M84" i="23"/>
  <c r="K84" i="23"/>
  <c r="H84" i="23"/>
  <c r="F84" i="23"/>
  <c r="C84" i="23"/>
  <c r="Z84" i="23" s="1"/>
  <c r="AB83" i="23"/>
  <c r="Z83" i="23"/>
  <c r="X83" i="23"/>
  <c r="W83" i="23"/>
  <c r="U83" i="23"/>
  <c r="M83" i="23"/>
  <c r="K83" i="23"/>
  <c r="H83" i="23"/>
  <c r="F83" i="23"/>
  <c r="C83" i="23"/>
  <c r="AB82" i="23"/>
  <c r="X82" i="23"/>
  <c r="W82" i="23"/>
  <c r="U82" i="23"/>
  <c r="M82" i="23"/>
  <c r="K82" i="23"/>
  <c r="H82" i="23"/>
  <c r="F82" i="23"/>
  <c r="C82" i="23"/>
  <c r="Z82" i="23" s="1"/>
  <c r="AB81" i="23"/>
  <c r="Z81" i="23"/>
  <c r="X81" i="23"/>
  <c r="W81" i="23"/>
  <c r="U81" i="23"/>
  <c r="M81" i="23"/>
  <c r="K81" i="23"/>
  <c r="H81" i="23"/>
  <c r="F81" i="23"/>
  <c r="C81" i="23"/>
  <c r="AB80" i="23"/>
  <c r="X80" i="23"/>
  <c r="W80" i="23"/>
  <c r="U80" i="23"/>
  <c r="M80" i="23"/>
  <c r="K80" i="23"/>
  <c r="H80" i="23"/>
  <c r="F80" i="23"/>
  <c r="C80" i="23"/>
  <c r="Z80" i="23" s="1"/>
  <c r="AB79" i="23"/>
  <c r="Z79" i="23"/>
  <c r="X79" i="23"/>
  <c r="W79" i="23"/>
  <c r="U79" i="23"/>
  <c r="M79" i="23"/>
  <c r="K79" i="23"/>
  <c r="H79" i="23"/>
  <c r="F79" i="23"/>
  <c r="C79" i="23"/>
  <c r="AB78" i="23"/>
  <c r="X78" i="23"/>
  <c r="W78" i="23"/>
  <c r="U78" i="23"/>
  <c r="M78" i="23"/>
  <c r="K78" i="23"/>
  <c r="H78" i="23"/>
  <c r="F78" i="23"/>
  <c r="C78" i="23"/>
  <c r="Z78" i="23" s="1"/>
  <c r="AB77" i="23"/>
  <c r="Z77" i="23"/>
  <c r="X77" i="23"/>
  <c r="W77" i="23"/>
  <c r="U77" i="23"/>
  <c r="M77" i="23"/>
  <c r="K77" i="23"/>
  <c r="H77" i="23"/>
  <c r="F77" i="23"/>
  <c r="C77" i="23"/>
  <c r="AB76" i="23"/>
  <c r="X76" i="23"/>
  <c r="W76" i="23"/>
  <c r="U76" i="23"/>
  <c r="M76" i="23"/>
  <c r="K76" i="23"/>
  <c r="H76" i="23"/>
  <c r="F76" i="23"/>
  <c r="C76" i="23"/>
  <c r="Z76" i="23" s="1"/>
  <c r="AB75" i="23"/>
  <c r="Z75" i="23"/>
  <c r="X75" i="23"/>
  <c r="W75" i="23"/>
  <c r="U75" i="23"/>
  <c r="M75" i="23"/>
  <c r="K75" i="23"/>
  <c r="H75" i="23"/>
  <c r="F75" i="23"/>
  <c r="C75" i="23"/>
  <c r="AB74" i="23"/>
  <c r="X74" i="23"/>
  <c r="W74" i="23"/>
  <c r="U74" i="23"/>
  <c r="M74" i="23"/>
  <c r="K74" i="23"/>
  <c r="H74" i="23"/>
  <c r="F74" i="23"/>
  <c r="C74" i="23"/>
  <c r="Z74" i="23" s="1"/>
  <c r="AB73" i="23"/>
  <c r="Z73" i="23"/>
  <c r="X73" i="23"/>
  <c r="W73" i="23"/>
  <c r="U73" i="23"/>
  <c r="M73" i="23"/>
  <c r="K73" i="23"/>
  <c r="H73" i="23"/>
  <c r="F73" i="23"/>
  <c r="C73" i="23"/>
  <c r="AB72" i="23"/>
  <c r="X72" i="23"/>
  <c r="W72" i="23"/>
  <c r="U72" i="23"/>
  <c r="M72" i="23"/>
  <c r="K72" i="23"/>
  <c r="H72" i="23"/>
  <c r="F72" i="23"/>
  <c r="C72" i="23"/>
  <c r="Z72" i="23" s="1"/>
  <c r="AB71" i="23"/>
  <c r="Z71" i="23"/>
  <c r="X71" i="23"/>
  <c r="W71" i="23"/>
  <c r="U71" i="23"/>
  <c r="M71" i="23"/>
  <c r="K71" i="23"/>
  <c r="H71" i="23"/>
  <c r="F71" i="23"/>
  <c r="C71" i="23"/>
  <c r="AB70" i="23"/>
  <c r="X70" i="23"/>
  <c r="W70" i="23"/>
  <c r="U70" i="23"/>
  <c r="M70" i="23"/>
  <c r="K70" i="23"/>
  <c r="H70" i="23"/>
  <c r="F70" i="23"/>
  <c r="C70" i="23"/>
  <c r="Z70" i="23" s="1"/>
  <c r="AB69" i="23"/>
  <c r="Z69" i="23"/>
  <c r="X69" i="23"/>
  <c r="W69" i="23"/>
  <c r="U69" i="23"/>
  <c r="M69" i="23"/>
  <c r="K69" i="23"/>
  <c r="H69" i="23"/>
  <c r="F69" i="23"/>
  <c r="C69" i="23"/>
  <c r="AB68" i="23"/>
  <c r="X68" i="23"/>
  <c r="W68" i="23"/>
  <c r="U68" i="23"/>
  <c r="M68" i="23"/>
  <c r="K68" i="23"/>
  <c r="H68" i="23"/>
  <c r="F68" i="23"/>
  <c r="C68" i="23"/>
  <c r="Z68" i="23" s="1"/>
  <c r="AB67" i="23"/>
  <c r="Z67" i="23"/>
  <c r="X67" i="23"/>
  <c r="W67" i="23"/>
  <c r="U67" i="23"/>
  <c r="M67" i="23"/>
  <c r="K67" i="23"/>
  <c r="H67" i="23"/>
  <c r="F67" i="23"/>
  <c r="C67" i="23"/>
  <c r="AB66" i="23"/>
  <c r="X66" i="23"/>
  <c r="W66" i="23"/>
  <c r="U66" i="23"/>
  <c r="M66" i="23"/>
  <c r="K66" i="23"/>
  <c r="H66" i="23"/>
  <c r="F66" i="23"/>
  <c r="C66" i="23"/>
  <c r="Z66" i="23" s="1"/>
  <c r="AB65" i="23"/>
  <c r="Z65" i="23"/>
  <c r="X65" i="23"/>
  <c r="W65" i="23"/>
  <c r="U65" i="23"/>
  <c r="M65" i="23"/>
  <c r="K65" i="23"/>
  <c r="H65" i="23"/>
  <c r="F65" i="23"/>
  <c r="C65" i="23"/>
  <c r="AB64" i="23"/>
  <c r="X64" i="23"/>
  <c r="W64" i="23"/>
  <c r="U64" i="23"/>
  <c r="M64" i="23"/>
  <c r="K64" i="23"/>
  <c r="H64" i="23"/>
  <c r="F64" i="23"/>
  <c r="C64" i="23"/>
  <c r="Z64" i="23" s="1"/>
  <c r="AB63" i="23"/>
  <c r="X63" i="23"/>
  <c r="W63" i="23"/>
  <c r="U63" i="23"/>
  <c r="M63" i="23"/>
  <c r="K63" i="23"/>
  <c r="H63" i="23"/>
  <c r="F63" i="23"/>
  <c r="C63" i="23"/>
  <c r="AB62" i="23"/>
  <c r="X62" i="23"/>
  <c r="W62" i="23"/>
  <c r="U62" i="23"/>
  <c r="M62" i="23"/>
  <c r="K62" i="23"/>
  <c r="H62" i="23"/>
  <c r="F62" i="23"/>
  <c r="C62" i="23"/>
  <c r="Z62" i="23" s="1"/>
  <c r="AB61" i="23"/>
  <c r="X61" i="23"/>
  <c r="W61" i="23"/>
  <c r="U61" i="23"/>
  <c r="M61" i="23"/>
  <c r="K61" i="23"/>
  <c r="H61" i="23"/>
  <c r="F61" i="23"/>
  <c r="C61" i="23"/>
  <c r="AB60" i="23"/>
  <c r="X60" i="23"/>
  <c r="W60" i="23"/>
  <c r="U60" i="23"/>
  <c r="M60" i="23"/>
  <c r="K60" i="23"/>
  <c r="H60" i="23"/>
  <c r="F60" i="23"/>
  <c r="C60" i="23"/>
  <c r="Z60" i="23" s="1"/>
  <c r="AB59" i="23"/>
  <c r="X59" i="23"/>
  <c r="W59" i="23"/>
  <c r="U59" i="23"/>
  <c r="M59" i="23"/>
  <c r="K59" i="23"/>
  <c r="H59" i="23"/>
  <c r="F59" i="23"/>
  <c r="C59" i="23"/>
  <c r="AB58" i="23"/>
  <c r="X58" i="23"/>
  <c r="W58" i="23"/>
  <c r="U58" i="23"/>
  <c r="M58" i="23"/>
  <c r="K58" i="23"/>
  <c r="H58" i="23"/>
  <c r="F58" i="23"/>
  <c r="C58" i="23"/>
  <c r="X57" i="23"/>
  <c r="W57" i="23"/>
  <c r="U57" i="23"/>
  <c r="M57" i="23"/>
  <c r="K57" i="23"/>
  <c r="H57" i="23"/>
  <c r="F57" i="23"/>
  <c r="C57" i="23"/>
  <c r="Z63" i="23" s="1"/>
  <c r="X56" i="23"/>
  <c r="W56" i="23"/>
  <c r="U56" i="23"/>
  <c r="M56" i="23"/>
  <c r="K56" i="23"/>
  <c r="H56" i="23"/>
  <c r="F56" i="23"/>
  <c r="C56" i="23"/>
  <c r="X55" i="23"/>
  <c r="W55" i="23"/>
  <c r="U55" i="23"/>
  <c r="M55" i="23"/>
  <c r="K55" i="23"/>
  <c r="H55" i="23"/>
  <c r="F55" i="23"/>
  <c r="C55" i="23"/>
  <c r="Z61" i="23" s="1"/>
  <c r="X54" i="23"/>
  <c r="W54" i="23"/>
  <c r="U54" i="23"/>
  <c r="M54" i="23"/>
  <c r="K54" i="23"/>
  <c r="H54" i="23"/>
  <c r="F54" i="23"/>
  <c r="C54" i="23"/>
  <c r="X53" i="23"/>
  <c r="W53" i="23"/>
  <c r="U53" i="23"/>
  <c r="M53" i="23"/>
  <c r="K53" i="23"/>
  <c r="H53" i="23"/>
  <c r="F53" i="23"/>
  <c r="C53" i="23"/>
  <c r="Z59" i="23" s="1"/>
  <c r="X52" i="23"/>
  <c r="W52" i="23"/>
  <c r="U52" i="23"/>
  <c r="M52" i="23"/>
  <c r="K52" i="23"/>
  <c r="H52" i="23"/>
  <c r="F52" i="23"/>
  <c r="C52" i="23"/>
  <c r="X51" i="23"/>
  <c r="W51" i="23"/>
  <c r="U51" i="23"/>
  <c r="M51" i="23"/>
  <c r="K51" i="23"/>
  <c r="H51" i="23"/>
  <c r="F51" i="23"/>
  <c r="C51" i="23"/>
  <c r="X50" i="23"/>
  <c r="W50" i="23"/>
  <c r="U50" i="23"/>
  <c r="M50" i="23"/>
  <c r="K50" i="23"/>
  <c r="H50" i="23"/>
  <c r="F50" i="23"/>
  <c r="C50" i="23"/>
  <c r="X49" i="23"/>
  <c r="W49" i="23"/>
  <c r="U49" i="23"/>
  <c r="M49" i="23"/>
  <c r="K49" i="23"/>
  <c r="H49" i="23"/>
  <c r="F49" i="23"/>
  <c r="C49" i="23"/>
  <c r="X48" i="23"/>
  <c r="W48" i="23"/>
  <c r="U48" i="23"/>
  <c r="M48" i="23"/>
  <c r="K48" i="23"/>
  <c r="H48" i="23"/>
  <c r="F48" i="23"/>
  <c r="C48" i="23"/>
  <c r="X47" i="23"/>
  <c r="W47" i="23"/>
  <c r="U47" i="23"/>
  <c r="M47" i="23"/>
  <c r="K47" i="23"/>
  <c r="H47" i="23"/>
  <c r="F47" i="23"/>
  <c r="C47" i="23"/>
  <c r="X46" i="23"/>
  <c r="W46" i="23"/>
  <c r="U46" i="23"/>
  <c r="M46" i="23"/>
  <c r="K46" i="23"/>
  <c r="H46" i="23"/>
  <c r="F46" i="23"/>
  <c r="C46" i="23"/>
  <c r="X45" i="23"/>
  <c r="W45" i="23"/>
  <c r="U45" i="23"/>
  <c r="M45" i="23"/>
  <c r="K45" i="23"/>
  <c r="H45" i="23"/>
  <c r="F45" i="23"/>
  <c r="C45" i="23"/>
  <c r="X44" i="23"/>
  <c r="W44" i="23"/>
  <c r="U44" i="23"/>
  <c r="M44" i="23"/>
  <c r="K44" i="23"/>
  <c r="H44" i="23"/>
  <c r="F44" i="23"/>
  <c r="C44" i="23"/>
  <c r="X43" i="23"/>
  <c r="W43" i="23"/>
  <c r="U43" i="23"/>
  <c r="M43" i="23"/>
  <c r="K43" i="23"/>
  <c r="H43" i="23"/>
  <c r="F43" i="23"/>
  <c r="C43" i="23"/>
  <c r="X42" i="23"/>
  <c r="W42" i="23"/>
  <c r="U42" i="23"/>
  <c r="M42" i="23"/>
  <c r="K42" i="23"/>
  <c r="H42" i="23"/>
  <c r="F42" i="23"/>
  <c r="C42" i="23"/>
  <c r="X41" i="23"/>
  <c r="W41" i="23"/>
  <c r="U41" i="23"/>
  <c r="M41" i="23"/>
  <c r="K41" i="23"/>
  <c r="H41" i="23"/>
  <c r="F41" i="23"/>
  <c r="C41" i="23"/>
  <c r="X40" i="23"/>
  <c r="W40" i="23"/>
  <c r="U40" i="23"/>
  <c r="M40" i="23"/>
  <c r="K40" i="23"/>
  <c r="H40" i="23"/>
  <c r="F40" i="23"/>
  <c r="C40" i="23"/>
  <c r="X39" i="23"/>
  <c r="W39" i="23"/>
  <c r="U39" i="23"/>
  <c r="M39" i="23"/>
  <c r="K39" i="23"/>
  <c r="H39" i="23"/>
  <c r="F39" i="23"/>
  <c r="C39" i="23"/>
  <c r="X38" i="23"/>
  <c r="W38" i="23"/>
  <c r="U38" i="23"/>
  <c r="M38" i="23"/>
  <c r="K38" i="23"/>
  <c r="H38" i="23"/>
  <c r="F38" i="23"/>
  <c r="C38" i="23"/>
  <c r="X37" i="23"/>
  <c r="W37" i="23"/>
  <c r="U37" i="23"/>
  <c r="M37" i="23"/>
  <c r="K37" i="23"/>
  <c r="H37" i="23"/>
  <c r="F37" i="23"/>
  <c r="C37" i="23"/>
  <c r="X36" i="23"/>
  <c r="W36" i="23"/>
  <c r="U36" i="23"/>
  <c r="H36" i="23"/>
  <c r="X35" i="23"/>
  <c r="W35" i="23"/>
  <c r="U35" i="23"/>
  <c r="H35" i="23"/>
  <c r="X34" i="23"/>
  <c r="W34" i="23"/>
  <c r="U34" i="23"/>
  <c r="H34" i="23"/>
  <c r="X33" i="23"/>
  <c r="W33" i="23"/>
  <c r="U33" i="23"/>
  <c r="H33" i="23"/>
  <c r="X32" i="23"/>
  <c r="W32" i="23"/>
  <c r="U32" i="23"/>
  <c r="H32" i="23"/>
  <c r="X31" i="23"/>
  <c r="W31" i="23"/>
  <c r="U31" i="23"/>
  <c r="H31" i="23"/>
  <c r="X30" i="23"/>
  <c r="W30" i="23"/>
  <c r="U30" i="23"/>
  <c r="H30" i="23"/>
  <c r="X29" i="23"/>
  <c r="W29" i="23"/>
  <c r="U29" i="23"/>
  <c r="H29" i="23"/>
  <c r="X28" i="23"/>
  <c r="W28" i="23"/>
  <c r="U28" i="23"/>
  <c r="H28" i="23"/>
  <c r="X27" i="23"/>
  <c r="W27" i="23"/>
  <c r="U27" i="23"/>
  <c r="H27" i="23"/>
  <c r="X26" i="23"/>
  <c r="W26" i="23"/>
  <c r="U26" i="23"/>
  <c r="H26" i="23"/>
  <c r="X25" i="23"/>
  <c r="W25" i="23"/>
  <c r="U25" i="23"/>
  <c r="H25" i="23"/>
  <c r="X24" i="23"/>
  <c r="W24" i="23"/>
  <c r="U24" i="23"/>
  <c r="H24" i="23"/>
  <c r="X23" i="23"/>
  <c r="W23" i="23"/>
  <c r="U23" i="23"/>
  <c r="H23" i="23"/>
  <c r="X22" i="23"/>
  <c r="W22" i="23"/>
  <c r="U22" i="23"/>
  <c r="H22" i="23"/>
  <c r="X21" i="23"/>
  <c r="W21" i="23"/>
  <c r="U21" i="23"/>
  <c r="H21" i="23"/>
  <c r="X20" i="23"/>
  <c r="W20" i="23"/>
  <c r="U20" i="23"/>
  <c r="H20" i="23"/>
  <c r="X19" i="23"/>
  <c r="W19" i="23"/>
  <c r="U19" i="23"/>
  <c r="H19" i="23"/>
  <c r="X18" i="23"/>
  <c r="W18" i="23"/>
  <c r="U18" i="23"/>
  <c r="H18" i="23"/>
  <c r="X17" i="23"/>
  <c r="W17" i="23"/>
  <c r="U17" i="23"/>
  <c r="H17" i="23"/>
  <c r="X16" i="23"/>
  <c r="W16" i="23"/>
  <c r="H16" i="23"/>
  <c r="X15" i="23"/>
  <c r="W15" i="23"/>
  <c r="H15" i="23"/>
  <c r="X14" i="23"/>
  <c r="W14" i="23"/>
  <c r="H14" i="23"/>
  <c r="H13" i="23"/>
  <c r="H12" i="23"/>
  <c r="H11" i="23"/>
  <c r="H10" i="23"/>
  <c r="H9" i="23"/>
  <c r="H8" i="23"/>
  <c r="H7" i="23"/>
  <c r="H6" i="23"/>
  <c r="H5" i="23"/>
  <c r="H4" i="23"/>
  <c r="H3" i="23"/>
  <c r="H9697" i="3"/>
  <c r="G9697" i="3"/>
  <c r="H9696" i="3"/>
  <c r="G9696" i="3"/>
  <c r="H9695" i="3"/>
  <c r="G9695" i="3"/>
  <c r="H9694" i="3"/>
  <c r="G9694" i="3"/>
  <c r="H9693" i="3"/>
  <c r="G9693" i="3"/>
  <c r="H9692" i="3"/>
  <c r="G9692" i="3"/>
  <c r="H9691" i="3"/>
  <c r="G9691" i="3"/>
  <c r="H9690" i="3"/>
  <c r="G9690" i="3"/>
  <c r="H9689" i="3"/>
  <c r="G9689" i="3"/>
  <c r="H9688" i="3"/>
  <c r="G9688" i="3"/>
  <c r="H9687" i="3"/>
  <c r="G9687" i="3"/>
  <c r="H9686" i="3"/>
  <c r="G9686" i="3"/>
  <c r="H9685" i="3"/>
  <c r="G9685" i="3"/>
  <c r="H9684" i="3"/>
  <c r="G9684" i="3"/>
  <c r="H9683" i="3"/>
  <c r="G9683" i="3"/>
  <c r="H9682" i="3"/>
  <c r="G9682" i="3"/>
  <c r="H9681" i="3"/>
  <c r="G9681" i="3"/>
  <c r="H9680" i="3"/>
  <c r="G9680" i="3"/>
  <c r="H9679" i="3"/>
  <c r="G9679" i="3"/>
  <c r="H9678" i="3"/>
  <c r="G9678" i="3"/>
  <c r="H9677" i="3"/>
  <c r="G9677" i="3"/>
  <c r="H9676" i="3"/>
  <c r="G9676" i="3"/>
  <c r="H9675" i="3"/>
  <c r="G9675" i="3"/>
  <c r="H9674" i="3"/>
  <c r="G9674" i="3"/>
  <c r="S405" i="1"/>
  <c r="J405" i="1"/>
  <c r="F405" i="1"/>
  <c r="C405" i="1"/>
  <c r="M403" i="1"/>
  <c r="C404" i="1"/>
  <c r="F404" i="1"/>
  <c r="J404" i="1"/>
  <c r="S404" i="1"/>
  <c r="H9673" i="3"/>
  <c r="G9673" i="3"/>
  <c r="H9672" i="3"/>
  <c r="G9672" i="3"/>
  <c r="H9671" i="3"/>
  <c r="G9671" i="3"/>
  <c r="H9670" i="3"/>
  <c r="G9670" i="3"/>
  <c r="H9669" i="3"/>
  <c r="G9669" i="3"/>
  <c r="H9668" i="3"/>
  <c r="G9668" i="3"/>
  <c r="H9667" i="3"/>
  <c r="G9667" i="3"/>
  <c r="H9666" i="3"/>
  <c r="G9666" i="3"/>
  <c r="H9665" i="3"/>
  <c r="G9665" i="3"/>
  <c r="H9664" i="3"/>
  <c r="G9664" i="3"/>
  <c r="H9663" i="3"/>
  <c r="G9663" i="3"/>
  <c r="H9662" i="3"/>
  <c r="G9662" i="3"/>
  <c r="H9661" i="3"/>
  <c r="G9661" i="3"/>
  <c r="H9660" i="3"/>
  <c r="G9660" i="3"/>
  <c r="H9659" i="3"/>
  <c r="G9659" i="3"/>
  <c r="H9658" i="3"/>
  <c r="G9658" i="3"/>
  <c r="H9657" i="3"/>
  <c r="G9657" i="3"/>
  <c r="H9656" i="3"/>
  <c r="G9656" i="3"/>
  <c r="H9655" i="3"/>
  <c r="G9655" i="3"/>
  <c r="H9654" i="3"/>
  <c r="G9654" i="3"/>
  <c r="H9653" i="3"/>
  <c r="G9653" i="3"/>
  <c r="H9652" i="3"/>
  <c r="G9652" i="3"/>
  <c r="H9651" i="3"/>
  <c r="G9651" i="3"/>
  <c r="H9650" i="3"/>
  <c r="G9650" i="3"/>
  <c r="H9649" i="3"/>
  <c r="G9649" i="3"/>
  <c r="H9648" i="3"/>
  <c r="G9648" i="3"/>
  <c r="H9647" i="3"/>
  <c r="G9647" i="3"/>
  <c r="H9646" i="3"/>
  <c r="G9646" i="3"/>
  <c r="H9645" i="3"/>
  <c r="G9645" i="3"/>
  <c r="H9644" i="3"/>
  <c r="G9644" i="3"/>
  <c r="H9643" i="3"/>
  <c r="G9643" i="3"/>
  <c r="H9642" i="3"/>
  <c r="G9642" i="3"/>
  <c r="H9641" i="3"/>
  <c r="G9641" i="3"/>
  <c r="H9640" i="3"/>
  <c r="G9640" i="3"/>
  <c r="H9639" i="3"/>
  <c r="G9639" i="3"/>
  <c r="H9638" i="3"/>
  <c r="G9638" i="3"/>
  <c r="H9637" i="3"/>
  <c r="G9637" i="3"/>
  <c r="H9636" i="3"/>
  <c r="G9636" i="3"/>
  <c r="H9635" i="3"/>
  <c r="G9635" i="3"/>
  <c r="H9634" i="3"/>
  <c r="G9634" i="3"/>
  <c r="H9633" i="3"/>
  <c r="G9633" i="3"/>
  <c r="H9632" i="3"/>
  <c r="G9632" i="3"/>
  <c r="H9631" i="3"/>
  <c r="G9631" i="3"/>
  <c r="H9630" i="3"/>
  <c r="G9630" i="3"/>
  <c r="H9629" i="3"/>
  <c r="G9629" i="3"/>
  <c r="H9628" i="3"/>
  <c r="G9628" i="3"/>
  <c r="H9627" i="3"/>
  <c r="G9627" i="3"/>
  <c r="H9626" i="3"/>
  <c r="G9626" i="3"/>
  <c r="S403" i="1"/>
  <c r="J403" i="1"/>
  <c r="F403" i="1"/>
  <c r="C403" i="1"/>
  <c r="M395" i="1"/>
  <c r="M396" i="1"/>
  <c r="M397" i="1"/>
  <c r="M398" i="1"/>
  <c r="M399" i="1"/>
  <c r="M400" i="1"/>
  <c r="M401" i="1"/>
  <c r="M402" i="1"/>
  <c r="H9625" i="3"/>
  <c r="G9625" i="3"/>
  <c r="H9624" i="3"/>
  <c r="G9624" i="3"/>
  <c r="H9623" i="3"/>
  <c r="G9623" i="3"/>
  <c r="H9622" i="3"/>
  <c r="G9622" i="3"/>
  <c r="H9621" i="3"/>
  <c r="G9621" i="3"/>
  <c r="H9620" i="3"/>
  <c r="G9620" i="3"/>
  <c r="H9619" i="3"/>
  <c r="G9619" i="3"/>
  <c r="H9618" i="3"/>
  <c r="G9618" i="3"/>
  <c r="H9617" i="3"/>
  <c r="G9617" i="3"/>
  <c r="H9616" i="3"/>
  <c r="G9616" i="3"/>
  <c r="H9615" i="3"/>
  <c r="G9615" i="3"/>
  <c r="H9614" i="3"/>
  <c r="G9614" i="3"/>
  <c r="H9613" i="3"/>
  <c r="G9613" i="3"/>
  <c r="H9612" i="3"/>
  <c r="G9612" i="3"/>
  <c r="H9611" i="3"/>
  <c r="G9611" i="3"/>
  <c r="H9610" i="3"/>
  <c r="G9610" i="3"/>
  <c r="H9609" i="3"/>
  <c r="G9609" i="3"/>
  <c r="H9608" i="3"/>
  <c r="G9608" i="3"/>
  <c r="H9607" i="3"/>
  <c r="G9607" i="3"/>
  <c r="H9606" i="3"/>
  <c r="G9606" i="3"/>
  <c r="H9605" i="3"/>
  <c r="G9605" i="3"/>
  <c r="H9604" i="3"/>
  <c r="G9604" i="3"/>
  <c r="H9603" i="3"/>
  <c r="G9603" i="3"/>
  <c r="H9602" i="3"/>
  <c r="G9602" i="3"/>
  <c r="S402" i="1"/>
  <c r="J402" i="1"/>
  <c r="F402" i="1"/>
  <c r="C402" i="1"/>
  <c r="H9601" i="3"/>
  <c r="G9601" i="3"/>
  <c r="H9600" i="3"/>
  <c r="G9600" i="3"/>
  <c r="H9599" i="3"/>
  <c r="G9599" i="3"/>
  <c r="H9598" i="3"/>
  <c r="G9598" i="3"/>
  <c r="H9597" i="3"/>
  <c r="G9597" i="3"/>
  <c r="H9596" i="3"/>
  <c r="G9596" i="3"/>
  <c r="H9595" i="3"/>
  <c r="G9595" i="3"/>
  <c r="H9594" i="3"/>
  <c r="G9594" i="3"/>
  <c r="H9593" i="3"/>
  <c r="G9593" i="3"/>
  <c r="H9592" i="3"/>
  <c r="G9592" i="3"/>
  <c r="H9591" i="3"/>
  <c r="G9591" i="3"/>
  <c r="H9590" i="3"/>
  <c r="G9590" i="3"/>
  <c r="H9589" i="3"/>
  <c r="G9589" i="3"/>
  <c r="H9588" i="3"/>
  <c r="G9588" i="3"/>
  <c r="H9587" i="3"/>
  <c r="G9587" i="3"/>
  <c r="H9586" i="3"/>
  <c r="G9586" i="3"/>
  <c r="H9585" i="3"/>
  <c r="G9585" i="3"/>
  <c r="H9584" i="3"/>
  <c r="G9584" i="3"/>
  <c r="H9583" i="3"/>
  <c r="G9583" i="3"/>
  <c r="H9582" i="3"/>
  <c r="G9582" i="3"/>
  <c r="H9581" i="3"/>
  <c r="G9581" i="3"/>
  <c r="H9580" i="3"/>
  <c r="G9580" i="3"/>
  <c r="H9579" i="3"/>
  <c r="G9579" i="3"/>
  <c r="H9578" i="3"/>
  <c r="G9578" i="3"/>
  <c r="S401" i="1"/>
  <c r="J401" i="1"/>
  <c r="F401" i="1"/>
  <c r="C401" i="1"/>
  <c r="H9577" i="3"/>
  <c r="G9577" i="3"/>
  <c r="H9576" i="3"/>
  <c r="G9576" i="3"/>
  <c r="H9575" i="3"/>
  <c r="G9575" i="3"/>
  <c r="H9574" i="3"/>
  <c r="G9574" i="3"/>
  <c r="H9573" i="3"/>
  <c r="G9573" i="3"/>
  <c r="H9572" i="3"/>
  <c r="G9572" i="3"/>
  <c r="H9571" i="3"/>
  <c r="G9571" i="3"/>
  <c r="H9570" i="3"/>
  <c r="G9570" i="3"/>
  <c r="H9569" i="3"/>
  <c r="G9569" i="3"/>
  <c r="H9568" i="3"/>
  <c r="G9568" i="3"/>
  <c r="H9567" i="3"/>
  <c r="G9567" i="3"/>
  <c r="H9566" i="3"/>
  <c r="G9566" i="3"/>
  <c r="H9565" i="3"/>
  <c r="G9565" i="3"/>
  <c r="H9564" i="3"/>
  <c r="G9564" i="3"/>
  <c r="H9563" i="3"/>
  <c r="G9563" i="3"/>
  <c r="H9562" i="3"/>
  <c r="G9562" i="3"/>
  <c r="H9561" i="3"/>
  <c r="G9561" i="3"/>
  <c r="H9560" i="3"/>
  <c r="G9560" i="3"/>
  <c r="H9559" i="3"/>
  <c r="G9559" i="3"/>
  <c r="H9558" i="3"/>
  <c r="G9558" i="3"/>
  <c r="H9557" i="3"/>
  <c r="G9557" i="3"/>
  <c r="H9556" i="3"/>
  <c r="G9556" i="3"/>
  <c r="H9555" i="3"/>
  <c r="G9555" i="3"/>
  <c r="H9554" i="3"/>
  <c r="G9554" i="3"/>
  <c r="S400" i="1"/>
  <c r="J400" i="1"/>
  <c r="F400" i="1"/>
  <c r="C400" i="1"/>
  <c r="J399" i="1"/>
  <c r="C399" i="1"/>
  <c r="H9553" i="3"/>
  <c r="G9553" i="3"/>
  <c r="H9552" i="3"/>
  <c r="G9552" i="3"/>
  <c r="H9551" i="3"/>
  <c r="G9551" i="3"/>
  <c r="H9550" i="3"/>
  <c r="G9550" i="3"/>
  <c r="H9549" i="3"/>
  <c r="G9549" i="3"/>
  <c r="H9548" i="3"/>
  <c r="G9548" i="3"/>
  <c r="H9547" i="3"/>
  <c r="G9547" i="3"/>
  <c r="H9546" i="3"/>
  <c r="G9546" i="3"/>
  <c r="H9545" i="3"/>
  <c r="G9545" i="3"/>
  <c r="H9544" i="3"/>
  <c r="G9544" i="3"/>
  <c r="H9543" i="3"/>
  <c r="G9543" i="3"/>
  <c r="H9542" i="3"/>
  <c r="G9542" i="3"/>
  <c r="H9541" i="3"/>
  <c r="G9541" i="3"/>
  <c r="H9540" i="3"/>
  <c r="G9540" i="3"/>
  <c r="H9539" i="3"/>
  <c r="G9539" i="3"/>
  <c r="H9538" i="3"/>
  <c r="G9538" i="3"/>
  <c r="H9537" i="3"/>
  <c r="G9537" i="3"/>
  <c r="H9536" i="3"/>
  <c r="G9536" i="3"/>
  <c r="H9535" i="3"/>
  <c r="G9535" i="3"/>
  <c r="H9534" i="3"/>
  <c r="G9534" i="3"/>
  <c r="H9533" i="3"/>
  <c r="G9533" i="3"/>
  <c r="H9532" i="3"/>
  <c r="G9532" i="3"/>
  <c r="H9531" i="3"/>
  <c r="G9531" i="3"/>
  <c r="H9530" i="3"/>
  <c r="G9530" i="3"/>
  <c r="S399" i="1"/>
  <c r="F399" i="1"/>
  <c r="H9529" i="3"/>
  <c r="G9529" i="3"/>
  <c r="H9528" i="3"/>
  <c r="G9528" i="3"/>
  <c r="H9527" i="3"/>
  <c r="G9527" i="3"/>
  <c r="H9526" i="3"/>
  <c r="G9526" i="3"/>
  <c r="H9525" i="3"/>
  <c r="G9525" i="3"/>
  <c r="H9524" i="3"/>
  <c r="G9524" i="3"/>
  <c r="H9523" i="3"/>
  <c r="G9523" i="3"/>
  <c r="H9522" i="3"/>
  <c r="G9522" i="3"/>
  <c r="H9521" i="3"/>
  <c r="G9521" i="3"/>
  <c r="H9520" i="3"/>
  <c r="G9520" i="3"/>
  <c r="H9519" i="3"/>
  <c r="G9519" i="3"/>
  <c r="H9518" i="3"/>
  <c r="G9518" i="3"/>
  <c r="H9517" i="3"/>
  <c r="G9517" i="3"/>
  <c r="H9516" i="3"/>
  <c r="G9516" i="3"/>
  <c r="H9515" i="3"/>
  <c r="G9515" i="3"/>
  <c r="H9514" i="3"/>
  <c r="G9514" i="3"/>
  <c r="H9513" i="3"/>
  <c r="G9513" i="3"/>
  <c r="H9512" i="3"/>
  <c r="G9512" i="3"/>
  <c r="H9511" i="3"/>
  <c r="G9511" i="3"/>
  <c r="H9510" i="3"/>
  <c r="G9510" i="3"/>
  <c r="H9509" i="3"/>
  <c r="G9509" i="3"/>
  <c r="H9508" i="3"/>
  <c r="G9508" i="3"/>
  <c r="H9507" i="3"/>
  <c r="G9507" i="3"/>
  <c r="H9506" i="3"/>
  <c r="G9506" i="3"/>
  <c r="S398" i="1"/>
  <c r="F398" i="1"/>
  <c r="S397" i="1"/>
  <c r="F397" i="1"/>
  <c r="H9505" i="3"/>
  <c r="G9505" i="3"/>
  <c r="H9504" i="3"/>
  <c r="G9504" i="3"/>
  <c r="H9503" i="3"/>
  <c r="G9503" i="3"/>
  <c r="H9502" i="3"/>
  <c r="G9502" i="3"/>
  <c r="H9501" i="3"/>
  <c r="G9501" i="3"/>
  <c r="H9500" i="3"/>
  <c r="G9500" i="3"/>
  <c r="H9499" i="3"/>
  <c r="G9499" i="3"/>
  <c r="H9498" i="3"/>
  <c r="G9498" i="3"/>
  <c r="H9497" i="3"/>
  <c r="G9497" i="3"/>
  <c r="H9496" i="3"/>
  <c r="G9496" i="3"/>
  <c r="H9495" i="3"/>
  <c r="G9495" i="3"/>
  <c r="H9494" i="3"/>
  <c r="G9494" i="3"/>
  <c r="H9493" i="3"/>
  <c r="G9493" i="3"/>
  <c r="H9492" i="3"/>
  <c r="G9492" i="3"/>
  <c r="H9491" i="3"/>
  <c r="G9491" i="3"/>
  <c r="H9490" i="3"/>
  <c r="G9490" i="3"/>
  <c r="H9489" i="3"/>
  <c r="G9489" i="3"/>
  <c r="H9488" i="3"/>
  <c r="G9488" i="3"/>
  <c r="H9487" i="3"/>
  <c r="G9487" i="3"/>
  <c r="H9486" i="3"/>
  <c r="G9486" i="3"/>
  <c r="H9485" i="3"/>
  <c r="G9485" i="3"/>
  <c r="H9484" i="3"/>
  <c r="G9484" i="3"/>
  <c r="H9483" i="3"/>
  <c r="G9483" i="3"/>
  <c r="H9482" i="3"/>
  <c r="G9482" i="3"/>
  <c r="H9481" i="3"/>
  <c r="G9481" i="3"/>
  <c r="H9480" i="3"/>
  <c r="G9480" i="3"/>
  <c r="H9479" i="3"/>
  <c r="G9479" i="3"/>
  <c r="H9478" i="3"/>
  <c r="G9478" i="3"/>
  <c r="H9477" i="3"/>
  <c r="G9477" i="3"/>
  <c r="H9476" i="3"/>
  <c r="G9476" i="3"/>
  <c r="H9475" i="3"/>
  <c r="G9475" i="3"/>
  <c r="H9474" i="3"/>
  <c r="G9474" i="3"/>
  <c r="H9473" i="3"/>
  <c r="G9473" i="3"/>
  <c r="H9472" i="3"/>
  <c r="G9472" i="3"/>
  <c r="H9471" i="3"/>
  <c r="G9471" i="3"/>
  <c r="H9470" i="3"/>
  <c r="G9470" i="3"/>
  <c r="H9469" i="3"/>
  <c r="G9469" i="3"/>
  <c r="H9468" i="3"/>
  <c r="G9468" i="3"/>
  <c r="H9467" i="3"/>
  <c r="G9467" i="3"/>
  <c r="H9466" i="3"/>
  <c r="G9466" i="3"/>
  <c r="H9465" i="3"/>
  <c r="G9465" i="3"/>
  <c r="H9464" i="3"/>
  <c r="G9464" i="3"/>
  <c r="H9463" i="3"/>
  <c r="G9463" i="3"/>
  <c r="H9462" i="3"/>
  <c r="G9462" i="3"/>
  <c r="H9461" i="3"/>
  <c r="G9461" i="3"/>
  <c r="H9460" i="3"/>
  <c r="G9460" i="3"/>
  <c r="H9459" i="3"/>
  <c r="G9459" i="3"/>
  <c r="H9458" i="3"/>
  <c r="G9458" i="3"/>
  <c r="S396" i="1"/>
  <c r="F396" i="1"/>
  <c r="H9457" i="3"/>
  <c r="G9457" i="3"/>
  <c r="H9456" i="3"/>
  <c r="G9456" i="3"/>
  <c r="H9455" i="3"/>
  <c r="G9455" i="3"/>
  <c r="H9454" i="3"/>
  <c r="G9454" i="3"/>
  <c r="H9453" i="3"/>
  <c r="G9453" i="3"/>
  <c r="H9452" i="3"/>
  <c r="G9452" i="3"/>
  <c r="H9451" i="3"/>
  <c r="G9451" i="3"/>
  <c r="H9450" i="3"/>
  <c r="G9450" i="3"/>
  <c r="H9449" i="3"/>
  <c r="G9449" i="3"/>
  <c r="H9448" i="3"/>
  <c r="G9448" i="3"/>
  <c r="H9447" i="3"/>
  <c r="G9447" i="3"/>
  <c r="H9446" i="3"/>
  <c r="G9446" i="3"/>
  <c r="H9445" i="3"/>
  <c r="G9445" i="3"/>
  <c r="H9444" i="3"/>
  <c r="G9444" i="3"/>
  <c r="H9443" i="3"/>
  <c r="G9443" i="3"/>
  <c r="H9442" i="3"/>
  <c r="G9442" i="3"/>
  <c r="H9441" i="3"/>
  <c r="G9441" i="3"/>
  <c r="H9440" i="3"/>
  <c r="G9440" i="3"/>
  <c r="H9439" i="3"/>
  <c r="G9439" i="3"/>
  <c r="H9438" i="3"/>
  <c r="G9438" i="3"/>
  <c r="H9437" i="3"/>
  <c r="G9437" i="3"/>
  <c r="H9436" i="3"/>
  <c r="G9436" i="3"/>
  <c r="H9435" i="3"/>
  <c r="G9435" i="3"/>
  <c r="H9434" i="3"/>
  <c r="G9434" i="3"/>
  <c r="M393" i="1"/>
  <c r="M394" i="1"/>
  <c r="S395" i="1"/>
  <c r="F395" i="1"/>
  <c r="H9433" i="3"/>
  <c r="G9433" i="3"/>
  <c r="H9432" i="3"/>
  <c r="G9432" i="3"/>
  <c r="H9431" i="3"/>
  <c r="G9431" i="3"/>
  <c r="H9430" i="3"/>
  <c r="G9430" i="3"/>
  <c r="H9429" i="3"/>
  <c r="G9429" i="3"/>
  <c r="H9428" i="3"/>
  <c r="G9428" i="3"/>
  <c r="H9427" i="3"/>
  <c r="G9427" i="3"/>
  <c r="H9426" i="3"/>
  <c r="G9426" i="3"/>
  <c r="H9425" i="3"/>
  <c r="G9425" i="3"/>
  <c r="H9424" i="3"/>
  <c r="G9424" i="3"/>
  <c r="H9423" i="3"/>
  <c r="G9423" i="3"/>
  <c r="H9422" i="3"/>
  <c r="G9422" i="3"/>
  <c r="H9421" i="3"/>
  <c r="G9421" i="3"/>
  <c r="H9420" i="3"/>
  <c r="G9420" i="3"/>
  <c r="H9419" i="3"/>
  <c r="G9419" i="3"/>
  <c r="H9418" i="3"/>
  <c r="G9418" i="3"/>
  <c r="H9417" i="3"/>
  <c r="G9417" i="3"/>
  <c r="H9416" i="3"/>
  <c r="G9416" i="3"/>
  <c r="H9415" i="3"/>
  <c r="G9415" i="3"/>
  <c r="H9414" i="3"/>
  <c r="G9414" i="3"/>
  <c r="H9413" i="3"/>
  <c r="G9413" i="3"/>
  <c r="H9412" i="3"/>
  <c r="G9412" i="3"/>
  <c r="H9411" i="3"/>
  <c r="G9411" i="3"/>
  <c r="H9410" i="3"/>
  <c r="G9410" i="3"/>
  <c r="S394" i="1"/>
  <c r="F394" i="1"/>
  <c r="H9409" i="3"/>
  <c r="G9409" i="3"/>
  <c r="H9408" i="3"/>
  <c r="G9408" i="3"/>
  <c r="H9407" i="3"/>
  <c r="G9407" i="3"/>
  <c r="H9406" i="3"/>
  <c r="G9406" i="3"/>
  <c r="H9405" i="3"/>
  <c r="G9405" i="3"/>
  <c r="H9404" i="3"/>
  <c r="G9404" i="3"/>
  <c r="H9403" i="3"/>
  <c r="G9403" i="3"/>
  <c r="H9402" i="3"/>
  <c r="G9402" i="3"/>
  <c r="H9401" i="3"/>
  <c r="G9401" i="3"/>
  <c r="H9400" i="3"/>
  <c r="G9400" i="3"/>
  <c r="H9399" i="3"/>
  <c r="G9399" i="3"/>
  <c r="H9398" i="3"/>
  <c r="G9398" i="3"/>
  <c r="H9397" i="3"/>
  <c r="G9397" i="3"/>
  <c r="H9396" i="3"/>
  <c r="G9396" i="3"/>
  <c r="H9395" i="3"/>
  <c r="G9395" i="3"/>
  <c r="H9394" i="3"/>
  <c r="G9394" i="3"/>
  <c r="H9393" i="3"/>
  <c r="G9393" i="3"/>
  <c r="H9392" i="3"/>
  <c r="G9392" i="3"/>
  <c r="H9391" i="3"/>
  <c r="G9391" i="3"/>
  <c r="H9390" i="3"/>
  <c r="G9390" i="3"/>
  <c r="H9389" i="3"/>
  <c r="G9389" i="3"/>
  <c r="H9388" i="3"/>
  <c r="G9388" i="3"/>
  <c r="H9387" i="3"/>
  <c r="G9387" i="3"/>
  <c r="H9386" i="3"/>
  <c r="G9386" i="3"/>
  <c r="M391" i="1"/>
  <c r="M392" i="1"/>
  <c r="Y152" i="23" l="1"/>
  <c r="X120" i="23"/>
  <c r="D144" i="23"/>
  <c r="Z150" i="23"/>
  <c r="Z144" i="23"/>
  <c r="W120" i="23"/>
  <c r="U120" i="23"/>
  <c r="G152" i="23"/>
  <c r="W119" i="23"/>
  <c r="U123" i="23"/>
  <c r="Z127" i="23"/>
  <c r="Z132" i="23"/>
  <c r="G155" i="23"/>
  <c r="F156" i="23"/>
  <c r="F170" i="23"/>
  <c r="F172" i="23"/>
  <c r="Z173" i="23"/>
  <c r="Z176" i="23"/>
  <c r="F179" i="23"/>
  <c r="Z180" i="23"/>
  <c r="F183" i="23"/>
  <c r="Z184" i="23"/>
  <c r="F187" i="23"/>
  <c r="Z188" i="23"/>
  <c r="F191" i="23"/>
  <c r="AA192" i="23"/>
  <c r="Z201" i="23"/>
  <c r="AA211" i="23"/>
  <c r="Z211" i="23"/>
  <c r="Z217" i="23"/>
  <c r="AA219" i="23"/>
  <c r="Z219" i="23"/>
  <c r="Z225" i="23"/>
  <c r="AA227" i="23"/>
  <c r="Z227" i="23"/>
  <c r="Z233" i="23"/>
  <c r="AA259" i="23"/>
  <c r="Z259" i="23"/>
  <c r="D124" i="23"/>
  <c r="X140" i="23"/>
  <c r="Z151" i="23"/>
  <c r="Z159" i="23"/>
  <c r="Z160" i="23"/>
  <c r="F164" i="23"/>
  <c r="W136" i="23"/>
  <c r="C142" i="23"/>
  <c r="Z142" i="23" s="1"/>
  <c r="W142" i="23"/>
  <c r="AB142" i="23"/>
  <c r="G143" i="23"/>
  <c r="F152" i="23"/>
  <c r="F165" i="23"/>
  <c r="F168" i="23"/>
  <c r="Z168" i="23"/>
  <c r="F182" i="23"/>
  <c r="F186" i="23"/>
  <c r="F195" i="23"/>
  <c r="F190" i="23"/>
  <c r="F203" i="23"/>
  <c r="AA242" i="23"/>
  <c r="Z242" i="23"/>
  <c r="AA247" i="23"/>
  <c r="Z247" i="23"/>
  <c r="AA263" i="23"/>
  <c r="Z263" i="23"/>
  <c r="U119" i="23"/>
  <c r="G123" i="23"/>
  <c r="W123" i="23" s="1"/>
  <c r="F146" i="23"/>
  <c r="Z152" i="23"/>
  <c r="F157" i="23"/>
  <c r="F163" i="23"/>
  <c r="F166" i="23"/>
  <c r="F169" i="23"/>
  <c r="Z178" i="23"/>
  <c r="Z182" i="23"/>
  <c r="Z186" i="23"/>
  <c r="Z190" i="23"/>
  <c r="Z194" i="23"/>
  <c r="Z195" i="23"/>
  <c r="Z198" i="23"/>
  <c r="Z199" i="23"/>
  <c r="AA202" i="23"/>
  <c r="Z208" i="23"/>
  <c r="AA203" i="23"/>
  <c r="AA207" i="23"/>
  <c r="Z207" i="23"/>
  <c r="Z213" i="23"/>
  <c r="AA215" i="23"/>
  <c r="Z215" i="23"/>
  <c r="Z221" i="23"/>
  <c r="AA223" i="23"/>
  <c r="Z223" i="23"/>
  <c r="Z229" i="23"/>
  <c r="Z237" i="23"/>
  <c r="AA231" i="23"/>
  <c r="Z231" i="23"/>
  <c r="AA233" i="23"/>
  <c r="AA251" i="23"/>
  <c r="Z251" i="23"/>
  <c r="AA267" i="23"/>
  <c r="Z267" i="23"/>
  <c r="Z143" i="23"/>
  <c r="F145" i="23"/>
  <c r="F148" i="23"/>
  <c r="F153" i="23"/>
  <c r="F193" i="23"/>
  <c r="F197" i="23"/>
  <c r="Z205" i="23"/>
  <c r="F207" i="23"/>
  <c r="AA255" i="23"/>
  <c r="Z255" i="23"/>
  <c r="AA271" i="23"/>
  <c r="Z271" i="23"/>
  <c r="AA210" i="23"/>
  <c r="AA214" i="23"/>
  <c r="AA218" i="23"/>
  <c r="AA222" i="23"/>
  <c r="AA226" i="23"/>
  <c r="AA230" i="23"/>
  <c r="Z236" i="23"/>
  <c r="AA238" i="23"/>
  <c r="Z238" i="23"/>
  <c r="Z239" i="23"/>
  <c r="Z244" i="23"/>
  <c r="AA249" i="23"/>
  <c r="Z249" i="23"/>
  <c r="AA253" i="23"/>
  <c r="Z253" i="23"/>
  <c r="AA257" i="23"/>
  <c r="Z257" i="23"/>
  <c r="AA261" i="23"/>
  <c r="Z261" i="23"/>
  <c r="AA265" i="23"/>
  <c r="Z265" i="23"/>
  <c r="AA269" i="23"/>
  <c r="Z269" i="23"/>
  <c r="AA273" i="23"/>
  <c r="Z273" i="23"/>
  <c r="Z204" i="23"/>
  <c r="Z212" i="23"/>
  <c r="Z216" i="23"/>
  <c r="Z220" i="23"/>
  <c r="Z224" i="23"/>
  <c r="Z228" i="23"/>
  <c r="Z235" i="23"/>
  <c r="Z241" i="23"/>
  <c r="AA246" i="23"/>
  <c r="Z246" i="23"/>
  <c r="AA250" i="23"/>
  <c r="Z250" i="23"/>
  <c r="AA254" i="23"/>
  <c r="Z254" i="23"/>
  <c r="AA258" i="23"/>
  <c r="Z258" i="23"/>
  <c r="AA262" i="23"/>
  <c r="Z262" i="23"/>
  <c r="AA266" i="23"/>
  <c r="Z266" i="23"/>
  <c r="AA270" i="23"/>
  <c r="Z270" i="23"/>
  <c r="Z234" i="23"/>
  <c r="AA235" i="23"/>
  <c r="AA248" i="23"/>
  <c r="Z248" i="23"/>
  <c r="AA252" i="23"/>
  <c r="Z252" i="23"/>
  <c r="AA256" i="23"/>
  <c r="Z256" i="23"/>
  <c r="AA260" i="23"/>
  <c r="Z260" i="23"/>
  <c r="AA264" i="23"/>
  <c r="Z264" i="23"/>
  <c r="AA268" i="23"/>
  <c r="Z268" i="23"/>
  <c r="AA272" i="23"/>
  <c r="Z272" i="23"/>
  <c r="Z281" i="23"/>
  <c r="Z283" i="23"/>
  <c r="Z284" i="23"/>
  <c r="Z288" i="23"/>
  <c r="Z299" i="23"/>
  <c r="Z309" i="23"/>
  <c r="Z314" i="23"/>
  <c r="Z317" i="23"/>
  <c r="Z362" i="23"/>
  <c r="AA362" i="23"/>
  <c r="Z245" i="23"/>
  <c r="Z274" i="23"/>
  <c r="Z275" i="23"/>
  <c r="Z276" i="23"/>
  <c r="Z277" i="23"/>
  <c r="Z279" i="23"/>
  <c r="Z280" i="23"/>
  <c r="Z285" i="23"/>
  <c r="Z293" i="23"/>
  <c r="Z301" i="23"/>
  <c r="AA308" i="23"/>
  <c r="Z319" i="23"/>
  <c r="AA326" i="23"/>
  <c r="AA328" i="23"/>
  <c r="AA330" i="23"/>
  <c r="Z332" i="23"/>
  <c r="AA332" i="23"/>
  <c r="AA334" i="23"/>
  <c r="Z334" i="23"/>
  <c r="AA384" i="23"/>
  <c r="Z384" i="23"/>
  <c r="Z278" i="23"/>
  <c r="Z282" i="23"/>
  <c r="Z287" i="23"/>
  <c r="Z295" i="23"/>
  <c r="Z303" i="23"/>
  <c r="Z313" i="23"/>
  <c r="Z321" i="23"/>
  <c r="AA335" i="23"/>
  <c r="Z335" i="23"/>
  <c r="AA282" i="23"/>
  <c r="AA285" i="23"/>
  <c r="Z289" i="23"/>
  <c r="Z297" i="23"/>
  <c r="Z305" i="23"/>
  <c r="Z307" i="23"/>
  <c r="AA307" i="23"/>
  <c r="Z315" i="23"/>
  <c r="Z323" i="23"/>
  <c r="Z325" i="23"/>
  <c r="AA325" i="23"/>
  <c r="Z327" i="23"/>
  <c r="AA327" i="23"/>
  <c r="Z329" i="23"/>
  <c r="AA329" i="23"/>
  <c r="Z331" i="23"/>
  <c r="AA331" i="23"/>
  <c r="Z333" i="23"/>
  <c r="AA333" i="23"/>
  <c r="Z336" i="23"/>
  <c r="AA336" i="23"/>
  <c r="O399" i="23"/>
  <c r="N399" i="23"/>
  <c r="N400" i="23" s="1"/>
  <c r="N401" i="23" s="1"/>
  <c r="N402" i="23" s="1"/>
  <c r="N403" i="23" s="1"/>
  <c r="N404" i="23" s="1"/>
  <c r="N405" i="23" s="1"/>
  <c r="Z338" i="23"/>
  <c r="AA338" i="23"/>
  <c r="Z340" i="23"/>
  <c r="AA340" i="23"/>
  <c r="Z342" i="23"/>
  <c r="AA342" i="23"/>
  <c r="Z344" i="23"/>
  <c r="AA344" i="23"/>
  <c r="Z346" i="23"/>
  <c r="AA346" i="23"/>
  <c r="Z348" i="23"/>
  <c r="AA348" i="23"/>
  <c r="Z350" i="23"/>
  <c r="Z352" i="23"/>
  <c r="Z354" i="23"/>
  <c r="AA388" i="23"/>
  <c r="Z388" i="23"/>
  <c r="Z337" i="23"/>
  <c r="AA337" i="23"/>
  <c r="Z339" i="23"/>
  <c r="AA339" i="23"/>
  <c r="Z341" i="23"/>
  <c r="AA341" i="23"/>
  <c r="Z343" i="23"/>
  <c r="AA343" i="23"/>
  <c r="Z345" i="23"/>
  <c r="AA345" i="23"/>
  <c r="Z347" i="23"/>
  <c r="AA347" i="23"/>
  <c r="Z349" i="23"/>
  <c r="Z351" i="23"/>
  <c r="Z353" i="23"/>
  <c r="Z355" i="23"/>
  <c r="Z360" i="23"/>
  <c r="AA360" i="23"/>
  <c r="AA382" i="23"/>
  <c r="Z382" i="23"/>
  <c r="AA400" i="23"/>
  <c r="Z400" i="23"/>
  <c r="Z359" i="23"/>
  <c r="Z363" i="23"/>
  <c r="AA363" i="23"/>
  <c r="Z365" i="23"/>
  <c r="AA365" i="23"/>
  <c r="Z367" i="23"/>
  <c r="AA367" i="23"/>
  <c r="AC383" i="23"/>
  <c r="Z369" i="23"/>
  <c r="AA369" i="23"/>
  <c r="AC402" i="23"/>
  <c r="AA404" i="23"/>
  <c r="AA393" i="23"/>
  <c r="Z393" i="23"/>
  <c r="Z358" i="23"/>
  <c r="AA358" i="23"/>
  <c r="Z361" i="23"/>
  <c r="Z364" i="23"/>
  <c r="AA364" i="23"/>
  <c r="Z372" i="23"/>
  <c r="Z366" i="23"/>
  <c r="AA366" i="23"/>
  <c r="Z374" i="23"/>
  <c r="Z368" i="23"/>
  <c r="AA368" i="23"/>
  <c r="Z376" i="23"/>
  <c r="Z370" i="23"/>
  <c r="AA370" i="23"/>
  <c r="Z373" i="23"/>
  <c r="AC377" i="23"/>
  <c r="AC379" i="23"/>
  <c r="AC382" i="23"/>
  <c r="AA383" i="23"/>
  <c r="Z383" i="23"/>
  <c r="AC384" i="23"/>
  <c r="Z387" i="23"/>
  <c r="AA389" i="23"/>
  <c r="Z390" i="23"/>
  <c r="AC397" i="23"/>
  <c r="Z398" i="23"/>
  <c r="Z401" i="23"/>
  <c r="AA402" i="23"/>
  <c r="AC381" i="23"/>
  <c r="Z385" i="23"/>
  <c r="Z392" i="23"/>
  <c r="Z394" i="23"/>
  <c r="AC396" i="23"/>
  <c r="AC398" i="23"/>
  <c r="Z399" i="23"/>
  <c r="AC401" i="23"/>
  <c r="R401" i="23"/>
  <c r="AA401" i="23"/>
  <c r="Z389" i="23"/>
  <c r="Z402" i="23"/>
  <c r="Z404" i="23"/>
  <c r="F393" i="1"/>
  <c r="S393" i="1"/>
  <c r="D125" i="23" l="1"/>
  <c r="U124" i="23"/>
  <c r="W124" i="23"/>
  <c r="X123" i="23"/>
  <c r="G124" i="23"/>
  <c r="Z148" i="23"/>
  <c r="D145" i="23"/>
  <c r="G144" i="23"/>
  <c r="W144" i="23" s="1"/>
  <c r="X143" i="23"/>
  <c r="G156" i="23"/>
  <c r="W143" i="23"/>
  <c r="H9385" i="3"/>
  <c r="G9385" i="3"/>
  <c r="H9384" i="3"/>
  <c r="G9384" i="3"/>
  <c r="H9383" i="3"/>
  <c r="G9383" i="3"/>
  <c r="H9382" i="3"/>
  <c r="G9382" i="3"/>
  <c r="H9381" i="3"/>
  <c r="G9381" i="3"/>
  <c r="H9380" i="3"/>
  <c r="G9380" i="3"/>
  <c r="H9379" i="3"/>
  <c r="G9379" i="3"/>
  <c r="H9378" i="3"/>
  <c r="G9378" i="3"/>
  <c r="H9377" i="3"/>
  <c r="G9377" i="3"/>
  <c r="H9376" i="3"/>
  <c r="G9376" i="3"/>
  <c r="H9375" i="3"/>
  <c r="G9375" i="3"/>
  <c r="H9374" i="3"/>
  <c r="G9374" i="3"/>
  <c r="H9373" i="3"/>
  <c r="G9373" i="3"/>
  <c r="H9372" i="3"/>
  <c r="G9372" i="3"/>
  <c r="H9371" i="3"/>
  <c r="G9371" i="3"/>
  <c r="H9370" i="3"/>
  <c r="G9370" i="3"/>
  <c r="H9369" i="3"/>
  <c r="G9369" i="3"/>
  <c r="H9368" i="3"/>
  <c r="G9368" i="3"/>
  <c r="H9367" i="3"/>
  <c r="G9367" i="3"/>
  <c r="H9366" i="3"/>
  <c r="G9366" i="3"/>
  <c r="H9365" i="3"/>
  <c r="G9365" i="3"/>
  <c r="H9364" i="3"/>
  <c r="G9364" i="3"/>
  <c r="H9363" i="3"/>
  <c r="G9363" i="3"/>
  <c r="H9362" i="3"/>
  <c r="G9362" i="3"/>
  <c r="S392" i="1"/>
  <c r="F392" i="1"/>
  <c r="H9361" i="3"/>
  <c r="G9361" i="3"/>
  <c r="H9360" i="3"/>
  <c r="G9360" i="3"/>
  <c r="H9359" i="3"/>
  <c r="G9359" i="3"/>
  <c r="H9358" i="3"/>
  <c r="G9358" i="3"/>
  <c r="H9357" i="3"/>
  <c r="G9357" i="3"/>
  <c r="H9356" i="3"/>
  <c r="G9356" i="3"/>
  <c r="H9355" i="3"/>
  <c r="G9355" i="3"/>
  <c r="H9354" i="3"/>
  <c r="G9354" i="3"/>
  <c r="H9353" i="3"/>
  <c r="G9353" i="3"/>
  <c r="H9352" i="3"/>
  <c r="G9352" i="3"/>
  <c r="H9351" i="3"/>
  <c r="G9351" i="3"/>
  <c r="H9350" i="3"/>
  <c r="G9350" i="3"/>
  <c r="H9349" i="3"/>
  <c r="G9349" i="3"/>
  <c r="H9348" i="3"/>
  <c r="G9348" i="3"/>
  <c r="H9347" i="3"/>
  <c r="G9347" i="3"/>
  <c r="H9346" i="3"/>
  <c r="G9346" i="3"/>
  <c r="H9345" i="3"/>
  <c r="G9345" i="3"/>
  <c r="H9344" i="3"/>
  <c r="G9344" i="3"/>
  <c r="H9343" i="3"/>
  <c r="G9343" i="3"/>
  <c r="H9342" i="3"/>
  <c r="G9342" i="3"/>
  <c r="H9341" i="3"/>
  <c r="G9341" i="3"/>
  <c r="H9340" i="3"/>
  <c r="G9340" i="3"/>
  <c r="H9339" i="3"/>
  <c r="G9339" i="3"/>
  <c r="H9338" i="3"/>
  <c r="G9338" i="3"/>
  <c r="M389" i="1"/>
  <c r="M390" i="1"/>
  <c r="S391" i="1"/>
  <c r="F391" i="1"/>
  <c r="T26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" i="15"/>
  <c r="S26" i="15"/>
  <c r="R26" i="15"/>
  <c r="Q26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" i="15"/>
  <c r="N26" i="15"/>
  <c r="O5" i="15"/>
  <c r="O9" i="15"/>
  <c r="O13" i="15"/>
  <c r="O17" i="15"/>
  <c r="O21" i="15"/>
  <c r="O25" i="15"/>
  <c r="L3" i="15"/>
  <c r="O3" i="15" s="1"/>
  <c r="L4" i="15"/>
  <c r="O4" i="15" s="1"/>
  <c r="L5" i="15"/>
  <c r="L6" i="15"/>
  <c r="O6" i="15" s="1"/>
  <c r="L7" i="15"/>
  <c r="O7" i="15" s="1"/>
  <c r="L8" i="15"/>
  <c r="O8" i="15" s="1"/>
  <c r="L9" i="15"/>
  <c r="L10" i="15"/>
  <c r="O10" i="15" s="1"/>
  <c r="L11" i="15"/>
  <c r="O11" i="15" s="1"/>
  <c r="L12" i="15"/>
  <c r="O12" i="15" s="1"/>
  <c r="L13" i="15"/>
  <c r="L14" i="15"/>
  <c r="O14" i="15" s="1"/>
  <c r="L15" i="15"/>
  <c r="O15" i="15" s="1"/>
  <c r="L16" i="15"/>
  <c r="O16" i="15" s="1"/>
  <c r="L17" i="15"/>
  <c r="L18" i="15"/>
  <c r="O18" i="15" s="1"/>
  <c r="L19" i="15"/>
  <c r="O19" i="15" s="1"/>
  <c r="L20" i="15"/>
  <c r="O20" i="15" s="1"/>
  <c r="L21" i="15"/>
  <c r="L22" i="15"/>
  <c r="O22" i="15" s="1"/>
  <c r="L23" i="15"/>
  <c r="O23" i="15" s="1"/>
  <c r="L24" i="15"/>
  <c r="O24" i="15" s="1"/>
  <c r="L25" i="15"/>
  <c r="L26" i="15"/>
  <c r="O26" i="15" s="1"/>
  <c r="L2" i="15"/>
  <c r="O2" i="15" s="1"/>
  <c r="H9337" i="3"/>
  <c r="G9337" i="3"/>
  <c r="H9336" i="3"/>
  <c r="G9336" i="3"/>
  <c r="H9335" i="3"/>
  <c r="G9335" i="3"/>
  <c r="H9334" i="3"/>
  <c r="G9334" i="3"/>
  <c r="H9333" i="3"/>
  <c r="G9333" i="3"/>
  <c r="H9332" i="3"/>
  <c r="G9332" i="3"/>
  <c r="H9331" i="3"/>
  <c r="G9331" i="3"/>
  <c r="H9330" i="3"/>
  <c r="G9330" i="3"/>
  <c r="H9329" i="3"/>
  <c r="G9329" i="3"/>
  <c r="H9328" i="3"/>
  <c r="G9328" i="3"/>
  <c r="H9327" i="3"/>
  <c r="G9327" i="3"/>
  <c r="H9326" i="3"/>
  <c r="G9326" i="3"/>
  <c r="H9325" i="3"/>
  <c r="G9325" i="3"/>
  <c r="H9324" i="3"/>
  <c r="G9324" i="3"/>
  <c r="H9323" i="3"/>
  <c r="G9323" i="3"/>
  <c r="H9322" i="3"/>
  <c r="G9322" i="3"/>
  <c r="H9321" i="3"/>
  <c r="G9321" i="3"/>
  <c r="H9320" i="3"/>
  <c r="G9320" i="3"/>
  <c r="H9319" i="3"/>
  <c r="G9319" i="3"/>
  <c r="H9318" i="3"/>
  <c r="G9318" i="3"/>
  <c r="H9317" i="3"/>
  <c r="G9317" i="3"/>
  <c r="H9316" i="3"/>
  <c r="G9316" i="3"/>
  <c r="H9315" i="3"/>
  <c r="G9315" i="3"/>
  <c r="H9314" i="3"/>
  <c r="G9314" i="3"/>
  <c r="S390" i="1"/>
  <c r="J169" i="1"/>
  <c r="J388" i="1"/>
  <c r="J387" i="1" s="1"/>
  <c r="J386" i="1" s="1"/>
  <c r="J385" i="1" s="1"/>
  <c r="J384" i="1" s="1"/>
  <c r="J383" i="1" s="1"/>
  <c r="J382" i="1" s="1"/>
  <c r="J381" i="1" s="1"/>
  <c r="J380" i="1" s="1"/>
  <c r="J379" i="1" s="1"/>
  <c r="J378" i="1" s="1"/>
  <c r="J377" i="1" s="1"/>
  <c r="J376" i="1" s="1"/>
  <c r="J375" i="1" s="1"/>
  <c r="J374" i="1" s="1"/>
  <c r="J373" i="1" s="1"/>
  <c r="J372" i="1" s="1"/>
  <c r="J371" i="1" s="1"/>
  <c r="J370" i="1" s="1"/>
  <c r="J369" i="1" s="1"/>
  <c r="J368" i="1" s="1"/>
  <c r="J367" i="1" s="1"/>
  <c r="J366" i="1" s="1"/>
  <c r="J365" i="1" s="1"/>
  <c r="J364" i="1" s="1"/>
  <c r="J363" i="1" s="1"/>
  <c r="J362" i="1" s="1"/>
  <c r="J361" i="1" s="1"/>
  <c r="J360" i="1" s="1"/>
  <c r="J359" i="1" s="1"/>
  <c r="J358" i="1" s="1"/>
  <c r="J357" i="1" s="1"/>
  <c r="J356" i="1" s="1"/>
  <c r="J355" i="1" s="1"/>
  <c r="J354" i="1" s="1"/>
  <c r="J353" i="1" s="1"/>
  <c r="J352" i="1" s="1"/>
  <c r="J351" i="1" s="1"/>
  <c r="J350" i="1" s="1"/>
  <c r="J349" i="1" s="1"/>
  <c r="J348" i="1" s="1"/>
  <c r="J347" i="1" s="1"/>
  <c r="J346" i="1" s="1"/>
  <c r="J345" i="1" s="1"/>
  <c r="J344" i="1" s="1"/>
  <c r="J343" i="1" s="1"/>
  <c r="J342" i="1" s="1"/>
  <c r="J341" i="1" s="1"/>
  <c r="J340" i="1" s="1"/>
  <c r="J339" i="1" s="1"/>
  <c r="J338" i="1" s="1"/>
  <c r="J337" i="1" s="1"/>
  <c r="J336" i="1" s="1"/>
  <c r="J335" i="1" s="1"/>
  <c r="J334" i="1" s="1"/>
  <c r="J333" i="1" s="1"/>
  <c r="J332" i="1" s="1"/>
  <c r="J331" i="1" s="1"/>
  <c r="J330" i="1" s="1"/>
  <c r="J329" i="1" s="1"/>
  <c r="J328" i="1" s="1"/>
  <c r="J327" i="1" s="1"/>
  <c r="J326" i="1" s="1"/>
  <c r="J325" i="1" s="1"/>
  <c r="J324" i="1" s="1"/>
  <c r="J323" i="1" s="1"/>
  <c r="J322" i="1" s="1"/>
  <c r="J321" i="1" s="1"/>
  <c r="J320" i="1" s="1"/>
  <c r="J319" i="1" s="1"/>
  <c r="J318" i="1" s="1"/>
  <c r="J317" i="1" s="1"/>
  <c r="J316" i="1" s="1"/>
  <c r="J315" i="1" s="1"/>
  <c r="J314" i="1" s="1"/>
  <c r="J313" i="1" s="1"/>
  <c r="J312" i="1" s="1"/>
  <c r="J311" i="1" s="1"/>
  <c r="J310" i="1" s="1"/>
  <c r="J309" i="1" s="1"/>
  <c r="J308" i="1" s="1"/>
  <c r="J307" i="1" s="1"/>
  <c r="J306" i="1" s="1"/>
  <c r="J305" i="1" s="1"/>
  <c r="J304" i="1" s="1"/>
  <c r="J303" i="1" s="1"/>
  <c r="J302" i="1" s="1"/>
  <c r="J301" i="1" s="1"/>
  <c r="J300" i="1" s="1"/>
  <c r="J299" i="1" s="1"/>
  <c r="J298" i="1" s="1"/>
  <c r="J297" i="1" s="1"/>
  <c r="J296" i="1" s="1"/>
  <c r="J295" i="1" s="1"/>
  <c r="J294" i="1" s="1"/>
  <c r="J293" i="1" s="1"/>
  <c r="J292" i="1" s="1"/>
  <c r="J291" i="1" s="1"/>
  <c r="J290" i="1" s="1"/>
  <c r="J289" i="1" s="1"/>
  <c r="J288" i="1" s="1"/>
  <c r="J287" i="1" s="1"/>
  <c r="J286" i="1" s="1"/>
  <c r="J285" i="1" s="1"/>
  <c r="J284" i="1" s="1"/>
  <c r="J283" i="1" s="1"/>
  <c r="J282" i="1" s="1"/>
  <c r="J281" i="1" s="1"/>
  <c r="J280" i="1" s="1"/>
  <c r="J279" i="1" s="1"/>
  <c r="J278" i="1" s="1"/>
  <c r="J277" i="1" s="1"/>
  <c r="J276" i="1" s="1"/>
  <c r="J275" i="1" s="1"/>
  <c r="J274" i="1" s="1"/>
  <c r="J273" i="1" s="1"/>
  <c r="J272" i="1" s="1"/>
  <c r="J271" i="1" s="1"/>
  <c r="J270" i="1" s="1"/>
  <c r="J269" i="1" s="1"/>
  <c r="J268" i="1" s="1"/>
  <c r="J267" i="1" s="1"/>
  <c r="J266" i="1" s="1"/>
  <c r="J265" i="1" s="1"/>
  <c r="J264" i="1" s="1"/>
  <c r="J263" i="1" s="1"/>
  <c r="J262" i="1" s="1"/>
  <c r="J261" i="1" s="1"/>
  <c r="J260" i="1" s="1"/>
  <c r="J259" i="1" s="1"/>
  <c r="J258" i="1" s="1"/>
  <c r="J257" i="1" s="1"/>
  <c r="J256" i="1" s="1"/>
  <c r="J255" i="1" s="1"/>
  <c r="J254" i="1" s="1"/>
  <c r="J253" i="1" s="1"/>
  <c r="J252" i="1" s="1"/>
  <c r="J251" i="1" s="1"/>
  <c r="J250" i="1" s="1"/>
  <c r="J249" i="1" s="1"/>
  <c r="J248" i="1" s="1"/>
  <c r="J247" i="1" s="1"/>
  <c r="J246" i="1" s="1"/>
  <c r="J245" i="1" s="1"/>
  <c r="J244" i="1" s="1"/>
  <c r="J243" i="1" s="1"/>
  <c r="J242" i="1" s="1"/>
  <c r="J241" i="1" s="1"/>
  <c r="J240" i="1" s="1"/>
  <c r="J239" i="1" s="1"/>
  <c r="J238" i="1" s="1"/>
  <c r="J237" i="1" s="1"/>
  <c r="J236" i="1" s="1"/>
  <c r="J235" i="1" s="1"/>
  <c r="J234" i="1" s="1"/>
  <c r="J233" i="1" s="1"/>
  <c r="J232" i="1" s="1"/>
  <c r="J231" i="1" s="1"/>
  <c r="J230" i="1" s="1"/>
  <c r="J229" i="1" s="1"/>
  <c r="J228" i="1" s="1"/>
  <c r="J227" i="1" s="1"/>
  <c r="J226" i="1" s="1"/>
  <c r="J225" i="1" s="1"/>
  <c r="J224" i="1" s="1"/>
  <c r="J223" i="1" s="1"/>
  <c r="J222" i="1" s="1"/>
  <c r="J221" i="1" s="1"/>
  <c r="J220" i="1" s="1"/>
  <c r="J219" i="1" s="1"/>
  <c r="J218" i="1" s="1"/>
  <c r="J217" i="1" s="1"/>
  <c r="J216" i="1" s="1"/>
  <c r="J215" i="1" s="1"/>
  <c r="J214" i="1" s="1"/>
  <c r="J213" i="1" s="1"/>
  <c r="J212" i="1" s="1"/>
  <c r="J211" i="1" s="1"/>
  <c r="J210" i="1" s="1"/>
  <c r="J209" i="1" s="1"/>
  <c r="J208" i="1" s="1"/>
  <c r="J207" i="1" s="1"/>
  <c r="J206" i="1" s="1"/>
  <c r="J205" i="1" s="1"/>
  <c r="J204" i="1" s="1"/>
  <c r="J203" i="1" s="1"/>
  <c r="J202" i="1" s="1"/>
  <c r="J201" i="1" s="1"/>
  <c r="J200" i="1" s="1"/>
  <c r="J199" i="1" s="1"/>
  <c r="J198" i="1" s="1"/>
  <c r="J197" i="1" s="1"/>
  <c r="J196" i="1" s="1"/>
  <c r="J195" i="1" s="1"/>
  <c r="J194" i="1" s="1"/>
  <c r="J193" i="1" s="1"/>
  <c r="J192" i="1" s="1"/>
  <c r="J191" i="1" s="1"/>
  <c r="J190" i="1" s="1"/>
  <c r="J189" i="1" s="1"/>
  <c r="J188" i="1" s="1"/>
  <c r="J187" i="1" s="1"/>
  <c r="J186" i="1" s="1"/>
  <c r="J185" i="1" s="1"/>
  <c r="J184" i="1" s="1"/>
  <c r="J183" i="1" s="1"/>
  <c r="J182" i="1" s="1"/>
  <c r="J181" i="1" s="1"/>
  <c r="J180" i="1" s="1"/>
  <c r="J179" i="1" s="1"/>
  <c r="J178" i="1" s="1"/>
  <c r="J177" i="1" s="1"/>
  <c r="J176" i="1" s="1"/>
  <c r="J175" i="1" s="1"/>
  <c r="J174" i="1" s="1"/>
  <c r="J173" i="1" s="1"/>
  <c r="J172" i="1" s="1"/>
  <c r="J171" i="1" s="1"/>
  <c r="J170" i="1" s="1"/>
  <c r="J390" i="1"/>
  <c r="J391" i="1" s="1"/>
  <c r="J392" i="1" s="1"/>
  <c r="J393" i="1" s="1"/>
  <c r="J394" i="1" s="1"/>
  <c r="J395" i="1" s="1"/>
  <c r="J396" i="1" s="1"/>
  <c r="J397" i="1" s="1"/>
  <c r="J398" i="1" s="1"/>
  <c r="F390" i="1"/>
  <c r="G157" i="23" l="1"/>
  <c r="G145" i="23"/>
  <c r="X144" i="23"/>
  <c r="D146" i="23"/>
  <c r="X124" i="23"/>
  <c r="G125" i="23"/>
  <c r="U125" i="23"/>
  <c r="H9313" i="3"/>
  <c r="G9313" i="3"/>
  <c r="H9312" i="3"/>
  <c r="G9312" i="3"/>
  <c r="H9311" i="3"/>
  <c r="G9311" i="3"/>
  <c r="H9310" i="3"/>
  <c r="G9310" i="3"/>
  <c r="H9309" i="3"/>
  <c r="G9309" i="3"/>
  <c r="H9308" i="3"/>
  <c r="G9308" i="3"/>
  <c r="H9307" i="3"/>
  <c r="G9307" i="3"/>
  <c r="H9306" i="3"/>
  <c r="G9306" i="3"/>
  <c r="H9305" i="3"/>
  <c r="G9305" i="3"/>
  <c r="H9304" i="3"/>
  <c r="G9304" i="3"/>
  <c r="H9303" i="3"/>
  <c r="G9303" i="3"/>
  <c r="H9302" i="3"/>
  <c r="G9302" i="3"/>
  <c r="H9301" i="3"/>
  <c r="G9301" i="3"/>
  <c r="H9300" i="3"/>
  <c r="G9300" i="3"/>
  <c r="H9299" i="3"/>
  <c r="G9299" i="3"/>
  <c r="H9298" i="3"/>
  <c r="G9298" i="3"/>
  <c r="H9297" i="3"/>
  <c r="G9297" i="3"/>
  <c r="H9296" i="3"/>
  <c r="G9296" i="3"/>
  <c r="H9295" i="3"/>
  <c r="G9295" i="3"/>
  <c r="H9294" i="3"/>
  <c r="G9294" i="3"/>
  <c r="H9293" i="3"/>
  <c r="G9293" i="3"/>
  <c r="H9292" i="3"/>
  <c r="G9292" i="3"/>
  <c r="H9291" i="3"/>
  <c r="G9291" i="3"/>
  <c r="H9290" i="3"/>
  <c r="G9290" i="3"/>
  <c r="M386" i="1"/>
  <c r="M387" i="1"/>
  <c r="M388" i="1"/>
  <c r="F389" i="1"/>
  <c r="S389" i="1"/>
  <c r="H9289" i="3"/>
  <c r="G9289" i="3"/>
  <c r="H9288" i="3"/>
  <c r="G9288" i="3"/>
  <c r="H9287" i="3"/>
  <c r="G9287" i="3"/>
  <c r="H9286" i="3"/>
  <c r="G9286" i="3"/>
  <c r="H9285" i="3"/>
  <c r="G9285" i="3"/>
  <c r="H9284" i="3"/>
  <c r="G9284" i="3"/>
  <c r="H9283" i="3"/>
  <c r="G9283" i="3"/>
  <c r="H9282" i="3"/>
  <c r="G9282" i="3"/>
  <c r="H9281" i="3"/>
  <c r="G9281" i="3"/>
  <c r="H9280" i="3"/>
  <c r="G9280" i="3"/>
  <c r="H9279" i="3"/>
  <c r="G9279" i="3"/>
  <c r="H9278" i="3"/>
  <c r="G9278" i="3"/>
  <c r="H9277" i="3"/>
  <c r="G9277" i="3"/>
  <c r="H9276" i="3"/>
  <c r="G9276" i="3"/>
  <c r="H9275" i="3"/>
  <c r="G9275" i="3"/>
  <c r="H9274" i="3"/>
  <c r="G9274" i="3"/>
  <c r="H9273" i="3"/>
  <c r="G9273" i="3"/>
  <c r="H9272" i="3"/>
  <c r="G9272" i="3"/>
  <c r="H9271" i="3"/>
  <c r="G9271" i="3"/>
  <c r="H9270" i="3"/>
  <c r="G9270" i="3"/>
  <c r="H9269" i="3"/>
  <c r="G9269" i="3"/>
  <c r="H9268" i="3"/>
  <c r="G9268" i="3"/>
  <c r="H9267" i="3"/>
  <c r="G9267" i="3"/>
  <c r="H9266" i="3"/>
  <c r="G9266" i="3"/>
  <c r="S388" i="1"/>
  <c r="F388" i="1"/>
  <c r="H9265" i="3"/>
  <c r="G9265" i="3"/>
  <c r="H9264" i="3"/>
  <c r="G9264" i="3"/>
  <c r="H9263" i="3"/>
  <c r="G9263" i="3"/>
  <c r="H9262" i="3"/>
  <c r="G9262" i="3"/>
  <c r="H9261" i="3"/>
  <c r="G9261" i="3"/>
  <c r="H9260" i="3"/>
  <c r="G9260" i="3"/>
  <c r="H9259" i="3"/>
  <c r="G9259" i="3"/>
  <c r="H9258" i="3"/>
  <c r="G9258" i="3"/>
  <c r="H9257" i="3"/>
  <c r="G9257" i="3"/>
  <c r="H9256" i="3"/>
  <c r="G9256" i="3"/>
  <c r="H9255" i="3"/>
  <c r="G9255" i="3"/>
  <c r="H9254" i="3"/>
  <c r="G9254" i="3"/>
  <c r="H9253" i="3"/>
  <c r="G9253" i="3"/>
  <c r="H9252" i="3"/>
  <c r="G9252" i="3"/>
  <c r="H9251" i="3"/>
  <c r="G9251" i="3"/>
  <c r="H9250" i="3"/>
  <c r="G9250" i="3"/>
  <c r="H9249" i="3"/>
  <c r="G9249" i="3"/>
  <c r="H9248" i="3"/>
  <c r="G9248" i="3"/>
  <c r="H9247" i="3"/>
  <c r="G9247" i="3"/>
  <c r="H9246" i="3"/>
  <c r="G9246" i="3"/>
  <c r="H9245" i="3"/>
  <c r="G9245" i="3"/>
  <c r="H9244" i="3"/>
  <c r="G9244" i="3"/>
  <c r="H9243" i="3"/>
  <c r="G9243" i="3"/>
  <c r="H9242" i="3"/>
  <c r="G9242" i="3"/>
  <c r="S387" i="1"/>
  <c r="F387" i="1"/>
  <c r="BH26" i="18"/>
  <c r="M384" i="1"/>
  <c r="M385" i="1"/>
  <c r="S386" i="1"/>
  <c r="F386" i="1"/>
  <c r="H9241" i="3"/>
  <c r="G9241" i="3"/>
  <c r="H9240" i="3"/>
  <c r="G9240" i="3"/>
  <c r="H9239" i="3"/>
  <c r="G9239" i="3"/>
  <c r="H9238" i="3"/>
  <c r="G9238" i="3"/>
  <c r="H9237" i="3"/>
  <c r="G9237" i="3"/>
  <c r="H9236" i="3"/>
  <c r="G9236" i="3"/>
  <c r="H9235" i="3"/>
  <c r="G9235" i="3"/>
  <c r="H9234" i="3"/>
  <c r="G9234" i="3"/>
  <c r="H9233" i="3"/>
  <c r="G9233" i="3"/>
  <c r="H9232" i="3"/>
  <c r="G9232" i="3"/>
  <c r="H9231" i="3"/>
  <c r="G9231" i="3"/>
  <c r="H9230" i="3"/>
  <c r="G9230" i="3"/>
  <c r="H9229" i="3"/>
  <c r="G9229" i="3"/>
  <c r="H9228" i="3"/>
  <c r="G9228" i="3"/>
  <c r="H9227" i="3"/>
  <c r="G9227" i="3"/>
  <c r="H9226" i="3"/>
  <c r="G9226" i="3"/>
  <c r="H9225" i="3"/>
  <c r="G9225" i="3"/>
  <c r="H9224" i="3"/>
  <c r="G9224" i="3"/>
  <c r="H9223" i="3"/>
  <c r="G9223" i="3"/>
  <c r="H9222" i="3"/>
  <c r="G9222" i="3"/>
  <c r="H9221" i="3"/>
  <c r="G9221" i="3"/>
  <c r="H9220" i="3"/>
  <c r="G9220" i="3"/>
  <c r="H9219" i="3"/>
  <c r="G9219" i="3"/>
  <c r="H9218" i="3"/>
  <c r="G9218" i="3"/>
  <c r="BE26" i="18"/>
  <c r="BF26" i="18"/>
  <c r="BG26" i="18"/>
  <c r="H9217" i="3"/>
  <c r="G9217" i="3"/>
  <c r="H9216" i="3"/>
  <c r="G9216" i="3"/>
  <c r="H9215" i="3"/>
  <c r="G9215" i="3"/>
  <c r="H9214" i="3"/>
  <c r="G9214" i="3"/>
  <c r="H9213" i="3"/>
  <c r="G9213" i="3"/>
  <c r="H9212" i="3"/>
  <c r="G9212" i="3"/>
  <c r="H9211" i="3"/>
  <c r="G9211" i="3"/>
  <c r="H9210" i="3"/>
  <c r="G9210" i="3"/>
  <c r="H9209" i="3"/>
  <c r="G9209" i="3"/>
  <c r="H9208" i="3"/>
  <c r="G9208" i="3"/>
  <c r="H9207" i="3"/>
  <c r="G9207" i="3"/>
  <c r="H9206" i="3"/>
  <c r="G9206" i="3"/>
  <c r="H9205" i="3"/>
  <c r="G9205" i="3"/>
  <c r="H9204" i="3"/>
  <c r="G9204" i="3"/>
  <c r="H9203" i="3"/>
  <c r="G9203" i="3"/>
  <c r="H9202" i="3"/>
  <c r="G9202" i="3"/>
  <c r="H9201" i="3"/>
  <c r="G9201" i="3"/>
  <c r="H9200" i="3"/>
  <c r="G9200" i="3"/>
  <c r="H9199" i="3"/>
  <c r="G9199" i="3"/>
  <c r="H9198" i="3"/>
  <c r="G9198" i="3"/>
  <c r="H9197" i="3"/>
  <c r="G9197" i="3"/>
  <c r="H9196" i="3"/>
  <c r="G9196" i="3"/>
  <c r="H9195" i="3"/>
  <c r="G9195" i="3"/>
  <c r="H9194" i="3"/>
  <c r="G9194" i="3"/>
  <c r="S385" i="1"/>
  <c r="F385" i="1"/>
  <c r="H9193" i="3"/>
  <c r="G9193" i="3"/>
  <c r="H9192" i="3"/>
  <c r="G9192" i="3"/>
  <c r="H9191" i="3"/>
  <c r="G9191" i="3"/>
  <c r="H9190" i="3"/>
  <c r="G9190" i="3"/>
  <c r="H9189" i="3"/>
  <c r="G9189" i="3"/>
  <c r="H9188" i="3"/>
  <c r="G9188" i="3"/>
  <c r="H9187" i="3"/>
  <c r="G9187" i="3"/>
  <c r="H9186" i="3"/>
  <c r="G9186" i="3"/>
  <c r="H9185" i="3"/>
  <c r="G9185" i="3"/>
  <c r="H9184" i="3"/>
  <c r="G9184" i="3"/>
  <c r="H9183" i="3"/>
  <c r="G9183" i="3"/>
  <c r="H9182" i="3"/>
  <c r="G9182" i="3"/>
  <c r="H9181" i="3"/>
  <c r="G9181" i="3"/>
  <c r="H9180" i="3"/>
  <c r="G9180" i="3"/>
  <c r="H9179" i="3"/>
  <c r="G9179" i="3"/>
  <c r="H9178" i="3"/>
  <c r="G9178" i="3"/>
  <c r="H9177" i="3"/>
  <c r="G9177" i="3"/>
  <c r="H9176" i="3"/>
  <c r="G9176" i="3"/>
  <c r="H9175" i="3"/>
  <c r="G9175" i="3"/>
  <c r="H9174" i="3"/>
  <c r="G9174" i="3"/>
  <c r="H9173" i="3"/>
  <c r="G9173" i="3"/>
  <c r="H9172" i="3"/>
  <c r="G9172" i="3"/>
  <c r="H9171" i="3"/>
  <c r="G9171" i="3"/>
  <c r="H9170" i="3"/>
  <c r="G9170" i="3"/>
  <c r="S384" i="1"/>
  <c r="F384" i="1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128" i="3"/>
  <c r="G9127" i="3"/>
  <c r="G9152" i="3"/>
  <c r="G9151" i="3"/>
  <c r="E4922" i="3"/>
  <c r="M380" i="1"/>
  <c r="M381" i="1"/>
  <c r="M382" i="1"/>
  <c r="M383" i="1"/>
  <c r="BC26" i="18"/>
  <c r="BD26" i="18"/>
  <c r="H9169" i="3"/>
  <c r="G9169" i="3"/>
  <c r="H9168" i="3"/>
  <c r="G9168" i="3"/>
  <c r="H9167" i="3"/>
  <c r="G9167" i="3"/>
  <c r="H9166" i="3"/>
  <c r="G9166" i="3"/>
  <c r="H9165" i="3"/>
  <c r="G9165" i="3"/>
  <c r="H9164" i="3"/>
  <c r="G9164" i="3"/>
  <c r="H9163" i="3"/>
  <c r="G9163" i="3"/>
  <c r="H9162" i="3"/>
  <c r="G9162" i="3"/>
  <c r="H9161" i="3"/>
  <c r="G9161" i="3"/>
  <c r="H9160" i="3"/>
  <c r="G9160" i="3"/>
  <c r="H9159" i="3"/>
  <c r="G9159" i="3"/>
  <c r="H9158" i="3"/>
  <c r="G9158" i="3"/>
  <c r="H9157" i="3"/>
  <c r="G9157" i="3"/>
  <c r="H9156" i="3"/>
  <c r="G9156" i="3"/>
  <c r="H9155" i="3"/>
  <c r="G9155" i="3"/>
  <c r="H9154" i="3"/>
  <c r="G9154" i="3"/>
  <c r="H9153" i="3"/>
  <c r="G9153" i="3"/>
  <c r="H9152" i="3"/>
  <c r="H9151" i="3"/>
  <c r="H9150" i="3"/>
  <c r="G9150" i="3"/>
  <c r="H9149" i="3"/>
  <c r="G9149" i="3"/>
  <c r="H9148" i="3"/>
  <c r="G9148" i="3"/>
  <c r="H9147" i="3"/>
  <c r="G9147" i="3"/>
  <c r="H9146" i="3"/>
  <c r="G9146" i="3"/>
  <c r="S383" i="1"/>
  <c r="F383" i="1"/>
  <c r="H9145" i="3"/>
  <c r="G9145" i="3"/>
  <c r="H9144" i="3"/>
  <c r="G9144" i="3"/>
  <c r="H9143" i="3"/>
  <c r="G9143" i="3"/>
  <c r="H9142" i="3"/>
  <c r="G9142" i="3"/>
  <c r="H9141" i="3"/>
  <c r="G9141" i="3"/>
  <c r="H9140" i="3"/>
  <c r="G9140" i="3"/>
  <c r="H9139" i="3"/>
  <c r="G9139" i="3"/>
  <c r="H9138" i="3"/>
  <c r="G9138" i="3"/>
  <c r="H9137" i="3"/>
  <c r="G9137" i="3"/>
  <c r="H9136" i="3"/>
  <c r="G9136" i="3"/>
  <c r="H9135" i="3"/>
  <c r="G9135" i="3"/>
  <c r="H9134" i="3"/>
  <c r="G9134" i="3"/>
  <c r="H9133" i="3"/>
  <c r="G9133" i="3"/>
  <c r="H9132" i="3"/>
  <c r="G9132" i="3"/>
  <c r="H9131" i="3"/>
  <c r="G9131" i="3"/>
  <c r="H9130" i="3"/>
  <c r="G9130" i="3"/>
  <c r="H9129" i="3"/>
  <c r="G9129" i="3"/>
  <c r="H9128" i="3"/>
  <c r="H9127" i="3"/>
  <c r="H9126" i="3"/>
  <c r="G9126" i="3"/>
  <c r="H9125" i="3"/>
  <c r="G9125" i="3"/>
  <c r="H9124" i="3"/>
  <c r="G9124" i="3"/>
  <c r="H9123" i="3"/>
  <c r="G9123" i="3"/>
  <c r="H9122" i="3"/>
  <c r="G9122" i="3"/>
  <c r="S382" i="1"/>
  <c r="F382" i="1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S381" i="1"/>
  <c r="F381" i="1"/>
  <c r="H9080" i="3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M378" i="1"/>
  <c r="M379" i="1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79" i="3"/>
  <c r="H9078" i="3"/>
  <c r="H9077" i="3"/>
  <c r="H9076" i="3"/>
  <c r="H9075" i="3"/>
  <c r="H9074" i="3"/>
  <c r="S380" i="1"/>
  <c r="F380" i="1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S379" i="1"/>
  <c r="F379" i="1"/>
  <c r="G126" i="23" l="1"/>
  <c r="X125" i="23"/>
  <c r="G146" i="23"/>
  <c r="X145" i="23"/>
  <c r="W146" i="23"/>
  <c r="D147" i="23"/>
  <c r="W125" i="23"/>
  <c r="W145" i="23"/>
  <c r="G158" i="23"/>
  <c r="F378" i="1"/>
  <c r="S378" i="1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M375" i="1"/>
  <c r="M376" i="1"/>
  <c r="M377" i="1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F376" i="1"/>
  <c r="F377" i="1"/>
  <c r="S376" i="1"/>
  <c r="S377" i="1"/>
  <c r="M373" i="1"/>
  <c r="M374" i="1"/>
  <c r="F375" i="1"/>
  <c r="S375" i="1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S374" i="1"/>
  <c r="F374" i="1"/>
  <c r="H8953" i="3"/>
  <c r="G8953" i="3"/>
  <c r="H8952" i="3"/>
  <c r="G8952" i="3"/>
  <c r="H8951" i="3"/>
  <c r="G8951" i="3"/>
  <c r="H8950" i="3"/>
  <c r="G8950" i="3"/>
  <c r="H8949" i="3"/>
  <c r="G8949" i="3"/>
  <c r="H8948" i="3"/>
  <c r="G8948" i="3"/>
  <c r="H8947" i="3"/>
  <c r="G8947" i="3"/>
  <c r="H8946" i="3"/>
  <c r="G8946" i="3"/>
  <c r="H8945" i="3"/>
  <c r="G8945" i="3"/>
  <c r="H8944" i="3"/>
  <c r="G8944" i="3"/>
  <c r="H8943" i="3"/>
  <c r="G8943" i="3"/>
  <c r="H8942" i="3"/>
  <c r="G8942" i="3"/>
  <c r="H8941" i="3"/>
  <c r="G8941" i="3"/>
  <c r="H8940" i="3"/>
  <c r="G8940" i="3"/>
  <c r="H8939" i="3"/>
  <c r="G8939" i="3"/>
  <c r="H8938" i="3"/>
  <c r="G8938" i="3"/>
  <c r="H8937" i="3"/>
  <c r="G8937" i="3"/>
  <c r="H8936" i="3"/>
  <c r="G8936" i="3"/>
  <c r="H8935" i="3"/>
  <c r="G8935" i="3"/>
  <c r="H8934" i="3"/>
  <c r="G8934" i="3"/>
  <c r="H8933" i="3"/>
  <c r="G8933" i="3"/>
  <c r="H8932" i="3"/>
  <c r="G8932" i="3"/>
  <c r="H8931" i="3"/>
  <c r="G8931" i="3"/>
  <c r="H8930" i="3"/>
  <c r="G8930" i="3"/>
  <c r="D29" i="18"/>
  <c r="M369" i="1"/>
  <c r="M371" i="1"/>
  <c r="M372" i="1"/>
  <c r="H8929" i="3"/>
  <c r="G8929" i="3"/>
  <c r="H8928" i="3"/>
  <c r="G8928" i="3"/>
  <c r="H8927" i="3"/>
  <c r="G8927" i="3"/>
  <c r="H8926" i="3"/>
  <c r="G8926" i="3"/>
  <c r="H8925" i="3"/>
  <c r="G8925" i="3"/>
  <c r="H8924" i="3"/>
  <c r="G8924" i="3"/>
  <c r="H8923" i="3"/>
  <c r="G8923" i="3"/>
  <c r="H8922" i="3"/>
  <c r="G8922" i="3"/>
  <c r="H8921" i="3"/>
  <c r="G8921" i="3"/>
  <c r="H8920" i="3"/>
  <c r="G8920" i="3"/>
  <c r="H8919" i="3"/>
  <c r="G8919" i="3"/>
  <c r="H8918" i="3"/>
  <c r="G8918" i="3"/>
  <c r="H8917" i="3"/>
  <c r="G8917" i="3"/>
  <c r="H8916" i="3"/>
  <c r="G8916" i="3"/>
  <c r="H8915" i="3"/>
  <c r="G8915" i="3"/>
  <c r="H8914" i="3"/>
  <c r="G8914" i="3"/>
  <c r="H8913" i="3"/>
  <c r="G8913" i="3"/>
  <c r="H8912" i="3"/>
  <c r="G8912" i="3"/>
  <c r="H8911" i="3"/>
  <c r="G8911" i="3"/>
  <c r="H8910" i="3"/>
  <c r="G8910" i="3"/>
  <c r="H8909" i="3"/>
  <c r="G8909" i="3"/>
  <c r="H8908" i="3"/>
  <c r="G8908" i="3"/>
  <c r="H8907" i="3"/>
  <c r="G8907" i="3"/>
  <c r="H8906" i="3"/>
  <c r="G8906" i="3"/>
  <c r="S373" i="1"/>
  <c r="F373" i="1"/>
  <c r="H8905" i="3"/>
  <c r="G8905" i="3"/>
  <c r="H8904" i="3"/>
  <c r="G8904" i="3"/>
  <c r="H8903" i="3"/>
  <c r="G8903" i="3"/>
  <c r="H8902" i="3"/>
  <c r="G8902" i="3"/>
  <c r="H8901" i="3"/>
  <c r="G8901" i="3"/>
  <c r="H8900" i="3"/>
  <c r="G8900" i="3"/>
  <c r="H8899" i="3"/>
  <c r="G8899" i="3"/>
  <c r="H8898" i="3"/>
  <c r="G8898" i="3"/>
  <c r="H8897" i="3"/>
  <c r="G8897" i="3"/>
  <c r="H8896" i="3"/>
  <c r="G8896" i="3"/>
  <c r="H8895" i="3"/>
  <c r="G8895" i="3"/>
  <c r="H8894" i="3"/>
  <c r="G8894" i="3"/>
  <c r="H8893" i="3"/>
  <c r="G8893" i="3"/>
  <c r="H8892" i="3"/>
  <c r="G8892" i="3"/>
  <c r="H8891" i="3"/>
  <c r="G8891" i="3"/>
  <c r="H8890" i="3"/>
  <c r="G8890" i="3"/>
  <c r="H8889" i="3"/>
  <c r="G8889" i="3"/>
  <c r="H8888" i="3"/>
  <c r="G8888" i="3"/>
  <c r="H8887" i="3"/>
  <c r="G8887" i="3"/>
  <c r="H8886" i="3"/>
  <c r="G8886" i="3"/>
  <c r="H8885" i="3"/>
  <c r="G8885" i="3"/>
  <c r="H8884" i="3"/>
  <c r="G8884" i="3"/>
  <c r="H8883" i="3"/>
  <c r="G8883" i="3"/>
  <c r="H8882" i="3"/>
  <c r="G8882" i="3"/>
  <c r="S372" i="1"/>
  <c r="F372" i="1"/>
  <c r="H8881" i="3"/>
  <c r="G8881" i="3"/>
  <c r="H8880" i="3"/>
  <c r="G8880" i="3"/>
  <c r="H8879" i="3"/>
  <c r="G8879" i="3"/>
  <c r="H8878" i="3"/>
  <c r="G8878" i="3"/>
  <c r="H8877" i="3"/>
  <c r="G8877" i="3"/>
  <c r="H8876" i="3"/>
  <c r="G8876" i="3"/>
  <c r="H8875" i="3"/>
  <c r="G8875" i="3"/>
  <c r="H8874" i="3"/>
  <c r="G8874" i="3"/>
  <c r="H8873" i="3"/>
  <c r="G8873" i="3"/>
  <c r="H8872" i="3"/>
  <c r="G8872" i="3"/>
  <c r="H8871" i="3"/>
  <c r="G8871" i="3"/>
  <c r="H8870" i="3"/>
  <c r="G8870" i="3"/>
  <c r="H8869" i="3"/>
  <c r="G8869" i="3"/>
  <c r="H8868" i="3"/>
  <c r="G8868" i="3"/>
  <c r="H8867" i="3"/>
  <c r="G8867" i="3"/>
  <c r="H8866" i="3"/>
  <c r="G8866" i="3"/>
  <c r="H8865" i="3"/>
  <c r="G8865" i="3"/>
  <c r="H8864" i="3"/>
  <c r="G8864" i="3"/>
  <c r="H8863" i="3"/>
  <c r="G8863" i="3"/>
  <c r="H8862" i="3"/>
  <c r="G8862" i="3"/>
  <c r="H8861" i="3"/>
  <c r="G8861" i="3"/>
  <c r="H8860" i="3"/>
  <c r="G8860" i="3"/>
  <c r="H8859" i="3"/>
  <c r="G8859" i="3"/>
  <c r="H8858" i="3"/>
  <c r="G8858" i="3"/>
  <c r="S371" i="1"/>
  <c r="F371" i="1"/>
  <c r="H8857" i="3"/>
  <c r="G8857" i="3"/>
  <c r="H8856" i="3"/>
  <c r="G8856" i="3"/>
  <c r="H8855" i="3"/>
  <c r="G8855" i="3"/>
  <c r="H8854" i="3"/>
  <c r="G8854" i="3"/>
  <c r="H8853" i="3"/>
  <c r="G8853" i="3"/>
  <c r="H8852" i="3"/>
  <c r="G8852" i="3"/>
  <c r="H8851" i="3"/>
  <c r="G8851" i="3"/>
  <c r="H8850" i="3"/>
  <c r="G8850" i="3"/>
  <c r="H8849" i="3"/>
  <c r="G8849" i="3"/>
  <c r="H8848" i="3"/>
  <c r="G8848" i="3"/>
  <c r="H8847" i="3"/>
  <c r="G8847" i="3"/>
  <c r="H8846" i="3"/>
  <c r="G8846" i="3"/>
  <c r="H8845" i="3"/>
  <c r="G8845" i="3"/>
  <c r="H8844" i="3"/>
  <c r="G8844" i="3"/>
  <c r="H8843" i="3"/>
  <c r="G8843" i="3"/>
  <c r="H8842" i="3"/>
  <c r="G8842" i="3"/>
  <c r="H8841" i="3"/>
  <c r="G8841" i="3"/>
  <c r="H8840" i="3"/>
  <c r="G8840" i="3"/>
  <c r="H8839" i="3"/>
  <c r="G8839" i="3"/>
  <c r="H8838" i="3"/>
  <c r="G8838" i="3"/>
  <c r="H8837" i="3"/>
  <c r="G8837" i="3"/>
  <c r="H8836" i="3"/>
  <c r="G8836" i="3"/>
  <c r="H8835" i="3"/>
  <c r="G8835" i="3"/>
  <c r="H8834" i="3"/>
  <c r="G8834" i="3"/>
  <c r="S370" i="1"/>
  <c r="F370" i="1"/>
  <c r="H8833" i="3"/>
  <c r="G8833" i="3"/>
  <c r="H8832" i="3"/>
  <c r="G8832" i="3"/>
  <c r="H8831" i="3"/>
  <c r="G8831" i="3"/>
  <c r="H8830" i="3"/>
  <c r="G8830" i="3"/>
  <c r="H8829" i="3"/>
  <c r="G8829" i="3"/>
  <c r="H8828" i="3"/>
  <c r="G8828" i="3"/>
  <c r="H8827" i="3"/>
  <c r="G8827" i="3"/>
  <c r="H8826" i="3"/>
  <c r="G8826" i="3"/>
  <c r="H8825" i="3"/>
  <c r="G8825" i="3"/>
  <c r="H8824" i="3"/>
  <c r="G8824" i="3"/>
  <c r="H8823" i="3"/>
  <c r="G8823" i="3"/>
  <c r="H8822" i="3"/>
  <c r="G8822" i="3"/>
  <c r="H8821" i="3"/>
  <c r="G8821" i="3"/>
  <c r="H8820" i="3"/>
  <c r="G8820" i="3"/>
  <c r="H8819" i="3"/>
  <c r="G8819" i="3"/>
  <c r="H8818" i="3"/>
  <c r="G8818" i="3"/>
  <c r="H8817" i="3"/>
  <c r="G8817" i="3"/>
  <c r="H8816" i="3"/>
  <c r="G8816" i="3"/>
  <c r="H8815" i="3"/>
  <c r="G8815" i="3"/>
  <c r="H8814" i="3"/>
  <c r="G8814" i="3"/>
  <c r="H8813" i="3"/>
  <c r="G8813" i="3"/>
  <c r="H8812" i="3"/>
  <c r="G8812" i="3"/>
  <c r="H8811" i="3"/>
  <c r="G8811" i="3"/>
  <c r="H8810" i="3"/>
  <c r="G8810" i="3"/>
  <c r="S369" i="1"/>
  <c r="F369" i="1"/>
  <c r="M367" i="1"/>
  <c r="M368" i="1"/>
  <c r="G147" i="23" l="1"/>
  <c r="X146" i="23"/>
  <c r="G159" i="23"/>
  <c r="W147" i="23"/>
  <c r="D148" i="23"/>
  <c r="X126" i="23"/>
  <c r="W126" i="23"/>
  <c r="H8809" i="3"/>
  <c r="G8809" i="3"/>
  <c r="H8808" i="3"/>
  <c r="G8808" i="3"/>
  <c r="H8807" i="3"/>
  <c r="G8807" i="3"/>
  <c r="H8806" i="3"/>
  <c r="G8806" i="3"/>
  <c r="H8805" i="3"/>
  <c r="G8805" i="3"/>
  <c r="H8804" i="3"/>
  <c r="G8804" i="3"/>
  <c r="H8803" i="3"/>
  <c r="G8803" i="3"/>
  <c r="H8802" i="3"/>
  <c r="G8802" i="3"/>
  <c r="H8801" i="3"/>
  <c r="G8801" i="3"/>
  <c r="H8800" i="3"/>
  <c r="G8800" i="3"/>
  <c r="H8799" i="3"/>
  <c r="G8799" i="3"/>
  <c r="H8798" i="3"/>
  <c r="G8798" i="3"/>
  <c r="H8797" i="3"/>
  <c r="G8797" i="3"/>
  <c r="H8796" i="3"/>
  <c r="G8796" i="3"/>
  <c r="H8795" i="3"/>
  <c r="G8795" i="3"/>
  <c r="H8794" i="3"/>
  <c r="G8794" i="3"/>
  <c r="H8793" i="3"/>
  <c r="G8793" i="3"/>
  <c r="H8792" i="3"/>
  <c r="G8792" i="3"/>
  <c r="H8791" i="3"/>
  <c r="G8791" i="3"/>
  <c r="H8790" i="3"/>
  <c r="G8790" i="3"/>
  <c r="H8789" i="3"/>
  <c r="G8789" i="3"/>
  <c r="H8788" i="3"/>
  <c r="G8788" i="3"/>
  <c r="H8787" i="3"/>
  <c r="G8787" i="3"/>
  <c r="H8786" i="3"/>
  <c r="G8786" i="3"/>
  <c r="S368" i="1"/>
  <c r="F368" i="1"/>
  <c r="G160" i="23" l="1"/>
  <c r="D149" i="23"/>
  <c r="W148" i="23"/>
  <c r="X147" i="23"/>
  <c r="G148" i="23"/>
  <c r="X148" i="23" s="1"/>
  <c r="M365" i="1"/>
  <c r="M366" i="1"/>
  <c r="S367" i="1"/>
  <c r="F367" i="1"/>
  <c r="H8785" i="3"/>
  <c r="G8785" i="3"/>
  <c r="H8784" i="3"/>
  <c r="G8784" i="3"/>
  <c r="H8783" i="3"/>
  <c r="G8783" i="3"/>
  <c r="H8782" i="3"/>
  <c r="G8782" i="3"/>
  <c r="H8781" i="3"/>
  <c r="G8781" i="3"/>
  <c r="H8780" i="3"/>
  <c r="G8780" i="3"/>
  <c r="H8779" i="3"/>
  <c r="G8779" i="3"/>
  <c r="H8778" i="3"/>
  <c r="G8778" i="3"/>
  <c r="H8777" i="3"/>
  <c r="G8777" i="3"/>
  <c r="H8776" i="3"/>
  <c r="G8776" i="3"/>
  <c r="H8775" i="3"/>
  <c r="G8775" i="3"/>
  <c r="H8774" i="3"/>
  <c r="G8774" i="3"/>
  <c r="H8773" i="3"/>
  <c r="G8773" i="3"/>
  <c r="H8772" i="3"/>
  <c r="G8772" i="3"/>
  <c r="H8771" i="3"/>
  <c r="G8771" i="3"/>
  <c r="H8770" i="3"/>
  <c r="G8770" i="3"/>
  <c r="H8769" i="3"/>
  <c r="G8769" i="3"/>
  <c r="H8768" i="3"/>
  <c r="G8768" i="3"/>
  <c r="H8767" i="3"/>
  <c r="G8767" i="3"/>
  <c r="H8766" i="3"/>
  <c r="G8766" i="3"/>
  <c r="H8765" i="3"/>
  <c r="G8765" i="3"/>
  <c r="H8764" i="3"/>
  <c r="G8764" i="3"/>
  <c r="H8763" i="3"/>
  <c r="G8763" i="3"/>
  <c r="H8762" i="3"/>
  <c r="G8762" i="3"/>
  <c r="S366" i="1"/>
  <c r="H8761" i="3"/>
  <c r="G8761" i="3"/>
  <c r="H8760" i="3"/>
  <c r="G8760" i="3"/>
  <c r="H8759" i="3"/>
  <c r="G8759" i="3"/>
  <c r="H8758" i="3"/>
  <c r="G8758" i="3"/>
  <c r="H8757" i="3"/>
  <c r="G8757" i="3"/>
  <c r="H8756" i="3"/>
  <c r="G8756" i="3"/>
  <c r="H8755" i="3"/>
  <c r="G8755" i="3"/>
  <c r="H8754" i="3"/>
  <c r="G8754" i="3"/>
  <c r="H8753" i="3"/>
  <c r="G8753" i="3"/>
  <c r="H8752" i="3"/>
  <c r="G8752" i="3"/>
  <c r="H8751" i="3"/>
  <c r="G8751" i="3"/>
  <c r="H8750" i="3"/>
  <c r="G8750" i="3"/>
  <c r="H8749" i="3"/>
  <c r="G8749" i="3"/>
  <c r="H8748" i="3"/>
  <c r="G8748" i="3"/>
  <c r="H8747" i="3"/>
  <c r="G8747" i="3"/>
  <c r="H8746" i="3"/>
  <c r="G8746" i="3"/>
  <c r="H8745" i="3"/>
  <c r="G8745" i="3"/>
  <c r="H8744" i="3"/>
  <c r="G8744" i="3"/>
  <c r="H8743" i="3"/>
  <c r="G8743" i="3"/>
  <c r="H8742" i="3"/>
  <c r="G8742" i="3"/>
  <c r="H8741" i="3"/>
  <c r="G8741" i="3"/>
  <c r="H8740" i="3"/>
  <c r="G8740" i="3"/>
  <c r="H8739" i="3"/>
  <c r="G8739" i="3"/>
  <c r="H8738" i="3"/>
  <c r="G8738" i="3"/>
  <c r="F366" i="1"/>
  <c r="D150" i="23" l="1"/>
  <c r="X149" i="23"/>
  <c r="W149" i="23"/>
  <c r="G161" i="23"/>
  <c r="H8737" i="3"/>
  <c r="G8737" i="3"/>
  <c r="H8736" i="3"/>
  <c r="G8736" i="3"/>
  <c r="H8735" i="3"/>
  <c r="G8735" i="3"/>
  <c r="H8734" i="3"/>
  <c r="G8734" i="3"/>
  <c r="H8733" i="3"/>
  <c r="G8733" i="3"/>
  <c r="H8732" i="3"/>
  <c r="G8732" i="3"/>
  <c r="H8731" i="3"/>
  <c r="G8731" i="3"/>
  <c r="H8730" i="3"/>
  <c r="G8730" i="3"/>
  <c r="H8729" i="3"/>
  <c r="G8729" i="3"/>
  <c r="H8728" i="3"/>
  <c r="G8728" i="3"/>
  <c r="H8727" i="3"/>
  <c r="G8727" i="3"/>
  <c r="H8726" i="3"/>
  <c r="G8726" i="3"/>
  <c r="H8725" i="3"/>
  <c r="G8725" i="3"/>
  <c r="H8724" i="3"/>
  <c r="G8724" i="3"/>
  <c r="H8723" i="3"/>
  <c r="G8723" i="3"/>
  <c r="H8722" i="3"/>
  <c r="G8722" i="3"/>
  <c r="H8721" i="3"/>
  <c r="G8721" i="3"/>
  <c r="H8720" i="3"/>
  <c r="G8720" i="3"/>
  <c r="H8719" i="3"/>
  <c r="G8719" i="3"/>
  <c r="H8718" i="3"/>
  <c r="G8718" i="3"/>
  <c r="H8717" i="3"/>
  <c r="G8717" i="3"/>
  <c r="H8716" i="3"/>
  <c r="G8716" i="3"/>
  <c r="H8715" i="3"/>
  <c r="G8715" i="3"/>
  <c r="H8714" i="3"/>
  <c r="G8714" i="3"/>
  <c r="S365" i="1"/>
  <c r="F365" i="1"/>
  <c r="H8713" i="3"/>
  <c r="G8713" i="3"/>
  <c r="H8712" i="3"/>
  <c r="G8712" i="3"/>
  <c r="H8711" i="3"/>
  <c r="G8711" i="3"/>
  <c r="H8710" i="3"/>
  <c r="G8710" i="3"/>
  <c r="H8709" i="3"/>
  <c r="G8709" i="3"/>
  <c r="H8708" i="3"/>
  <c r="G8708" i="3"/>
  <c r="H8707" i="3"/>
  <c r="G8707" i="3"/>
  <c r="H8706" i="3"/>
  <c r="G8706" i="3"/>
  <c r="H8705" i="3"/>
  <c r="G8705" i="3"/>
  <c r="H8704" i="3"/>
  <c r="G8704" i="3"/>
  <c r="H8703" i="3"/>
  <c r="G8703" i="3"/>
  <c r="H8702" i="3"/>
  <c r="G8702" i="3"/>
  <c r="H8701" i="3"/>
  <c r="G8701" i="3"/>
  <c r="H8700" i="3"/>
  <c r="G8700" i="3"/>
  <c r="H8699" i="3"/>
  <c r="G8699" i="3"/>
  <c r="H8698" i="3"/>
  <c r="G8698" i="3"/>
  <c r="H8697" i="3"/>
  <c r="G8697" i="3"/>
  <c r="H8696" i="3"/>
  <c r="G8696" i="3"/>
  <c r="H8695" i="3"/>
  <c r="G8695" i="3"/>
  <c r="H8694" i="3"/>
  <c r="G8694" i="3"/>
  <c r="H8693" i="3"/>
  <c r="G8693" i="3"/>
  <c r="H8692" i="3"/>
  <c r="G8692" i="3"/>
  <c r="H8691" i="3"/>
  <c r="G8691" i="3"/>
  <c r="H8690" i="3"/>
  <c r="G8690" i="3"/>
  <c r="M362" i="1"/>
  <c r="M363" i="1"/>
  <c r="M364" i="1"/>
  <c r="S364" i="1"/>
  <c r="F364" i="1"/>
  <c r="G8671" i="3"/>
  <c r="H8689" i="3"/>
  <c r="G8689" i="3"/>
  <c r="H8688" i="3"/>
  <c r="G8688" i="3"/>
  <c r="H8687" i="3"/>
  <c r="G8687" i="3"/>
  <c r="H8686" i="3"/>
  <c r="G8686" i="3"/>
  <c r="H8685" i="3"/>
  <c r="G8685" i="3"/>
  <c r="H8684" i="3"/>
  <c r="G8684" i="3"/>
  <c r="H8683" i="3"/>
  <c r="G8683" i="3"/>
  <c r="H8682" i="3"/>
  <c r="G8682" i="3"/>
  <c r="H8681" i="3"/>
  <c r="G8681" i="3"/>
  <c r="H8680" i="3"/>
  <c r="G8680" i="3"/>
  <c r="H8679" i="3"/>
  <c r="G8679" i="3"/>
  <c r="H8678" i="3"/>
  <c r="G8678" i="3"/>
  <c r="H8677" i="3"/>
  <c r="G8677" i="3"/>
  <c r="H8676" i="3"/>
  <c r="G8676" i="3"/>
  <c r="H8675" i="3"/>
  <c r="G8675" i="3"/>
  <c r="H8674" i="3"/>
  <c r="G8674" i="3"/>
  <c r="H8673" i="3"/>
  <c r="G8673" i="3"/>
  <c r="H8672" i="3"/>
  <c r="G8672" i="3"/>
  <c r="H8671" i="3"/>
  <c r="H8670" i="3"/>
  <c r="G8670" i="3"/>
  <c r="H8669" i="3"/>
  <c r="G8669" i="3"/>
  <c r="H8668" i="3"/>
  <c r="G8668" i="3"/>
  <c r="H8667" i="3"/>
  <c r="G8667" i="3"/>
  <c r="H8666" i="3"/>
  <c r="G8666" i="3"/>
  <c r="S363" i="1"/>
  <c r="F363" i="1"/>
  <c r="G162" i="23" l="1"/>
  <c r="D151" i="23"/>
  <c r="W150" i="23"/>
  <c r="X150" i="23"/>
  <c r="M359" i="1"/>
  <c r="M360" i="1"/>
  <c r="M361" i="1"/>
  <c r="H8665" i="3"/>
  <c r="G8665" i="3"/>
  <c r="H8664" i="3"/>
  <c r="G8664" i="3"/>
  <c r="H8663" i="3"/>
  <c r="G8663" i="3"/>
  <c r="H8662" i="3"/>
  <c r="G8662" i="3"/>
  <c r="H8661" i="3"/>
  <c r="G8661" i="3"/>
  <c r="H8660" i="3"/>
  <c r="G8660" i="3"/>
  <c r="H8659" i="3"/>
  <c r="G8659" i="3"/>
  <c r="H8658" i="3"/>
  <c r="G8658" i="3"/>
  <c r="H8657" i="3"/>
  <c r="G8657" i="3"/>
  <c r="H8656" i="3"/>
  <c r="G8656" i="3"/>
  <c r="H8655" i="3"/>
  <c r="G8655" i="3"/>
  <c r="H8654" i="3"/>
  <c r="G8654" i="3"/>
  <c r="H8653" i="3"/>
  <c r="G8653" i="3"/>
  <c r="H8652" i="3"/>
  <c r="G8652" i="3"/>
  <c r="H8651" i="3"/>
  <c r="G8651" i="3"/>
  <c r="H8650" i="3"/>
  <c r="G8650" i="3"/>
  <c r="H8649" i="3"/>
  <c r="G8649" i="3"/>
  <c r="H8648" i="3"/>
  <c r="G8648" i="3"/>
  <c r="H8647" i="3"/>
  <c r="G8647" i="3"/>
  <c r="H8646" i="3"/>
  <c r="G8646" i="3"/>
  <c r="H8645" i="3"/>
  <c r="G8645" i="3"/>
  <c r="H8644" i="3"/>
  <c r="G8644" i="3"/>
  <c r="H8643" i="3"/>
  <c r="G8643" i="3"/>
  <c r="H8642" i="3"/>
  <c r="G8642" i="3"/>
  <c r="S362" i="1"/>
  <c r="F362" i="1"/>
  <c r="D152" i="23" l="1"/>
  <c r="W151" i="23"/>
  <c r="X151" i="23"/>
  <c r="G163" i="23"/>
  <c r="H8641" i="3"/>
  <c r="G8641" i="3"/>
  <c r="H8640" i="3"/>
  <c r="G8640" i="3"/>
  <c r="H8639" i="3"/>
  <c r="G8639" i="3"/>
  <c r="H8638" i="3"/>
  <c r="G8638" i="3"/>
  <c r="H8637" i="3"/>
  <c r="G8637" i="3"/>
  <c r="H8636" i="3"/>
  <c r="G8636" i="3"/>
  <c r="H8635" i="3"/>
  <c r="G8635" i="3"/>
  <c r="H8634" i="3"/>
  <c r="G8634" i="3"/>
  <c r="H8633" i="3"/>
  <c r="G8633" i="3"/>
  <c r="H8632" i="3"/>
  <c r="G8632" i="3"/>
  <c r="H8631" i="3"/>
  <c r="G8631" i="3"/>
  <c r="H8630" i="3"/>
  <c r="G8630" i="3"/>
  <c r="H8629" i="3"/>
  <c r="G8629" i="3"/>
  <c r="H8628" i="3"/>
  <c r="G8628" i="3"/>
  <c r="H8627" i="3"/>
  <c r="G8627" i="3"/>
  <c r="H8626" i="3"/>
  <c r="G8626" i="3"/>
  <c r="H8625" i="3"/>
  <c r="G8625" i="3"/>
  <c r="H8624" i="3"/>
  <c r="G8624" i="3"/>
  <c r="H8623" i="3"/>
  <c r="G8623" i="3"/>
  <c r="H8622" i="3"/>
  <c r="G8622" i="3"/>
  <c r="H8621" i="3"/>
  <c r="G8621" i="3"/>
  <c r="H8620" i="3"/>
  <c r="G8620" i="3"/>
  <c r="H8619" i="3"/>
  <c r="G8619" i="3"/>
  <c r="H8618" i="3"/>
  <c r="G8618" i="3"/>
  <c r="S361" i="1"/>
  <c r="F361" i="1"/>
  <c r="H8617" i="3"/>
  <c r="G8617" i="3"/>
  <c r="H8616" i="3"/>
  <c r="G8616" i="3"/>
  <c r="H8615" i="3"/>
  <c r="G8615" i="3"/>
  <c r="H8614" i="3"/>
  <c r="G8614" i="3"/>
  <c r="H8613" i="3"/>
  <c r="G8613" i="3"/>
  <c r="H8612" i="3"/>
  <c r="G8612" i="3"/>
  <c r="H8611" i="3"/>
  <c r="G8611" i="3"/>
  <c r="H8610" i="3"/>
  <c r="G8610" i="3"/>
  <c r="H8609" i="3"/>
  <c r="G8609" i="3"/>
  <c r="H8608" i="3"/>
  <c r="G8608" i="3"/>
  <c r="H8607" i="3"/>
  <c r="G8607" i="3"/>
  <c r="H8606" i="3"/>
  <c r="G8606" i="3"/>
  <c r="H8605" i="3"/>
  <c r="G8605" i="3"/>
  <c r="H8604" i="3"/>
  <c r="G8604" i="3"/>
  <c r="H8603" i="3"/>
  <c r="G8603" i="3"/>
  <c r="H8602" i="3"/>
  <c r="G8602" i="3"/>
  <c r="H8601" i="3"/>
  <c r="G8601" i="3"/>
  <c r="H8600" i="3"/>
  <c r="G8600" i="3"/>
  <c r="H8599" i="3"/>
  <c r="G8599" i="3"/>
  <c r="H8598" i="3"/>
  <c r="G8598" i="3"/>
  <c r="H8597" i="3"/>
  <c r="G8597" i="3"/>
  <c r="H8596" i="3"/>
  <c r="G8596" i="3"/>
  <c r="H8595" i="3"/>
  <c r="G8595" i="3"/>
  <c r="H8594" i="3"/>
  <c r="G8594" i="3"/>
  <c r="S360" i="1"/>
  <c r="F360" i="1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93" i="3"/>
  <c r="G164" i="23" l="1"/>
  <c r="W152" i="23"/>
  <c r="D153" i="23"/>
  <c r="X152" i="2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S359" i="1"/>
  <c r="F359" i="1"/>
  <c r="M353" i="1"/>
  <c r="M354" i="1"/>
  <c r="M355" i="1"/>
  <c r="M356" i="1"/>
  <c r="M357" i="1"/>
  <c r="M358" i="1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S358" i="1"/>
  <c r="F358" i="1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S357" i="1"/>
  <c r="F357" i="1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S356" i="1"/>
  <c r="F356" i="1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F355" i="1"/>
  <c r="S355" i="1"/>
  <c r="W153" i="23" l="1"/>
  <c r="D154" i="23"/>
  <c r="X153" i="23"/>
  <c r="G165" i="23"/>
  <c r="S354" i="1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F354" i="1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S353" i="1"/>
  <c r="F353" i="1"/>
  <c r="H8400" i="3"/>
  <c r="H8402" i="3"/>
  <c r="H7935" i="3"/>
  <c r="H7945" i="3"/>
  <c r="H7944" i="3"/>
  <c r="H7943" i="3"/>
  <c r="H7942" i="3"/>
  <c r="H7941" i="3"/>
  <c r="H7940" i="3"/>
  <c r="H7939" i="3"/>
  <c r="H7938" i="3"/>
  <c r="H7937" i="3"/>
  <c r="H7936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88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7" i="3"/>
  <c r="H8286" i="3"/>
  <c r="H8285" i="3"/>
  <c r="H8284" i="3"/>
  <c r="H8283" i="3"/>
  <c r="H8282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401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407" i="3"/>
  <c r="H8408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6" i="3"/>
  <c r="H8405" i="3"/>
  <c r="H8404" i="3"/>
  <c r="H8403" i="3"/>
  <c r="S351" i="1"/>
  <c r="S352" i="1"/>
  <c r="M350" i="1"/>
  <c r="M351" i="1"/>
  <c r="M352" i="1"/>
  <c r="F351" i="1"/>
  <c r="F352" i="1"/>
  <c r="S350" i="1"/>
  <c r="F350" i="1"/>
  <c r="S349" i="1"/>
  <c r="F349" i="1"/>
  <c r="M348" i="1"/>
  <c r="M347" i="1"/>
  <c r="M346" i="1"/>
  <c r="S348" i="1"/>
  <c r="F348" i="1"/>
  <c r="S347" i="1"/>
  <c r="F347" i="1"/>
  <c r="C35" i="12"/>
  <c r="M344" i="1"/>
  <c r="M345" i="1"/>
  <c r="S346" i="1"/>
  <c r="F346" i="1"/>
  <c r="S345" i="1"/>
  <c r="F345" i="1"/>
  <c r="M339" i="1"/>
  <c r="M340" i="1"/>
  <c r="M341" i="1"/>
  <c r="M342" i="1"/>
  <c r="M343" i="1"/>
  <c r="S344" i="1"/>
  <c r="F344" i="1"/>
  <c r="S343" i="1"/>
  <c r="F343" i="1"/>
  <c r="S342" i="1"/>
  <c r="F342" i="1"/>
  <c r="S341" i="1"/>
  <c r="F341" i="1"/>
  <c r="S340" i="1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F340" i="1"/>
  <c r="F7994" i="3"/>
  <c r="F7996" i="3"/>
  <c r="F7995" i="3"/>
  <c r="S339" i="1"/>
  <c r="F339" i="1"/>
  <c r="M338" i="1"/>
  <c r="S338" i="1"/>
  <c r="F338" i="1"/>
  <c r="M337" i="1"/>
  <c r="S337" i="1"/>
  <c r="F337" i="1"/>
  <c r="M335" i="1"/>
  <c r="M336" i="1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S336" i="1"/>
  <c r="F336" i="1"/>
  <c r="M333" i="1"/>
  <c r="M334" i="1"/>
  <c r="S335" i="1"/>
  <c r="F335" i="1"/>
  <c r="S334" i="1"/>
  <c r="F334" i="1"/>
  <c r="M331" i="1"/>
  <c r="M332" i="1"/>
  <c r="F333" i="1"/>
  <c r="S332" i="1"/>
  <c r="S333" i="1"/>
  <c r="F332" i="1"/>
  <c r="S331" i="1"/>
  <c r="F331" i="1"/>
  <c r="M330" i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3" i="12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S330" i="1"/>
  <c r="F330" i="1"/>
  <c r="M324" i="1"/>
  <c r="M325" i="1"/>
  <c r="M326" i="1"/>
  <c r="M327" i="1"/>
  <c r="M328" i="1"/>
  <c r="M329" i="1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S329" i="1"/>
  <c r="F329" i="1"/>
  <c r="S328" i="1"/>
  <c r="F328" i="1"/>
  <c r="S327" i="1"/>
  <c r="F327" i="1"/>
  <c r="S326" i="1"/>
  <c r="F326" i="1"/>
  <c r="S325" i="1"/>
  <c r="F325" i="1"/>
  <c r="M323" i="1"/>
  <c r="S324" i="1"/>
  <c r="F324" i="1"/>
  <c r="M320" i="1"/>
  <c r="M321" i="1"/>
  <c r="M322" i="1"/>
  <c r="S323" i="1"/>
  <c r="F323" i="1"/>
  <c r="S322" i="1"/>
  <c r="F322" i="1"/>
  <c r="S321" i="1"/>
  <c r="F321" i="1"/>
  <c r="S320" i="1"/>
  <c r="M319" i="1"/>
  <c r="F320" i="1"/>
  <c r="F319" i="1"/>
  <c r="S319" i="1"/>
  <c r="M317" i="1"/>
  <c r="M318" i="1"/>
  <c r="G166" i="23" l="1"/>
  <c r="D155" i="23"/>
  <c r="W154" i="23"/>
  <c r="X154" i="23"/>
  <c r="S318" i="1"/>
  <c r="F318" i="1"/>
  <c r="S317" i="1"/>
  <c r="F317" i="1"/>
  <c r="M314" i="1"/>
  <c r="M315" i="1"/>
  <c r="M316" i="1"/>
  <c r="S316" i="1"/>
  <c r="F316" i="1"/>
  <c r="S315" i="1"/>
  <c r="F315" i="1"/>
  <c r="M311" i="1"/>
  <c r="M312" i="1"/>
  <c r="M313" i="1"/>
  <c r="S314" i="1"/>
  <c r="F314" i="1"/>
  <c r="S313" i="1"/>
  <c r="F313" i="1"/>
  <c r="S312" i="1"/>
  <c r="F312" i="1"/>
  <c r="S311" i="1"/>
  <c r="F311" i="1"/>
  <c r="D156" i="23" l="1"/>
  <c r="W155" i="23"/>
  <c r="X155" i="23"/>
  <c r="G167" i="23"/>
  <c r="M309" i="1"/>
  <c r="M310" i="1"/>
  <c r="M305" i="1"/>
  <c r="M306" i="1"/>
  <c r="S310" i="1"/>
  <c r="F310" i="1"/>
  <c r="G168" i="23" l="1"/>
  <c r="W156" i="23"/>
  <c r="D157" i="23"/>
  <c r="X156" i="23"/>
  <c r="S309" i="1"/>
  <c r="F309" i="1"/>
  <c r="D158" i="23" l="1"/>
  <c r="W157" i="23"/>
  <c r="X157" i="23"/>
  <c r="G169" i="23"/>
  <c r="S308" i="1"/>
  <c r="F308" i="1"/>
  <c r="F307" i="1"/>
  <c r="G170" i="23" l="1"/>
  <c r="Y158" i="23"/>
  <c r="D159" i="23"/>
  <c r="W158" i="23"/>
  <c r="X158" i="23"/>
  <c r="S307" i="1"/>
  <c r="D160" i="23" l="1"/>
  <c r="W159" i="23"/>
  <c r="Y159" i="23"/>
  <c r="X159" i="23"/>
  <c r="G171" i="23"/>
  <c r="S306" i="1"/>
  <c r="F306" i="1"/>
  <c r="M304" i="1"/>
  <c r="S305" i="1"/>
  <c r="F305" i="1"/>
  <c r="S304" i="1"/>
  <c r="F304" i="1"/>
  <c r="G172" i="23" l="1"/>
  <c r="D161" i="23"/>
  <c r="W160" i="23"/>
  <c r="Y160" i="23"/>
  <c r="X160" i="23"/>
  <c r="M301" i="1"/>
  <c r="M302" i="1"/>
  <c r="M303" i="1"/>
  <c r="S303" i="1"/>
  <c r="F303" i="1"/>
  <c r="S302" i="1"/>
  <c r="F302" i="1"/>
  <c r="M299" i="1"/>
  <c r="M300" i="1"/>
  <c r="S301" i="1"/>
  <c r="F301" i="1"/>
  <c r="S300" i="1"/>
  <c r="S299" i="1"/>
  <c r="F300" i="1"/>
  <c r="M296" i="1"/>
  <c r="M297" i="1"/>
  <c r="M298" i="1"/>
  <c r="S298" i="1"/>
  <c r="F299" i="1"/>
  <c r="F298" i="1"/>
  <c r="S297" i="1"/>
  <c r="F297" i="1"/>
  <c r="M295" i="1"/>
  <c r="D162" i="23" l="1"/>
  <c r="W161" i="23"/>
  <c r="Y161" i="23"/>
  <c r="X161" i="23"/>
  <c r="G173" i="23"/>
  <c r="S296" i="1"/>
  <c r="F296" i="1"/>
  <c r="G174" i="23" l="1"/>
  <c r="W162" i="23"/>
  <c r="Y162" i="23"/>
  <c r="D163" i="23"/>
  <c r="X162" i="23"/>
  <c r="S295" i="1"/>
  <c r="F295" i="1"/>
  <c r="Y163" i="23" l="1"/>
  <c r="D164" i="23"/>
  <c r="W163" i="23"/>
  <c r="X163" i="23"/>
  <c r="G175" i="23"/>
  <c r="M293" i="1"/>
  <c r="M294" i="1"/>
  <c r="S294" i="1"/>
  <c r="F294" i="1"/>
  <c r="S293" i="1"/>
  <c r="F293" i="1"/>
  <c r="M288" i="1"/>
  <c r="M289" i="1"/>
  <c r="M290" i="1"/>
  <c r="M291" i="1"/>
  <c r="M292" i="1"/>
  <c r="F292" i="1"/>
  <c r="S292" i="1"/>
  <c r="S291" i="1"/>
  <c r="F291" i="1"/>
  <c r="S290" i="1"/>
  <c r="F290" i="1"/>
  <c r="S289" i="1"/>
  <c r="F289" i="1"/>
  <c r="D165" i="23" l="1"/>
  <c r="W164" i="23"/>
  <c r="Y164" i="23"/>
  <c r="X164" i="23"/>
  <c r="G176" i="23"/>
  <c r="F288" i="1"/>
  <c r="S288" i="1"/>
  <c r="M285" i="1"/>
  <c r="M286" i="1"/>
  <c r="M28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G177" i="23" l="1"/>
  <c r="W165" i="23"/>
  <c r="Y165" i="23"/>
  <c r="D166" i="23"/>
  <c r="X165" i="23"/>
  <c r="S287" i="1"/>
  <c r="S286" i="1"/>
  <c r="S285" i="1"/>
  <c r="W166" i="23" l="1"/>
  <c r="V166" i="23"/>
  <c r="Y166" i="23" s="1"/>
  <c r="D167" i="23"/>
  <c r="X166" i="23"/>
  <c r="G178" i="23"/>
  <c r="M284" i="1"/>
  <c r="M282" i="1"/>
  <c r="M283" i="1"/>
  <c r="S284" i="1"/>
  <c r="S283" i="1"/>
  <c r="D168" i="23" l="1"/>
  <c r="W167" i="23"/>
  <c r="V167" i="23"/>
  <c r="Y167" i="23" s="1"/>
  <c r="X167" i="23"/>
  <c r="G179" i="23"/>
  <c r="S282" i="1"/>
  <c r="G180" i="23" l="1"/>
  <c r="W168" i="23"/>
  <c r="V168" i="23"/>
  <c r="Y168" i="23" s="1"/>
  <c r="D169" i="23"/>
  <c r="X168" i="23"/>
  <c r="M277" i="1"/>
  <c r="M278" i="1"/>
  <c r="M279" i="1"/>
  <c r="M280" i="1"/>
  <c r="M281" i="1"/>
  <c r="S281" i="1"/>
  <c r="S280" i="1"/>
  <c r="S279" i="1"/>
  <c r="S278" i="1"/>
  <c r="M274" i="1"/>
  <c r="M275" i="1"/>
  <c r="M276" i="1"/>
  <c r="S277" i="1"/>
  <c r="G181" i="23" l="1"/>
  <c r="V169" i="23"/>
  <c r="Y169" i="23" s="1"/>
  <c r="D170" i="23"/>
  <c r="W169" i="23"/>
  <c r="X169" i="23"/>
  <c r="S276" i="1"/>
  <c r="W170" i="23" l="1"/>
  <c r="V170" i="23"/>
  <c r="Y170" i="23" s="1"/>
  <c r="D171" i="23"/>
  <c r="X170" i="23"/>
  <c r="G182" i="23"/>
  <c r="S275" i="1"/>
  <c r="M273" i="1"/>
  <c r="S274" i="1"/>
  <c r="V171" i="23" l="1"/>
  <c r="Y171" i="23" s="1"/>
  <c r="D172" i="23"/>
  <c r="U171" i="23"/>
  <c r="W171" i="23"/>
  <c r="X171" i="23"/>
  <c r="G183" i="23"/>
  <c r="M268" i="1"/>
  <c r="M269" i="1"/>
  <c r="M270" i="1"/>
  <c r="M271" i="1"/>
  <c r="M272" i="1"/>
  <c r="E6529" i="3"/>
  <c r="E6526" i="3"/>
  <c r="E6524" i="3"/>
  <c r="E6521" i="3"/>
  <c r="E6520" i="3"/>
  <c r="E6513" i="3"/>
  <c r="E6511" i="3"/>
  <c r="E6510" i="3"/>
  <c r="E6509" i="3"/>
  <c r="E6507" i="3"/>
  <c r="E6506" i="3"/>
  <c r="E6525" i="3"/>
  <c r="E6518" i="3"/>
  <c r="S273" i="1"/>
  <c r="S272" i="1"/>
  <c r="S271" i="1"/>
  <c r="S270" i="1"/>
  <c r="S269" i="1"/>
  <c r="M264" i="1"/>
  <c r="M265" i="1"/>
  <c r="M266" i="1"/>
  <c r="M267" i="1"/>
  <c r="E6409" i="3"/>
  <c r="E6407" i="3"/>
  <c r="E6406" i="3"/>
  <c r="E6405" i="3"/>
  <c r="E6404" i="3"/>
  <c r="E6402" i="3"/>
  <c r="E6398" i="3"/>
  <c r="E6393" i="3"/>
  <c r="E6391" i="3"/>
  <c r="E6390" i="3"/>
  <c r="E6389" i="3"/>
  <c r="E6387" i="3"/>
  <c r="E6386" i="3"/>
  <c r="E6408" i="3"/>
  <c r="E6401" i="3"/>
  <c r="E6396" i="3"/>
  <c r="S268" i="1"/>
  <c r="E6385" i="3"/>
  <c r="E6383" i="3"/>
  <c r="E6381" i="3"/>
  <c r="E6377" i="3"/>
  <c r="E6376" i="3"/>
  <c r="E6374" i="3"/>
  <c r="E6371" i="3"/>
  <c r="E6367" i="3"/>
  <c r="E6366" i="3"/>
  <c r="E6363" i="3"/>
  <c r="E6362" i="3"/>
  <c r="E6380" i="3"/>
  <c r="E6372" i="3"/>
  <c r="E6369" i="3"/>
  <c r="E6365" i="3"/>
  <c r="S267" i="1"/>
  <c r="E6338" i="3"/>
  <c r="E6358" i="3"/>
  <c r="E6352" i="3"/>
  <c r="E6343" i="3"/>
  <c r="E6341" i="3"/>
  <c r="E6339" i="3"/>
  <c r="E6354" i="3"/>
  <c r="E6350" i="3"/>
  <c r="E6349" i="3"/>
  <c r="E6345" i="3"/>
  <c r="S266" i="1"/>
  <c r="E6334" i="3"/>
  <c r="E6321" i="3"/>
  <c r="E6319" i="3"/>
  <c r="E6315" i="3"/>
  <c r="E6314" i="3"/>
  <c r="E6336" i="3"/>
  <c r="E6332" i="3"/>
  <c r="E6330" i="3"/>
  <c r="E6327" i="3"/>
  <c r="E6323" i="3"/>
  <c r="E6318" i="3"/>
  <c r="E6316" i="3"/>
  <c r="S265" i="1"/>
  <c r="S264" i="1"/>
  <c r="W172" i="23" l="1"/>
  <c r="D173" i="23"/>
  <c r="V172" i="23"/>
  <c r="Y172" i="23" s="1"/>
  <c r="U172" i="23"/>
  <c r="X172" i="23"/>
  <c r="G184" i="23"/>
  <c r="M260" i="1"/>
  <c r="M261" i="1"/>
  <c r="M262" i="1"/>
  <c r="M263" i="1"/>
  <c r="E6289" i="3"/>
  <c r="E6288" i="3"/>
  <c r="E6287" i="3"/>
  <c r="E6286" i="3"/>
  <c r="E6285" i="3"/>
  <c r="E6284" i="3"/>
  <c r="E6282" i="3"/>
  <c r="E6281" i="3"/>
  <c r="E6280" i="3"/>
  <c r="E6278" i="3"/>
  <c r="E6277" i="3"/>
  <c r="E6273" i="3"/>
  <c r="E6271" i="3"/>
  <c r="E6270" i="3"/>
  <c r="E6267" i="3"/>
  <c r="E6266" i="3"/>
  <c r="E6257" i="3"/>
  <c r="S263" i="1"/>
  <c r="G185" i="23" l="1"/>
  <c r="U173" i="23"/>
  <c r="W173" i="23"/>
  <c r="D174" i="23"/>
  <c r="V173" i="23"/>
  <c r="Y173" i="23" s="1"/>
  <c r="X173" i="23"/>
  <c r="E6264" i="3"/>
  <c r="E6262" i="3"/>
  <c r="E6261" i="3"/>
  <c r="E6260" i="3"/>
  <c r="E6258" i="3"/>
  <c r="E6254" i="3"/>
  <c r="E6248" i="3"/>
  <c r="E6247" i="3"/>
  <c r="E6246" i="3"/>
  <c r="E6245" i="3"/>
  <c r="E6243" i="3"/>
  <c r="E6242" i="3"/>
  <c r="E6253" i="3"/>
  <c r="E6252" i="3"/>
  <c r="E6251" i="3"/>
  <c r="S262" i="1"/>
  <c r="W174" i="23" l="1"/>
  <c r="D175" i="23"/>
  <c r="V174" i="23"/>
  <c r="Y174" i="23" s="1"/>
  <c r="U174" i="23"/>
  <c r="X174" i="23"/>
  <c r="G186" i="23"/>
  <c r="E6241" i="3"/>
  <c r="E6238" i="3"/>
  <c r="E6236" i="3"/>
  <c r="E6234" i="3"/>
  <c r="E6233" i="3"/>
  <c r="E6232" i="3"/>
  <c r="E6230" i="3"/>
  <c r="E6228" i="3"/>
  <c r="E6227" i="3"/>
  <c r="E6225" i="3"/>
  <c r="E6224" i="3"/>
  <c r="E6223" i="3"/>
  <c r="E6222" i="3"/>
  <c r="E6221" i="3"/>
  <c r="E6219" i="3"/>
  <c r="E6218" i="3"/>
  <c r="E6240" i="3"/>
  <c r="E6239" i="3"/>
  <c r="E6229" i="3"/>
  <c r="S261" i="1"/>
  <c r="W175" i="23" l="1"/>
  <c r="D176" i="23"/>
  <c r="V175" i="23"/>
  <c r="Y175" i="23" s="1"/>
  <c r="U175" i="23"/>
  <c r="X175" i="23"/>
  <c r="G187" i="23"/>
  <c r="M258" i="1"/>
  <c r="M259" i="1"/>
  <c r="E6217" i="3"/>
  <c r="E6216" i="3"/>
  <c r="E6215" i="3"/>
  <c r="E6214" i="3"/>
  <c r="E6213" i="3"/>
  <c r="E6211" i="3"/>
  <c r="E6210" i="3"/>
  <c r="E6209" i="3"/>
  <c r="E6208" i="3"/>
  <c r="E6206" i="3"/>
  <c r="E6204" i="3"/>
  <c r="E6201" i="3"/>
  <c r="E6199" i="3"/>
  <c r="E6198" i="3"/>
  <c r="E6197" i="3"/>
  <c r="E6195" i="3"/>
  <c r="E6194" i="3"/>
  <c r="E6205" i="3"/>
  <c r="S260" i="1"/>
  <c r="E6190" i="3"/>
  <c r="E6189" i="3"/>
  <c r="E6185" i="3"/>
  <c r="E6177" i="3"/>
  <c r="E6175" i="3"/>
  <c r="E6173" i="3"/>
  <c r="E6171" i="3"/>
  <c r="E6170" i="3"/>
  <c r="E6192" i="3"/>
  <c r="E6182" i="3"/>
  <c r="S259" i="1"/>
  <c r="E6169" i="3"/>
  <c r="E6168" i="3"/>
  <c r="E6166" i="3"/>
  <c r="E6165" i="3"/>
  <c r="E6162" i="3"/>
  <c r="E6161" i="3"/>
  <c r="E6158" i="3"/>
  <c r="E6155" i="3"/>
  <c r="E6153" i="3"/>
  <c r="E6152" i="3"/>
  <c r="E6151" i="3"/>
  <c r="E6150" i="3"/>
  <c r="E6149" i="3"/>
  <c r="E6147" i="3"/>
  <c r="E6146" i="3"/>
  <c r="E6167" i="3"/>
  <c r="S258" i="1"/>
  <c r="M257" i="1"/>
  <c r="S257" i="1"/>
  <c r="E6145" i="3"/>
  <c r="E6144" i="3"/>
  <c r="E6142" i="3"/>
  <c r="E6141" i="3"/>
  <c r="E6140" i="3"/>
  <c r="E6139" i="3"/>
  <c r="E6138" i="3"/>
  <c r="E6137" i="3"/>
  <c r="E6136" i="3"/>
  <c r="E6134" i="3"/>
  <c r="E6129" i="3"/>
  <c r="E6127" i="3"/>
  <c r="E6125" i="3"/>
  <c r="E6124" i="3"/>
  <c r="E6123" i="3"/>
  <c r="E6122" i="3"/>
  <c r="E6143" i="3"/>
  <c r="E6132" i="3"/>
  <c r="E6131" i="3"/>
  <c r="E6128" i="3"/>
  <c r="G188" i="23" l="1"/>
  <c r="U176" i="23"/>
  <c r="W176" i="23"/>
  <c r="V176" i="23"/>
  <c r="Y176" i="23" s="1"/>
  <c r="D177" i="23"/>
  <c r="X176" i="23"/>
  <c r="M254" i="1"/>
  <c r="M255" i="1"/>
  <c r="M256" i="1"/>
  <c r="D178" i="23" l="1"/>
  <c r="V177" i="23"/>
  <c r="Y177" i="23" s="1"/>
  <c r="U177" i="23"/>
  <c r="W177" i="23"/>
  <c r="X177" i="23"/>
  <c r="G189" i="23"/>
  <c r="S256" i="1"/>
  <c r="G190" i="23" l="1"/>
  <c r="W178" i="23"/>
  <c r="D179" i="23"/>
  <c r="V178" i="23"/>
  <c r="Y178" i="23" s="1"/>
  <c r="U178" i="23"/>
  <c r="X178" i="23"/>
  <c r="S255" i="1"/>
  <c r="W179" i="23" l="1"/>
  <c r="D180" i="23"/>
  <c r="V179" i="23"/>
  <c r="Y179" i="23" s="1"/>
  <c r="U179" i="23"/>
  <c r="X179" i="23"/>
  <c r="G191" i="23"/>
  <c r="S254" i="1"/>
  <c r="M252" i="1"/>
  <c r="M253" i="1"/>
  <c r="M250" i="1"/>
  <c r="M251" i="1"/>
  <c r="S253" i="1"/>
  <c r="G192" i="23" l="1"/>
  <c r="U180" i="23"/>
  <c r="W180" i="23"/>
  <c r="D181" i="23"/>
  <c r="V180" i="23"/>
  <c r="Y180" i="23" s="1"/>
  <c r="X180" i="23"/>
  <c r="E6022" i="3"/>
  <c r="E6018" i="3"/>
  <c r="E6017" i="3"/>
  <c r="E6014" i="3"/>
  <c r="E6012" i="3"/>
  <c r="E6009" i="3"/>
  <c r="E6007" i="3"/>
  <c r="E6003" i="3"/>
  <c r="E6020" i="3"/>
  <c r="E6013" i="3"/>
  <c r="E6008" i="3"/>
  <c r="E6005" i="3"/>
  <c r="S252" i="1"/>
  <c r="S251" i="1"/>
  <c r="E5979" i="3"/>
  <c r="E6001" i="3"/>
  <c r="E6000" i="3"/>
  <c r="E5999" i="3"/>
  <c r="E5998" i="3"/>
  <c r="E5997" i="3"/>
  <c r="E5994" i="3"/>
  <c r="E5993" i="3"/>
  <c r="E5990" i="3"/>
  <c r="E5987" i="3"/>
  <c r="E5985" i="3"/>
  <c r="E5983" i="3"/>
  <c r="E5981" i="3"/>
  <c r="E5980" i="3"/>
  <c r="E5978" i="3"/>
  <c r="E5977" i="3"/>
  <c r="E5974" i="3"/>
  <c r="E5973" i="3"/>
  <c r="E5972" i="3"/>
  <c r="E5969" i="3"/>
  <c r="E5968" i="3"/>
  <c r="E5966" i="3"/>
  <c r="E5961" i="3"/>
  <c r="E5960" i="3"/>
  <c r="E5959" i="3"/>
  <c r="E5958" i="3"/>
  <c r="E5957" i="3"/>
  <c r="E5955" i="3"/>
  <c r="E5954" i="3"/>
  <c r="E5975" i="3"/>
  <c r="M248" i="1"/>
  <c r="M249" i="1"/>
  <c r="S250" i="1"/>
  <c r="E5953" i="3"/>
  <c r="E5950" i="3"/>
  <c r="E5949" i="3"/>
  <c r="E5948" i="3"/>
  <c r="E5945" i="3"/>
  <c r="E5942" i="3"/>
  <c r="E5941" i="3"/>
  <c r="E5935" i="3"/>
  <c r="E5934" i="3"/>
  <c r="E5933" i="3"/>
  <c r="E5931" i="3"/>
  <c r="E5930" i="3"/>
  <c r="E5952" i="3"/>
  <c r="E5939" i="3"/>
  <c r="E5937" i="3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S249" i="1"/>
  <c r="G193" i="23" l="1"/>
  <c r="D182" i="23"/>
  <c r="V181" i="23"/>
  <c r="Y181" i="23" s="1"/>
  <c r="U181" i="23"/>
  <c r="W181" i="23"/>
  <c r="X181" i="23"/>
  <c r="M247" i="1"/>
  <c r="S248" i="1"/>
  <c r="W182" i="23" l="1"/>
  <c r="D183" i="23"/>
  <c r="V182" i="23"/>
  <c r="Y182" i="23" s="1"/>
  <c r="U182" i="23"/>
  <c r="X182" i="23"/>
  <c r="G194" i="23"/>
  <c r="S247" i="1"/>
  <c r="M246" i="1"/>
  <c r="W183" i="23" l="1"/>
  <c r="D184" i="23"/>
  <c r="V183" i="23"/>
  <c r="Y183" i="23" s="1"/>
  <c r="U183" i="23"/>
  <c r="X183" i="23"/>
  <c r="G195" i="23"/>
  <c r="S246" i="1"/>
  <c r="M244" i="1"/>
  <c r="M245" i="1"/>
  <c r="E5833" i="3"/>
  <c r="E5830" i="3"/>
  <c r="E5826" i="3"/>
  <c r="E5825" i="3"/>
  <c r="E5822" i="3"/>
  <c r="E5821" i="3"/>
  <c r="E5820" i="3"/>
  <c r="E5819" i="3"/>
  <c r="E5815" i="3"/>
  <c r="E5814" i="3"/>
  <c r="E5813" i="3"/>
  <c r="E5811" i="3"/>
  <c r="E5810" i="3"/>
  <c r="E5832" i="3"/>
  <c r="E5831" i="3"/>
  <c r="E5829" i="3"/>
  <c r="E5817" i="3"/>
  <c r="E5546" i="3"/>
  <c r="F5546" i="3" s="1"/>
  <c r="F5565" i="3"/>
  <c r="F5564" i="3"/>
  <c r="F5588" i="3" s="1"/>
  <c r="F5562" i="3"/>
  <c r="F5552" i="3"/>
  <c r="F5576" i="3" s="1"/>
  <c r="F5600" i="3" s="1"/>
  <c r="M243" i="1"/>
  <c r="D5762" i="3"/>
  <c r="E5809" i="3"/>
  <c r="E5807" i="3"/>
  <c r="E5806" i="3"/>
  <c r="E5805" i="3"/>
  <c r="E5803" i="3"/>
  <c r="E5802" i="3"/>
  <c r="E5801" i="3"/>
  <c r="E5800" i="3"/>
  <c r="E5798" i="3"/>
  <c r="E5797" i="3"/>
  <c r="E5795" i="3"/>
  <c r="E5793" i="3"/>
  <c r="E5791" i="3"/>
  <c r="E5790" i="3"/>
  <c r="E5787" i="3"/>
  <c r="E5786" i="3"/>
  <c r="E5808" i="3"/>
  <c r="E5789" i="3"/>
  <c r="D5807" i="3"/>
  <c r="D5831" i="3" s="1"/>
  <c r="D5855" i="3" s="1"/>
  <c r="D5879" i="3" s="1"/>
  <c r="D5903" i="3" s="1"/>
  <c r="D5927" i="3" s="1"/>
  <c r="D5951" i="3" s="1"/>
  <c r="D5975" i="3" s="1"/>
  <c r="D5999" i="3" s="1"/>
  <c r="D6023" i="3" s="1"/>
  <c r="D6047" i="3" s="1"/>
  <c r="D6071" i="3" s="1"/>
  <c r="D6095" i="3" s="1"/>
  <c r="D6119" i="3" s="1"/>
  <c r="D6143" i="3" s="1"/>
  <c r="D6167" i="3" s="1"/>
  <c r="D6191" i="3" s="1"/>
  <c r="D6215" i="3" s="1"/>
  <c r="D6239" i="3" s="1"/>
  <c r="D6263" i="3" s="1"/>
  <c r="D6287" i="3" s="1"/>
  <c r="D6311" i="3" s="1"/>
  <c r="D6335" i="3" s="1"/>
  <c r="D6359" i="3" s="1"/>
  <c r="D6383" i="3" s="1"/>
  <c r="D6407" i="3" s="1"/>
  <c r="D6431" i="3" s="1"/>
  <c r="D6455" i="3" s="1"/>
  <c r="D6479" i="3" s="1"/>
  <c r="D6503" i="3" s="1"/>
  <c r="D6527" i="3" s="1"/>
  <c r="D6551" i="3" s="1"/>
  <c r="D6575" i="3" s="1"/>
  <c r="D6599" i="3" s="1"/>
  <c r="D6623" i="3" s="1"/>
  <c r="D6647" i="3" s="1"/>
  <c r="D6671" i="3" s="1"/>
  <c r="D6695" i="3" s="1"/>
  <c r="D6719" i="3" s="1"/>
  <c r="D6743" i="3" s="1"/>
  <c r="D6767" i="3" s="1"/>
  <c r="D6791" i="3" s="1"/>
  <c r="D6815" i="3" s="1"/>
  <c r="D6839" i="3" s="1"/>
  <c r="D6863" i="3" s="1"/>
  <c r="D6887" i="3" s="1"/>
  <c r="D6911" i="3" s="1"/>
  <c r="D6935" i="3" s="1"/>
  <c r="D6959" i="3" s="1"/>
  <c r="D6983" i="3" s="1"/>
  <c r="D7007" i="3" s="1"/>
  <c r="D7031" i="3" s="1"/>
  <c r="D7055" i="3" s="1"/>
  <c r="D7079" i="3" s="1"/>
  <c r="D7103" i="3" s="1"/>
  <c r="D7127" i="3" s="1"/>
  <c r="D7151" i="3" s="1"/>
  <c r="D7175" i="3" s="1"/>
  <c r="D7199" i="3" s="1"/>
  <c r="D7223" i="3" s="1"/>
  <c r="D7247" i="3" s="1"/>
  <c r="D7271" i="3" s="1"/>
  <c r="D7295" i="3" s="1"/>
  <c r="D7319" i="3" s="1"/>
  <c r="D7343" i="3" s="1"/>
  <c r="D7367" i="3" s="1"/>
  <c r="D7391" i="3" s="1"/>
  <c r="D7415" i="3" s="1"/>
  <c r="D7439" i="3" s="1"/>
  <c r="D7463" i="3" s="1"/>
  <c r="D7487" i="3" s="1"/>
  <c r="D7511" i="3" s="1"/>
  <c r="D7535" i="3" s="1"/>
  <c r="D7559" i="3" s="1"/>
  <c r="D7583" i="3" s="1"/>
  <c r="D7607" i="3" s="1"/>
  <c r="D7631" i="3" s="1"/>
  <c r="D7655" i="3" s="1"/>
  <c r="D7679" i="3" s="1"/>
  <c r="D7703" i="3" s="1"/>
  <c r="D7727" i="3" s="1"/>
  <c r="D7751" i="3" s="1"/>
  <c r="D7775" i="3" s="1"/>
  <c r="D7799" i="3" s="1"/>
  <c r="D7823" i="3" s="1"/>
  <c r="D7847" i="3" s="1"/>
  <c r="D7871" i="3" s="1"/>
  <c r="D7895" i="3" s="1"/>
  <c r="D7919" i="3" s="1"/>
  <c r="D7943" i="3" s="1"/>
  <c r="D7967" i="3" s="1"/>
  <c r="D7991" i="3" s="1"/>
  <c r="D8015" i="3" s="1"/>
  <c r="D8039" i="3" s="1"/>
  <c r="D8063" i="3" s="1"/>
  <c r="D8087" i="3" s="1"/>
  <c r="D8111" i="3" s="1"/>
  <c r="D8135" i="3" s="1"/>
  <c r="D8159" i="3" s="1"/>
  <c r="D8183" i="3" s="1"/>
  <c r="D8207" i="3" s="1"/>
  <c r="D8231" i="3" s="1"/>
  <c r="D8255" i="3" s="1"/>
  <c r="D8279" i="3" s="1"/>
  <c r="D8303" i="3" s="1"/>
  <c r="D8327" i="3" s="1"/>
  <c r="D8351" i="3" s="1"/>
  <c r="D8375" i="3" s="1"/>
  <c r="D8399" i="3" s="1"/>
  <c r="D8423" i="3" s="1"/>
  <c r="D8447" i="3" s="1"/>
  <c r="D8471" i="3" s="1"/>
  <c r="D8495" i="3" s="1"/>
  <c r="D8519" i="3" s="1"/>
  <c r="D8543" i="3" s="1"/>
  <c r="D8567" i="3" s="1"/>
  <c r="D8591" i="3" s="1"/>
  <c r="D8615" i="3" s="1"/>
  <c r="D8639" i="3" s="1"/>
  <c r="D8663" i="3" s="1"/>
  <c r="D8687" i="3" s="1"/>
  <c r="D8711" i="3" s="1"/>
  <c r="D8735" i="3" s="1"/>
  <c r="D8759" i="3" s="1"/>
  <c r="D8783" i="3" s="1"/>
  <c r="D8807" i="3" s="1"/>
  <c r="D8831" i="3" s="1"/>
  <c r="D8855" i="3" s="1"/>
  <c r="D8879" i="3" s="1"/>
  <c r="D8903" i="3" s="1"/>
  <c r="D8927" i="3" s="1"/>
  <c r="D8951" i="3" s="1"/>
  <c r="D8975" i="3" s="1"/>
  <c r="D8999" i="3" s="1"/>
  <c r="D9023" i="3" s="1"/>
  <c r="D9047" i="3" s="1"/>
  <c r="D9071" i="3" s="1"/>
  <c r="D9095" i="3" s="1"/>
  <c r="D9119" i="3" s="1"/>
  <c r="D9143" i="3" s="1"/>
  <c r="D9167" i="3" s="1"/>
  <c r="D9191" i="3" s="1"/>
  <c r="D9215" i="3" s="1"/>
  <c r="D9239" i="3" s="1"/>
  <c r="D9263" i="3" s="1"/>
  <c r="D9287" i="3" s="1"/>
  <c r="D9311" i="3" s="1"/>
  <c r="D9335" i="3" s="1"/>
  <c r="D9359" i="3" s="1"/>
  <c r="D9383" i="3" s="1"/>
  <c r="D9407" i="3" s="1"/>
  <c r="D9431" i="3" s="1"/>
  <c r="D9455" i="3" s="1"/>
  <c r="D9479" i="3" s="1"/>
  <c r="D9503" i="3" s="1"/>
  <c r="D9527" i="3" s="1"/>
  <c r="D9551" i="3" s="1"/>
  <c r="D9575" i="3" s="1"/>
  <c r="D9599" i="3" s="1"/>
  <c r="D9623" i="3" s="1"/>
  <c r="D9647" i="3" s="1"/>
  <c r="D9671" i="3" s="1"/>
  <c r="D9695" i="3" s="1"/>
  <c r="D9719" i="3" s="1"/>
  <c r="D9743" i="3" s="1"/>
  <c r="D9767" i="3" s="1"/>
  <c r="D5806" i="3"/>
  <c r="D5830" i="3" s="1"/>
  <c r="D5854" i="3" s="1"/>
  <c r="D5878" i="3" s="1"/>
  <c r="D5902" i="3" s="1"/>
  <c r="D5926" i="3" s="1"/>
  <c r="D5950" i="3" s="1"/>
  <c r="D5974" i="3" s="1"/>
  <c r="D5998" i="3" s="1"/>
  <c r="D6022" i="3" s="1"/>
  <c r="D6046" i="3" s="1"/>
  <c r="D6070" i="3" s="1"/>
  <c r="D6094" i="3" s="1"/>
  <c r="D6118" i="3" s="1"/>
  <c r="D6142" i="3" s="1"/>
  <c r="D6166" i="3" s="1"/>
  <c r="D6190" i="3" s="1"/>
  <c r="D6214" i="3" s="1"/>
  <c r="D6238" i="3" s="1"/>
  <c r="D6262" i="3" s="1"/>
  <c r="D6286" i="3" s="1"/>
  <c r="D6310" i="3" s="1"/>
  <c r="D6334" i="3" s="1"/>
  <c r="D6358" i="3" s="1"/>
  <c r="D6382" i="3" s="1"/>
  <c r="D6406" i="3" s="1"/>
  <c r="D6430" i="3" s="1"/>
  <c r="D6454" i="3" s="1"/>
  <c r="D6478" i="3" s="1"/>
  <c r="D6502" i="3" s="1"/>
  <c r="D6526" i="3" s="1"/>
  <c r="D6550" i="3" s="1"/>
  <c r="D6574" i="3" s="1"/>
  <c r="D6598" i="3" s="1"/>
  <c r="D6622" i="3" s="1"/>
  <c r="D6646" i="3" s="1"/>
  <c r="D6670" i="3" s="1"/>
  <c r="D6694" i="3" s="1"/>
  <c r="D6718" i="3" s="1"/>
  <c r="D6742" i="3" s="1"/>
  <c r="D6766" i="3" s="1"/>
  <c r="D6790" i="3" s="1"/>
  <c r="D6814" i="3" s="1"/>
  <c r="D6838" i="3" s="1"/>
  <c r="D6862" i="3" s="1"/>
  <c r="D6886" i="3" s="1"/>
  <c r="D6910" i="3" s="1"/>
  <c r="D6934" i="3" s="1"/>
  <c r="D6958" i="3" s="1"/>
  <c r="D6982" i="3" s="1"/>
  <c r="D7006" i="3" s="1"/>
  <c r="D7030" i="3" s="1"/>
  <c r="D7054" i="3" s="1"/>
  <c r="D7078" i="3" s="1"/>
  <c r="D7102" i="3" s="1"/>
  <c r="D7126" i="3" s="1"/>
  <c r="D7150" i="3" s="1"/>
  <c r="D7174" i="3" s="1"/>
  <c r="D7198" i="3" s="1"/>
  <c r="D7222" i="3" s="1"/>
  <c r="D7246" i="3" s="1"/>
  <c r="D7270" i="3" s="1"/>
  <c r="D7294" i="3" s="1"/>
  <c r="D7318" i="3" s="1"/>
  <c r="D7342" i="3" s="1"/>
  <c r="D7366" i="3" s="1"/>
  <c r="D7390" i="3" s="1"/>
  <c r="D7414" i="3" s="1"/>
  <c r="D7438" i="3" s="1"/>
  <c r="D7462" i="3" s="1"/>
  <c r="D7486" i="3" s="1"/>
  <c r="D7510" i="3" s="1"/>
  <c r="D7534" i="3" s="1"/>
  <c r="D7558" i="3" s="1"/>
  <c r="D7582" i="3" s="1"/>
  <c r="D7606" i="3" s="1"/>
  <c r="D7630" i="3" s="1"/>
  <c r="D7654" i="3" s="1"/>
  <c r="D7678" i="3" s="1"/>
  <c r="D7702" i="3" s="1"/>
  <c r="D7726" i="3" s="1"/>
  <c r="D7750" i="3" s="1"/>
  <c r="D7774" i="3" s="1"/>
  <c r="D7798" i="3" s="1"/>
  <c r="D7822" i="3" s="1"/>
  <c r="D7846" i="3" s="1"/>
  <c r="D7870" i="3" s="1"/>
  <c r="D7894" i="3" s="1"/>
  <c r="D7918" i="3" s="1"/>
  <c r="D7942" i="3" s="1"/>
  <c r="D7966" i="3" s="1"/>
  <c r="D7990" i="3" s="1"/>
  <c r="D8014" i="3" s="1"/>
  <c r="D8038" i="3" s="1"/>
  <c r="D8062" i="3" s="1"/>
  <c r="D8086" i="3" s="1"/>
  <c r="D8110" i="3" s="1"/>
  <c r="D8134" i="3" s="1"/>
  <c r="D8158" i="3" s="1"/>
  <c r="D8182" i="3" s="1"/>
  <c r="D8206" i="3" s="1"/>
  <c r="D8230" i="3" s="1"/>
  <c r="D8254" i="3" s="1"/>
  <c r="D8278" i="3" s="1"/>
  <c r="D8302" i="3" s="1"/>
  <c r="D8326" i="3" s="1"/>
  <c r="D8350" i="3" s="1"/>
  <c r="D8374" i="3" s="1"/>
  <c r="D8398" i="3" s="1"/>
  <c r="D8422" i="3" s="1"/>
  <c r="D8446" i="3" s="1"/>
  <c r="D8470" i="3" s="1"/>
  <c r="D8494" i="3" s="1"/>
  <c r="D8518" i="3" s="1"/>
  <c r="D8542" i="3" s="1"/>
  <c r="D8566" i="3" s="1"/>
  <c r="D8590" i="3" s="1"/>
  <c r="D8614" i="3" s="1"/>
  <c r="D8638" i="3" s="1"/>
  <c r="D8662" i="3" s="1"/>
  <c r="D8686" i="3" s="1"/>
  <c r="D8710" i="3" s="1"/>
  <c r="D8734" i="3" s="1"/>
  <c r="D8758" i="3" s="1"/>
  <c r="D8782" i="3" s="1"/>
  <c r="D8806" i="3" s="1"/>
  <c r="D8830" i="3" s="1"/>
  <c r="D8854" i="3" s="1"/>
  <c r="D8878" i="3" s="1"/>
  <c r="D8902" i="3" s="1"/>
  <c r="D8926" i="3" s="1"/>
  <c r="D8950" i="3" s="1"/>
  <c r="D8974" i="3" s="1"/>
  <c r="D8998" i="3" s="1"/>
  <c r="D9022" i="3" s="1"/>
  <c r="D9046" i="3" s="1"/>
  <c r="D9070" i="3" s="1"/>
  <c r="D9094" i="3" s="1"/>
  <c r="D9118" i="3" s="1"/>
  <c r="D9142" i="3" s="1"/>
  <c r="D9166" i="3" s="1"/>
  <c r="D9190" i="3" s="1"/>
  <c r="D9214" i="3" s="1"/>
  <c r="D9238" i="3" s="1"/>
  <c r="D9262" i="3" s="1"/>
  <c r="D9286" i="3" s="1"/>
  <c r="D9310" i="3" s="1"/>
  <c r="D9334" i="3" s="1"/>
  <c r="D9358" i="3" s="1"/>
  <c r="D9382" i="3" s="1"/>
  <c r="D9406" i="3" s="1"/>
  <c r="D9430" i="3" s="1"/>
  <c r="D9454" i="3" s="1"/>
  <c r="D9478" i="3" s="1"/>
  <c r="D9502" i="3" s="1"/>
  <c r="D9526" i="3" s="1"/>
  <c r="D9550" i="3" s="1"/>
  <c r="D9574" i="3" s="1"/>
  <c r="D9598" i="3" s="1"/>
  <c r="D9622" i="3" s="1"/>
  <c r="D9646" i="3" s="1"/>
  <c r="D9670" i="3" s="1"/>
  <c r="D9694" i="3" s="1"/>
  <c r="D9718" i="3" s="1"/>
  <c r="D9742" i="3" s="1"/>
  <c r="D9766" i="3" s="1"/>
  <c r="D5804" i="3"/>
  <c r="D5828" i="3" s="1"/>
  <c r="D5852" i="3" s="1"/>
  <c r="D5876" i="3" s="1"/>
  <c r="D5900" i="3" s="1"/>
  <c r="D5924" i="3" s="1"/>
  <c r="D5948" i="3" s="1"/>
  <c r="D5972" i="3" s="1"/>
  <c r="D5996" i="3" s="1"/>
  <c r="D6020" i="3" s="1"/>
  <c r="D6044" i="3" s="1"/>
  <c r="D6068" i="3" s="1"/>
  <c r="D6092" i="3" s="1"/>
  <c r="D6116" i="3" s="1"/>
  <c r="D6140" i="3" s="1"/>
  <c r="D6164" i="3" s="1"/>
  <c r="D6188" i="3" s="1"/>
  <c r="D6212" i="3" s="1"/>
  <c r="D6236" i="3" s="1"/>
  <c r="D6260" i="3" s="1"/>
  <c r="D6284" i="3" s="1"/>
  <c r="D6308" i="3" s="1"/>
  <c r="D6332" i="3" s="1"/>
  <c r="D6356" i="3" s="1"/>
  <c r="D6380" i="3" s="1"/>
  <c r="D6404" i="3" s="1"/>
  <c r="D6428" i="3" s="1"/>
  <c r="D6452" i="3" s="1"/>
  <c r="D6476" i="3" s="1"/>
  <c r="D6500" i="3" s="1"/>
  <c r="D6524" i="3" s="1"/>
  <c r="D6548" i="3" s="1"/>
  <c r="D6572" i="3" s="1"/>
  <c r="D6596" i="3" s="1"/>
  <c r="D6620" i="3" s="1"/>
  <c r="D6644" i="3" s="1"/>
  <c r="D6668" i="3" s="1"/>
  <c r="D6692" i="3" s="1"/>
  <c r="D6716" i="3" s="1"/>
  <c r="D6740" i="3" s="1"/>
  <c r="D6764" i="3" s="1"/>
  <c r="D6788" i="3" s="1"/>
  <c r="D6812" i="3" s="1"/>
  <c r="D6836" i="3" s="1"/>
  <c r="D6860" i="3" s="1"/>
  <c r="D6884" i="3" s="1"/>
  <c r="D6908" i="3" s="1"/>
  <c r="D6932" i="3" s="1"/>
  <c r="D6956" i="3" s="1"/>
  <c r="D6980" i="3" s="1"/>
  <c r="D7004" i="3" s="1"/>
  <c r="D7028" i="3" s="1"/>
  <c r="D7052" i="3" s="1"/>
  <c r="D7076" i="3" s="1"/>
  <c r="D7100" i="3" s="1"/>
  <c r="D7124" i="3" s="1"/>
  <c r="D7148" i="3" s="1"/>
  <c r="D7172" i="3" s="1"/>
  <c r="D7196" i="3" s="1"/>
  <c r="D7220" i="3" s="1"/>
  <c r="D7244" i="3" s="1"/>
  <c r="D7268" i="3" s="1"/>
  <c r="D7292" i="3" s="1"/>
  <c r="D7316" i="3" s="1"/>
  <c r="D7340" i="3" s="1"/>
  <c r="D7364" i="3" s="1"/>
  <c r="D7388" i="3" s="1"/>
  <c r="D7412" i="3" s="1"/>
  <c r="D7436" i="3" s="1"/>
  <c r="D7460" i="3" s="1"/>
  <c r="D7484" i="3" s="1"/>
  <c r="D7508" i="3" s="1"/>
  <c r="D7532" i="3" s="1"/>
  <c r="D7556" i="3" s="1"/>
  <c r="D7580" i="3" s="1"/>
  <c r="D7604" i="3" s="1"/>
  <c r="D7628" i="3" s="1"/>
  <c r="D7652" i="3" s="1"/>
  <c r="D7676" i="3" s="1"/>
  <c r="D7700" i="3" s="1"/>
  <c r="D7724" i="3" s="1"/>
  <c r="D7748" i="3" s="1"/>
  <c r="D7772" i="3" s="1"/>
  <c r="D7796" i="3" s="1"/>
  <c r="D7820" i="3" s="1"/>
  <c r="D7844" i="3" s="1"/>
  <c r="D7868" i="3" s="1"/>
  <c r="D7892" i="3" s="1"/>
  <c r="D7916" i="3" s="1"/>
  <c r="D7940" i="3" s="1"/>
  <c r="D7964" i="3" s="1"/>
  <c r="D7988" i="3" s="1"/>
  <c r="D8012" i="3" s="1"/>
  <c r="D8036" i="3" s="1"/>
  <c r="D8060" i="3" s="1"/>
  <c r="D8084" i="3" s="1"/>
  <c r="D8108" i="3" s="1"/>
  <c r="D8132" i="3" s="1"/>
  <c r="D8156" i="3" s="1"/>
  <c r="D8180" i="3" s="1"/>
  <c r="D8204" i="3" s="1"/>
  <c r="D8228" i="3" s="1"/>
  <c r="D8252" i="3" s="1"/>
  <c r="D8276" i="3" s="1"/>
  <c r="D8300" i="3" s="1"/>
  <c r="D8324" i="3" s="1"/>
  <c r="D8348" i="3" s="1"/>
  <c r="D8372" i="3" s="1"/>
  <c r="D8396" i="3" s="1"/>
  <c r="D8420" i="3" s="1"/>
  <c r="D8444" i="3" s="1"/>
  <c r="D8468" i="3" s="1"/>
  <c r="D8492" i="3" s="1"/>
  <c r="D8516" i="3" s="1"/>
  <c r="D8540" i="3" s="1"/>
  <c r="D8564" i="3" s="1"/>
  <c r="D8588" i="3" s="1"/>
  <c r="D8612" i="3" s="1"/>
  <c r="D8636" i="3" s="1"/>
  <c r="D8660" i="3" s="1"/>
  <c r="D8684" i="3" s="1"/>
  <c r="D8708" i="3" s="1"/>
  <c r="D8732" i="3" s="1"/>
  <c r="D8756" i="3" s="1"/>
  <c r="D8780" i="3" s="1"/>
  <c r="D8804" i="3" s="1"/>
  <c r="D8828" i="3" s="1"/>
  <c r="D8852" i="3" s="1"/>
  <c r="D8876" i="3" s="1"/>
  <c r="D8900" i="3" s="1"/>
  <c r="D8924" i="3" s="1"/>
  <c r="D8948" i="3" s="1"/>
  <c r="D8972" i="3" s="1"/>
  <c r="D8996" i="3" s="1"/>
  <c r="D9020" i="3" s="1"/>
  <c r="D9044" i="3" s="1"/>
  <c r="D9068" i="3" s="1"/>
  <c r="D9092" i="3" s="1"/>
  <c r="D9116" i="3" s="1"/>
  <c r="D9140" i="3" s="1"/>
  <c r="D9164" i="3" s="1"/>
  <c r="D9188" i="3" s="1"/>
  <c r="D9212" i="3" s="1"/>
  <c r="D9236" i="3" s="1"/>
  <c r="D9260" i="3" s="1"/>
  <c r="D9284" i="3" s="1"/>
  <c r="D9308" i="3" s="1"/>
  <c r="D9332" i="3" s="1"/>
  <c r="D9356" i="3" s="1"/>
  <c r="D9380" i="3" s="1"/>
  <c r="D9404" i="3" s="1"/>
  <c r="D9428" i="3" s="1"/>
  <c r="D9452" i="3" s="1"/>
  <c r="D9476" i="3" s="1"/>
  <c r="D9500" i="3" s="1"/>
  <c r="D9524" i="3" s="1"/>
  <c r="D9548" i="3" s="1"/>
  <c r="D9572" i="3" s="1"/>
  <c r="D9596" i="3" s="1"/>
  <c r="D9620" i="3" s="1"/>
  <c r="D9644" i="3" s="1"/>
  <c r="D9668" i="3" s="1"/>
  <c r="D9692" i="3" s="1"/>
  <c r="D9716" i="3" s="1"/>
  <c r="D9740" i="3" s="1"/>
  <c r="D9764" i="3" s="1"/>
  <c r="D5802" i="3"/>
  <c r="D5826" i="3" s="1"/>
  <c r="D5850" i="3" s="1"/>
  <c r="D5874" i="3" s="1"/>
  <c r="D5898" i="3" s="1"/>
  <c r="D5922" i="3" s="1"/>
  <c r="D5946" i="3" s="1"/>
  <c r="D5970" i="3" s="1"/>
  <c r="D5994" i="3" s="1"/>
  <c r="D6018" i="3" s="1"/>
  <c r="D6042" i="3" s="1"/>
  <c r="D6066" i="3" s="1"/>
  <c r="D6090" i="3" s="1"/>
  <c r="D6114" i="3" s="1"/>
  <c r="D6138" i="3" s="1"/>
  <c r="D6162" i="3" s="1"/>
  <c r="D6186" i="3" s="1"/>
  <c r="D6210" i="3" s="1"/>
  <c r="D6234" i="3" s="1"/>
  <c r="D6258" i="3" s="1"/>
  <c r="D6282" i="3" s="1"/>
  <c r="D6306" i="3" s="1"/>
  <c r="D6330" i="3" s="1"/>
  <c r="D6354" i="3" s="1"/>
  <c r="D6378" i="3" s="1"/>
  <c r="D6402" i="3" s="1"/>
  <c r="D6426" i="3" s="1"/>
  <c r="D6450" i="3" s="1"/>
  <c r="D6474" i="3" s="1"/>
  <c r="D6498" i="3" s="1"/>
  <c r="D6522" i="3" s="1"/>
  <c r="D6546" i="3" s="1"/>
  <c r="D6570" i="3" s="1"/>
  <c r="D6594" i="3" s="1"/>
  <c r="D6618" i="3" s="1"/>
  <c r="D6642" i="3" s="1"/>
  <c r="D6666" i="3" s="1"/>
  <c r="D6690" i="3" s="1"/>
  <c r="D6714" i="3" s="1"/>
  <c r="D6738" i="3" s="1"/>
  <c r="D6762" i="3" s="1"/>
  <c r="D6786" i="3" s="1"/>
  <c r="D6810" i="3" s="1"/>
  <c r="D6834" i="3" s="1"/>
  <c r="D6858" i="3" s="1"/>
  <c r="D6882" i="3" s="1"/>
  <c r="D6906" i="3" s="1"/>
  <c r="D6930" i="3" s="1"/>
  <c r="D6954" i="3" s="1"/>
  <c r="D6978" i="3" s="1"/>
  <c r="D7002" i="3" s="1"/>
  <c r="D7026" i="3" s="1"/>
  <c r="D7050" i="3" s="1"/>
  <c r="D7074" i="3" s="1"/>
  <c r="D7098" i="3" s="1"/>
  <c r="D7122" i="3" s="1"/>
  <c r="D7146" i="3" s="1"/>
  <c r="D7170" i="3" s="1"/>
  <c r="D7194" i="3" s="1"/>
  <c r="D7218" i="3" s="1"/>
  <c r="D7242" i="3" s="1"/>
  <c r="D7266" i="3" s="1"/>
  <c r="D7290" i="3" s="1"/>
  <c r="D7314" i="3" s="1"/>
  <c r="D7338" i="3" s="1"/>
  <c r="D7362" i="3" s="1"/>
  <c r="D7386" i="3" s="1"/>
  <c r="D7410" i="3" s="1"/>
  <c r="D7434" i="3" s="1"/>
  <c r="D7458" i="3" s="1"/>
  <c r="D7482" i="3" s="1"/>
  <c r="D7506" i="3" s="1"/>
  <c r="D7530" i="3" s="1"/>
  <c r="D7554" i="3" s="1"/>
  <c r="D7578" i="3" s="1"/>
  <c r="D7602" i="3" s="1"/>
  <c r="D7626" i="3" s="1"/>
  <c r="D7650" i="3" s="1"/>
  <c r="D7674" i="3" s="1"/>
  <c r="D7698" i="3" s="1"/>
  <c r="D7722" i="3" s="1"/>
  <c r="D7746" i="3" s="1"/>
  <c r="D7770" i="3" s="1"/>
  <c r="D7794" i="3" s="1"/>
  <c r="D7818" i="3" s="1"/>
  <c r="D7842" i="3" s="1"/>
  <c r="D7866" i="3" s="1"/>
  <c r="D7890" i="3" s="1"/>
  <c r="D7914" i="3" s="1"/>
  <c r="D7938" i="3" s="1"/>
  <c r="D7962" i="3" s="1"/>
  <c r="D7986" i="3" s="1"/>
  <c r="D8010" i="3" s="1"/>
  <c r="D8034" i="3" s="1"/>
  <c r="D8058" i="3" s="1"/>
  <c r="D8082" i="3" s="1"/>
  <c r="D8106" i="3" s="1"/>
  <c r="D8130" i="3" s="1"/>
  <c r="D8154" i="3" s="1"/>
  <c r="D8178" i="3" s="1"/>
  <c r="D8202" i="3" s="1"/>
  <c r="D8226" i="3" s="1"/>
  <c r="D8250" i="3" s="1"/>
  <c r="D8274" i="3" s="1"/>
  <c r="D8298" i="3" s="1"/>
  <c r="D8322" i="3" s="1"/>
  <c r="D8346" i="3" s="1"/>
  <c r="D8370" i="3" s="1"/>
  <c r="D8394" i="3" s="1"/>
  <c r="D8418" i="3" s="1"/>
  <c r="D8442" i="3" s="1"/>
  <c r="D8466" i="3" s="1"/>
  <c r="D8490" i="3" s="1"/>
  <c r="D8514" i="3" s="1"/>
  <c r="D8538" i="3" s="1"/>
  <c r="D8562" i="3" s="1"/>
  <c r="D8586" i="3" s="1"/>
  <c r="D8610" i="3" s="1"/>
  <c r="D8634" i="3" s="1"/>
  <c r="D8658" i="3" s="1"/>
  <c r="D8682" i="3" s="1"/>
  <c r="D8706" i="3" s="1"/>
  <c r="D8730" i="3" s="1"/>
  <c r="D8754" i="3" s="1"/>
  <c r="D8778" i="3" s="1"/>
  <c r="D8802" i="3" s="1"/>
  <c r="D8826" i="3" s="1"/>
  <c r="D8850" i="3" s="1"/>
  <c r="D8874" i="3" s="1"/>
  <c r="D8898" i="3" s="1"/>
  <c r="D8922" i="3" s="1"/>
  <c r="D8946" i="3" s="1"/>
  <c r="D8970" i="3" s="1"/>
  <c r="D8994" i="3" s="1"/>
  <c r="D9018" i="3" s="1"/>
  <c r="D9042" i="3" s="1"/>
  <c r="D9066" i="3" s="1"/>
  <c r="D9090" i="3" s="1"/>
  <c r="D9114" i="3" s="1"/>
  <c r="D9138" i="3" s="1"/>
  <c r="D9162" i="3" s="1"/>
  <c r="D9186" i="3" s="1"/>
  <c r="D9210" i="3" s="1"/>
  <c r="D9234" i="3" s="1"/>
  <c r="D9258" i="3" s="1"/>
  <c r="D9282" i="3" s="1"/>
  <c r="D9306" i="3" s="1"/>
  <c r="D9330" i="3" s="1"/>
  <c r="D9354" i="3" s="1"/>
  <c r="D9378" i="3" s="1"/>
  <c r="D9402" i="3" s="1"/>
  <c r="D9426" i="3" s="1"/>
  <c r="D9450" i="3" s="1"/>
  <c r="D9474" i="3" s="1"/>
  <c r="D9498" i="3" s="1"/>
  <c r="D9522" i="3" s="1"/>
  <c r="D9546" i="3" s="1"/>
  <c r="D9570" i="3" s="1"/>
  <c r="D9594" i="3" s="1"/>
  <c r="D9618" i="3" s="1"/>
  <c r="D9642" i="3" s="1"/>
  <c r="D9666" i="3" s="1"/>
  <c r="D9690" i="3" s="1"/>
  <c r="D9714" i="3" s="1"/>
  <c r="D9738" i="3" s="1"/>
  <c r="D9762" i="3" s="1"/>
  <c r="D5801" i="3"/>
  <c r="D5825" i="3" s="1"/>
  <c r="D5849" i="3" s="1"/>
  <c r="D5873" i="3" s="1"/>
  <c r="D5897" i="3" s="1"/>
  <c r="D5921" i="3" s="1"/>
  <c r="D5945" i="3" s="1"/>
  <c r="D5969" i="3" s="1"/>
  <c r="D5993" i="3" s="1"/>
  <c r="D6017" i="3" s="1"/>
  <c r="D6041" i="3" s="1"/>
  <c r="D6065" i="3" s="1"/>
  <c r="D6089" i="3" s="1"/>
  <c r="D6113" i="3" s="1"/>
  <c r="D6137" i="3" s="1"/>
  <c r="D6161" i="3" s="1"/>
  <c r="D6185" i="3" s="1"/>
  <c r="D6209" i="3" s="1"/>
  <c r="D6233" i="3" s="1"/>
  <c r="D6257" i="3" s="1"/>
  <c r="D6281" i="3" s="1"/>
  <c r="D6305" i="3" s="1"/>
  <c r="D6329" i="3" s="1"/>
  <c r="D6353" i="3" s="1"/>
  <c r="D6377" i="3" s="1"/>
  <c r="D6401" i="3" s="1"/>
  <c r="D6425" i="3" s="1"/>
  <c r="D6449" i="3" s="1"/>
  <c r="D6473" i="3" s="1"/>
  <c r="D6497" i="3" s="1"/>
  <c r="D6521" i="3" s="1"/>
  <c r="D6545" i="3" s="1"/>
  <c r="D6569" i="3" s="1"/>
  <c r="D6593" i="3" s="1"/>
  <c r="D6617" i="3" s="1"/>
  <c r="D6641" i="3" s="1"/>
  <c r="D6665" i="3" s="1"/>
  <c r="D6689" i="3" s="1"/>
  <c r="D6713" i="3" s="1"/>
  <c r="D6737" i="3" s="1"/>
  <c r="D6761" i="3" s="1"/>
  <c r="D6785" i="3" s="1"/>
  <c r="D6809" i="3" s="1"/>
  <c r="D6833" i="3" s="1"/>
  <c r="D6857" i="3" s="1"/>
  <c r="D6881" i="3" s="1"/>
  <c r="D6905" i="3" s="1"/>
  <c r="D6929" i="3" s="1"/>
  <c r="D6953" i="3" s="1"/>
  <c r="D6977" i="3" s="1"/>
  <c r="D7001" i="3" s="1"/>
  <c r="D7025" i="3" s="1"/>
  <c r="D7049" i="3" s="1"/>
  <c r="D7073" i="3" s="1"/>
  <c r="D7097" i="3" s="1"/>
  <c r="D7121" i="3" s="1"/>
  <c r="D7145" i="3" s="1"/>
  <c r="D7169" i="3" s="1"/>
  <c r="D7193" i="3" s="1"/>
  <c r="D7217" i="3" s="1"/>
  <c r="D7241" i="3" s="1"/>
  <c r="D7265" i="3" s="1"/>
  <c r="D7289" i="3" s="1"/>
  <c r="D7313" i="3" s="1"/>
  <c r="D7337" i="3" s="1"/>
  <c r="D7361" i="3" s="1"/>
  <c r="D7385" i="3" s="1"/>
  <c r="D7409" i="3" s="1"/>
  <c r="D7433" i="3" s="1"/>
  <c r="D7457" i="3" s="1"/>
  <c r="D7481" i="3" s="1"/>
  <c r="D7505" i="3" s="1"/>
  <c r="D7529" i="3" s="1"/>
  <c r="D7553" i="3" s="1"/>
  <c r="D7577" i="3" s="1"/>
  <c r="D7601" i="3" s="1"/>
  <c r="D7625" i="3" s="1"/>
  <c r="D7649" i="3" s="1"/>
  <c r="D7673" i="3" s="1"/>
  <c r="D7697" i="3" s="1"/>
  <c r="D7721" i="3" s="1"/>
  <c r="D7745" i="3" s="1"/>
  <c r="D7769" i="3" s="1"/>
  <c r="D7793" i="3" s="1"/>
  <c r="D7817" i="3" s="1"/>
  <c r="D7841" i="3" s="1"/>
  <c r="D7865" i="3" s="1"/>
  <c r="D7889" i="3" s="1"/>
  <c r="D7913" i="3" s="1"/>
  <c r="D7937" i="3" s="1"/>
  <c r="D7961" i="3" s="1"/>
  <c r="D7985" i="3" s="1"/>
  <c r="D8009" i="3" s="1"/>
  <c r="D8033" i="3" s="1"/>
  <c r="D8057" i="3" s="1"/>
  <c r="D8081" i="3" s="1"/>
  <c r="D8105" i="3" s="1"/>
  <c r="D8129" i="3" s="1"/>
  <c r="D8153" i="3" s="1"/>
  <c r="D8177" i="3" s="1"/>
  <c r="D8201" i="3" s="1"/>
  <c r="D8225" i="3" s="1"/>
  <c r="D8249" i="3" s="1"/>
  <c r="D8273" i="3" s="1"/>
  <c r="D8297" i="3" s="1"/>
  <c r="D8321" i="3" s="1"/>
  <c r="D8345" i="3" s="1"/>
  <c r="D8369" i="3" s="1"/>
  <c r="D8393" i="3" s="1"/>
  <c r="D8417" i="3" s="1"/>
  <c r="D8441" i="3" s="1"/>
  <c r="D8465" i="3" s="1"/>
  <c r="D8489" i="3" s="1"/>
  <c r="D8513" i="3" s="1"/>
  <c r="D8537" i="3" s="1"/>
  <c r="D8561" i="3" s="1"/>
  <c r="D8585" i="3" s="1"/>
  <c r="D8609" i="3" s="1"/>
  <c r="D8633" i="3" s="1"/>
  <c r="D8657" i="3" s="1"/>
  <c r="D8681" i="3" s="1"/>
  <c r="D8705" i="3" s="1"/>
  <c r="D8729" i="3" s="1"/>
  <c r="D8753" i="3" s="1"/>
  <c r="D8777" i="3" s="1"/>
  <c r="D8801" i="3" s="1"/>
  <c r="D8825" i="3" s="1"/>
  <c r="D8849" i="3" s="1"/>
  <c r="D8873" i="3" s="1"/>
  <c r="D8897" i="3" s="1"/>
  <c r="D8921" i="3" s="1"/>
  <c r="D8945" i="3" s="1"/>
  <c r="D8969" i="3" s="1"/>
  <c r="D8993" i="3" s="1"/>
  <c r="D9017" i="3" s="1"/>
  <c r="D9041" i="3" s="1"/>
  <c r="D9065" i="3" s="1"/>
  <c r="D9089" i="3" s="1"/>
  <c r="D9113" i="3" s="1"/>
  <c r="D9137" i="3" s="1"/>
  <c r="D9161" i="3" s="1"/>
  <c r="D9185" i="3" s="1"/>
  <c r="D9209" i="3" s="1"/>
  <c r="D9233" i="3" s="1"/>
  <c r="D9257" i="3" s="1"/>
  <c r="D9281" i="3" s="1"/>
  <c r="D9305" i="3" s="1"/>
  <c r="D9329" i="3" s="1"/>
  <c r="D9353" i="3" s="1"/>
  <c r="D9377" i="3" s="1"/>
  <c r="D9401" i="3" s="1"/>
  <c r="D9425" i="3" s="1"/>
  <c r="D9449" i="3" s="1"/>
  <c r="D9473" i="3" s="1"/>
  <c r="D9497" i="3" s="1"/>
  <c r="D9521" i="3" s="1"/>
  <c r="D9545" i="3" s="1"/>
  <c r="D9569" i="3" s="1"/>
  <c r="D9593" i="3" s="1"/>
  <c r="D9617" i="3" s="1"/>
  <c r="D9641" i="3" s="1"/>
  <c r="D9665" i="3" s="1"/>
  <c r="D9689" i="3" s="1"/>
  <c r="D9713" i="3" s="1"/>
  <c r="D9737" i="3" s="1"/>
  <c r="D9761" i="3" s="1"/>
  <c r="D5786" i="3"/>
  <c r="D5810" i="3" s="1"/>
  <c r="D5834" i="3" s="1"/>
  <c r="D5858" i="3" s="1"/>
  <c r="D5882" i="3" s="1"/>
  <c r="D5906" i="3" s="1"/>
  <c r="D5930" i="3" s="1"/>
  <c r="D5954" i="3" s="1"/>
  <c r="D5978" i="3" s="1"/>
  <c r="D6002" i="3" s="1"/>
  <c r="D6026" i="3" s="1"/>
  <c r="D6050" i="3" s="1"/>
  <c r="D6074" i="3" s="1"/>
  <c r="D6098" i="3" s="1"/>
  <c r="D6122" i="3" s="1"/>
  <c r="D6146" i="3" s="1"/>
  <c r="D6170" i="3" s="1"/>
  <c r="D6194" i="3" s="1"/>
  <c r="D6218" i="3" s="1"/>
  <c r="D6242" i="3" s="1"/>
  <c r="D6266" i="3" s="1"/>
  <c r="D6290" i="3" s="1"/>
  <c r="D6314" i="3" s="1"/>
  <c r="D6338" i="3" s="1"/>
  <c r="D6362" i="3" s="1"/>
  <c r="D6386" i="3" s="1"/>
  <c r="D6410" i="3" s="1"/>
  <c r="D6434" i="3" s="1"/>
  <c r="D6458" i="3" s="1"/>
  <c r="D6482" i="3" s="1"/>
  <c r="D6506" i="3" s="1"/>
  <c r="D6530" i="3" s="1"/>
  <c r="D6554" i="3" s="1"/>
  <c r="D6578" i="3" s="1"/>
  <c r="D6602" i="3" s="1"/>
  <c r="D6626" i="3" s="1"/>
  <c r="D6650" i="3" s="1"/>
  <c r="D6674" i="3" s="1"/>
  <c r="D6698" i="3" s="1"/>
  <c r="D6722" i="3" s="1"/>
  <c r="D6746" i="3" s="1"/>
  <c r="D6770" i="3" s="1"/>
  <c r="D6794" i="3" s="1"/>
  <c r="D6818" i="3" s="1"/>
  <c r="D6842" i="3" s="1"/>
  <c r="D6866" i="3" s="1"/>
  <c r="D6890" i="3" s="1"/>
  <c r="D6914" i="3" s="1"/>
  <c r="D6938" i="3" s="1"/>
  <c r="D6962" i="3" s="1"/>
  <c r="D6986" i="3" s="1"/>
  <c r="D7010" i="3" s="1"/>
  <c r="D7034" i="3" s="1"/>
  <c r="D7058" i="3" s="1"/>
  <c r="D7082" i="3" s="1"/>
  <c r="D7106" i="3" s="1"/>
  <c r="D7130" i="3" s="1"/>
  <c r="D7154" i="3" s="1"/>
  <c r="D7178" i="3" s="1"/>
  <c r="D7202" i="3" s="1"/>
  <c r="D7226" i="3" s="1"/>
  <c r="D7250" i="3" s="1"/>
  <c r="D7274" i="3" s="1"/>
  <c r="D7298" i="3" s="1"/>
  <c r="D7322" i="3" s="1"/>
  <c r="D7346" i="3" s="1"/>
  <c r="D7370" i="3" s="1"/>
  <c r="D7394" i="3" s="1"/>
  <c r="D7418" i="3" s="1"/>
  <c r="D7442" i="3" s="1"/>
  <c r="D7466" i="3" s="1"/>
  <c r="D7490" i="3" s="1"/>
  <c r="D7514" i="3" s="1"/>
  <c r="D7538" i="3" s="1"/>
  <c r="D7562" i="3" s="1"/>
  <c r="D7586" i="3" s="1"/>
  <c r="D7610" i="3" s="1"/>
  <c r="D7634" i="3" s="1"/>
  <c r="D7658" i="3" s="1"/>
  <c r="D7682" i="3" s="1"/>
  <c r="D7706" i="3" s="1"/>
  <c r="D7730" i="3" s="1"/>
  <c r="D7754" i="3" s="1"/>
  <c r="D7778" i="3" s="1"/>
  <c r="D7802" i="3" s="1"/>
  <c r="D7826" i="3" s="1"/>
  <c r="D7850" i="3" s="1"/>
  <c r="D7874" i="3" s="1"/>
  <c r="D7898" i="3" s="1"/>
  <c r="D7922" i="3" s="1"/>
  <c r="D7946" i="3" s="1"/>
  <c r="D7970" i="3" s="1"/>
  <c r="D7994" i="3" s="1"/>
  <c r="D8018" i="3" s="1"/>
  <c r="D8042" i="3" s="1"/>
  <c r="D8066" i="3" s="1"/>
  <c r="D8090" i="3" s="1"/>
  <c r="D8114" i="3" s="1"/>
  <c r="D8138" i="3" s="1"/>
  <c r="D8162" i="3" s="1"/>
  <c r="D8186" i="3" s="1"/>
  <c r="D8210" i="3" s="1"/>
  <c r="D8234" i="3" s="1"/>
  <c r="D8258" i="3" s="1"/>
  <c r="D8282" i="3" s="1"/>
  <c r="D8306" i="3" s="1"/>
  <c r="D8330" i="3" s="1"/>
  <c r="D8354" i="3" s="1"/>
  <c r="D8378" i="3" s="1"/>
  <c r="D8402" i="3" s="1"/>
  <c r="D8426" i="3" s="1"/>
  <c r="D8450" i="3" s="1"/>
  <c r="D8474" i="3" s="1"/>
  <c r="D8498" i="3" s="1"/>
  <c r="D8522" i="3" s="1"/>
  <c r="D8546" i="3" s="1"/>
  <c r="D8570" i="3" s="1"/>
  <c r="D8594" i="3" s="1"/>
  <c r="D8618" i="3" s="1"/>
  <c r="D8642" i="3" s="1"/>
  <c r="D8666" i="3" s="1"/>
  <c r="D8690" i="3" s="1"/>
  <c r="D8714" i="3" s="1"/>
  <c r="D8738" i="3" s="1"/>
  <c r="D8762" i="3" s="1"/>
  <c r="D8786" i="3" s="1"/>
  <c r="D8810" i="3" s="1"/>
  <c r="D8834" i="3" s="1"/>
  <c r="D8858" i="3" s="1"/>
  <c r="D8882" i="3" s="1"/>
  <c r="D8906" i="3" s="1"/>
  <c r="D8930" i="3" s="1"/>
  <c r="D8954" i="3" s="1"/>
  <c r="D8978" i="3" s="1"/>
  <c r="D9002" i="3" s="1"/>
  <c r="D9026" i="3" s="1"/>
  <c r="D9050" i="3" s="1"/>
  <c r="D9074" i="3" s="1"/>
  <c r="D9098" i="3" s="1"/>
  <c r="D9122" i="3" s="1"/>
  <c r="D9146" i="3" s="1"/>
  <c r="D9170" i="3" s="1"/>
  <c r="D9194" i="3" s="1"/>
  <c r="D9218" i="3" s="1"/>
  <c r="D9242" i="3" s="1"/>
  <c r="D9266" i="3" s="1"/>
  <c r="D9290" i="3" s="1"/>
  <c r="D9314" i="3" s="1"/>
  <c r="D9338" i="3" s="1"/>
  <c r="D9362" i="3" s="1"/>
  <c r="D9386" i="3" s="1"/>
  <c r="D9410" i="3" s="1"/>
  <c r="D9434" i="3" s="1"/>
  <c r="D9458" i="3" s="1"/>
  <c r="D9482" i="3" s="1"/>
  <c r="D9506" i="3" s="1"/>
  <c r="D9530" i="3" s="1"/>
  <c r="D9554" i="3" s="1"/>
  <c r="D9578" i="3" s="1"/>
  <c r="D9602" i="3" s="1"/>
  <c r="D9626" i="3" s="1"/>
  <c r="D9650" i="3" s="1"/>
  <c r="D9674" i="3" s="1"/>
  <c r="D9698" i="3" s="1"/>
  <c r="D9722" i="3" s="1"/>
  <c r="D9746" i="3" s="1"/>
  <c r="G196" i="23" l="1"/>
  <c r="U184" i="23"/>
  <c r="W184" i="23"/>
  <c r="D185" i="23"/>
  <c r="V184" i="23"/>
  <c r="Y184" i="23" s="1"/>
  <c r="X184" i="23"/>
  <c r="M242" i="1"/>
  <c r="E5785" i="3"/>
  <c r="E5784" i="3"/>
  <c r="E5782" i="3"/>
  <c r="E5781" i="3"/>
  <c r="E5777" i="3"/>
  <c r="E5776" i="3"/>
  <c r="E5774" i="3"/>
  <c r="E5772" i="3"/>
  <c r="E5771" i="3"/>
  <c r="E5769" i="3"/>
  <c r="E5767" i="3"/>
  <c r="E5765" i="3"/>
  <c r="E5762" i="3"/>
  <c r="E5783" i="3"/>
  <c r="E5780" i="3"/>
  <c r="E5779" i="3"/>
  <c r="E5766" i="3"/>
  <c r="E5718" i="3"/>
  <c r="D186" i="23" l="1"/>
  <c r="V185" i="23"/>
  <c r="Y185" i="23" s="1"/>
  <c r="U185" i="23"/>
  <c r="W185" i="23"/>
  <c r="X185" i="23"/>
  <c r="G197" i="23"/>
  <c r="M241" i="1"/>
  <c r="E5761" i="3"/>
  <c r="E5760" i="3"/>
  <c r="E5759" i="3"/>
  <c r="E5758" i="3"/>
  <c r="E5755" i="3"/>
  <c r="E5754" i="3"/>
  <c r="E5753" i="3"/>
  <c r="E5752" i="3"/>
  <c r="E5750" i="3"/>
  <c r="E5747" i="3"/>
  <c r="E5744" i="3"/>
  <c r="E5743" i="3"/>
  <c r="E5741" i="3"/>
  <c r="E5739" i="3"/>
  <c r="E5738" i="3"/>
  <c r="E5749" i="3"/>
  <c r="M240" i="1"/>
  <c r="G198" i="23" l="1"/>
  <c r="W186" i="23"/>
  <c r="D187" i="23"/>
  <c r="V186" i="23"/>
  <c r="Y186" i="23" s="1"/>
  <c r="U186" i="23"/>
  <c r="X186" i="23"/>
  <c r="E5732" i="3"/>
  <c r="E5715" i="3"/>
  <c r="E5737" i="3"/>
  <c r="E5735" i="3"/>
  <c r="E5734" i="3"/>
  <c r="E5730" i="3"/>
  <c r="E5729" i="3"/>
  <c r="E5728" i="3"/>
  <c r="E5726" i="3"/>
  <c r="E5725" i="3"/>
  <c r="E5723" i="3"/>
  <c r="E5721" i="3"/>
  <c r="E5719" i="3"/>
  <c r="E5717" i="3"/>
  <c r="E5733" i="3"/>
  <c r="E5731" i="3"/>
  <c r="M239" i="1"/>
  <c r="E5671" i="3"/>
  <c r="M238" i="1"/>
  <c r="E5689" i="3"/>
  <c r="E5687" i="3"/>
  <c r="E5686" i="3"/>
  <c r="E5681" i="3"/>
  <c r="E5680" i="3"/>
  <c r="E5678" i="3"/>
  <c r="E5673" i="3"/>
  <c r="E5670" i="3"/>
  <c r="E5669" i="3"/>
  <c r="E5667" i="3"/>
  <c r="E5666" i="3"/>
  <c r="E5688" i="3"/>
  <c r="E5675" i="3"/>
  <c r="E5647" i="3"/>
  <c r="M236" i="1"/>
  <c r="M237" i="1"/>
  <c r="E5665" i="3"/>
  <c r="E5664" i="3"/>
  <c r="E5662" i="3"/>
  <c r="E5657" i="3"/>
  <c r="E5655" i="3"/>
  <c r="E5654" i="3"/>
  <c r="E5651" i="3"/>
  <c r="E5649" i="3"/>
  <c r="E5646" i="3"/>
  <c r="E5645" i="3"/>
  <c r="E5643" i="3"/>
  <c r="E5642" i="3"/>
  <c r="E5659" i="3"/>
  <c r="E5641" i="3"/>
  <c r="E5640" i="3"/>
  <c r="E5638" i="3"/>
  <c r="E5637" i="3"/>
  <c r="E5633" i="3"/>
  <c r="E5630" i="3"/>
  <c r="E5627" i="3"/>
  <c r="E5625" i="3"/>
  <c r="E5624" i="3"/>
  <c r="F5624" i="3" s="1"/>
  <c r="F5648" i="3" s="1"/>
  <c r="F5672" i="3" s="1"/>
  <c r="F5696" i="3" s="1"/>
  <c r="F5720" i="3" s="1"/>
  <c r="F5744" i="3" s="1"/>
  <c r="F5768" i="3" s="1"/>
  <c r="F5792" i="3" s="1"/>
  <c r="F5816" i="3" s="1"/>
  <c r="F5840" i="3" s="1"/>
  <c r="F5864" i="3" s="1"/>
  <c r="F5888" i="3" s="1"/>
  <c r="F5912" i="3" s="1"/>
  <c r="F5936" i="3" s="1"/>
  <c r="F5960" i="3" s="1"/>
  <c r="F5984" i="3" s="1"/>
  <c r="F6008" i="3" s="1"/>
  <c r="F6032" i="3" s="1"/>
  <c r="F6056" i="3" s="1"/>
  <c r="F6080" i="3" s="1"/>
  <c r="F6104" i="3" s="1"/>
  <c r="F6128" i="3" s="1"/>
  <c r="F6152" i="3" s="1"/>
  <c r="F6176" i="3" s="1"/>
  <c r="F6200" i="3" s="1"/>
  <c r="F6224" i="3" s="1"/>
  <c r="F6248" i="3" s="1"/>
  <c r="F6272" i="3" s="1"/>
  <c r="F6296" i="3" s="1"/>
  <c r="F6320" i="3" s="1"/>
  <c r="F6344" i="3" s="1"/>
  <c r="F6368" i="3" s="1"/>
  <c r="F6392" i="3" s="1"/>
  <c r="F6416" i="3" s="1"/>
  <c r="F6440" i="3" s="1"/>
  <c r="F6464" i="3" s="1"/>
  <c r="F6488" i="3" s="1"/>
  <c r="F6512" i="3" s="1"/>
  <c r="F6536" i="3" s="1"/>
  <c r="F6560" i="3" s="1"/>
  <c r="F6584" i="3" s="1"/>
  <c r="F6608" i="3" s="1"/>
  <c r="F6632" i="3" s="1"/>
  <c r="F6656" i="3" s="1"/>
  <c r="F6680" i="3" s="1"/>
  <c r="F6704" i="3" s="1"/>
  <c r="F6728" i="3" s="1"/>
  <c r="F6752" i="3" s="1"/>
  <c r="F6776" i="3" s="1"/>
  <c r="F6800" i="3" s="1"/>
  <c r="F6824" i="3" s="1"/>
  <c r="F6848" i="3" s="1"/>
  <c r="F6872" i="3" s="1"/>
  <c r="F6896" i="3" s="1"/>
  <c r="F6920" i="3" s="1"/>
  <c r="F6944" i="3" s="1"/>
  <c r="F6968" i="3" s="1"/>
  <c r="F6992" i="3" s="1"/>
  <c r="F7016" i="3" s="1"/>
  <c r="F7040" i="3" s="1"/>
  <c r="F7064" i="3" s="1"/>
  <c r="F7088" i="3" s="1"/>
  <c r="F7112" i="3" s="1"/>
  <c r="F7136" i="3" s="1"/>
  <c r="F7160" i="3" s="1"/>
  <c r="F7184" i="3" s="1"/>
  <c r="F7208" i="3" s="1"/>
  <c r="F7232" i="3" s="1"/>
  <c r="F7256" i="3" s="1"/>
  <c r="F7280" i="3" s="1"/>
  <c r="F7304" i="3" s="1"/>
  <c r="F7328" i="3" s="1"/>
  <c r="F7352" i="3" s="1"/>
  <c r="F7376" i="3" s="1"/>
  <c r="F7400" i="3" s="1"/>
  <c r="F7424" i="3" s="1"/>
  <c r="F7448" i="3" s="1"/>
  <c r="F7472" i="3" s="1"/>
  <c r="F7496" i="3" s="1"/>
  <c r="F7520" i="3" s="1"/>
  <c r="F7544" i="3" s="1"/>
  <c r="F7568" i="3" s="1"/>
  <c r="F7592" i="3" s="1"/>
  <c r="F7616" i="3" s="1"/>
  <c r="F7640" i="3" s="1"/>
  <c r="F7664" i="3" s="1"/>
  <c r="F7688" i="3" s="1"/>
  <c r="F7712" i="3" s="1"/>
  <c r="F7736" i="3" s="1"/>
  <c r="F7760" i="3" s="1"/>
  <c r="F7784" i="3" s="1"/>
  <c r="F7808" i="3" s="1"/>
  <c r="F7832" i="3" s="1"/>
  <c r="F7856" i="3" s="1"/>
  <c r="F7880" i="3" s="1"/>
  <c r="F7904" i="3" s="1"/>
  <c r="F7928" i="3" s="1"/>
  <c r="F7952" i="3" s="1"/>
  <c r="F7999" i="3" s="1"/>
  <c r="E5623" i="3"/>
  <c r="E5622" i="3"/>
  <c r="E5621" i="3"/>
  <c r="E5619" i="3"/>
  <c r="E5614" i="3"/>
  <c r="E5618" i="3"/>
  <c r="E5629" i="3"/>
  <c r="E5628" i="3"/>
  <c r="W187" i="23" l="1"/>
  <c r="D188" i="23"/>
  <c r="V187" i="23"/>
  <c r="Y187" i="23" s="1"/>
  <c r="U187" i="23"/>
  <c r="X187" i="23"/>
  <c r="X197" i="23"/>
  <c r="X198" i="23"/>
  <c r="G199" i="23"/>
  <c r="F8023" i="3"/>
  <c r="M235" i="1"/>
  <c r="E5598" i="3"/>
  <c r="E5617" i="3"/>
  <c r="E5616" i="3"/>
  <c r="E5615" i="3"/>
  <c r="E5613" i="3"/>
  <c r="E5610" i="3"/>
  <c r="E5609" i="3"/>
  <c r="E5606" i="3"/>
  <c r="E5603" i="3"/>
  <c r="E5601" i="3"/>
  <c r="E5599" i="3"/>
  <c r="E5597" i="3"/>
  <c r="E5595" i="3"/>
  <c r="E5612" i="3"/>
  <c r="F5612" i="3" s="1"/>
  <c r="F5636" i="3" s="1"/>
  <c r="F5660" i="3" s="1"/>
  <c r="F5684" i="3" s="1"/>
  <c r="F5708" i="3" s="1"/>
  <c r="F5732" i="3" s="1"/>
  <c r="F5756" i="3" s="1"/>
  <c r="F5780" i="3" s="1"/>
  <c r="F5804" i="3" s="1"/>
  <c r="F5828" i="3" s="1"/>
  <c r="F5852" i="3" s="1"/>
  <c r="F5876" i="3" s="1"/>
  <c r="F5900" i="3" s="1"/>
  <c r="F5924" i="3" s="1"/>
  <c r="F5948" i="3" s="1"/>
  <c r="F5972" i="3" s="1"/>
  <c r="F5996" i="3" s="1"/>
  <c r="F6020" i="3" s="1"/>
  <c r="F6044" i="3" s="1"/>
  <c r="F6068" i="3" s="1"/>
  <c r="F6092" i="3" s="1"/>
  <c r="F6116" i="3" s="1"/>
  <c r="F6140" i="3" s="1"/>
  <c r="F6164" i="3" s="1"/>
  <c r="F6188" i="3" s="1"/>
  <c r="F6212" i="3" s="1"/>
  <c r="F6236" i="3" s="1"/>
  <c r="F6260" i="3" s="1"/>
  <c r="F6284" i="3" s="1"/>
  <c r="F6308" i="3" s="1"/>
  <c r="F6332" i="3" s="1"/>
  <c r="F6356" i="3" s="1"/>
  <c r="F6380" i="3" s="1"/>
  <c r="F6404" i="3" s="1"/>
  <c r="F6428" i="3" s="1"/>
  <c r="F6452" i="3" s="1"/>
  <c r="F6476" i="3" s="1"/>
  <c r="F6500" i="3" s="1"/>
  <c r="F6524" i="3" s="1"/>
  <c r="F6548" i="3" s="1"/>
  <c r="F6572" i="3" s="1"/>
  <c r="F6596" i="3" s="1"/>
  <c r="F6620" i="3" s="1"/>
  <c r="F6644" i="3" s="1"/>
  <c r="F6668" i="3" s="1"/>
  <c r="F6692" i="3" s="1"/>
  <c r="F6716" i="3" s="1"/>
  <c r="F6740" i="3" s="1"/>
  <c r="F6764" i="3" s="1"/>
  <c r="F6788" i="3" s="1"/>
  <c r="F6812" i="3" s="1"/>
  <c r="F6836" i="3" s="1"/>
  <c r="F6860" i="3" s="1"/>
  <c r="F6884" i="3" s="1"/>
  <c r="F6908" i="3" s="1"/>
  <c r="F6932" i="3" s="1"/>
  <c r="F6956" i="3" s="1"/>
  <c r="F6980" i="3" s="1"/>
  <c r="F7004" i="3" s="1"/>
  <c r="F7028" i="3" s="1"/>
  <c r="F7052" i="3" s="1"/>
  <c r="F7076" i="3" s="1"/>
  <c r="F7100" i="3" s="1"/>
  <c r="F7124" i="3" s="1"/>
  <c r="F7148" i="3" s="1"/>
  <c r="F7172" i="3" s="1"/>
  <c r="F7196" i="3" s="1"/>
  <c r="F7220" i="3" s="1"/>
  <c r="F7244" i="3" s="1"/>
  <c r="F7268" i="3" s="1"/>
  <c r="F7292" i="3" s="1"/>
  <c r="F7316" i="3" s="1"/>
  <c r="F7340" i="3" s="1"/>
  <c r="F7364" i="3" s="1"/>
  <c r="F7388" i="3" s="1"/>
  <c r="F7412" i="3" s="1"/>
  <c r="F7436" i="3" s="1"/>
  <c r="F7460" i="3" s="1"/>
  <c r="F7484" i="3" s="1"/>
  <c r="F7508" i="3" s="1"/>
  <c r="F7532" i="3" s="1"/>
  <c r="F7556" i="3" s="1"/>
  <c r="F7580" i="3" s="1"/>
  <c r="F7604" i="3" s="1"/>
  <c r="F7628" i="3" s="1"/>
  <c r="F7652" i="3" s="1"/>
  <c r="F7676" i="3" s="1"/>
  <c r="F7700" i="3" s="1"/>
  <c r="F7724" i="3" s="1"/>
  <c r="F7748" i="3" s="1"/>
  <c r="F7772" i="3" s="1"/>
  <c r="F7796" i="3" s="1"/>
  <c r="F7820" i="3" s="1"/>
  <c r="F7844" i="3" s="1"/>
  <c r="F7868" i="3" s="1"/>
  <c r="F7892" i="3" s="1"/>
  <c r="F7916" i="3" s="1"/>
  <c r="F7940" i="3" s="1"/>
  <c r="F7964" i="3" s="1"/>
  <c r="F8012" i="3" s="1"/>
  <c r="E5608" i="3"/>
  <c r="E5604" i="3"/>
  <c r="M234" i="1"/>
  <c r="E5593" i="3"/>
  <c r="E5591" i="3"/>
  <c r="E5590" i="3"/>
  <c r="E5589" i="3"/>
  <c r="F5589" i="3" s="1"/>
  <c r="F5586" i="3"/>
  <c r="E5585" i="3"/>
  <c r="E5584" i="3"/>
  <c r="E5582" i="3"/>
  <c r="E5579" i="3"/>
  <c r="E5577" i="3"/>
  <c r="E5575" i="3"/>
  <c r="E5573" i="3"/>
  <c r="E5571" i="3"/>
  <c r="E5570" i="3"/>
  <c r="F5570" i="3" s="1"/>
  <c r="E5592" i="3"/>
  <c r="E5581" i="3"/>
  <c r="E5580" i="3"/>
  <c r="E5574" i="3"/>
  <c r="G200" i="23" l="1"/>
  <c r="X199" i="23"/>
  <c r="U188" i="23"/>
  <c r="W188" i="23"/>
  <c r="D189" i="23"/>
  <c r="V188" i="23"/>
  <c r="Y188" i="23" s="1"/>
  <c r="X188" i="23"/>
  <c r="F5613" i="3"/>
  <c r="F5637" i="3" s="1"/>
  <c r="F5661" i="3" s="1"/>
  <c r="F5685" i="3" s="1"/>
  <c r="F5709" i="3" s="1"/>
  <c r="F5733" i="3" s="1"/>
  <c r="F5757" i="3" s="1"/>
  <c r="F5781" i="3" s="1"/>
  <c r="F5805" i="3" s="1"/>
  <c r="F5829" i="3" s="1"/>
  <c r="F5853" i="3" s="1"/>
  <c r="F5877" i="3" s="1"/>
  <c r="F5901" i="3" s="1"/>
  <c r="F5925" i="3" s="1"/>
  <c r="F5949" i="3" s="1"/>
  <c r="F5973" i="3" s="1"/>
  <c r="F5997" i="3" s="1"/>
  <c r="F6021" i="3" s="1"/>
  <c r="F6045" i="3" s="1"/>
  <c r="F6069" i="3" s="1"/>
  <c r="F6093" i="3" s="1"/>
  <c r="F6117" i="3" s="1"/>
  <c r="F6141" i="3" s="1"/>
  <c r="F6165" i="3" s="1"/>
  <c r="F6189" i="3" s="1"/>
  <c r="F6213" i="3" s="1"/>
  <c r="F6237" i="3" s="1"/>
  <c r="F6261" i="3" s="1"/>
  <c r="F6285" i="3" s="1"/>
  <c r="F6309" i="3" s="1"/>
  <c r="F6333" i="3" s="1"/>
  <c r="F6357" i="3" s="1"/>
  <c r="F6381" i="3" s="1"/>
  <c r="F6405" i="3" s="1"/>
  <c r="F6429" i="3" s="1"/>
  <c r="F6453" i="3" s="1"/>
  <c r="F6477" i="3" s="1"/>
  <c r="F6501" i="3" s="1"/>
  <c r="F6525" i="3" s="1"/>
  <c r="F6549" i="3" s="1"/>
  <c r="F6573" i="3" s="1"/>
  <c r="F6597" i="3" s="1"/>
  <c r="F6621" i="3" s="1"/>
  <c r="F6645" i="3" s="1"/>
  <c r="F6669" i="3" s="1"/>
  <c r="F6693" i="3" s="1"/>
  <c r="F6717" i="3" s="1"/>
  <c r="F6741" i="3" s="1"/>
  <c r="F6765" i="3" s="1"/>
  <c r="F6789" i="3" s="1"/>
  <c r="F6813" i="3" s="1"/>
  <c r="F6837" i="3" s="1"/>
  <c r="F6861" i="3" s="1"/>
  <c r="F6885" i="3" s="1"/>
  <c r="F6909" i="3" s="1"/>
  <c r="F6933" i="3" s="1"/>
  <c r="F6957" i="3" s="1"/>
  <c r="F6981" i="3" s="1"/>
  <c r="F7005" i="3" s="1"/>
  <c r="F7029" i="3" s="1"/>
  <c r="F7053" i="3" s="1"/>
  <c r="F7077" i="3" s="1"/>
  <c r="F7101" i="3" s="1"/>
  <c r="F7125" i="3" s="1"/>
  <c r="F7149" i="3" s="1"/>
  <c r="F7173" i="3" s="1"/>
  <c r="F7197" i="3" s="1"/>
  <c r="F7221" i="3" s="1"/>
  <c r="F7245" i="3" s="1"/>
  <c r="F7269" i="3" s="1"/>
  <c r="F7293" i="3" s="1"/>
  <c r="F7317" i="3" s="1"/>
  <c r="F7341" i="3" s="1"/>
  <c r="F7365" i="3" s="1"/>
  <c r="F7389" i="3" s="1"/>
  <c r="F7413" i="3" s="1"/>
  <c r="F7437" i="3" s="1"/>
  <c r="F7461" i="3" s="1"/>
  <c r="F7485" i="3" s="1"/>
  <c r="F7509" i="3" s="1"/>
  <c r="F7533" i="3" s="1"/>
  <c r="F7557" i="3" s="1"/>
  <c r="F7581" i="3" s="1"/>
  <c r="F7605" i="3" s="1"/>
  <c r="F7629" i="3" s="1"/>
  <c r="F7653" i="3" s="1"/>
  <c r="F7677" i="3" s="1"/>
  <c r="F7701" i="3" s="1"/>
  <c r="F7725" i="3" s="1"/>
  <c r="F7749" i="3" s="1"/>
  <c r="F7773" i="3" s="1"/>
  <c r="F7797" i="3" s="1"/>
  <c r="F7821" i="3" s="1"/>
  <c r="F7845" i="3" s="1"/>
  <c r="F7869" i="3" s="1"/>
  <c r="F7893" i="3" s="1"/>
  <c r="F7917" i="3" s="1"/>
  <c r="F7941" i="3" s="1"/>
  <c r="F7965" i="3" s="1"/>
  <c r="F8013" i="3" s="1"/>
  <c r="F8037" i="3" s="1"/>
  <c r="F8061" i="3" s="1"/>
  <c r="F8085" i="3" s="1"/>
  <c r="F8109" i="3" s="1"/>
  <c r="F8133" i="3" s="1"/>
  <c r="F8157" i="3" s="1"/>
  <c r="F8181" i="3" s="1"/>
  <c r="F8205" i="3" s="1"/>
  <c r="F8229" i="3" s="1"/>
  <c r="F8253" i="3" s="1"/>
  <c r="F8277" i="3" s="1"/>
  <c r="F8301" i="3" s="1"/>
  <c r="F8325" i="3" s="1"/>
  <c r="F8349" i="3" s="1"/>
  <c r="F8373" i="3" s="1"/>
  <c r="F8397" i="3" s="1"/>
  <c r="F8421" i="3" s="1"/>
  <c r="F8445" i="3" s="1"/>
  <c r="F8469" i="3" s="1"/>
  <c r="F8493" i="3" s="1"/>
  <c r="F8517" i="3" s="1"/>
  <c r="F8541" i="3" s="1"/>
  <c r="F8565" i="3" s="1"/>
  <c r="F8589" i="3" s="1"/>
  <c r="F8613" i="3" s="1"/>
  <c r="F8637" i="3" s="1"/>
  <c r="F8661" i="3" s="1"/>
  <c r="F8685" i="3" s="1"/>
  <c r="F8709" i="3" s="1"/>
  <c r="F8733" i="3" s="1"/>
  <c r="F8757" i="3" s="1"/>
  <c r="F8781" i="3" s="1"/>
  <c r="F8805" i="3" s="1"/>
  <c r="F8829" i="3" s="1"/>
  <c r="F8853" i="3" s="1"/>
  <c r="F8877" i="3" s="1"/>
  <c r="F8901" i="3" s="1"/>
  <c r="F8925" i="3" s="1"/>
  <c r="F8949" i="3" s="1"/>
  <c r="F8973" i="3" s="1"/>
  <c r="F8997" i="3" s="1"/>
  <c r="F9021" i="3" s="1"/>
  <c r="F9045" i="3" s="1"/>
  <c r="F9069" i="3" s="1"/>
  <c r="F9093" i="3" s="1"/>
  <c r="F9117" i="3" s="1"/>
  <c r="F9141" i="3" s="1"/>
  <c r="F9165" i="3" s="1"/>
  <c r="F9189" i="3" s="1"/>
  <c r="F9213" i="3" s="1"/>
  <c r="F9237" i="3" s="1"/>
  <c r="F9261" i="3" s="1"/>
  <c r="F9285" i="3" s="1"/>
  <c r="F9309" i="3" s="1"/>
  <c r="F9333" i="3" s="1"/>
  <c r="F9357" i="3" s="1"/>
  <c r="F9381" i="3" s="1"/>
  <c r="F9405" i="3" s="1"/>
  <c r="F9429" i="3" s="1"/>
  <c r="F9453" i="3" s="1"/>
  <c r="F9477" i="3" s="1"/>
  <c r="F9501" i="3" s="1"/>
  <c r="F9525" i="3" s="1"/>
  <c r="F9549" i="3" s="1"/>
  <c r="F9573" i="3" s="1"/>
  <c r="F9597" i="3" s="1"/>
  <c r="F9621" i="3" s="1"/>
  <c r="F9645" i="3" s="1"/>
  <c r="F9669" i="3" s="1"/>
  <c r="F9693" i="3" s="1"/>
  <c r="F9717" i="3" s="1"/>
  <c r="F9741" i="3" s="1"/>
  <c r="F9765" i="3" s="1"/>
  <c r="F8036" i="3"/>
  <c r="F8060" i="3" s="1"/>
  <c r="F8084" i="3" s="1"/>
  <c r="F8108" i="3" s="1"/>
  <c r="F8132" i="3" s="1"/>
  <c r="F8156" i="3" s="1"/>
  <c r="F8180" i="3" s="1"/>
  <c r="F8204" i="3" s="1"/>
  <c r="F8228" i="3" s="1"/>
  <c r="F8252" i="3" s="1"/>
  <c r="F8276" i="3" s="1"/>
  <c r="F8300" i="3" s="1"/>
  <c r="F8324" i="3" s="1"/>
  <c r="F8348" i="3" s="1"/>
  <c r="F8372" i="3" s="1"/>
  <c r="F8396" i="3" s="1"/>
  <c r="F8420" i="3" s="1"/>
  <c r="F8444" i="3" s="1"/>
  <c r="F8468" i="3" s="1"/>
  <c r="F8492" i="3" s="1"/>
  <c r="F8516" i="3" s="1"/>
  <c r="F8540" i="3" s="1"/>
  <c r="F8564" i="3" s="1"/>
  <c r="F8588" i="3" s="1"/>
  <c r="F8612" i="3" s="1"/>
  <c r="F8636" i="3" s="1"/>
  <c r="F8660" i="3" s="1"/>
  <c r="F8684" i="3" s="1"/>
  <c r="F8708" i="3" s="1"/>
  <c r="F8732" i="3" s="1"/>
  <c r="F8756" i="3" s="1"/>
  <c r="F8780" i="3" s="1"/>
  <c r="F8804" i="3" s="1"/>
  <c r="F8828" i="3" s="1"/>
  <c r="F8852" i="3" s="1"/>
  <c r="F8876" i="3" s="1"/>
  <c r="F8900" i="3" s="1"/>
  <c r="F8924" i="3" s="1"/>
  <c r="F8948" i="3" s="1"/>
  <c r="F8972" i="3" s="1"/>
  <c r="F8996" i="3" s="1"/>
  <c r="F9020" i="3" s="1"/>
  <c r="F9044" i="3" s="1"/>
  <c r="F9068" i="3" s="1"/>
  <c r="F9092" i="3" s="1"/>
  <c r="F9116" i="3" s="1"/>
  <c r="F9140" i="3" s="1"/>
  <c r="F9164" i="3" s="1"/>
  <c r="F9188" i="3" s="1"/>
  <c r="F9212" i="3" s="1"/>
  <c r="F9236" i="3" s="1"/>
  <c r="F9260" i="3" s="1"/>
  <c r="F9284" i="3" s="1"/>
  <c r="F9308" i="3" s="1"/>
  <c r="F9332" i="3" s="1"/>
  <c r="F9356" i="3" s="1"/>
  <c r="F9380" i="3" s="1"/>
  <c r="F9404" i="3" s="1"/>
  <c r="F9428" i="3" s="1"/>
  <c r="F9452" i="3" s="1"/>
  <c r="F9476" i="3" s="1"/>
  <c r="F9500" i="3" s="1"/>
  <c r="F9524" i="3" s="1"/>
  <c r="F9548" i="3" s="1"/>
  <c r="F9572" i="3" s="1"/>
  <c r="F9596" i="3" s="1"/>
  <c r="F9620" i="3" s="1"/>
  <c r="F9644" i="3" s="1"/>
  <c r="F9668" i="3" s="1"/>
  <c r="F9692" i="3" s="1"/>
  <c r="F9716" i="3" s="1"/>
  <c r="F9740" i="3" s="1"/>
  <c r="F9764" i="3" s="1"/>
  <c r="F5594" i="3"/>
  <c r="F5618" i="3" s="1"/>
  <c r="F5642" i="3" s="1"/>
  <c r="F5666" i="3" s="1"/>
  <c r="F5690" i="3" s="1"/>
  <c r="F5714" i="3" s="1"/>
  <c r="F5738" i="3" s="1"/>
  <c r="F5762" i="3" s="1"/>
  <c r="F5786" i="3" s="1"/>
  <c r="F5810" i="3" s="1"/>
  <c r="F5834" i="3" s="1"/>
  <c r="F5858" i="3" s="1"/>
  <c r="F5882" i="3" s="1"/>
  <c r="F5906" i="3" s="1"/>
  <c r="F5930" i="3" s="1"/>
  <c r="F5954" i="3" s="1"/>
  <c r="F5978" i="3" s="1"/>
  <c r="F6002" i="3" s="1"/>
  <c r="F6026" i="3" s="1"/>
  <c r="F6050" i="3" s="1"/>
  <c r="F6074" i="3" s="1"/>
  <c r="F6098" i="3" s="1"/>
  <c r="F6122" i="3" s="1"/>
  <c r="F6146" i="3" s="1"/>
  <c r="F6170" i="3" s="1"/>
  <c r="F6194" i="3" s="1"/>
  <c r="F6218" i="3" s="1"/>
  <c r="F6242" i="3" s="1"/>
  <c r="F6266" i="3" s="1"/>
  <c r="F6290" i="3" s="1"/>
  <c r="F6314" i="3" s="1"/>
  <c r="F6338" i="3" s="1"/>
  <c r="F6362" i="3" s="1"/>
  <c r="F6386" i="3" s="1"/>
  <c r="F6410" i="3" s="1"/>
  <c r="F6434" i="3" s="1"/>
  <c r="F6458" i="3" s="1"/>
  <c r="F6482" i="3" s="1"/>
  <c r="F6506" i="3" s="1"/>
  <c r="F6530" i="3" s="1"/>
  <c r="F6554" i="3" s="1"/>
  <c r="F6578" i="3" s="1"/>
  <c r="F6602" i="3" s="1"/>
  <c r="F6626" i="3" s="1"/>
  <c r="F6650" i="3" s="1"/>
  <c r="F6674" i="3" s="1"/>
  <c r="F6698" i="3" s="1"/>
  <c r="F6722" i="3" s="1"/>
  <c r="F6746" i="3" s="1"/>
  <c r="F6770" i="3" s="1"/>
  <c r="F6794" i="3" s="1"/>
  <c r="F6818" i="3" s="1"/>
  <c r="F6842" i="3" s="1"/>
  <c r="F6866" i="3" s="1"/>
  <c r="F6890" i="3" s="1"/>
  <c r="F6914" i="3" s="1"/>
  <c r="F6938" i="3" s="1"/>
  <c r="F6962" i="3" s="1"/>
  <c r="F6986" i="3" s="1"/>
  <c r="F7010" i="3" s="1"/>
  <c r="F7034" i="3" s="1"/>
  <c r="F7058" i="3" s="1"/>
  <c r="F7082" i="3" s="1"/>
  <c r="F7106" i="3" s="1"/>
  <c r="F7130" i="3" s="1"/>
  <c r="F7154" i="3" s="1"/>
  <c r="F7178" i="3" s="1"/>
  <c r="F7202" i="3" s="1"/>
  <c r="F7226" i="3" s="1"/>
  <c r="F7250" i="3" s="1"/>
  <c r="F7274" i="3" s="1"/>
  <c r="F7298" i="3" s="1"/>
  <c r="F7322" i="3" s="1"/>
  <c r="F7346" i="3" s="1"/>
  <c r="F7370" i="3" s="1"/>
  <c r="F7394" i="3" s="1"/>
  <c r="F7418" i="3" s="1"/>
  <c r="F7442" i="3" s="1"/>
  <c r="F7466" i="3" s="1"/>
  <c r="F7490" i="3" s="1"/>
  <c r="F7514" i="3" s="1"/>
  <c r="F7538" i="3" s="1"/>
  <c r="F7562" i="3" s="1"/>
  <c r="F7586" i="3" s="1"/>
  <c r="F7610" i="3" s="1"/>
  <c r="F7634" i="3" s="1"/>
  <c r="F7658" i="3" s="1"/>
  <c r="F7682" i="3" s="1"/>
  <c r="F7706" i="3" s="1"/>
  <c r="F7730" i="3" s="1"/>
  <c r="F7754" i="3" s="1"/>
  <c r="F7778" i="3" s="1"/>
  <c r="F7802" i="3" s="1"/>
  <c r="F7826" i="3" s="1"/>
  <c r="F7850" i="3" s="1"/>
  <c r="F7874" i="3" s="1"/>
  <c r="F7898" i="3" s="1"/>
  <c r="F7922" i="3" s="1"/>
  <c r="F7946" i="3" s="1"/>
  <c r="F8018" i="3" s="1"/>
  <c r="F8042" i="3" s="1"/>
  <c r="F8066" i="3" s="1"/>
  <c r="F8090" i="3" s="1"/>
  <c r="F8114" i="3" s="1"/>
  <c r="F8138" i="3" s="1"/>
  <c r="F8162" i="3" s="1"/>
  <c r="F8186" i="3" s="1"/>
  <c r="F8210" i="3" s="1"/>
  <c r="F8234" i="3" s="1"/>
  <c r="F8258" i="3" s="1"/>
  <c r="F8282" i="3" s="1"/>
  <c r="F8306" i="3" s="1"/>
  <c r="F8330" i="3" s="1"/>
  <c r="F8354" i="3" s="1"/>
  <c r="F8378" i="3" s="1"/>
  <c r="F8402" i="3" s="1"/>
  <c r="F8426" i="3" s="1"/>
  <c r="F8450" i="3" s="1"/>
  <c r="F8474" i="3" s="1"/>
  <c r="F8498" i="3" s="1"/>
  <c r="F8522" i="3" s="1"/>
  <c r="F8546" i="3" s="1"/>
  <c r="F8570" i="3" s="1"/>
  <c r="F8594" i="3" s="1"/>
  <c r="F8618" i="3" s="1"/>
  <c r="F8642" i="3" s="1"/>
  <c r="F8666" i="3" s="1"/>
  <c r="F8690" i="3" s="1"/>
  <c r="F8714" i="3" s="1"/>
  <c r="F8738" i="3" s="1"/>
  <c r="F8762" i="3" s="1"/>
  <c r="F8786" i="3" s="1"/>
  <c r="F8810" i="3" s="1"/>
  <c r="F8834" i="3" s="1"/>
  <c r="F8858" i="3" s="1"/>
  <c r="F8882" i="3" s="1"/>
  <c r="F8906" i="3" s="1"/>
  <c r="F8930" i="3" s="1"/>
  <c r="F8954" i="3" s="1"/>
  <c r="F8978" i="3" s="1"/>
  <c r="F9002" i="3" s="1"/>
  <c r="F9026" i="3" s="1"/>
  <c r="F9050" i="3" s="1"/>
  <c r="F9074" i="3" s="1"/>
  <c r="F9098" i="3" s="1"/>
  <c r="F9122" i="3" s="1"/>
  <c r="F9146" i="3" s="1"/>
  <c r="F9170" i="3" s="1"/>
  <c r="F9194" i="3" s="1"/>
  <c r="F9218" i="3" s="1"/>
  <c r="F9242" i="3" s="1"/>
  <c r="F9266" i="3" s="1"/>
  <c r="F9290" i="3" s="1"/>
  <c r="F9314" i="3" s="1"/>
  <c r="F9338" i="3" s="1"/>
  <c r="F9362" i="3" s="1"/>
  <c r="F9386" i="3" s="1"/>
  <c r="F9410" i="3" s="1"/>
  <c r="F9434" i="3" s="1"/>
  <c r="F9458" i="3" s="1"/>
  <c r="F9482" i="3" s="1"/>
  <c r="F9506" i="3" s="1"/>
  <c r="F9530" i="3" s="1"/>
  <c r="F9554" i="3" s="1"/>
  <c r="F9578" i="3" s="1"/>
  <c r="F9602" i="3" s="1"/>
  <c r="F9626" i="3" s="1"/>
  <c r="F9650" i="3" s="1"/>
  <c r="F9674" i="3" s="1"/>
  <c r="F9698" i="3" s="1"/>
  <c r="F9722" i="3" s="1"/>
  <c r="F9746" i="3" s="1"/>
  <c r="F5610" i="3"/>
  <c r="F5634" i="3" s="1"/>
  <c r="F5658" i="3" s="1"/>
  <c r="F5682" i="3" s="1"/>
  <c r="F5706" i="3" s="1"/>
  <c r="F5730" i="3" s="1"/>
  <c r="F5754" i="3" s="1"/>
  <c r="F5778" i="3" s="1"/>
  <c r="F5802" i="3" s="1"/>
  <c r="F5826" i="3" s="1"/>
  <c r="F5850" i="3" s="1"/>
  <c r="F5874" i="3" s="1"/>
  <c r="F5898" i="3" s="1"/>
  <c r="F5922" i="3" s="1"/>
  <c r="F5946" i="3" s="1"/>
  <c r="F5970" i="3" s="1"/>
  <c r="F5994" i="3" s="1"/>
  <c r="F6018" i="3" s="1"/>
  <c r="F6042" i="3" s="1"/>
  <c r="F6066" i="3" s="1"/>
  <c r="F6090" i="3" s="1"/>
  <c r="F6114" i="3" s="1"/>
  <c r="F6138" i="3" s="1"/>
  <c r="F6162" i="3" s="1"/>
  <c r="F6186" i="3" s="1"/>
  <c r="F6210" i="3" s="1"/>
  <c r="F6234" i="3" s="1"/>
  <c r="F6258" i="3" s="1"/>
  <c r="F6282" i="3" s="1"/>
  <c r="F6306" i="3" s="1"/>
  <c r="F6330" i="3" s="1"/>
  <c r="F6354" i="3" s="1"/>
  <c r="F6378" i="3" s="1"/>
  <c r="F6402" i="3" s="1"/>
  <c r="F6426" i="3" s="1"/>
  <c r="F6450" i="3" s="1"/>
  <c r="F6474" i="3" s="1"/>
  <c r="F6498" i="3" s="1"/>
  <c r="F6522" i="3" s="1"/>
  <c r="F6546" i="3" s="1"/>
  <c r="F6570" i="3" s="1"/>
  <c r="F6594" i="3" s="1"/>
  <c r="F6618" i="3" s="1"/>
  <c r="F6642" i="3" s="1"/>
  <c r="F6666" i="3" s="1"/>
  <c r="F6690" i="3" s="1"/>
  <c r="F6714" i="3" s="1"/>
  <c r="F6738" i="3" s="1"/>
  <c r="F6762" i="3" s="1"/>
  <c r="F6786" i="3" s="1"/>
  <c r="F6810" i="3" s="1"/>
  <c r="F6834" i="3" s="1"/>
  <c r="F6858" i="3" s="1"/>
  <c r="F6882" i="3" s="1"/>
  <c r="F6906" i="3" s="1"/>
  <c r="F6930" i="3" s="1"/>
  <c r="F6954" i="3" s="1"/>
  <c r="F6978" i="3" s="1"/>
  <c r="F7002" i="3" s="1"/>
  <c r="F7026" i="3" s="1"/>
  <c r="F7050" i="3" s="1"/>
  <c r="F7074" i="3" s="1"/>
  <c r="F7098" i="3" s="1"/>
  <c r="F7122" i="3" s="1"/>
  <c r="F7146" i="3" s="1"/>
  <c r="F7170" i="3" s="1"/>
  <c r="F7194" i="3" s="1"/>
  <c r="F7218" i="3" s="1"/>
  <c r="F7242" i="3" s="1"/>
  <c r="F7266" i="3" s="1"/>
  <c r="F7290" i="3" s="1"/>
  <c r="F7314" i="3" s="1"/>
  <c r="F7338" i="3" s="1"/>
  <c r="F7362" i="3" s="1"/>
  <c r="F7386" i="3" s="1"/>
  <c r="F7410" i="3" s="1"/>
  <c r="F7434" i="3" s="1"/>
  <c r="F7458" i="3" s="1"/>
  <c r="F7482" i="3" s="1"/>
  <c r="F7506" i="3" s="1"/>
  <c r="F7530" i="3" s="1"/>
  <c r="F7554" i="3" s="1"/>
  <c r="F7578" i="3" s="1"/>
  <c r="F7602" i="3" s="1"/>
  <c r="F7626" i="3" s="1"/>
  <c r="F7650" i="3" s="1"/>
  <c r="F7674" i="3" s="1"/>
  <c r="F7698" i="3" s="1"/>
  <c r="F7722" i="3" s="1"/>
  <c r="F7746" i="3" s="1"/>
  <c r="F7770" i="3" s="1"/>
  <c r="F7794" i="3" s="1"/>
  <c r="F7818" i="3" s="1"/>
  <c r="F7842" i="3" s="1"/>
  <c r="F7866" i="3" s="1"/>
  <c r="F7890" i="3" s="1"/>
  <c r="F7914" i="3" s="1"/>
  <c r="F7938" i="3" s="1"/>
  <c r="F7962" i="3" s="1"/>
  <c r="F8010" i="3" s="1"/>
  <c r="E5547" i="3"/>
  <c r="F5547" i="3" s="1"/>
  <c r="F5571" i="3" s="1"/>
  <c r="F5595" i="3" s="1"/>
  <c r="F5619" i="3" s="1"/>
  <c r="F5643" i="3" s="1"/>
  <c r="F5667" i="3" s="1"/>
  <c r="F5691" i="3" s="1"/>
  <c r="F5715" i="3" s="1"/>
  <c r="F5739" i="3" s="1"/>
  <c r="F5763" i="3" s="1"/>
  <c r="F5787" i="3" s="1"/>
  <c r="F5811" i="3" s="1"/>
  <c r="F5835" i="3" s="1"/>
  <c r="F5859" i="3" s="1"/>
  <c r="F5883" i="3" s="1"/>
  <c r="F5907" i="3" s="1"/>
  <c r="F5931" i="3" s="1"/>
  <c r="F5955" i="3" s="1"/>
  <c r="F5979" i="3" s="1"/>
  <c r="F6003" i="3" s="1"/>
  <c r="F6027" i="3" s="1"/>
  <c r="F6051" i="3" s="1"/>
  <c r="F6075" i="3" s="1"/>
  <c r="F6099" i="3" s="1"/>
  <c r="F6123" i="3" s="1"/>
  <c r="F6147" i="3" s="1"/>
  <c r="F6171" i="3" s="1"/>
  <c r="F6195" i="3" s="1"/>
  <c r="F6219" i="3" s="1"/>
  <c r="F6243" i="3" s="1"/>
  <c r="F6267" i="3" s="1"/>
  <c r="F6291" i="3" s="1"/>
  <c r="F6315" i="3" s="1"/>
  <c r="F6339" i="3" s="1"/>
  <c r="F6363" i="3" s="1"/>
  <c r="F6387" i="3" s="1"/>
  <c r="F6411" i="3" s="1"/>
  <c r="F6435" i="3" s="1"/>
  <c r="F6459" i="3" s="1"/>
  <c r="F6483" i="3" s="1"/>
  <c r="F6507" i="3" s="1"/>
  <c r="F6531" i="3" s="1"/>
  <c r="F6555" i="3" s="1"/>
  <c r="F6579" i="3" s="1"/>
  <c r="F6603" i="3" s="1"/>
  <c r="F6627" i="3" s="1"/>
  <c r="F6651" i="3" s="1"/>
  <c r="F6675" i="3" s="1"/>
  <c r="F6699" i="3" s="1"/>
  <c r="F6723" i="3" s="1"/>
  <c r="F6747" i="3" s="1"/>
  <c r="F6771" i="3" s="1"/>
  <c r="F6795" i="3" s="1"/>
  <c r="F6819" i="3" s="1"/>
  <c r="F6843" i="3" s="1"/>
  <c r="F6867" i="3" s="1"/>
  <c r="F6891" i="3" s="1"/>
  <c r="F6915" i="3" s="1"/>
  <c r="F6939" i="3" s="1"/>
  <c r="F6963" i="3" s="1"/>
  <c r="F6987" i="3" s="1"/>
  <c r="F7011" i="3" s="1"/>
  <c r="F7035" i="3" s="1"/>
  <c r="F7059" i="3" s="1"/>
  <c r="F7083" i="3" s="1"/>
  <c r="F7107" i="3" s="1"/>
  <c r="F7131" i="3" s="1"/>
  <c r="F7155" i="3" s="1"/>
  <c r="F7179" i="3" s="1"/>
  <c r="F7203" i="3" s="1"/>
  <c r="F7227" i="3" s="1"/>
  <c r="F7251" i="3" s="1"/>
  <c r="F7275" i="3" s="1"/>
  <c r="F7299" i="3" s="1"/>
  <c r="F7323" i="3" s="1"/>
  <c r="F7347" i="3" s="1"/>
  <c r="F7371" i="3" s="1"/>
  <c r="F7395" i="3" s="1"/>
  <c r="F7419" i="3" s="1"/>
  <c r="F7443" i="3" s="1"/>
  <c r="F7467" i="3" s="1"/>
  <c r="F7491" i="3" s="1"/>
  <c r="F7515" i="3" s="1"/>
  <c r="F7539" i="3" s="1"/>
  <c r="F7563" i="3" s="1"/>
  <c r="F7587" i="3" s="1"/>
  <c r="F7611" i="3" s="1"/>
  <c r="F7635" i="3" s="1"/>
  <c r="F7659" i="3" s="1"/>
  <c r="F7683" i="3" s="1"/>
  <c r="F7707" i="3" s="1"/>
  <c r="F7731" i="3" s="1"/>
  <c r="F7755" i="3" s="1"/>
  <c r="F7779" i="3" s="1"/>
  <c r="F7803" i="3" s="1"/>
  <c r="F7827" i="3" s="1"/>
  <c r="F7851" i="3" s="1"/>
  <c r="F7875" i="3" s="1"/>
  <c r="F7899" i="3" s="1"/>
  <c r="F7923" i="3" s="1"/>
  <c r="F7947" i="3" s="1"/>
  <c r="E5569" i="3"/>
  <c r="F5569" i="3" s="1"/>
  <c r="F5593" i="3" s="1"/>
  <c r="F5617" i="3" s="1"/>
  <c r="F5641" i="3" s="1"/>
  <c r="F5665" i="3" s="1"/>
  <c r="F5689" i="3" s="1"/>
  <c r="F5713" i="3" s="1"/>
  <c r="F5737" i="3" s="1"/>
  <c r="F5761" i="3" s="1"/>
  <c r="F5785" i="3" s="1"/>
  <c r="F5809" i="3" s="1"/>
  <c r="F5833" i="3" s="1"/>
  <c r="F5857" i="3" s="1"/>
  <c r="F5881" i="3" s="1"/>
  <c r="F5905" i="3" s="1"/>
  <c r="F5929" i="3" s="1"/>
  <c r="F5953" i="3" s="1"/>
  <c r="F5977" i="3" s="1"/>
  <c r="F6001" i="3" s="1"/>
  <c r="F6025" i="3" s="1"/>
  <c r="F6049" i="3" s="1"/>
  <c r="F6073" i="3" s="1"/>
  <c r="F6097" i="3" s="1"/>
  <c r="F6121" i="3" s="1"/>
  <c r="F6145" i="3" s="1"/>
  <c r="F6169" i="3" s="1"/>
  <c r="F6193" i="3" s="1"/>
  <c r="F6217" i="3" s="1"/>
  <c r="F6241" i="3" s="1"/>
  <c r="F6265" i="3" s="1"/>
  <c r="F6289" i="3" s="1"/>
  <c r="F6313" i="3" s="1"/>
  <c r="F6337" i="3" s="1"/>
  <c r="F6361" i="3" s="1"/>
  <c r="F6385" i="3" s="1"/>
  <c r="F6409" i="3" s="1"/>
  <c r="F6433" i="3" s="1"/>
  <c r="F6457" i="3" s="1"/>
  <c r="F6481" i="3" s="1"/>
  <c r="F6505" i="3" s="1"/>
  <c r="F6529" i="3" s="1"/>
  <c r="F6553" i="3" s="1"/>
  <c r="F6577" i="3" s="1"/>
  <c r="F6601" i="3" s="1"/>
  <c r="F6625" i="3" s="1"/>
  <c r="F6649" i="3" s="1"/>
  <c r="F6673" i="3" s="1"/>
  <c r="F6697" i="3" s="1"/>
  <c r="F6721" i="3" s="1"/>
  <c r="F6745" i="3" s="1"/>
  <c r="F6769" i="3" s="1"/>
  <c r="F6793" i="3" s="1"/>
  <c r="F6817" i="3" s="1"/>
  <c r="F6841" i="3" s="1"/>
  <c r="F6865" i="3" s="1"/>
  <c r="F6889" i="3" s="1"/>
  <c r="F6913" i="3" s="1"/>
  <c r="F6937" i="3" s="1"/>
  <c r="F6961" i="3" s="1"/>
  <c r="F6985" i="3" s="1"/>
  <c r="F7009" i="3" s="1"/>
  <c r="F7033" i="3" s="1"/>
  <c r="F7057" i="3" s="1"/>
  <c r="F7081" i="3" s="1"/>
  <c r="F7105" i="3" s="1"/>
  <c r="F7129" i="3" s="1"/>
  <c r="F7153" i="3" s="1"/>
  <c r="F7177" i="3" s="1"/>
  <c r="F7201" i="3" s="1"/>
  <c r="F7225" i="3" s="1"/>
  <c r="F7249" i="3" s="1"/>
  <c r="F7273" i="3" s="1"/>
  <c r="F7297" i="3" s="1"/>
  <c r="F7321" i="3" s="1"/>
  <c r="F7345" i="3" s="1"/>
  <c r="F7369" i="3" s="1"/>
  <c r="F7393" i="3" s="1"/>
  <c r="F7417" i="3" s="1"/>
  <c r="F7441" i="3" s="1"/>
  <c r="F7465" i="3" s="1"/>
  <c r="F7489" i="3" s="1"/>
  <c r="F7513" i="3" s="1"/>
  <c r="F7537" i="3" s="1"/>
  <c r="F7561" i="3" s="1"/>
  <c r="F7585" i="3" s="1"/>
  <c r="F7609" i="3" s="1"/>
  <c r="F7633" i="3" s="1"/>
  <c r="F7657" i="3" s="1"/>
  <c r="F7681" i="3" s="1"/>
  <c r="F7705" i="3" s="1"/>
  <c r="F7729" i="3" s="1"/>
  <c r="F7753" i="3" s="1"/>
  <c r="F7777" i="3" s="1"/>
  <c r="F7801" i="3" s="1"/>
  <c r="F7825" i="3" s="1"/>
  <c r="F7849" i="3" s="1"/>
  <c r="F7873" i="3" s="1"/>
  <c r="F7897" i="3" s="1"/>
  <c r="F7921" i="3" s="1"/>
  <c r="F7945" i="3" s="1"/>
  <c r="F7969" i="3" s="1"/>
  <c r="F8017" i="3" s="1"/>
  <c r="E5568" i="3"/>
  <c r="E5567" i="3"/>
  <c r="F5567" i="3" s="1"/>
  <c r="F5591" i="3" s="1"/>
  <c r="F5615" i="3" s="1"/>
  <c r="F5639" i="3" s="1"/>
  <c r="F5663" i="3" s="1"/>
  <c r="F5687" i="3" s="1"/>
  <c r="F5711" i="3" s="1"/>
  <c r="F5735" i="3" s="1"/>
  <c r="F5759" i="3" s="1"/>
  <c r="F5783" i="3" s="1"/>
  <c r="F5807" i="3" s="1"/>
  <c r="F5831" i="3" s="1"/>
  <c r="F5855" i="3" s="1"/>
  <c r="F5879" i="3" s="1"/>
  <c r="F5903" i="3" s="1"/>
  <c r="F5927" i="3" s="1"/>
  <c r="F5951" i="3" s="1"/>
  <c r="F5975" i="3" s="1"/>
  <c r="F5999" i="3" s="1"/>
  <c r="F6023" i="3" s="1"/>
  <c r="F6047" i="3" s="1"/>
  <c r="F6071" i="3" s="1"/>
  <c r="F6095" i="3" s="1"/>
  <c r="F6119" i="3" s="1"/>
  <c r="F6143" i="3" s="1"/>
  <c r="F6167" i="3" s="1"/>
  <c r="F6191" i="3" s="1"/>
  <c r="F6215" i="3" s="1"/>
  <c r="F6239" i="3" s="1"/>
  <c r="F6263" i="3" s="1"/>
  <c r="F6287" i="3" s="1"/>
  <c r="F6311" i="3" s="1"/>
  <c r="F6335" i="3" s="1"/>
  <c r="F6359" i="3" s="1"/>
  <c r="F6383" i="3" s="1"/>
  <c r="F6407" i="3" s="1"/>
  <c r="F6431" i="3" s="1"/>
  <c r="F6455" i="3" s="1"/>
  <c r="F6479" i="3" s="1"/>
  <c r="F6503" i="3" s="1"/>
  <c r="F6527" i="3" s="1"/>
  <c r="F6551" i="3" s="1"/>
  <c r="F6575" i="3" s="1"/>
  <c r="F6599" i="3" s="1"/>
  <c r="F6623" i="3" s="1"/>
  <c r="F6647" i="3" s="1"/>
  <c r="F6671" i="3" s="1"/>
  <c r="F6695" i="3" s="1"/>
  <c r="F6719" i="3" s="1"/>
  <c r="F6743" i="3" s="1"/>
  <c r="F6767" i="3" s="1"/>
  <c r="F6791" i="3" s="1"/>
  <c r="F6815" i="3" s="1"/>
  <c r="F6839" i="3" s="1"/>
  <c r="F6863" i="3" s="1"/>
  <c r="F6887" i="3" s="1"/>
  <c r="F6911" i="3" s="1"/>
  <c r="F6935" i="3" s="1"/>
  <c r="F6959" i="3" s="1"/>
  <c r="F6983" i="3" s="1"/>
  <c r="F7007" i="3" s="1"/>
  <c r="F7031" i="3" s="1"/>
  <c r="F7055" i="3" s="1"/>
  <c r="F7079" i="3" s="1"/>
  <c r="F7103" i="3" s="1"/>
  <c r="F7127" i="3" s="1"/>
  <c r="F7151" i="3" s="1"/>
  <c r="F7175" i="3" s="1"/>
  <c r="F7199" i="3" s="1"/>
  <c r="F7223" i="3" s="1"/>
  <c r="F7247" i="3" s="1"/>
  <c r="F7271" i="3" s="1"/>
  <c r="F7295" i="3" s="1"/>
  <c r="F7319" i="3" s="1"/>
  <c r="F7343" i="3" s="1"/>
  <c r="F7367" i="3" s="1"/>
  <c r="F7391" i="3" s="1"/>
  <c r="F7415" i="3" s="1"/>
  <c r="F7439" i="3" s="1"/>
  <c r="F7463" i="3" s="1"/>
  <c r="F7487" i="3" s="1"/>
  <c r="F7511" i="3" s="1"/>
  <c r="F7535" i="3" s="1"/>
  <c r="F7559" i="3" s="1"/>
  <c r="F7583" i="3" s="1"/>
  <c r="F7607" i="3" s="1"/>
  <c r="F7631" i="3" s="1"/>
  <c r="F7655" i="3" s="1"/>
  <c r="F7679" i="3" s="1"/>
  <c r="F7703" i="3" s="1"/>
  <c r="F7727" i="3" s="1"/>
  <c r="F7751" i="3" s="1"/>
  <c r="F7775" i="3" s="1"/>
  <c r="F7799" i="3" s="1"/>
  <c r="F7823" i="3" s="1"/>
  <c r="F7847" i="3" s="1"/>
  <c r="F7871" i="3" s="1"/>
  <c r="F7895" i="3" s="1"/>
  <c r="F7919" i="3" s="1"/>
  <c r="F7943" i="3" s="1"/>
  <c r="F7967" i="3" s="1"/>
  <c r="F8015" i="3" s="1"/>
  <c r="E5566" i="3"/>
  <c r="F5566" i="3" s="1"/>
  <c r="F5590" i="3" s="1"/>
  <c r="F5614" i="3" s="1"/>
  <c r="F5638" i="3" s="1"/>
  <c r="F5662" i="3" s="1"/>
  <c r="F5686" i="3" s="1"/>
  <c r="F5710" i="3" s="1"/>
  <c r="F5734" i="3" s="1"/>
  <c r="F5758" i="3" s="1"/>
  <c r="F5782" i="3" s="1"/>
  <c r="F5806" i="3" s="1"/>
  <c r="F5830" i="3" s="1"/>
  <c r="F5854" i="3" s="1"/>
  <c r="F5878" i="3" s="1"/>
  <c r="F5902" i="3" s="1"/>
  <c r="F5926" i="3" s="1"/>
  <c r="F5950" i="3" s="1"/>
  <c r="F5974" i="3" s="1"/>
  <c r="F5998" i="3" s="1"/>
  <c r="F6022" i="3" s="1"/>
  <c r="F6046" i="3" s="1"/>
  <c r="F6070" i="3" s="1"/>
  <c r="F6094" i="3" s="1"/>
  <c r="F6118" i="3" s="1"/>
  <c r="F6142" i="3" s="1"/>
  <c r="F6166" i="3" s="1"/>
  <c r="F6190" i="3" s="1"/>
  <c r="F6214" i="3" s="1"/>
  <c r="F6238" i="3" s="1"/>
  <c r="F6262" i="3" s="1"/>
  <c r="F6286" i="3" s="1"/>
  <c r="F6310" i="3" s="1"/>
  <c r="F6334" i="3" s="1"/>
  <c r="F6358" i="3" s="1"/>
  <c r="F6382" i="3" s="1"/>
  <c r="F6406" i="3" s="1"/>
  <c r="F6430" i="3" s="1"/>
  <c r="F6454" i="3" s="1"/>
  <c r="F6478" i="3" s="1"/>
  <c r="F6502" i="3" s="1"/>
  <c r="F6526" i="3" s="1"/>
  <c r="F6550" i="3" s="1"/>
  <c r="F6574" i="3" s="1"/>
  <c r="F6598" i="3" s="1"/>
  <c r="F6622" i="3" s="1"/>
  <c r="F6646" i="3" s="1"/>
  <c r="F6670" i="3" s="1"/>
  <c r="F6694" i="3" s="1"/>
  <c r="F6718" i="3" s="1"/>
  <c r="F6742" i="3" s="1"/>
  <c r="F6766" i="3" s="1"/>
  <c r="F6790" i="3" s="1"/>
  <c r="F6814" i="3" s="1"/>
  <c r="F6838" i="3" s="1"/>
  <c r="F6862" i="3" s="1"/>
  <c r="F6886" i="3" s="1"/>
  <c r="F6910" i="3" s="1"/>
  <c r="F6934" i="3" s="1"/>
  <c r="F6958" i="3" s="1"/>
  <c r="F6982" i="3" s="1"/>
  <c r="F7006" i="3" s="1"/>
  <c r="F7030" i="3" s="1"/>
  <c r="F7054" i="3" s="1"/>
  <c r="F7078" i="3" s="1"/>
  <c r="F7102" i="3" s="1"/>
  <c r="F7126" i="3" s="1"/>
  <c r="F7150" i="3" s="1"/>
  <c r="F7174" i="3" s="1"/>
  <c r="F7198" i="3" s="1"/>
  <c r="F7222" i="3" s="1"/>
  <c r="F7246" i="3" s="1"/>
  <c r="F7270" i="3" s="1"/>
  <c r="F7294" i="3" s="1"/>
  <c r="F7318" i="3" s="1"/>
  <c r="F7342" i="3" s="1"/>
  <c r="F7366" i="3" s="1"/>
  <c r="F7390" i="3" s="1"/>
  <c r="F7414" i="3" s="1"/>
  <c r="F7438" i="3" s="1"/>
  <c r="F7462" i="3" s="1"/>
  <c r="F7486" i="3" s="1"/>
  <c r="F7510" i="3" s="1"/>
  <c r="F7534" i="3" s="1"/>
  <c r="F7558" i="3" s="1"/>
  <c r="F7582" i="3" s="1"/>
  <c r="F7606" i="3" s="1"/>
  <c r="F7630" i="3" s="1"/>
  <c r="F7654" i="3" s="1"/>
  <c r="F7678" i="3" s="1"/>
  <c r="F7702" i="3" s="1"/>
  <c r="F7726" i="3" s="1"/>
  <c r="F7750" i="3" s="1"/>
  <c r="F7774" i="3" s="1"/>
  <c r="F7798" i="3" s="1"/>
  <c r="F7822" i="3" s="1"/>
  <c r="F7846" i="3" s="1"/>
  <c r="F7870" i="3" s="1"/>
  <c r="F7894" i="3" s="1"/>
  <c r="F7918" i="3" s="1"/>
  <c r="F7942" i="3" s="1"/>
  <c r="F7966" i="3" s="1"/>
  <c r="F8014" i="3" s="1"/>
  <c r="E5561" i="3"/>
  <c r="F5561" i="3" s="1"/>
  <c r="F5585" i="3" s="1"/>
  <c r="F5609" i="3" s="1"/>
  <c r="F5633" i="3" s="1"/>
  <c r="F5657" i="3" s="1"/>
  <c r="F5681" i="3" s="1"/>
  <c r="F5705" i="3" s="1"/>
  <c r="F5729" i="3" s="1"/>
  <c r="F5753" i="3" s="1"/>
  <c r="F5777" i="3" s="1"/>
  <c r="F5801" i="3" s="1"/>
  <c r="F5825" i="3" s="1"/>
  <c r="F5849" i="3" s="1"/>
  <c r="F5873" i="3" s="1"/>
  <c r="F5897" i="3" s="1"/>
  <c r="F5921" i="3" s="1"/>
  <c r="F5945" i="3" s="1"/>
  <c r="F5969" i="3" s="1"/>
  <c r="F5993" i="3" s="1"/>
  <c r="F6017" i="3" s="1"/>
  <c r="F6041" i="3" s="1"/>
  <c r="F6065" i="3" s="1"/>
  <c r="F6089" i="3" s="1"/>
  <c r="F6113" i="3" s="1"/>
  <c r="F6137" i="3" s="1"/>
  <c r="F6161" i="3" s="1"/>
  <c r="F6185" i="3" s="1"/>
  <c r="F6209" i="3" s="1"/>
  <c r="F6233" i="3" s="1"/>
  <c r="F6257" i="3" s="1"/>
  <c r="F6281" i="3" s="1"/>
  <c r="F6305" i="3" s="1"/>
  <c r="F6329" i="3" s="1"/>
  <c r="F6353" i="3" s="1"/>
  <c r="F6377" i="3" s="1"/>
  <c r="F6401" i="3" s="1"/>
  <c r="F6425" i="3" s="1"/>
  <c r="F6449" i="3" s="1"/>
  <c r="F6473" i="3" s="1"/>
  <c r="F6497" i="3" s="1"/>
  <c r="F6521" i="3" s="1"/>
  <c r="F6545" i="3" s="1"/>
  <c r="F6569" i="3" s="1"/>
  <c r="F6593" i="3" s="1"/>
  <c r="F6617" i="3" s="1"/>
  <c r="F6641" i="3" s="1"/>
  <c r="F6665" i="3" s="1"/>
  <c r="F6689" i="3" s="1"/>
  <c r="F6713" i="3" s="1"/>
  <c r="F6737" i="3" s="1"/>
  <c r="F6761" i="3" s="1"/>
  <c r="F6785" i="3" s="1"/>
  <c r="F6809" i="3" s="1"/>
  <c r="F6833" i="3" s="1"/>
  <c r="F6857" i="3" s="1"/>
  <c r="F6881" i="3" s="1"/>
  <c r="F6905" i="3" s="1"/>
  <c r="F6929" i="3" s="1"/>
  <c r="F6953" i="3" s="1"/>
  <c r="F6977" i="3" s="1"/>
  <c r="F7001" i="3" s="1"/>
  <c r="F7025" i="3" s="1"/>
  <c r="F7049" i="3" s="1"/>
  <c r="F7073" i="3" s="1"/>
  <c r="F7097" i="3" s="1"/>
  <c r="F7121" i="3" s="1"/>
  <c r="F7145" i="3" s="1"/>
  <c r="F7169" i="3" s="1"/>
  <c r="F7193" i="3" s="1"/>
  <c r="F7217" i="3" s="1"/>
  <c r="F7241" i="3" s="1"/>
  <c r="F7265" i="3" s="1"/>
  <c r="F7289" i="3" s="1"/>
  <c r="F7313" i="3" s="1"/>
  <c r="F7337" i="3" s="1"/>
  <c r="F7361" i="3" s="1"/>
  <c r="F7385" i="3" s="1"/>
  <c r="F7409" i="3" s="1"/>
  <c r="F7433" i="3" s="1"/>
  <c r="F7457" i="3" s="1"/>
  <c r="F7481" i="3" s="1"/>
  <c r="F7505" i="3" s="1"/>
  <c r="F7529" i="3" s="1"/>
  <c r="F7553" i="3" s="1"/>
  <c r="F7577" i="3" s="1"/>
  <c r="F7601" i="3" s="1"/>
  <c r="F7625" i="3" s="1"/>
  <c r="F7649" i="3" s="1"/>
  <c r="F7673" i="3" s="1"/>
  <c r="F7697" i="3" s="1"/>
  <c r="F7721" i="3" s="1"/>
  <c r="F7745" i="3" s="1"/>
  <c r="F7769" i="3" s="1"/>
  <c r="F7793" i="3" s="1"/>
  <c r="F7817" i="3" s="1"/>
  <c r="F7841" i="3" s="1"/>
  <c r="F7865" i="3" s="1"/>
  <c r="F7889" i="3" s="1"/>
  <c r="F7913" i="3" s="1"/>
  <c r="F7937" i="3" s="1"/>
  <c r="F7961" i="3" s="1"/>
  <c r="F8009" i="3" s="1"/>
  <c r="E5560" i="3"/>
  <c r="F5560" i="3" s="1"/>
  <c r="F5584" i="3" s="1"/>
  <c r="F5608" i="3" s="1"/>
  <c r="F5632" i="3" s="1"/>
  <c r="F5656" i="3" s="1"/>
  <c r="F5680" i="3" s="1"/>
  <c r="F5704" i="3" s="1"/>
  <c r="F5728" i="3" s="1"/>
  <c r="F5752" i="3" s="1"/>
  <c r="F5776" i="3" s="1"/>
  <c r="F5800" i="3" s="1"/>
  <c r="F5824" i="3" s="1"/>
  <c r="F5848" i="3" s="1"/>
  <c r="F5872" i="3" s="1"/>
  <c r="F5896" i="3" s="1"/>
  <c r="F5920" i="3" s="1"/>
  <c r="F5944" i="3" s="1"/>
  <c r="F5968" i="3" s="1"/>
  <c r="F5992" i="3" s="1"/>
  <c r="F6016" i="3" s="1"/>
  <c r="F6040" i="3" s="1"/>
  <c r="F6064" i="3" s="1"/>
  <c r="F6088" i="3" s="1"/>
  <c r="F6112" i="3" s="1"/>
  <c r="F6136" i="3" s="1"/>
  <c r="F6160" i="3" s="1"/>
  <c r="F6184" i="3" s="1"/>
  <c r="F6208" i="3" s="1"/>
  <c r="F6232" i="3" s="1"/>
  <c r="F6256" i="3" s="1"/>
  <c r="F6280" i="3" s="1"/>
  <c r="F6304" i="3" s="1"/>
  <c r="F6328" i="3" s="1"/>
  <c r="F6352" i="3" s="1"/>
  <c r="F6376" i="3" s="1"/>
  <c r="F6400" i="3" s="1"/>
  <c r="F6424" i="3" s="1"/>
  <c r="F6448" i="3" s="1"/>
  <c r="F6472" i="3" s="1"/>
  <c r="F6496" i="3" s="1"/>
  <c r="F6520" i="3" s="1"/>
  <c r="F6544" i="3" s="1"/>
  <c r="F6568" i="3" s="1"/>
  <c r="F6592" i="3" s="1"/>
  <c r="F6616" i="3" s="1"/>
  <c r="F6640" i="3" s="1"/>
  <c r="F6664" i="3" s="1"/>
  <c r="F6688" i="3" s="1"/>
  <c r="F6712" i="3" s="1"/>
  <c r="F6736" i="3" s="1"/>
  <c r="F6760" i="3" s="1"/>
  <c r="F6784" i="3" s="1"/>
  <c r="F6808" i="3" s="1"/>
  <c r="F6832" i="3" s="1"/>
  <c r="F6856" i="3" s="1"/>
  <c r="F6880" i="3" s="1"/>
  <c r="F6904" i="3" s="1"/>
  <c r="F6928" i="3" s="1"/>
  <c r="F6952" i="3" s="1"/>
  <c r="F6976" i="3" s="1"/>
  <c r="F7000" i="3" s="1"/>
  <c r="F7024" i="3" s="1"/>
  <c r="F7048" i="3" s="1"/>
  <c r="F7072" i="3" s="1"/>
  <c r="F7096" i="3" s="1"/>
  <c r="F7120" i="3" s="1"/>
  <c r="F7144" i="3" s="1"/>
  <c r="F7168" i="3" s="1"/>
  <c r="F7192" i="3" s="1"/>
  <c r="F7216" i="3" s="1"/>
  <c r="F7240" i="3" s="1"/>
  <c r="F7264" i="3" s="1"/>
  <c r="F7288" i="3" s="1"/>
  <c r="F7312" i="3" s="1"/>
  <c r="F7336" i="3" s="1"/>
  <c r="F7360" i="3" s="1"/>
  <c r="F7384" i="3" s="1"/>
  <c r="F7408" i="3" s="1"/>
  <c r="F7432" i="3" s="1"/>
  <c r="F7456" i="3" s="1"/>
  <c r="F7480" i="3" s="1"/>
  <c r="F7504" i="3" s="1"/>
  <c r="F7528" i="3" s="1"/>
  <c r="F7552" i="3" s="1"/>
  <c r="F7576" i="3" s="1"/>
  <c r="F7600" i="3" s="1"/>
  <c r="F7624" i="3" s="1"/>
  <c r="F7648" i="3" s="1"/>
  <c r="F7672" i="3" s="1"/>
  <c r="F7696" i="3" s="1"/>
  <c r="F7720" i="3" s="1"/>
  <c r="F7744" i="3" s="1"/>
  <c r="F7768" i="3" s="1"/>
  <c r="F7792" i="3" s="1"/>
  <c r="F7816" i="3" s="1"/>
  <c r="F7840" i="3" s="1"/>
  <c r="F7864" i="3" s="1"/>
  <c r="F7888" i="3" s="1"/>
  <c r="F7912" i="3" s="1"/>
  <c r="F7936" i="3" s="1"/>
  <c r="F7960" i="3" s="1"/>
  <c r="F8008" i="3" s="1"/>
  <c r="E5558" i="3"/>
  <c r="F5558" i="3" s="1"/>
  <c r="F5582" i="3" s="1"/>
  <c r="F5606" i="3" s="1"/>
  <c r="F5630" i="3" s="1"/>
  <c r="F5654" i="3" s="1"/>
  <c r="F5678" i="3" s="1"/>
  <c r="F5702" i="3" s="1"/>
  <c r="F5726" i="3" s="1"/>
  <c r="F5750" i="3" s="1"/>
  <c r="F5774" i="3" s="1"/>
  <c r="F5798" i="3" s="1"/>
  <c r="F5822" i="3" s="1"/>
  <c r="F5846" i="3" s="1"/>
  <c r="F5870" i="3" s="1"/>
  <c r="F5894" i="3" s="1"/>
  <c r="F5918" i="3" s="1"/>
  <c r="F5942" i="3" s="1"/>
  <c r="F5966" i="3" s="1"/>
  <c r="F5990" i="3" s="1"/>
  <c r="F6014" i="3" s="1"/>
  <c r="F6038" i="3" s="1"/>
  <c r="F6062" i="3" s="1"/>
  <c r="F6086" i="3" s="1"/>
  <c r="F6110" i="3" s="1"/>
  <c r="F6134" i="3" s="1"/>
  <c r="F6158" i="3" s="1"/>
  <c r="F6182" i="3" s="1"/>
  <c r="F6206" i="3" s="1"/>
  <c r="F6230" i="3" s="1"/>
  <c r="F6254" i="3" s="1"/>
  <c r="F6278" i="3" s="1"/>
  <c r="F6302" i="3" s="1"/>
  <c r="F6326" i="3" s="1"/>
  <c r="F6350" i="3" s="1"/>
  <c r="F6374" i="3" s="1"/>
  <c r="F6398" i="3" s="1"/>
  <c r="F6422" i="3" s="1"/>
  <c r="F6446" i="3" s="1"/>
  <c r="F6470" i="3" s="1"/>
  <c r="F6494" i="3" s="1"/>
  <c r="F6518" i="3" s="1"/>
  <c r="F6542" i="3" s="1"/>
  <c r="F6566" i="3" s="1"/>
  <c r="F6590" i="3" s="1"/>
  <c r="F6614" i="3" s="1"/>
  <c r="F6638" i="3" s="1"/>
  <c r="F6662" i="3" s="1"/>
  <c r="F6686" i="3" s="1"/>
  <c r="F6710" i="3" s="1"/>
  <c r="F6734" i="3" s="1"/>
  <c r="F6758" i="3" s="1"/>
  <c r="F6782" i="3" s="1"/>
  <c r="F6806" i="3" s="1"/>
  <c r="F6830" i="3" s="1"/>
  <c r="F6854" i="3" s="1"/>
  <c r="F6878" i="3" s="1"/>
  <c r="F6902" i="3" s="1"/>
  <c r="F6926" i="3" s="1"/>
  <c r="F6950" i="3" s="1"/>
  <c r="F6974" i="3" s="1"/>
  <c r="F6998" i="3" s="1"/>
  <c r="F7022" i="3" s="1"/>
  <c r="F7046" i="3" s="1"/>
  <c r="F7070" i="3" s="1"/>
  <c r="F7094" i="3" s="1"/>
  <c r="F7118" i="3" s="1"/>
  <c r="F7142" i="3" s="1"/>
  <c r="F7166" i="3" s="1"/>
  <c r="F7190" i="3" s="1"/>
  <c r="F7214" i="3" s="1"/>
  <c r="F7238" i="3" s="1"/>
  <c r="F7262" i="3" s="1"/>
  <c r="F7286" i="3" s="1"/>
  <c r="F7310" i="3" s="1"/>
  <c r="F7334" i="3" s="1"/>
  <c r="F7358" i="3" s="1"/>
  <c r="F7382" i="3" s="1"/>
  <c r="F7406" i="3" s="1"/>
  <c r="F7430" i="3" s="1"/>
  <c r="F7454" i="3" s="1"/>
  <c r="F7478" i="3" s="1"/>
  <c r="F7502" i="3" s="1"/>
  <c r="F7526" i="3" s="1"/>
  <c r="F7550" i="3" s="1"/>
  <c r="F7574" i="3" s="1"/>
  <c r="F7598" i="3" s="1"/>
  <c r="F7622" i="3" s="1"/>
  <c r="F7646" i="3" s="1"/>
  <c r="F7670" i="3" s="1"/>
  <c r="F7694" i="3" s="1"/>
  <c r="F7718" i="3" s="1"/>
  <c r="F7742" i="3" s="1"/>
  <c r="F7766" i="3" s="1"/>
  <c r="F7790" i="3" s="1"/>
  <c r="F7814" i="3" s="1"/>
  <c r="F7838" i="3" s="1"/>
  <c r="F7862" i="3" s="1"/>
  <c r="F7886" i="3" s="1"/>
  <c r="F7910" i="3" s="1"/>
  <c r="F7934" i="3" s="1"/>
  <c r="F7958" i="3" s="1"/>
  <c r="F8006" i="3" s="1"/>
  <c r="E5557" i="3"/>
  <c r="F5557" i="3" s="1"/>
  <c r="F5581" i="3" s="1"/>
  <c r="F5605" i="3" s="1"/>
  <c r="F5629" i="3" s="1"/>
  <c r="F5653" i="3" s="1"/>
  <c r="F5677" i="3" s="1"/>
  <c r="F5701" i="3" s="1"/>
  <c r="F5725" i="3" s="1"/>
  <c r="F5749" i="3" s="1"/>
  <c r="F5773" i="3" s="1"/>
  <c r="F5797" i="3" s="1"/>
  <c r="F5821" i="3" s="1"/>
  <c r="F5845" i="3" s="1"/>
  <c r="F5869" i="3" s="1"/>
  <c r="F5893" i="3" s="1"/>
  <c r="F5917" i="3" s="1"/>
  <c r="F5941" i="3" s="1"/>
  <c r="F5965" i="3" s="1"/>
  <c r="F5989" i="3" s="1"/>
  <c r="F6013" i="3" s="1"/>
  <c r="F6037" i="3" s="1"/>
  <c r="F6061" i="3" s="1"/>
  <c r="F6085" i="3" s="1"/>
  <c r="F6109" i="3" s="1"/>
  <c r="F6133" i="3" s="1"/>
  <c r="F6157" i="3" s="1"/>
  <c r="F6181" i="3" s="1"/>
  <c r="F6205" i="3" s="1"/>
  <c r="F6229" i="3" s="1"/>
  <c r="F6253" i="3" s="1"/>
  <c r="F6277" i="3" s="1"/>
  <c r="F6301" i="3" s="1"/>
  <c r="F6325" i="3" s="1"/>
  <c r="F6349" i="3" s="1"/>
  <c r="F6373" i="3" s="1"/>
  <c r="F6397" i="3" s="1"/>
  <c r="F6421" i="3" s="1"/>
  <c r="F6445" i="3" s="1"/>
  <c r="F6469" i="3" s="1"/>
  <c r="F6493" i="3" s="1"/>
  <c r="F6517" i="3" s="1"/>
  <c r="F6541" i="3" s="1"/>
  <c r="F6565" i="3" s="1"/>
  <c r="F6589" i="3" s="1"/>
  <c r="F6613" i="3" s="1"/>
  <c r="F6637" i="3" s="1"/>
  <c r="F6661" i="3" s="1"/>
  <c r="F6685" i="3" s="1"/>
  <c r="F6709" i="3" s="1"/>
  <c r="F6733" i="3" s="1"/>
  <c r="F6757" i="3" s="1"/>
  <c r="F6781" i="3" s="1"/>
  <c r="F6805" i="3" s="1"/>
  <c r="F6829" i="3" s="1"/>
  <c r="F6853" i="3" s="1"/>
  <c r="F6877" i="3" s="1"/>
  <c r="F6901" i="3" s="1"/>
  <c r="F6925" i="3" s="1"/>
  <c r="F6949" i="3" s="1"/>
  <c r="F6973" i="3" s="1"/>
  <c r="F6997" i="3" s="1"/>
  <c r="F7021" i="3" s="1"/>
  <c r="F7045" i="3" s="1"/>
  <c r="F7069" i="3" s="1"/>
  <c r="F7093" i="3" s="1"/>
  <c r="F7117" i="3" s="1"/>
  <c r="F7141" i="3" s="1"/>
  <c r="F7165" i="3" s="1"/>
  <c r="F7189" i="3" s="1"/>
  <c r="F7213" i="3" s="1"/>
  <c r="F7237" i="3" s="1"/>
  <c r="F7261" i="3" s="1"/>
  <c r="F7285" i="3" s="1"/>
  <c r="F7309" i="3" s="1"/>
  <c r="F7333" i="3" s="1"/>
  <c r="F7357" i="3" s="1"/>
  <c r="F7381" i="3" s="1"/>
  <c r="F7405" i="3" s="1"/>
  <c r="F7429" i="3" s="1"/>
  <c r="F7453" i="3" s="1"/>
  <c r="F7477" i="3" s="1"/>
  <c r="F7501" i="3" s="1"/>
  <c r="F7525" i="3" s="1"/>
  <c r="F7549" i="3" s="1"/>
  <c r="F7573" i="3" s="1"/>
  <c r="F7597" i="3" s="1"/>
  <c r="F7621" i="3" s="1"/>
  <c r="F7645" i="3" s="1"/>
  <c r="F7669" i="3" s="1"/>
  <c r="F7693" i="3" s="1"/>
  <c r="F7717" i="3" s="1"/>
  <c r="F7741" i="3" s="1"/>
  <c r="F7765" i="3" s="1"/>
  <c r="F7789" i="3" s="1"/>
  <c r="F7813" i="3" s="1"/>
  <c r="F7837" i="3" s="1"/>
  <c r="F7861" i="3" s="1"/>
  <c r="F7885" i="3" s="1"/>
  <c r="F7909" i="3" s="1"/>
  <c r="F7933" i="3" s="1"/>
  <c r="F7957" i="3" s="1"/>
  <c r="F8005" i="3" s="1"/>
  <c r="E5556" i="3"/>
  <c r="F5556" i="3" s="1"/>
  <c r="F5580" i="3" s="1"/>
  <c r="F5604" i="3" s="1"/>
  <c r="F5628" i="3" s="1"/>
  <c r="F5652" i="3" s="1"/>
  <c r="F5676" i="3" s="1"/>
  <c r="F5700" i="3" s="1"/>
  <c r="F5724" i="3" s="1"/>
  <c r="F5748" i="3" s="1"/>
  <c r="F5772" i="3" s="1"/>
  <c r="F5796" i="3" s="1"/>
  <c r="F5820" i="3" s="1"/>
  <c r="F5844" i="3" s="1"/>
  <c r="F5868" i="3" s="1"/>
  <c r="F5892" i="3" s="1"/>
  <c r="F5916" i="3" s="1"/>
  <c r="F5940" i="3" s="1"/>
  <c r="F5964" i="3" s="1"/>
  <c r="F5988" i="3" s="1"/>
  <c r="F6012" i="3" s="1"/>
  <c r="F6036" i="3" s="1"/>
  <c r="F6060" i="3" s="1"/>
  <c r="F6084" i="3" s="1"/>
  <c r="F6108" i="3" s="1"/>
  <c r="F6132" i="3" s="1"/>
  <c r="F6156" i="3" s="1"/>
  <c r="F6180" i="3" s="1"/>
  <c r="F6204" i="3" s="1"/>
  <c r="F6228" i="3" s="1"/>
  <c r="F6252" i="3" s="1"/>
  <c r="F6276" i="3" s="1"/>
  <c r="F6300" i="3" s="1"/>
  <c r="F6324" i="3" s="1"/>
  <c r="F6348" i="3" s="1"/>
  <c r="F6372" i="3" s="1"/>
  <c r="F6396" i="3" s="1"/>
  <c r="F6420" i="3" s="1"/>
  <c r="F6444" i="3" s="1"/>
  <c r="F6468" i="3" s="1"/>
  <c r="F6492" i="3" s="1"/>
  <c r="F6516" i="3" s="1"/>
  <c r="F6540" i="3" s="1"/>
  <c r="F6564" i="3" s="1"/>
  <c r="F6588" i="3" s="1"/>
  <c r="F6612" i="3" s="1"/>
  <c r="F6636" i="3" s="1"/>
  <c r="F6660" i="3" s="1"/>
  <c r="F6684" i="3" s="1"/>
  <c r="F6708" i="3" s="1"/>
  <c r="F6732" i="3" s="1"/>
  <c r="F6756" i="3" s="1"/>
  <c r="F6780" i="3" s="1"/>
  <c r="F6804" i="3" s="1"/>
  <c r="F6828" i="3" s="1"/>
  <c r="F6852" i="3" s="1"/>
  <c r="F6876" i="3" s="1"/>
  <c r="F6900" i="3" s="1"/>
  <c r="F6924" i="3" s="1"/>
  <c r="F6948" i="3" s="1"/>
  <c r="F6972" i="3" s="1"/>
  <c r="F6996" i="3" s="1"/>
  <c r="F7020" i="3" s="1"/>
  <c r="F7044" i="3" s="1"/>
  <c r="F7068" i="3" s="1"/>
  <c r="F7092" i="3" s="1"/>
  <c r="F7116" i="3" s="1"/>
  <c r="F7140" i="3" s="1"/>
  <c r="F7164" i="3" s="1"/>
  <c r="F7188" i="3" s="1"/>
  <c r="F7212" i="3" s="1"/>
  <c r="F7236" i="3" s="1"/>
  <c r="F7260" i="3" s="1"/>
  <c r="F7284" i="3" s="1"/>
  <c r="F7308" i="3" s="1"/>
  <c r="F7332" i="3" s="1"/>
  <c r="F7356" i="3" s="1"/>
  <c r="F7380" i="3" s="1"/>
  <c r="F7404" i="3" s="1"/>
  <c r="F7428" i="3" s="1"/>
  <c r="F7452" i="3" s="1"/>
  <c r="F7476" i="3" s="1"/>
  <c r="F7500" i="3" s="1"/>
  <c r="F7524" i="3" s="1"/>
  <c r="F7548" i="3" s="1"/>
  <c r="F7572" i="3" s="1"/>
  <c r="F7596" i="3" s="1"/>
  <c r="F7620" i="3" s="1"/>
  <c r="F7644" i="3" s="1"/>
  <c r="F7668" i="3" s="1"/>
  <c r="F7692" i="3" s="1"/>
  <c r="F7716" i="3" s="1"/>
  <c r="F7740" i="3" s="1"/>
  <c r="F7764" i="3" s="1"/>
  <c r="F7788" i="3" s="1"/>
  <c r="F7812" i="3" s="1"/>
  <c r="F7836" i="3" s="1"/>
  <c r="F7860" i="3" s="1"/>
  <c r="F7884" i="3" s="1"/>
  <c r="F7908" i="3" s="1"/>
  <c r="F7932" i="3" s="1"/>
  <c r="F7956" i="3" s="1"/>
  <c r="F8004" i="3" s="1"/>
  <c r="F8028" i="3" s="1"/>
  <c r="E5555" i="3"/>
  <c r="F5555" i="3" s="1"/>
  <c r="F5579" i="3" s="1"/>
  <c r="F5603" i="3" s="1"/>
  <c r="F5627" i="3" s="1"/>
  <c r="F5651" i="3" s="1"/>
  <c r="F5675" i="3" s="1"/>
  <c r="F5699" i="3" s="1"/>
  <c r="F5723" i="3" s="1"/>
  <c r="F5747" i="3" s="1"/>
  <c r="F5771" i="3" s="1"/>
  <c r="F5795" i="3" s="1"/>
  <c r="F5819" i="3" s="1"/>
  <c r="F5843" i="3" s="1"/>
  <c r="F5867" i="3" s="1"/>
  <c r="F5891" i="3" s="1"/>
  <c r="F5915" i="3" s="1"/>
  <c r="F5939" i="3" s="1"/>
  <c r="F5963" i="3" s="1"/>
  <c r="F5987" i="3" s="1"/>
  <c r="F6011" i="3" s="1"/>
  <c r="F6035" i="3" s="1"/>
  <c r="F6059" i="3" s="1"/>
  <c r="F6083" i="3" s="1"/>
  <c r="F6107" i="3" s="1"/>
  <c r="F6131" i="3" s="1"/>
  <c r="F6155" i="3" s="1"/>
  <c r="F6179" i="3" s="1"/>
  <c r="F6203" i="3" s="1"/>
  <c r="F6227" i="3" s="1"/>
  <c r="F6251" i="3" s="1"/>
  <c r="F6275" i="3" s="1"/>
  <c r="F6299" i="3" s="1"/>
  <c r="F6323" i="3" s="1"/>
  <c r="F6347" i="3" s="1"/>
  <c r="F6371" i="3" s="1"/>
  <c r="F6395" i="3" s="1"/>
  <c r="F6419" i="3" s="1"/>
  <c r="F6443" i="3" s="1"/>
  <c r="F6467" i="3" s="1"/>
  <c r="F6491" i="3" s="1"/>
  <c r="F6515" i="3" s="1"/>
  <c r="F6539" i="3" s="1"/>
  <c r="F6563" i="3" s="1"/>
  <c r="F6587" i="3" s="1"/>
  <c r="F6611" i="3" s="1"/>
  <c r="F6635" i="3" s="1"/>
  <c r="F6659" i="3" s="1"/>
  <c r="F6683" i="3" s="1"/>
  <c r="F6707" i="3" s="1"/>
  <c r="F6731" i="3" s="1"/>
  <c r="F6755" i="3" s="1"/>
  <c r="F6779" i="3" s="1"/>
  <c r="F6803" i="3" s="1"/>
  <c r="F6827" i="3" s="1"/>
  <c r="F6851" i="3" s="1"/>
  <c r="F6875" i="3" s="1"/>
  <c r="F6899" i="3" s="1"/>
  <c r="F6923" i="3" s="1"/>
  <c r="F6947" i="3" s="1"/>
  <c r="F6971" i="3" s="1"/>
  <c r="F6995" i="3" s="1"/>
  <c r="F7019" i="3" s="1"/>
  <c r="F7043" i="3" s="1"/>
  <c r="F7067" i="3" s="1"/>
  <c r="F7091" i="3" s="1"/>
  <c r="F7115" i="3" s="1"/>
  <c r="F7139" i="3" s="1"/>
  <c r="F7163" i="3" s="1"/>
  <c r="F7187" i="3" s="1"/>
  <c r="F7211" i="3" s="1"/>
  <c r="F7235" i="3" s="1"/>
  <c r="F7259" i="3" s="1"/>
  <c r="F7283" i="3" s="1"/>
  <c r="F7307" i="3" s="1"/>
  <c r="F7331" i="3" s="1"/>
  <c r="F7355" i="3" s="1"/>
  <c r="F7379" i="3" s="1"/>
  <c r="F7403" i="3" s="1"/>
  <c r="F7427" i="3" s="1"/>
  <c r="F7451" i="3" s="1"/>
  <c r="F7475" i="3" s="1"/>
  <c r="F7499" i="3" s="1"/>
  <c r="F7523" i="3" s="1"/>
  <c r="F7547" i="3" s="1"/>
  <c r="F7571" i="3" s="1"/>
  <c r="F7595" i="3" s="1"/>
  <c r="F7619" i="3" s="1"/>
  <c r="F7643" i="3" s="1"/>
  <c r="F7667" i="3" s="1"/>
  <c r="F7691" i="3" s="1"/>
  <c r="F7715" i="3" s="1"/>
  <c r="F7739" i="3" s="1"/>
  <c r="F7763" i="3" s="1"/>
  <c r="F7787" i="3" s="1"/>
  <c r="F7811" i="3" s="1"/>
  <c r="F7835" i="3" s="1"/>
  <c r="F7859" i="3" s="1"/>
  <c r="F7883" i="3" s="1"/>
  <c r="F7907" i="3" s="1"/>
  <c r="F7931" i="3" s="1"/>
  <c r="F7955" i="3" s="1"/>
  <c r="F8003" i="3" s="1"/>
  <c r="F8027" i="3" s="1"/>
  <c r="E5553" i="3"/>
  <c r="F5553" i="3" s="1"/>
  <c r="F5577" i="3" s="1"/>
  <c r="F5601" i="3" s="1"/>
  <c r="F5625" i="3" s="1"/>
  <c r="F5649" i="3" s="1"/>
  <c r="F5673" i="3" s="1"/>
  <c r="F5697" i="3" s="1"/>
  <c r="F5721" i="3" s="1"/>
  <c r="F5745" i="3" s="1"/>
  <c r="F5769" i="3" s="1"/>
  <c r="F5793" i="3" s="1"/>
  <c r="F5817" i="3" s="1"/>
  <c r="F5841" i="3" s="1"/>
  <c r="F5865" i="3" s="1"/>
  <c r="F5889" i="3" s="1"/>
  <c r="F5913" i="3" s="1"/>
  <c r="F5937" i="3" s="1"/>
  <c r="F5961" i="3" s="1"/>
  <c r="F5985" i="3" s="1"/>
  <c r="F6009" i="3" s="1"/>
  <c r="F6033" i="3" s="1"/>
  <c r="F6057" i="3" s="1"/>
  <c r="F6081" i="3" s="1"/>
  <c r="F6105" i="3" s="1"/>
  <c r="F6129" i="3" s="1"/>
  <c r="F6153" i="3" s="1"/>
  <c r="F6177" i="3" s="1"/>
  <c r="F6201" i="3" s="1"/>
  <c r="F6225" i="3" s="1"/>
  <c r="F6249" i="3" s="1"/>
  <c r="F6273" i="3" s="1"/>
  <c r="F6297" i="3" s="1"/>
  <c r="F6321" i="3" s="1"/>
  <c r="F6345" i="3" s="1"/>
  <c r="F6369" i="3" s="1"/>
  <c r="F6393" i="3" s="1"/>
  <c r="F6417" i="3" s="1"/>
  <c r="F6441" i="3" s="1"/>
  <c r="F6465" i="3" s="1"/>
  <c r="F6489" i="3" s="1"/>
  <c r="F6513" i="3" s="1"/>
  <c r="F6537" i="3" s="1"/>
  <c r="F6561" i="3" s="1"/>
  <c r="F6585" i="3" s="1"/>
  <c r="F6609" i="3" s="1"/>
  <c r="F6633" i="3" s="1"/>
  <c r="F6657" i="3" s="1"/>
  <c r="F6681" i="3" s="1"/>
  <c r="F6705" i="3" s="1"/>
  <c r="F6729" i="3" s="1"/>
  <c r="F6753" i="3" s="1"/>
  <c r="F6777" i="3" s="1"/>
  <c r="F6801" i="3" s="1"/>
  <c r="F6825" i="3" s="1"/>
  <c r="F6849" i="3" s="1"/>
  <c r="F6873" i="3" s="1"/>
  <c r="F6897" i="3" s="1"/>
  <c r="F6921" i="3" s="1"/>
  <c r="F6945" i="3" s="1"/>
  <c r="F6969" i="3" s="1"/>
  <c r="F6993" i="3" s="1"/>
  <c r="F7017" i="3" s="1"/>
  <c r="F7041" i="3" s="1"/>
  <c r="F7065" i="3" s="1"/>
  <c r="F7089" i="3" s="1"/>
  <c r="F7113" i="3" s="1"/>
  <c r="F7137" i="3" s="1"/>
  <c r="F7161" i="3" s="1"/>
  <c r="F7185" i="3" s="1"/>
  <c r="F7209" i="3" s="1"/>
  <c r="F7233" i="3" s="1"/>
  <c r="F7257" i="3" s="1"/>
  <c r="F7281" i="3" s="1"/>
  <c r="F7305" i="3" s="1"/>
  <c r="F7329" i="3" s="1"/>
  <c r="F7353" i="3" s="1"/>
  <c r="F7377" i="3" s="1"/>
  <c r="F7401" i="3" s="1"/>
  <c r="F7425" i="3" s="1"/>
  <c r="F7449" i="3" s="1"/>
  <c r="F7473" i="3" s="1"/>
  <c r="F7497" i="3" s="1"/>
  <c r="F7521" i="3" s="1"/>
  <c r="F7545" i="3" s="1"/>
  <c r="F7569" i="3" s="1"/>
  <c r="F7593" i="3" s="1"/>
  <c r="F7617" i="3" s="1"/>
  <c r="F7641" i="3" s="1"/>
  <c r="F7665" i="3" s="1"/>
  <c r="F7689" i="3" s="1"/>
  <c r="F7713" i="3" s="1"/>
  <c r="F7737" i="3" s="1"/>
  <c r="F7761" i="3" s="1"/>
  <c r="F7785" i="3" s="1"/>
  <c r="F7809" i="3" s="1"/>
  <c r="F7833" i="3" s="1"/>
  <c r="F7857" i="3" s="1"/>
  <c r="F7881" i="3" s="1"/>
  <c r="F7905" i="3" s="1"/>
  <c r="F7929" i="3" s="1"/>
  <c r="F7953" i="3" s="1"/>
  <c r="F8001" i="3" s="1"/>
  <c r="F8025" i="3" s="1"/>
  <c r="E5551" i="3"/>
  <c r="F5551" i="3" s="1"/>
  <c r="F5575" i="3" s="1"/>
  <c r="F5599" i="3" s="1"/>
  <c r="F5623" i="3" s="1"/>
  <c r="F5647" i="3" s="1"/>
  <c r="F5671" i="3" s="1"/>
  <c r="F5695" i="3" s="1"/>
  <c r="F5719" i="3" s="1"/>
  <c r="F5743" i="3" s="1"/>
  <c r="F5767" i="3" s="1"/>
  <c r="F5791" i="3" s="1"/>
  <c r="F5815" i="3" s="1"/>
  <c r="F5839" i="3" s="1"/>
  <c r="F5863" i="3" s="1"/>
  <c r="F5887" i="3" s="1"/>
  <c r="F5911" i="3" s="1"/>
  <c r="F5935" i="3" s="1"/>
  <c r="F5959" i="3" s="1"/>
  <c r="F5983" i="3" s="1"/>
  <c r="F6007" i="3" s="1"/>
  <c r="F6031" i="3" s="1"/>
  <c r="F6055" i="3" s="1"/>
  <c r="F6079" i="3" s="1"/>
  <c r="F6103" i="3" s="1"/>
  <c r="F6127" i="3" s="1"/>
  <c r="F6151" i="3" s="1"/>
  <c r="F6175" i="3" s="1"/>
  <c r="F6199" i="3" s="1"/>
  <c r="F6223" i="3" s="1"/>
  <c r="F6247" i="3" s="1"/>
  <c r="F6271" i="3" s="1"/>
  <c r="F6295" i="3" s="1"/>
  <c r="F6319" i="3" s="1"/>
  <c r="F6343" i="3" s="1"/>
  <c r="F6367" i="3" s="1"/>
  <c r="F6391" i="3" s="1"/>
  <c r="F6415" i="3" s="1"/>
  <c r="F6439" i="3" s="1"/>
  <c r="F6463" i="3" s="1"/>
  <c r="F6487" i="3" s="1"/>
  <c r="F6511" i="3" s="1"/>
  <c r="F6535" i="3" s="1"/>
  <c r="F6559" i="3" s="1"/>
  <c r="F6583" i="3" s="1"/>
  <c r="F6607" i="3" s="1"/>
  <c r="F6631" i="3" s="1"/>
  <c r="F6655" i="3" s="1"/>
  <c r="F6679" i="3" s="1"/>
  <c r="F6703" i="3" s="1"/>
  <c r="F6727" i="3" s="1"/>
  <c r="F6751" i="3" s="1"/>
  <c r="F6775" i="3" s="1"/>
  <c r="F6799" i="3" s="1"/>
  <c r="F6823" i="3" s="1"/>
  <c r="F6847" i="3" s="1"/>
  <c r="F6871" i="3" s="1"/>
  <c r="F6895" i="3" s="1"/>
  <c r="F6919" i="3" s="1"/>
  <c r="F6943" i="3" s="1"/>
  <c r="F6967" i="3" s="1"/>
  <c r="F6991" i="3" s="1"/>
  <c r="F7015" i="3" s="1"/>
  <c r="F7039" i="3" s="1"/>
  <c r="F7063" i="3" s="1"/>
  <c r="F7087" i="3" s="1"/>
  <c r="F7111" i="3" s="1"/>
  <c r="F7135" i="3" s="1"/>
  <c r="F7159" i="3" s="1"/>
  <c r="F7183" i="3" s="1"/>
  <c r="F7207" i="3" s="1"/>
  <c r="F7231" i="3" s="1"/>
  <c r="F7255" i="3" s="1"/>
  <c r="F7279" i="3" s="1"/>
  <c r="F7303" i="3" s="1"/>
  <c r="F7327" i="3" s="1"/>
  <c r="F7351" i="3" s="1"/>
  <c r="F7375" i="3" s="1"/>
  <c r="F7399" i="3" s="1"/>
  <c r="F7423" i="3" s="1"/>
  <c r="F7447" i="3" s="1"/>
  <c r="F7471" i="3" s="1"/>
  <c r="F7495" i="3" s="1"/>
  <c r="F7519" i="3" s="1"/>
  <c r="F7543" i="3" s="1"/>
  <c r="F7567" i="3" s="1"/>
  <c r="F7591" i="3" s="1"/>
  <c r="F7615" i="3" s="1"/>
  <c r="F7639" i="3" s="1"/>
  <c r="F7663" i="3" s="1"/>
  <c r="F7687" i="3" s="1"/>
  <c r="F7711" i="3" s="1"/>
  <c r="F7735" i="3" s="1"/>
  <c r="F7759" i="3" s="1"/>
  <c r="F7783" i="3" s="1"/>
  <c r="F7807" i="3" s="1"/>
  <c r="F7831" i="3" s="1"/>
  <c r="F7855" i="3" s="1"/>
  <c r="F7879" i="3" s="1"/>
  <c r="F7903" i="3" s="1"/>
  <c r="F7927" i="3" s="1"/>
  <c r="F7951" i="3" s="1"/>
  <c r="F8000" i="3" s="1"/>
  <c r="F8024" i="3" s="1"/>
  <c r="F8048" i="3" s="1"/>
  <c r="F8072" i="3" s="1"/>
  <c r="F8096" i="3" s="1"/>
  <c r="F8120" i="3" s="1"/>
  <c r="F8144" i="3" s="1"/>
  <c r="F8168" i="3" s="1"/>
  <c r="F8192" i="3" s="1"/>
  <c r="F8216" i="3" s="1"/>
  <c r="F8240" i="3" s="1"/>
  <c r="F8264" i="3" s="1"/>
  <c r="F8288" i="3" s="1"/>
  <c r="F8312" i="3" s="1"/>
  <c r="F8336" i="3" s="1"/>
  <c r="F8360" i="3" s="1"/>
  <c r="F8384" i="3" s="1"/>
  <c r="F8408" i="3" s="1"/>
  <c r="F8432" i="3" s="1"/>
  <c r="F8456" i="3" s="1"/>
  <c r="F8480" i="3" s="1"/>
  <c r="F8504" i="3" s="1"/>
  <c r="F8528" i="3" s="1"/>
  <c r="F8552" i="3" s="1"/>
  <c r="F8576" i="3" s="1"/>
  <c r="F8600" i="3" s="1"/>
  <c r="F8624" i="3" s="1"/>
  <c r="F8648" i="3" s="1"/>
  <c r="F8672" i="3" s="1"/>
  <c r="F8696" i="3" s="1"/>
  <c r="F8720" i="3" s="1"/>
  <c r="F8744" i="3" s="1"/>
  <c r="F8768" i="3" s="1"/>
  <c r="F8792" i="3" s="1"/>
  <c r="F8816" i="3" s="1"/>
  <c r="F8840" i="3" s="1"/>
  <c r="F8864" i="3" s="1"/>
  <c r="F8888" i="3" s="1"/>
  <c r="F8912" i="3" s="1"/>
  <c r="F8936" i="3" s="1"/>
  <c r="F8960" i="3" s="1"/>
  <c r="F8984" i="3" s="1"/>
  <c r="F9008" i="3" s="1"/>
  <c r="F9032" i="3" s="1"/>
  <c r="F9056" i="3" s="1"/>
  <c r="F9080" i="3" s="1"/>
  <c r="F9104" i="3" s="1"/>
  <c r="F9128" i="3" s="1"/>
  <c r="F9152" i="3" s="1"/>
  <c r="F9176" i="3" s="1"/>
  <c r="F9200" i="3" s="1"/>
  <c r="F9224" i="3" s="1"/>
  <c r="F9248" i="3" s="1"/>
  <c r="F9272" i="3" s="1"/>
  <c r="F9296" i="3" s="1"/>
  <c r="F9320" i="3" s="1"/>
  <c r="F9344" i="3" s="1"/>
  <c r="F9368" i="3" s="1"/>
  <c r="F9392" i="3" s="1"/>
  <c r="F9416" i="3" s="1"/>
  <c r="F9440" i="3" s="1"/>
  <c r="F9464" i="3" s="1"/>
  <c r="F9488" i="3" s="1"/>
  <c r="F9512" i="3" s="1"/>
  <c r="F9536" i="3" s="1"/>
  <c r="F9560" i="3" s="1"/>
  <c r="F9584" i="3" s="1"/>
  <c r="F9608" i="3" s="1"/>
  <c r="F9632" i="3" s="1"/>
  <c r="F9656" i="3" s="1"/>
  <c r="F9680" i="3" s="1"/>
  <c r="F9704" i="3" s="1"/>
  <c r="F9728" i="3" s="1"/>
  <c r="F9752" i="3" s="1"/>
  <c r="E5550" i="3"/>
  <c r="F5550" i="3" s="1"/>
  <c r="F5574" i="3" s="1"/>
  <c r="F5598" i="3" s="1"/>
  <c r="F5622" i="3" s="1"/>
  <c r="F5646" i="3" s="1"/>
  <c r="F5670" i="3" s="1"/>
  <c r="F5694" i="3" s="1"/>
  <c r="F5718" i="3" s="1"/>
  <c r="F5742" i="3" s="1"/>
  <c r="F5766" i="3" s="1"/>
  <c r="F5790" i="3" s="1"/>
  <c r="F5814" i="3" s="1"/>
  <c r="F5838" i="3" s="1"/>
  <c r="F5862" i="3" s="1"/>
  <c r="F5886" i="3" s="1"/>
  <c r="F5910" i="3" s="1"/>
  <c r="F5934" i="3" s="1"/>
  <c r="F5958" i="3" s="1"/>
  <c r="F5982" i="3" s="1"/>
  <c r="F6006" i="3" s="1"/>
  <c r="F6030" i="3" s="1"/>
  <c r="F6054" i="3" s="1"/>
  <c r="F6078" i="3" s="1"/>
  <c r="F6102" i="3" s="1"/>
  <c r="F6126" i="3" s="1"/>
  <c r="F6150" i="3" s="1"/>
  <c r="F6174" i="3" s="1"/>
  <c r="F6198" i="3" s="1"/>
  <c r="F6222" i="3" s="1"/>
  <c r="F6246" i="3" s="1"/>
  <c r="F6270" i="3" s="1"/>
  <c r="F6294" i="3" s="1"/>
  <c r="F6318" i="3" s="1"/>
  <c r="F6342" i="3" s="1"/>
  <c r="F6366" i="3" s="1"/>
  <c r="F6390" i="3" s="1"/>
  <c r="F6414" i="3" s="1"/>
  <c r="F6438" i="3" s="1"/>
  <c r="F6462" i="3" s="1"/>
  <c r="F6486" i="3" s="1"/>
  <c r="F6510" i="3" s="1"/>
  <c r="F6534" i="3" s="1"/>
  <c r="F6558" i="3" s="1"/>
  <c r="F6582" i="3" s="1"/>
  <c r="F6606" i="3" s="1"/>
  <c r="F6630" i="3" s="1"/>
  <c r="F6654" i="3" s="1"/>
  <c r="F6678" i="3" s="1"/>
  <c r="F6702" i="3" s="1"/>
  <c r="F6726" i="3" s="1"/>
  <c r="F6750" i="3" s="1"/>
  <c r="F6774" i="3" s="1"/>
  <c r="F6798" i="3" s="1"/>
  <c r="F6822" i="3" s="1"/>
  <c r="F6846" i="3" s="1"/>
  <c r="F6870" i="3" s="1"/>
  <c r="F6894" i="3" s="1"/>
  <c r="F6918" i="3" s="1"/>
  <c r="F6942" i="3" s="1"/>
  <c r="F6966" i="3" s="1"/>
  <c r="F6990" i="3" s="1"/>
  <c r="F7014" i="3" s="1"/>
  <c r="F7038" i="3" s="1"/>
  <c r="F7062" i="3" s="1"/>
  <c r="F7086" i="3" s="1"/>
  <c r="F7110" i="3" s="1"/>
  <c r="F7134" i="3" s="1"/>
  <c r="F7158" i="3" s="1"/>
  <c r="F7182" i="3" s="1"/>
  <c r="F7206" i="3" s="1"/>
  <c r="F7230" i="3" s="1"/>
  <c r="F7254" i="3" s="1"/>
  <c r="F7278" i="3" s="1"/>
  <c r="F7302" i="3" s="1"/>
  <c r="F7326" i="3" s="1"/>
  <c r="F7350" i="3" s="1"/>
  <c r="F7374" i="3" s="1"/>
  <c r="F7398" i="3" s="1"/>
  <c r="F7422" i="3" s="1"/>
  <c r="F7446" i="3" s="1"/>
  <c r="F7470" i="3" s="1"/>
  <c r="F7494" i="3" s="1"/>
  <c r="F7518" i="3" s="1"/>
  <c r="F7542" i="3" s="1"/>
  <c r="F7566" i="3" s="1"/>
  <c r="F7590" i="3" s="1"/>
  <c r="F7614" i="3" s="1"/>
  <c r="F7638" i="3" s="1"/>
  <c r="F7662" i="3" s="1"/>
  <c r="F7686" i="3" s="1"/>
  <c r="F7710" i="3" s="1"/>
  <c r="F7734" i="3" s="1"/>
  <c r="F7758" i="3" s="1"/>
  <c r="F7782" i="3" s="1"/>
  <c r="F7806" i="3" s="1"/>
  <c r="F7830" i="3" s="1"/>
  <c r="F7854" i="3" s="1"/>
  <c r="F7878" i="3" s="1"/>
  <c r="F7902" i="3" s="1"/>
  <c r="F7926" i="3" s="1"/>
  <c r="F7950" i="3" s="1"/>
  <c r="F7998" i="3" s="1"/>
  <c r="E5549" i="3"/>
  <c r="F5549" i="3" s="1"/>
  <c r="F5573" i="3" s="1"/>
  <c r="F5597" i="3" s="1"/>
  <c r="F5621" i="3" s="1"/>
  <c r="F5645" i="3" s="1"/>
  <c r="F5669" i="3" s="1"/>
  <c r="F5693" i="3" s="1"/>
  <c r="F5717" i="3" s="1"/>
  <c r="F5741" i="3" s="1"/>
  <c r="F5765" i="3" s="1"/>
  <c r="F5789" i="3" s="1"/>
  <c r="F5813" i="3" s="1"/>
  <c r="F5837" i="3" s="1"/>
  <c r="F5861" i="3" s="1"/>
  <c r="F5885" i="3" s="1"/>
  <c r="F5909" i="3" s="1"/>
  <c r="F5933" i="3" s="1"/>
  <c r="F5957" i="3" s="1"/>
  <c r="F5981" i="3" s="1"/>
  <c r="F6005" i="3" s="1"/>
  <c r="F6029" i="3" s="1"/>
  <c r="F6053" i="3" s="1"/>
  <c r="F6077" i="3" s="1"/>
  <c r="F6101" i="3" s="1"/>
  <c r="F6125" i="3" s="1"/>
  <c r="F6149" i="3" s="1"/>
  <c r="F6173" i="3" s="1"/>
  <c r="F6197" i="3" s="1"/>
  <c r="F6221" i="3" s="1"/>
  <c r="F6245" i="3" s="1"/>
  <c r="F6269" i="3" s="1"/>
  <c r="F6293" i="3" s="1"/>
  <c r="F6317" i="3" s="1"/>
  <c r="F6341" i="3" s="1"/>
  <c r="F6365" i="3" s="1"/>
  <c r="F6389" i="3" s="1"/>
  <c r="F6413" i="3" s="1"/>
  <c r="F6437" i="3" s="1"/>
  <c r="F6461" i="3" s="1"/>
  <c r="F6485" i="3" s="1"/>
  <c r="F6509" i="3" s="1"/>
  <c r="F6533" i="3" s="1"/>
  <c r="F6557" i="3" s="1"/>
  <c r="F6581" i="3" s="1"/>
  <c r="F6605" i="3" s="1"/>
  <c r="F6629" i="3" s="1"/>
  <c r="F6653" i="3" s="1"/>
  <c r="F6677" i="3" s="1"/>
  <c r="F6701" i="3" s="1"/>
  <c r="F6725" i="3" s="1"/>
  <c r="F6749" i="3" s="1"/>
  <c r="F6773" i="3" s="1"/>
  <c r="F6797" i="3" s="1"/>
  <c r="F6821" i="3" s="1"/>
  <c r="F6845" i="3" s="1"/>
  <c r="F6869" i="3" s="1"/>
  <c r="F6893" i="3" s="1"/>
  <c r="F6917" i="3" s="1"/>
  <c r="F6941" i="3" s="1"/>
  <c r="F6965" i="3" s="1"/>
  <c r="F6989" i="3" s="1"/>
  <c r="F7013" i="3" s="1"/>
  <c r="F7037" i="3" s="1"/>
  <c r="F7061" i="3" s="1"/>
  <c r="F7085" i="3" s="1"/>
  <c r="F7109" i="3" s="1"/>
  <c r="F7133" i="3" s="1"/>
  <c r="F7157" i="3" s="1"/>
  <c r="F7181" i="3" s="1"/>
  <c r="F7205" i="3" s="1"/>
  <c r="F7229" i="3" s="1"/>
  <c r="F7253" i="3" s="1"/>
  <c r="F7277" i="3" s="1"/>
  <c r="F7301" i="3" s="1"/>
  <c r="F7325" i="3" s="1"/>
  <c r="F7349" i="3" s="1"/>
  <c r="F7373" i="3" s="1"/>
  <c r="F7397" i="3" s="1"/>
  <c r="F7421" i="3" s="1"/>
  <c r="F7445" i="3" s="1"/>
  <c r="F7469" i="3" s="1"/>
  <c r="F7493" i="3" s="1"/>
  <c r="F7517" i="3" s="1"/>
  <c r="F7541" i="3" s="1"/>
  <c r="F7565" i="3" s="1"/>
  <c r="F7589" i="3" s="1"/>
  <c r="F7613" i="3" s="1"/>
  <c r="F7637" i="3" s="1"/>
  <c r="F7661" i="3" s="1"/>
  <c r="F7685" i="3" s="1"/>
  <c r="F7709" i="3" s="1"/>
  <c r="F7733" i="3" s="1"/>
  <c r="F7757" i="3" s="1"/>
  <c r="F7781" i="3" s="1"/>
  <c r="F7805" i="3" s="1"/>
  <c r="F7829" i="3" s="1"/>
  <c r="F7853" i="3" s="1"/>
  <c r="F7877" i="3" s="1"/>
  <c r="F7901" i="3" s="1"/>
  <c r="F7925" i="3" s="1"/>
  <c r="F7949" i="3" s="1"/>
  <c r="F7997" i="3" s="1"/>
  <c r="E5563" i="3"/>
  <c r="F5563" i="3" s="1"/>
  <c r="F5587" i="3" s="1"/>
  <c r="F5611" i="3" s="1"/>
  <c r="F5635" i="3" s="1"/>
  <c r="F5659" i="3" s="1"/>
  <c r="F5683" i="3" s="1"/>
  <c r="F5707" i="3" s="1"/>
  <c r="F5731" i="3" s="1"/>
  <c r="F5755" i="3" s="1"/>
  <c r="F5779" i="3" s="1"/>
  <c r="F5803" i="3" s="1"/>
  <c r="F5827" i="3" s="1"/>
  <c r="F5851" i="3" s="1"/>
  <c r="F5875" i="3" s="1"/>
  <c r="F5899" i="3" s="1"/>
  <c r="F5923" i="3" s="1"/>
  <c r="F5947" i="3" s="1"/>
  <c r="F5971" i="3" s="1"/>
  <c r="F5995" i="3" s="1"/>
  <c r="F6019" i="3" s="1"/>
  <c r="F6043" i="3" s="1"/>
  <c r="F6067" i="3" s="1"/>
  <c r="F6091" i="3" s="1"/>
  <c r="F6115" i="3" s="1"/>
  <c r="F6139" i="3" s="1"/>
  <c r="F6163" i="3" s="1"/>
  <c r="F6187" i="3" s="1"/>
  <c r="F6211" i="3" s="1"/>
  <c r="F6235" i="3" s="1"/>
  <c r="F6259" i="3" s="1"/>
  <c r="F6283" i="3" s="1"/>
  <c r="F6307" i="3" s="1"/>
  <c r="F6331" i="3" s="1"/>
  <c r="F6355" i="3" s="1"/>
  <c r="F6379" i="3" s="1"/>
  <c r="F6403" i="3" s="1"/>
  <c r="F6427" i="3" s="1"/>
  <c r="F6451" i="3" s="1"/>
  <c r="F6475" i="3" s="1"/>
  <c r="F6499" i="3" s="1"/>
  <c r="F6523" i="3" s="1"/>
  <c r="F6547" i="3" s="1"/>
  <c r="F6571" i="3" s="1"/>
  <c r="F6595" i="3" s="1"/>
  <c r="F6619" i="3" s="1"/>
  <c r="F6643" i="3" s="1"/>
  <c r="F6667" i="3" s="1"/>
  <c r="F6691" i="3" s="1"/>
  <c r="F6715" i="3" s="1"/>
  <c r="F6739" i="3" s="1"/>
  <c r="F6763" i="3" s="1"/>
  <c r="F6787" i="3" s="1"/>
  <c r="F6811" i="3" s="1"/>
  <c r="F6835" i="3" s="1"/>
  <c r="F6859" i="3" s="1"/>
  <c r="F6883" i="3" s="1"/>
  <c r="F6907" i="3" s="1"/>
  <c r="F6931" i="3" s="1"/>
  <c r="F6955" i="3" s="1"/>
  <c r="F6979" i="3" s="1"/>
  <c r="F7003" i="3" s="1"/>
  <c r="F7027" i="3" s="1"/>
  <c r="F7051" i="3" s="1"/>
  <c r="F7075" i="3" s="1"/>
  <c r="F7099" i="3" s="1"/>
  <c r="F7123" i="3" s="1"/>
  <c r="F7147" i="3" s="1"/>
  <c r="F7171" i="3" s="1"/>
  <c r="F7195" i="3" s="1"/>
  <c r="F7219" i="3" s="1"/>
  <c r="F7243" i="3" s="1"/>
  <c r="F7267" i="3" s="1"/>
  <c r="F7291" i="3" s="1"/>
  <c r="F7315" i="3" s="1"/>
  <c r="F7339" i="3" s="1"/>
  <c r="F7363" i="3" s="1"/>
  <c r="F7387" i="3" s="1"/>
  <c r="F7411" i="3" s="1"/>
  <c r="F7435" i="3" s="1"/>
  <c r="F7459" i="3" s="1"/>
  <c r="F7483" i="3" s="1"/>
  <c r="F7507" i="3" s="1"/>
  <c r="F7531" i="3" s="1"/>
  <c r="F7555" i="3" s="1"/>
  <c r="F7579" i="3" s="1"/>
  <c r="F7603" i="3" s="1"/>
  <c r="F7627" i="3" s="1"/>
  <c r="F7651" i="3" s="1"/>
  <c r="F7675" i="3" s="1"/>
  <c r="F7699" i="3" s="1"/>
  <c r="F7723" i="3" s="1"/>
  <c r="F7747" i="3" s="1"/>
  <c r="F7771" i="3" s="1"/>
  <c r="F7795" i="3" s="1"/>
  <c r="F7819" i="3" s="1"/>
  <c r="F7843" i="3" s="1"/>
  <c r="F7867" i="3" s="1"/>
  <c r="F7891" i="3" s="1"/>
  <c r="F7915" i="3" s="1"/>
  <c r="F7939" i="3" s="1"/>
  <c r="F7963" i="3" s="1"/>
  <c r="F8011" i="3" s="1"/>
  <c r="M231" i="1"/>
  <c r="E5518" i="3"/>
  <c r="E5513" i="3"/>
  <c r="E5510" i="3"/>
  <c r="E5512" i="3"/>
  <c r="E5503" i="3"/>
  <c r="E5502" i="3"/>
  <c r="E5501" i="3"/>
  <c r="E5499" i="3"/>
  <c r="E5498" i="3"/>
  <c r="E5520" i="3"/>
  <c r="E5517" i="3"/>
  <c r="E5516" i="3"/>
  <c r="M226" i="1"/>
  <c r="M227" i="1"/>
  <c r="M228" i="1"/>
  <c r="M229" i="1"/>
  <c r="M230" i="1"/>
  <c r="E5496" i="3"/>
  <c r="E5494" i="3"/>
  <c r="E5490" i="3"/>
  <c r="E5489" i="3"/>
  <c r="E5486" i="3"/>
  <c r="E5483" i="3"/>
  <c r="E5481" i="3"/>
  <c r="E5477" i="3"/>
  <c r="E5475" i="3"/>
  <c r="E5493" i="3"/>
  <c r="D190" i="23" l="1"/>
  <c r="V189" i="23"/>
  <c r="Y189" i="23" s="1"/>
  <c r="U189" i="23"/>
  <c r="W189" i="23"/>
  <c r="X189" i="23"/>
  <c r="G201" i="23"/>
  <c r="X200" i="23"/>
  <c r="F8022" i="3"/>
  <c r="F8046" i="3" s="1"/>
  <c r="F8070" i="3" s="1"/>
  <c r="F8094" i="3" s="1"/>
  <c r="F8118" i="3" s="1"/>
  <c r="F8142" i="3" s="1"/>
  <c r="F8166" i="3" s="1"/>
  <c r="F8190" i="3" s="1"/>
  <c r="F8214" i="3" s="1"/>
  <c r="F8238" i="3" s="1"/>
  <c r="F8262" i="3" s="1"/>
  <c r="F8286" i="3" s="1"/>
  <c r="F8310" i="3" s="1"/>
  <c r="F8334" i="3" s="1"/>
  <c r="F8358" i="3" s="1"/>
  <c r="F8382" i="3" s="1"/>
  <c r="F8406" i="3" s="1"/>
  <c r="F8430" i="3" s="1"/>
  <c r="F8454" i="3" s="1"/>
  <c r="F8478" i="3" s="1"/>
  <c r="F8502" i="3" s="1"/>
  <c r="F8526" i="3" s="1"/>
  <c r="F8550" i="3" s="1"/>
  <c r="F8574" i="3" s="1"/>
  <c r="F8598" i="3" s="1"/>
  <c r="F8622" i="3" s="1"/>
  <c r="F8646" i="3" s="1"/>
  <c r="F8670" i="3" s="1"/>
  <c r="F8694" i="3" s="1"/>
  <c r="F8718" i="3" s="1"/>
  <c r="F8742" i="3" s="1"/>
  <c r="F8766" i="3" s="1"/>
  <c r="F8790" i="3" s="1"/>
  <c r="F8814" i="3" s="1"/>
  <c r="F8838" i="3" s="1"/>
  <c r="F8862" i="3" s="1"/>
  <c r="F8886" i="3" s="1"/>
  <c r="F8910" i="3" s="1"/>
  <c r="F8934" i="3" s="1"/>
  <c r="F8958" i="3" s="1"/>
  <c r="F8982" i="3" s="1"/>
  <c r="F9006" i="3" s="1"/>
  <c r="F9030" i="3" s="1"/>
  <c r="F9054" i="3" s="1"/>
  <c r="F9078" i="3" s="1"/>
  <c r="F9102" i="3" s="1"/>
  <c r="F9126" i="3" s="1"/>
  <c r="F9150" i="3" s="1"/>
  <c r="F9174" i="3" s="1"/>
  <c r="F9198" i="3" s="1"/>
  <c r="F9222" i="3" s="1"/>
  <c r="F9246" i="3" s="1"/>
  <c r="F9270" i="3" s="1"/>
  <c r="F9294" i="3" s="1"/>
  <c r="F9318" i="3" s="1"/>
  <c r="F9342" i="3" s="1"/>
  <c r="F9366" i="3" s="1"/>
  <c r="F9390" i="3" s="1"/>
  <c r="F9414" i="3" s="1"/>
  <c r="F9438" i="3" s="1"/>
  <c r="F9462" i="3" s="1"/>
  <c r="F9486" i="3" s="1"/>
  <c r="F9510" i="3" s="1"/>
  <c r="F9534" i="3" s="1"/>
  <c r="F9558" i="3" s="1"/>
  <c r="F9582" i="3" s="1"/>
  <c r="F9606" i="3" s="1"/>
  <c r="F9630" i="3" s="1"/>
  <c r="F9654" i="3" s="1"/>
  <c r="F9678" i="3" s="1"/>
  <c r="F9702" i="3" s="1"/>
  <c r="F9726" i="3" s="1"/>
  <c r="F9750" i="3" s="1"/>
  <c r="F8033" i="3"/>
  <c r="F8057" i="3" s="1"/>
  <c r="F8081" i="3" s="1"/>
  <c r="F8105" i="3" s="1"/>
  <c r="F8129" i="3" s="1"/>
  <c r="F8153" i="3" s="1"/>
  <c r="F8177" i="3" s="1"/>
  <c r="F8201" i="3" s="1"/>
  <c r="F8225" i="3" s="1"/>
  <c r="F8249" i="3" s="1"/>
  <c r="F8273" i="3" s="1"/>
  <c r="F8297" i="3" s="1"/>
  <c r="F8321" i="3" s="1"/>
  <c r="F8345" i="3" s="1"/>
  <c r="F8369" i="3" s="1"/>
  <c r="F8393" i="3" s="1"/>
  <c r="F8417" i="3" s="1"/>
  <c r="F8441" i="3" s="1"/>
  <c r="F8465" i="3" s="1"/>
  <c r="F8489" i="3" s="1"/>
  <c r="F8513" i="3" s="1"/>
  <c r="F8537" i="3" s="1"/>
  <c r="F8561" i="3" s="1"/>
  <c r="F8585" i="3" s="1"/>
  <c r="F8609" i="3" s="1"/>
  <c r="F8633" i="3" s="1"/>
  <c r="F8657" i="3" s="1"/>
  <c r="F8681" i="3" s="1"/>
  <c r="F8705" i="3" s="1"/>
  <c r="F8729" i="3" s="1"/>
  <c r="F8753" i="3" s="1"/>
  <c r="F8777" i="3" s="1"/>
  <c r="F8801" i="3" s="1"/>
  <c r="F8825" i="3" s="1"/>
  <c r="F8849" i="3" s="1"/>
  <c r="F8873" i="3" s="1"/>
  <c r="F8897" i="3" s="1"/>
  <c r="F8921" i="3" s="1"/>
  <c r="F8945" i="3" s="1"/>
  <c r="F8969" i="3" s="1"/>
  <c r="F8993" i="3" s="1"/>
  <c r="F9017" i="3" s="1"/>
  <c r="F9041" i="3" s="1"/>
  <c r="F9065" i="3" s="1"/>
  <c r="F9089" i="3" s="1"/>
  <c r="F9113" i="3" s="1"/>
  <c r="F9137" i="3" s="1"/>
  <c r="F9161" i="3" s="1"/>
  <c r="F9185" i="3" s="1"/>
  <c r="F9209" i="3" s="1"/>
  <c r="F9233" i="3" s="1"/>
  <c r="F9257" i="3" s="1"/>
  <c r="F9281" i="3" s="1"/>
  <c r="F9305" i="3" s="1"/>
  <c r="F9329" i="3" s="1"/>
  <c r="F9353" i="3" s="1"/>
  <c r="F9377" i="3" s="1"/>
  <c r="F9401" i="3" s="1"/>
  <c r="F9425" i="3" s="1"/>
  <c r="F9449" i="3" s="1"/>
  <c r="F9473" i="3" s="1"/>
  <c r="F9497" i="3" s="1"/>
  <c r="F9521" i="3" s="1"/>
  <c r="F9545" i="3" s="1"/>
  <c r="F9569" i="3" s="1"/>
  <c r="F9593" i="3" s="1"/>
  <c r="F9617" i="3" s="1"/>
  <c r="F9641" i="3" s="1"/>
  <c r="F9665" i="3" s="1"/>
  <c r="F9689" i="3" s="1"/>
  <c r="F9713" i="3" s="1"/>
  <c r="F9737" i="3" s="1"/>
  <c r="F9761" i="3" s="1"/>
  <c r="F8052" i="3"/>
  <c r="F8076" i="3" s="1"/>
  <c r="F8100" i="3" s="1"/>
  <c r="F8124" i="3" s="1"/>
  <c r="F8148" i="3" s="1"/>
  <c r="F8172" i="3" s="1"/>
  <c r="F8196" i="3" s="1"/>
  <c r="F8220" i="3" s="1"/>
  <c r="F8244" i="3" s="1"/>
  <c r="F8268" i="3" s="1"/>
  <c r="F8292" i="3" s="1"/>
  <c r="F8316" i="3" s="1"/>
  <c r="F8340" i="3" s="1"/>
  <c r="F8364" i="3" s="1"/>
  <c r="F8388" i="3" s="1"/>
  <c r="F8412" i="3" s="1"/>
  <c r="F8436" i="3" s="1"/>
  <c r="F8460" i="3" s="1"/>
  <c r="F8484" i="3" s="1"/>
  <c r="F8508" i="3" s="1"/>
  <c r="F8532" i="3" s="1"/>
  <c r="F8556" i="3" s="1"/>
  <c r="F8580" i="3" s="1"/>
  <c r="F8604" i="3" s="1"/>
  <c r="F8628" i="3" s="1"/>
  <c r="F8652" i="3" s="1"/>
  <c r="F8676" i="3" s="1"/>
  <c r="F8700" i="3" s="1"/>
  <c r="F8724" i="3" s="1"/>
  <c r="F8748" i="3" s="1"/>
  <c r="F8772" i="3" s="1"/>
  <c r="F8796" i="3" s="1"/>
  <c r="F8820" i="3" s="1"/>
  <c r="F8844" i="3" s="1"/>
  <c r="F8868" i="3" s="1"/>
  <c r="F8892" i="3" s="1"/>
  <c r="F8916" i="3" s="1"/>
  <c r="F8940" i="3" s="1"/>
  <c r="F8964" i="3" s="1"/>
  <c r="F8988" i="3" s="1"/>
  <c r="F9012" i="3" s="1"/>
  <c r="F9036" i="3" s="1"/>
  <c r="F9060" i="3" s="1"/>
  <c r="F9084" i="3" s="1"/>
  <c r="F9108" i="3" s="1"/>
  <c r="F9132" i="3" s="1"/>
  <c r="F9156" i="3" s="1"/>
  <c r="F9180" i="3" s="1"/>
  <c r="F9204" i="3" s="1"/>
  <c r="F9228" i="3" s="1"/>
  <c r="F9252" i="3" s="1"/>
  <c r="F9276" i="3" s="1"/>
  <c r="F9300" i="3" s="1"/>
  <c r="F9324" i="3" s="1"/>
  <c r="F9348" i="3" s="1"/>
  <c r="F9372" i="3" s="1"/>
  <c r="F9396" i="3" s="1"/>
  <c r="F9420" i="3" s="1"/>
  <c r="F9444" i="3" s="1"/>
  <c r="F9468" i="3" s="1"/>
  <c r="F9492" i="3" s="1"/>
  <c r="F9516" i="3" s="1"/>
  <c r="F9540" i="3" s="1"/>
  <c r="F9564" i="3" s="1"/>
  <c r="F9588" i="3" s="1"/>
  <c r="F9612" i="3" s="1"/>
  <c r="F9636" i="3" s="1"/>
  <c r="F9660" i="3" s="1"/>
  <c r="F9684" i="3" s="1"/>
  <c r="F9708" i="3" s="1"/>
  <c r="F9732" i="3" s="1"/>
  <c r="F9756" i="3" s="1"/>
  <c r="F8041" i="3"/>
  <c r="F8065" i="3" s="1"/>
  <c r="F8089" i="3" s="1"/>
  <c r="F8113" i="3" s="1"/>
  <c r="F8137" i="3" s="1"/>
  <c r="F8161" i="3" s="1"/>
  <c r="F8185" i="3" s="1"/>
  <c r="F8209" i="3" s="1"/>
  <c r="F8233" i="3" s="1"/>
  <c r="F8257" i="3" s="1"/>
  <c r="F8281" i="3" s="1"/>
  <c r="F8305" i="3" s="1"/>
  <c r="F8329" i="3" s="1"/>
  <c r="F8353" i="3" s="1"/>
  <c r="F8377" i="3" s="1"/>
  <c r="F8401" i="3" s="1"/>
  <c r="F8425" i="3" s="1"/>
  <c r="F8449" i="3" s="1"/>
  <c r="F8473" i="3" s="1"/>
  <c r="F8497" i="3" s="1"/>
  <c r="F8521" i="3" s="1"/>
  <c r="F8545" i="3" s="1"/>
  <c r="F8569" i="3" s="1"/>
  <c r="F8593" i="3" s="1"/>
  <c r="F8617" i="3" s="1"/>
  <c r="F8641" i="3" s="1"/>
  <c r="F8665" i="3" s="1"/>
  <c r="F8689" i="3" s="1"/>
  <c r="F8713" i="3" s="1"/>
  <c r="F8737" i="3" s="1"/>
  <c r="F8761" i="3" s="1"/>
  <c r="F8785" i="3" s="1"/>
  <c r="F8809" i="3" s="1"/>
  <c r="F8833" i="3" s="1"/>
  <c r="F8857" i="3" s="1"/>
  <c r="F8881" i="3" s="1"/>
  <c r="F8905" i="3" s="1"/>
  <c r="F8929" i="3" s="1"/>
  <c r="F8953" i="3" s="1"/>
  <c r="F8977" i="3" s="1"/>
  <c r="F9001" i="3" s="1"/>
  <c r="F9025" i="3" s="1"/>
  <c r="F9049" i="3" s="1"/>
  <c r="F9073" i="3" s="1"/>
  <c r="F9097" i="3" s="1"/>
  <c r="F9121" i="3" s="1"/>
  <c r="F9145" i="3" s="1"/>
  <c r="F9169" i="3" s="1"/>
  <c r="F9193" i="3" s="1"/>
  <c r="F9217" i="3" s="1"/>
  <c r="F9241" i="3" s="1"/>
  <c r="F9265" i="3" s="1"/>
  <c r="F9289" i="3" s="1"/>
  <c r="F9313" i="3" s="1"/>
  <c r="F9337" i="3" s="1"/>
  <c r="F9361" i="3" s="1"/>
  <c r="F9385" i="3" s="1"/>
  <c r="F9409" i="3" s="1"/>
  <c r="F9433" i="3" s="1"/>
  <c r="F9457" i="3" s="1"/>
  <c r="F9481" i="3" s="1"/>
  <c r="F9505" i="3" s="1"/>
  <c r="F9529" i="3" s="1"/>
  <c r="F9553" i="3" s="1"/>
  <c r="F9577" i="3" s="1"/>
  <c r="F9601" i="3" s="1"/>
  <c r="F9625" i="3" s="1"/>
  <c r="F9649" i="3" s="1"/>
  <c r="F9673" i="3" s="1"/>
  <c r="F9697" i="3" s="1"/>
  <c r="F9721" i="3" s="1"/>
  <c r="F9745" i="3" s="1"/>
  <c r="F9769" i="3" s="1"/>
  <c r="F8047" i="3"/>
  <c r="F8071" i="3" s="1"/>
  <c r="F8095" i="3" s="1"/>
  <c r="F8119" i="3" s="1"/>
  <c r="F8143" i="3" s="1"/>
  <c r="F8167" i="3" s="1"/>
  <c r="F8191" i="3" s="1"/>
  <c r="F8215" i="3" s="1"/>
  <c r="F8239" i="3" s="1"/>
  <c r="F8263" i="3" s="1"/>
  <c r="F8287" i="3" s="1"/>
  <c r="F8311" i="3" s="1"/>
  <c r="F8335" i="3" s="1"/>
  <c r="F8359" i="3" s="1"/>
  <c r="F8383" i="3" s="1"/>
  <c r="F8407" i="3" s="1"/>
  <c r="F8431" i="3" s="1"/>
  <c r="F8455" i="3" s="1"/>
  <c r="F8479" i="3" s="1"/>
  <c r="F8503" i="3" s="1"/>
  <c r="F8527" i="3" s="1"/>
  <c r="F8551" i="3" s="1"/>
  <c r="F8575" i="3" s="1"/>
  <c r="F8599" i="3" s="1"/>
  <c r="F8623" i="3" s="1"/>
  <c r="F8647" i="3" s="1"/>
  <c r="F8671" i="3" s="1"/>
  <c r="F8695" i="3" s="1"/>
  <c r="F8719" i="3" s="1"/>
  <c r="F8743" i="3" s="1"/>
  <c r="F8767" i="3" s="1"/>
  <c r="F8791" i="3" s="1"/>
  <c r="F8815" i="3" s="1"/>
  <c r="F8839" i="3" s="1"/>
  <c r="F8863" i="3" s="1"/>
  <c r="F8887" i="3" s="1"/>
  <c r="F8911" i="3" s="1"/>
  <c r="F8935" i="3" s="1"/>
  <c r="F8959" i="3" s="1"/>
  <c r="F8983" i="3" s="1"/>
  <c r="F9007" i="3" s="1"/>
  <c r="F9031" i="3" s="1"/>
  <c r="F9055" i="3" s="1"/>
  <c r="F9079" i="3" s="1"/>
  <c r="F9103" i="3" s="1"/>
  <c r="F9127" i="3" s="1"/>
  <c r="F9151" i="3" s="1"/>
  <c r="F9175" i="3" s="1"/>
  <c r="F9199" i="3" s="1"/>
  <c r="F9223" i="3" s="1"/>
  <c r="F9247" i="3" s="1"/>
  <c r="F9271" i="3" s="1"/>
  <c r="F9295" i="3" s="1"/>
  <c r="F9319" i="3" s="1"/>
  <c r="F9343" i="3" s="1"/>
  <c r="F9367" i="3" s="1"/>
  <c r="F9391" i="3" s="1"/>
  <c r="F9415" i="3" s="1"/>
  <c r="F9439" i="3" s="1"/>
  <c r="F9463" i="3" s="1"/>
  <c r="F9487" i="3" s="1"/>
  <c r="F9511" i="3" s="1"/>
  <c r="F9535" i="3" s="1"/>
  <c r="F9559" i="3" s="1"/>
  <c r="F9583" i="3" s="1"/>
  <c r="F9607" i="3" s="1"/>
  <c r="F9631" i="3" s="1"/>
  <c r="F9655" i="3" s="1"/>
  <c r="F9679" i="3" s="1"/>
  <c r="F9703" i="3" s="1"/>
  <c r="F9727" i="3" s="1"/>
  <c r="F9751" i="3" s="1"/>
  <c r="F8029" i="3"/>
  <c r="F8053" i="3" s="1"/>
  <c r="F8077" i="3" s="1"/>
  <c r="F8101" i="3" s="1"/>
  <c r="F8125" i="3" s="1"/>
  <c r="F8149" i="3" s="1"/>
  <c r="F8173" i="3" s="1"/>
  <c r="F8197" i="3" s="1"/>
  <c r="F8221" i="3" s="1"/>
  <c r="F8245" i="3" s="1"/>
  <c r="F8269" i="3" s="1"/>
  <c r="F8293" i="3" s="1"/>
  <c r="F8317" i="3" s="1"/>
  <c r="F8341" i="3" s="1"/>
  <c r="F8365" i="3" s="1"/>
  <c r="F8389" i="3" s="1"/>
  <c r="F8413" i="3" s="1"/>
  <c r="F8437" i="3" s="1"/>
  <c r="F8461" i="3" s="1"/>
  <c r="F8485" i="3" s="1"/>
  <c r="F8509" i="3" s="1"/>
  <c r="F8533" i="3" s="1"/>
  <c r="F8557" i="3" s="1"/>
  <c r="F8581" i="3" s="1"/>
  <c r="F8605" i="3" s="1"/>
  <c r="F8629" i="3" s="1"/>
  <c r="F8653" i="3" s="1"/>
  <c r="F8677" i="3" s="1"/>
  <c r="F8701" i="3" s="1"/>
  <c r="F8725" i="3" s="1"/>
  <c r="F8749" i="3" s="1"/>
  <c r="F8773" i="3" s="1"/>
  <c r="F8797" i="3" s="1"/>
  <c r="F8821" i="3" s="1"/>
  <c r="F8845" i="3" s="1"/>
  <c r="F8869" i="3" s="1"/>
  <c r="F8893" i="3" s="1"/>
  <c r="F8917" i="3" s="1"/>
  <c r="F8941" i="3" s="1"/>
  <c r="F8965" i="3" s="1"/>
  <c r="F8989" i="3" s="1"/>
  <c r="F9013" i="3" s="1"/>
  <c r="F9037" i="3" s="1"/>
  <c r="F9061" i="3" s="1"/>
  <c r="F9085" i="3" s="1"/>
  <c r="F9109" i="3" s="1"/>
  <c r="F9133" i="3" s="1"/>
  <c r="F9157" i="3" s="1"/>
  <c r="F9181" i="3" s="1"/>
  <c r="F9205" i="3" s="1"/>
  <c r="F9229" i="3" s="1"/>
  <c r="F9253" i="3" s="1"/>
  <c r="F9277" i="3" s="1"/>
  <c r="F9301" i="3" s="1"/>
  <c r="F9325" i="3" s="1"/>
  <c r="F9349" i="3" s="1"/>
  <c r="F9373" i="3" s="1"/>
  <c r="F9397" i="3" s="1"/>
  <c r="F9421" i="3" s="1"/>
  <c r="F9445" i="3" s="1"/>
  <c r="F9469" i="3" s="1"/>
  <c r="F9493" i="3" s="1"/>
  <c r="F9517" i="3" s="1"/>
  <c r="F9541" i="3" s="1"/>
  <c r="F9565" i="3" s="1"/>
  <c r="F9589" i="3" s="1"/>
  <c r="F9613" i="3" s="1"/>
  <c r="F9637" i="3" s="1"/>
  <c r="F9661" i="3" s="1"/>
  <c r="F9685" i="3" s="1"/>
  <c r="F9709" i="3" s="1"/>
  <c r="F9733" i="3" s="1"/>
  <c r="F9757" i="3" s="1"/>
  <c r="F8038" i="3"/>
  <c r="F8062" i="3" s="1"/>
  <c r="F8086" i="3" s="1"/>
  <c r="F8110" i="3" s="1"/>
  <c r="F8134" i="3" s="1"/>
  <c r="F8158" i="3" s="1"/>
  <c r="F8182" i="3" s="1"/>
  <c r="F8206" i="3" s="1"/>
  <c r="F8230" i="3" s="1"/>
  <c r="F8254" i="3" s="1"/>
  <c r="F8278" i="3" s="1"/>
  <c r="F8302" i="3" s="1"/>
  <c r="F8326" i="3" s="1"/>
  <c r="F8350" i="3" s="1"/>
  <c r="F8374" i="3" s="1"/>
  <c r="F8398" i="3" s="1"/>
  <c r="F8422" i="3" s="1"/>
  <c r="F8446" i="3" s="1"/>
  <c r="F8470" i="3" s="1"/>
  <c r="F8494" i="3" s="1"/>
  <c r="F8518" i="3" s="1"/>
  <c r="F8542" i="3" s="1"/>
  <c r="F8566" i="3" s="1"/>
  <c r="F8590" i="3" s="1"/>
  <c r="F8614" i="3" s="1"/>
  <c r="F8638" i="3" s="1"/>
  <c r="F8662" i="3" s="1"/>
  <c r="F8686" i="3" s="1"/>
  <c r="F8710" i="3" s="1"/>
  <c r="F8734" i="3" s="1"/>
  <c r="F8758" i="3" s="1"/>
  <c r="F8782" i="3" s="1"/>
  <c r="F8806" i="3" s="1"/>
  <c r="F8830" i="3" s="1"/>
  <c r="F8854" i="3" s="1"/>
  <c r="F8878" i="3" s="1"/>
  <c r="F8902" i="3" s="1"/>
  <c r="F8926" i="3" s="1"/>
  <c r="F8950" i="3" s="1"/>
  <c r="F8974" i="3" s="1"/>
  <c r="F8998" i="3" s="1"/>
  <c r="F9022" i="3" s="1"/>
  <c r="F9046" i="3" s="1"/>
  <c r="F9070" i="3" s="1"/>
  <c r="F9094" i="3" s="1"/>
  <c r="F9118" i="3" s="1"/>
  <c r="F9142" i="3" s="1"/>
  <c r="F9166" i="3" s="1"/>
  <c r="F9190" i="3" s="1"/>
  <c r="F9214" i="3" s="1"/>
  <c r="F9238" i="3" s="1"/>
  <c r="F9262" i="3" s="1"/>
  <c r="F9286" i="3" s="1"/>
  <c r="F9310" i="3" s="1"/>
  <c r="F9334" i="3" s="1"/>
  <c r="F9358" i="3" s="1"/>
  <c r="F9382" i="3" s="1"/>
  <c r="F9406" i="3" s="1"/>
  <c r="F9430" i="3" s="1"/>
  <c r="F9454" i="3" s="1"/>
  <c r="F9478" i="3" s="1"/>
  <c r="F9502" i="3" s="1"/>
  <c r="F9526" i="3" s="1"/>
  <c r="F9550" i="3" s="1"/>
  <c r="F9574" i="3" s="1"/>
  <c r="F9598" i="3" s="1"/>
  <c r="F9622" i="3" s="1"/>
  <c r="F9646" i="3" s="1"/>
  <c r="F9670" i="3" s="1"/>
  <c r="F9694" i="3" s="1"/>
  <c r="F9718" i="3" s="1"/>
  <c r="F9742" i="3" s="1"/>
  <c r="F9766" i="3" s="1"/>
  <c r="F8019" i="3"/>
  <c r="F8043" i="3" s="1"/>
  <c r="F8067" i="3" s="1"/>
  <c r="F8091" i="3" s="1"/>
  <c r="F8115" i="3" s="1"/>
  <c r="F8139" i="3" s="1"/>
  <c r="F8163" i="3" s="1"/>
  <c r="F8187" i="3" s="1"/>
  <c r="F8211" i="3" s="1"/>
  <c r="F8235" i="3" s="1"/>
  <c r="F8259" i="3" s="1"/>
  <c r="F8283" i="3" s="1"/>
  <c r="F8307" i="3" s="1"/>
  <c r="F8331" i="3" s="1"/>
  <c r="F8355" i="3" s="1"/>
  <c r="F8379" i="3" s="1"/>
  <c r="F8403" i="3" s="1"/>
  <c r="F8427" i="3" s="1"/>
  <c r="F8451" i="3" s="1"/>
  <c r="F8475" i="3" s="1"/>
  <c r="F8499" i="3" s="1"/>
  <c r="F8523" i="3" s="1"/>
  <c r="F8547" i="3" s="1"/>
  <c r="F8571" i="3" s="1"/>
  <c r="F8595" i="3" s="1"/>
  <c r="F8619" i="3" s="1"/>
  <c r="F8643" i="3" s="1"/>
  <c r="F8667" i="3" s="1"/>
  <c r="F8691" i="3" s="1"/>
  <c r="F8715" i="3" s="1"/>
  <c r="F8739" i="3" s="1"/>
  <c r="F8763" i="3" s="1"/>
  <c r="F8787" i="3" s="1"/>
  <c r="F8811" i="3" s="1"/>
  <c r="F8835" i="3" s="1"/>
  <c r="F8859" i="3" s="1"/>
  <c r="F8883" i="3" s="1"/>
  <c r="F8907" i="3" s="1"/>
  <c r="F8931" i="3" s="1"/>
  <c r="F8955" i="3" s="1"/>
  <c r="F8979" i="3" s="1"/>
  <c r="F9003" i="3" s="1"/>
  <c r="F9027" i="3" s="1"/>
  <c r="F9051" i="3" s="1"/>
  <c r="F9075" i="3" s="1"/>
  <c r="F9099" i="3" s="1"/>
  <c r="F9123" i="3" s="1"/>
  <c r="F9147" i="3" s="1"/>
  <c r="F9171" i="3" s="1"/>
  <c r="F9195" i="3" s="1"/>
  <c r="F9219" i="3" s="1"/>
  <c r="F9243" i="3" s="1"/>
  <c r="F9267" i="3" s="1"/>
  <c r="F9291" i="3" s="1"/>
  <c r="F9315" i="3" s="1"/>
  <c r="F9339" i="3" s="1"/>
  <c r="F9363" i="3" s="1"/>
  <c r="F9387" i="3" s="1"/>
  <c r="F9411" i="3" s="1"/>
  <c r="F9435" i="3" s="1"/>
  <c r="F9459" i="3" s="1"/>
  <c r="F9483" i="3" s="1"/>
  <c r="F9507" i="3" s="1"/>
  <c r="F9531" i="3" s="1"/>
  <c r="F9555" i="3" s="1"/>
  <c r="F9579" i="3" s="1"/>
  <c r="F9603" i="3" s="1"/>
  <c r="F9627" i="3" s="1"/>
  <c r="F9651" i="3" s="1"/>
  <c r="F9675" i="3" s="1"/>
  <c r="F9699" i="3" s="1"/>
  <c r="F9723" i="3" s="1"/>
  <c r="F9747" i="3" s="1"/>
  <c r="F8035" i="3"/>
  <c r="F8059" i="3" s="1"/>
  <c r="F8083" i="3" s="1"/>
  <c r="F8107" i="3" s="1"/>
  <c r="F8131" i="3" s="1"/>
  <c r="F8155" i="3" s="1"/>
  <c r="F8179" i="3" s="1"/>
  <c r="F8203" i="3" s="1"/>
  <c r="F8227" i="3" s="1"/>
  <c r="F8251" i="3" s="1"/>
  <c r="F8275" i="3" s="1"/>
  <c r="F8299" i="3" s="1"/>
  <c r="F8323" i="3" s="1"/>
  <c r="F8347" i="3" s="1"/>
  <c r="F8371" i="3" s="1"/>
  <c r="F8395" i="3" s="1"/>
  <c r="F8419" i="3" s="1"/>
  <c r="F8443" i="3" s="1"/>
  <c r="F8467" i="3" s="1"/>
  <c r="F8491" i="3" s="1"/>
  <c r="F8515" i="3" s="1"/>
  <c r="F8539" i="3" s="1"/>
  <c r="F8563" i="3" s="1"/>
  <c r="F8587" i="3" s="1"/>
  <c r="F8611" i="3" s="1"/>
  <c r="F8635" i="3" s="1"/>
  <c r="F8659" i="3" s="1"/>
  <c r="F8683" i="3" s="1"/>
  <c r="F8707" i="3" s="1"/>
  <c r="F8731" i="3" s="1"/>
  <c r="F8755" i="3" s="1"/>
  <c r="F8779" i="3" s="1"/>
  <c r="F8803" i="3" s="1"/>
  <c r="F8827" i="3" s="1"/>
  <c r="F8851" i="3" s="1"/>
  <c r="F8875" i="3" s="1"/>
  <c r="F8899" i="3" s="1"/>
  <c r="F8923" i="3" s="1"/>
  <c r="F8947" i="3" s="1"/>
  <c r="F8971" i="3" s="1"/>
  <c r="F8995" i="3" s="1"/>
  <c r="F9019" i="3" s="1"/>
  <c r="F9043" i="3" s="1"/>
  <c r="F9067" i="3" s="1"/>
  <c r="F9091" i="3" s="1"/>
  <c r="F9115" i="3" s="1"/>
  <c r="F9139" i="3" s="1"/>
  <c r="F9163" i="3" s="1"/>
  <c r="F9187" i="3" s="1"/>
  <c r="F9211" i="3" s="1"/>
  <c r="F9235" i="3" s="1"/>
  <c r="F9259" i="3" s="1"/>
  <c r="F9283" i="3" s="1"/>
  <c r="F9307" i="3" s="1"/>
  <c r="F9331" i="3" s="1"/>
  <c r="F9355" i="3" s="1"/>
  <c r="F9379" i="3" s="1"/>
  <c r="F9403" i="3" s="1"/>
  <c r="F9427" i="3" s="1"/>
  <c r="F9451" i="3" s="1"/>
  <c r="F9475" i="3" s="1"/>
  <c r="F9499" i="3" s="1"/>
  <c r="F9523" i="3" s="1"/>
  <c r="F9547" i="3" s="1"/>
  <c r="F9571" i="3" s="1"/>
  <c r="F9595" i="3" s="1"/>
  <c r="F9619" i="3" s="1"/>
  <c r="F9643" i="3" s="1"/>
  <c r="F9667" i="3" s="1"/>
  <c r="F9691" i="3" s="1"/>
  <c r="F9715" i="3" s="1"/>
  <c r="F9739" i="3" s="1"/>
  <c r="F9763" i="3" s="1"/>
  <c r="F8049" i="3"/>
  <c r="F8073" i="3" s="1"/>
  <c r="F8097" i="3" s="1"/>
  <c r="F8121" i="3" s="1"/>
  <c r="F8145" i="3" s="1"/>
  <c r="F8169" i="3" s="1"/>
  <c r="F8193" i="3" s="1"/>
  <c r="F8217" i="3" s="1"/>
  <c r="F8241" i="3" s="1"/>
  <c r="F8265" i="3" s="1"/>
  <c r="F8289" i="3" s="1"/>
  <c r="F8313" i="3" s="1"/>
  <c r="F8337" i="3" s="1"/>
  <c r="F8361" i="3" s="1"/>
  <c r="F8385" i="3" s="1"/>
  <c r="F8409" i="3" s="1"/>
  <c r="F8433" i="3" s="1"/>
  <c r="F8457" i="3" s="1"/>
  <c r="F8481" i="3" s="1"/>
  <c r="F8505" i="3" s="1"/>
  <c r="F8529" i="3" s="1"/>
  <c r="F8553" i="3" s="1"/>
  <c r="F8577" i="3" s="1"/>
  <c r="F8601" i="3" s="1"/>
  <c r="F8625" i="3" s="1"/>
  <c r="F8649" i="3" s="1"/>
  <c r="F8673" i="3" s="1"/>
  <c r="F8697" i="3" s="1"/>
  <c r="F8721" i="3" s="1"/>
  <c r="F8745" i="3" s="1"/>
  <c r="F8769" i="3" s="1"/>
  <c r="F8793" i="3" s="1"/>
  <c r="F8817" i="3" s="1"/>
  <c r="F8841" i="3" s="1"/>
  <c r="F8865" i="3" s="1"/>
  <c r="F8889" i="3" s="1"/>
  <c r="F8913" i="3" s="1"/>
  <c r="F8937" i="3" s="1"/>
  <c r="F8961" i="3" s="1"/>
  <c r="F8985" i="3" s="1"/>
  <c r="F9009" i="3" s="1"/>
  <c r="F9033" i="3" s="1"/>
  <c r="F9057" i="3" s="1"/>
  <c r="F9081" i="3" s="1"/>
  <c r="F9105" i="3" s="1"/>
  <c r="F9129" i="3" s="1"/>
  <c r="F9153" i="3" s="1"/>
  <c r="F9177" i="3" s="1"/>
  <c r="F9201" i="3" s="1"/>
  <c r="F9225" i="3" s="1"/>
  <c r="F9249" i="3" s="1"/>
  <c r="F9273" i="3" s="1"/>
  <c r="F9297" i="3" s="1"/>
  <c r="F9321" i="3" s="1"/>
  <c r="F9345" i="3" s="1"/>
  <c r="F9369" i="3" s="1"/>
  <c r="F9393" i="3" s="1"/>
  <c r="F9417" i="3" s="1"/>
  <c r="F9441" i="3" s="1"/>
  <c r="F9465" i="3" s="1"/>
  <c r="F9489" i="3" s="1"/>
  <c r="F9513" i="3" s="1"/>
  <c r="F9537" i="3" s="1"/>
  <c r="F9561" i="3" s="1"/>
  <c r="F9585" i="3" s="1"/>
  <c r="F9609" i="3" s="1"/>
  <c r="F9633" i="3" s="1"/>
  <c r="F9657" i="3" s="1"/>
  <c r="F9681" i="3" s="1"/>
  <c r="F9705" i="3" s="1"/>
  <c r="F9729" i="3" s="1"/>
  <c r="F9753" i="3" s="1"/>
  <c r="F8030" i="3"/>
  <c r="F8054" i="3" s="1"/>
  <c r="F8078" i="3" s="1"/>
  <c r="F8102" i="3" s="1"/>
  <c r="F8126" i="3" s="1"/>
  <c r="F8150" i="3" s="1"/>
  <c r="F8174" i="3" s="1"/>
  <c r="F8198" i="3" s="1"/>
  <c r="F8222" i="3" s="1"/>
  <c r="F8246" i="3" s="1"/>
  <c r="F8270" i="3" s="1"/>
  <c r="F8294" i="3" s="1"/>
  <c r="F8318" i="3" s="1"/>
  <c r="F8342" i="3" s="1"/>
  <c r="F8366" i="3" s="1"/>
  <c r="F8390" i="3" s="1"/>
  <c r="F8414" i="3" s="1"/>
  <c r="F8438" i="3" s="1"/>
  <c r="F8462" i="3" s="1"/>
  <c r="F8486" i="3" s="1"/>
  <c r="F8510" i="3" s="1"/>
  <c r="F8534" i="3" s="1"/>
  <c r="F8558" i="3" s="1"/>
  <c r="F8582" i="3" s="1"/>
  <c r="F8606" i="3" s="1"/>
  <c r="F8630" i="3" s="1"/>
  <c r="F8654" i="3" s="1"/>
  <c r="F8678" i="3" s="1"/>
  <c r="F8702" i="3" s="1"/>
  <c r="F8726" i="3" s="1"/>
  <c r="F8750" i="3" s="1"/>
  <c r="F8774" i="3" s="1"/>
  <c r="F8798" i="3" s="1"/>
  <c r="F8822" i="3" s="1"/>
  <c r="F8846" i="3" s="1"/>
  <c r="F8870" i="3" s="1"/>
  <c r="F8894" i="3" s="1"/>
  <c r="F8918" i="3" s="1"/>
  <c r="F8942" i="3" s="1"/>
  <c r="F8966" i="3" s="1"/>
  <c r="F8990" i="3" s="1"/>
  <c r="F9014" i="3" s="1"/>
  <c r="F9038" i="3" s="1"/>
  <c r="F9062" i="3" s="1"/>
  <c r="F9086" i="3" s="1"/>
  <c r="F9110" i="3" s="1"/>
  <c r="F9134" i="3" s="1"/>
  <c r="F9158" i="3" s="1"/>
  <c r="F9182" i="3" s="1"/>
  <c r="F9206" i="3" s="1"/>
  <c r="F9230" i="3" s="1"/>
  <c r="F9254" i="3" s="1"/>
  <c r="F9278" i="3" s="1"/>
  <c r="F9302" i="3" s="1"/>
  <c r="F9326" i="3" s="1"/>
  <c r="F9350" i="3" s="1"/>
  <c r="F9374" i="3" s="1"/>
  <c r="F9398" i="3" s="1"/>
  <c r="F9422" i="3" s="1"/>
  <c r="F9446" i="3" s="1"/>
  <c r="F9470" i="3" s="1"/>
  <c r="F9494" i="3" s="1"/>
  <c r="F9518" i="3" s="1"/>
  <c r="F9542" i="3" s="1"/>
  <c r="F9566" i="3" s="1"/>
  <c r="F9590" i="3" s="1"/>
  <c r="F9614" i="3" s="1"/>
  <c r="F9638" i="3" s="1"/>
  <c r="F9662" i="3" s="1"/>
  <c r="F9686" i="3" s="1"/>
  <c r="F9710" i="3" s="1"/>
  <c r="F9734" i="3" s="1"/>
  <c r="F9758" i="3" s="1"/>
  <c r="F8039" i="3"/>
  <c r="F8063" i="3" s="1"/>
  <c r="F8087" i="3" s="1"/>
  <c r="F8111" i="3" s="1"/>
  <c r="F8135" i="3" s="1"/>
  <c r="F8159" i="3" s="1"/>
  <c r="F8183" i="3" s="1"/>
  <c r="F8207" i="3" s="1"/>
  <c r="F8231" i="3" s="1"/>
  <c r="F8255" i="3" s="1"/>
  <c r="F8279" i="3" s="1"/>
  <c r="F8303" i="3" s="1"/>
  <c r="F8327" i="3" s="1"/>
  <c r="F8351" i="3" s="1"/>
  <c r="F8375" i="3" s="1"/>
  <c r="F8399" i="3" s="1"/>
  <c r="F8423" i="3" s="1"/>
  <c r="F8447" i="3" s="1"/>
  <c r="F8471" i="3" s="1"/>
  <c r="F8495" i="3" s="1"/>
  <c r="F8519" i="3" s="1"/>
  <c r="F8543" i="3" s="1"/>
  <c r="F8567" i="3" s="1"/>
  <c r="F8591" i="3" s="1"/>
  <c r="F8615" i="3" s="1"/>
  <c r="F8639" i="3" s="1"/>
  <c r="F8663" i="3" s="1"/>
  <c r="F8687" i="3" s="1"/>
  <c r="F8711" i="3" s="1"/>
  <c r="F8735" i="3" s="1"/>
  <c r="F8759" i="3" s="1"/>
  <c r="F8783" i="3" s="1"/>
  <c r="F8807" i="3" s="1"/>
  <c r="F8831" i="3" s="1"/>
  <c r="F8855" i="3" s="1"/>
  <c r="F8879" i="3" s="1"/>
  <c r="F8903" i="3" s="1"/>
  <c r="F8927" i="3" s="1"/>
  <c r="F8951" i="3" s="1"/>
  <c r="F8975" i="3" s="1"/>
  <c r="F8999" i="3" s="1"/>
  <c r="F9023" i="3" s="1"/>
  <c r="F9047" i="3" s="1"/>
  <c r="F9071" i="3" s="1"/>
  <c r="F9095" i="3" s="1"/>
  <c r="F9119" i="3" s="1"/>
  <c r="F9143" i="3" s="1"/>
  <c r="F9167" i="3" s="1"/>
  <c r="F9191" i="3" s="1"/>
  <c r="F9215" i="3" s="1"/>
  <c r="F9239" i="3" s="1"/>
  <c r="F9263" i="3" s="1"/>
  <c r="F9287" i="3" s="1"/>
  <c r="F9311" i="3" s="1"/>
  <c r="F9335" i="3" s="1"/>
  <c r="F9359" i="3" s="1"/>
  <c r="F9383" i="3" s="1"/>
  <c r="F9407" i="3" s="1"/>
  <c r="F9431" i="3" s="1"/>
  <c r="F9455" i="3" s="1"/>
  <c r="F9479" i="3" s="1"/>
  <c r="F9503" i="3" s="1"/>
  <c r="F9527" i="3" s="1"/>
  <c r="F9551" i="3" s="1"/>
  <c r="F9575" i="3" s="1"/>
  <c r="F9599" i="3" s="1"/>
  <c r="F9623" i="3" s="1"/>
  <c r="F9647" i="3" s="1"/>
  <c r="F9671" i="3" s="1"/>
  <c r="F9695" i="3" s="1"/>
  <c r="F9719" i="3" s="1"/>
  <c r="F9743" i="3" s="1"/>
  <c r="F9767" i="3" s="1"/>
  <c r="F8034" i="3"/>
  <c r="F8058" i="3" s="1"/>
  <c r="F8082" i="3" s="1"/>
  <c r="F8106" i="3" s="1"/>
  <c r="F8130" i="3" s="1"/>
  <c r="F8154" i="3" s="1"/>
  <c r="F8178" i="3" s="1"/>
  <c r="F8202" i="3" s="1"/>
  <c r="F8226" i="3" s="1"/>
  <c r="F8250" i="3" s="1"/>
  <c r="F8274" i="3" s="1"/>
  <c r="F8298" i="3" s="1"/>
  <c r="F8322" i="3" s="1"/>
  <c r="F8346" i="3" s="1"/>
  <c r="F8370" i="3" s="1"/>
  <c r="F8394" i="3" s="1"/>
  <c r="F8418" i="3" s="1"/>
  <c r="F8442" i="3" s="1"/>
  <c r="F8466" i="3" s="1"/>
  <c r="F8490" i="3" s="1"/>
  <c r="F8514" i="3" s="1"/>
  <c r="F8538" i="3" s="1"/>
  <c r="F8562" i="3" s="1"/>
  <c r="F8586" i="3" s="1"/>
  <c r="F8610" i="3" s="1"/>
  <c r="F8634" i="3" s="1"/>
  <c r="F8658" i="3" s="1"/>
  <c r="F8682" i="3" s="1"/>
  <c r="F8706" i="3" s="1"/>
  <c r="F8730" i="3" s="1"/>
  <c r="F8754" i="3" s="1"/>
  <c r="F8778" i="3" s="1"/>
  <c r="F8802" i="3" s="1"/>
  <c r="F8826" i="3" s="1"/>
  <c r="F8850" i="3" s="1"/>
  <c r="F8874" i="3" s="1"/>
  <c r="F8898" i="3" s="1"/>
  <c r="F8922" i="3" s="1"/>
  <c r="F8946" i="3" s="1"/>
  <c r="F8970" i="3" s="1"/>
  <c r="F8994" i="3" s="1"/>
  <c r="F9018" i="3" s="1"/>
  <c r="F9042" i="3" s="1"/>
  <c r="F9066" i="3" s="1"/>
  <c r="F9090" i="3" s="1"/>
  <c r="F9114" i="3" s="1"/>
  <c r="F9138" i="3" s="1"/>
  <c r="F9162" i="3" s="1"/>
  <c r="F9186" i="3" s="1"/>
  <c r="F9210" i="3" s="1"/>
  <c r="F9234" i="3" s="1"/>
  <c r="F9258" i="3" s="1"/>
  <c r="F9282" i="3" s="1"/>
  <c r="F9306" i="3" s="1"/>
  <c r="F9330" i="3" s="1"/>
  <c r="F9354" i="3" s="1"/>
  <c r="F9378" i="3" s="1"/>
  <c r="F9402" i="3" s="1"/>
  <c r="F9426" i="3" s="1"/>
  <c r="F9450" i="3" s="1"/>
  <c r="F9474" i="3" s="1"/>
  <c r="F9498" i="3" s="1"/>
  <c r="F9522" i="3" s="1"/>
  <c r="F9546" i="3" s="1"/>
  <c r="F9570" i="3" s="1"/>
  <c r="F9594" i="3" s="1"/>
  <c r="F9618" i="3" s="1"/>
  <c r="F9642" i="3" s="1"/>
  <c r="F9666" i="3" s="1"/>
  <c r="F9690" i="3" s="1"/>
  <c r="F9714" i="3" s="1"/>
  <c r="F9738" i="3" s="1"/>
  <c r="F9762" i="3" s="1"/>
  <c r="F8021" i="3"/>
  <c r="F8045" i="3" s="1"/>
  <c r="F8069" i="3" s="1"/>
  <c r="F8093" i="3" s="1"/>
  <c r="F8117" i="3" s="1"/>
  <c r="F8141" i="3" s="1"/>
  <c r="F8165" i="3" s="1"/>
  <c r="F8189" i="3" s="1"/>
  <c r="F8213" i="3" s="1"/>
  <c r="F8237" i="3" s="1"/>
  <c r="F8261" i="3" s="1"/>
  <c r="F8285" i="3" s="1"/>
  <c r="F8309" i="3" s="1"/>
  <c r="F8333" i="3" s="1"/>
  <c r="F8357" i="3" s="1"/>
  <c r="F8381" i="3" s="1"/>
  <c r="F8405" i="3" s="1"/>
  <c r="F8429" i="3" s="1"/>
  <c r="F8453" i="3" s="1"/>
  <c r="F8477" i="3" s="1"/>
  <c r="F8501" i="3" s="1"/>
  <c r="F8525" i="3" s="1"/>
  <c r="F8549" i="3" s="1"/>
  <c r="F8573" i="3" s="1"/>
  <c r="F8597" i="3" s="1"/>
  <c r="F8621" i="3" s="1"/>
  <c r="F8645" i="3" s="1"/>
  <c r="F8669" i="3" s="1"/>
  <c r="F8693" i="3" s="1"/>
  <c r="F8717" i="3" s="1"/>
  <c r="F8741" i="3" s="1"/>
  <c r="F8765" i="3" s="1"/>
  <c r="F8789" i="3" s="1"/>
  <c r="F8813" i="3" s="1"/>
  <c r="F8837" i="3" s="1"/>
  <c r="F8861" i="3" s="1"/>
  <c r="F8885" i="3" s="1"/>
  <c r="F8909" i="3" s="1"/>
  <c r="F8933" i="3" s="1"/>
  <c r="F8957" i="3" s="1"/>
  <c r="F8981" i="3" s="1"/>
  <c r="F9005" i="3" s="1"/>
  <c r="F9029" i="3" s="1"/>
  <c r="F9053" i="3" s="1"/>
  <c r="F9077" i="3" s="1"/>
  <c r="F9101" i="3" s="1"/>
  <c r="F9125" i="3" s="1"/>
  <c r="F9149" i="3" s="1"/>
  <c r="F9173" i="3" s="1"/>
  <c r="F9197" i="3" s="1"/>
  <c r="F9221" i="3" s="1"/>
  <c r="F9245" i="3" s="1"/>
  <c r="F9269" i="3" s="1"/>
  <c r="F9293" i="3" s="1"/>
  <c r="F9317" i="3" s="1"/>
  <c r="F9341" i="3" s="1"/>
  <c r="F9365" i="3" s="1"/>
  <c r="F9389" i="3" s="1"/>
  <c r="F9413" i="3" s="1"/>
  <c r="F9437" i="3" s="1"/>
  <c r="F9461" i="3" s="1"/>
  <c r="F9485" i="3" s="1"/>
  <c r="F9509" i="3" s="1"/>
  <c r="F9533" i="3" s="1"/>
  <c r="F9557" i="3" s="1"/>
  <c r="F9581" i="3" s="1"/>
  <c r="F9605" i="3" s="1"/>
  <c r="F9629" i="3" s="1"/>
  <c r="F9653" i="3" s="1"/>
  <c r="F9677" i="3" s="1"/>
  <c r="F9701" i="3" s="1"/>
  <c r="F9725" i="3" s="1"/>
  <c r="F9749" i="3" s="1"/>
  <c r="F8051" i="3"/>
  <c r="F8075" i="3" s="1"/>
  <c r="F8099" i="3" s="1"/>
  <c r="F8123" i="3" s="1"/>
  <c r="F8147" i="3" s="1"/>
  <c r="F8171" i="3" s="1"/>
  <c r="F8195" i="3" s="1"/>
  <c r="F8219" i="3" s="1"/>
  <c r="F8243" i="3" s="1"/>
  <c r="F8267" i="3" s="1"/>
  <c r="F8291" i="3" s="1"/>
  <c r="F8315" i="3" s="1"/>
  <c r="F8339" i="3" s="1"/>
  <c r="F8363" i="3" s="1"/>
  <c r="F8387" i="3" s="1"/>
  <c r="F8411" i="3" s="1"/>
  <c r="F8435" i="3" s="1"/>
  <c r="F8459" i="3" s="1"/>
  <c r="F8483" i="3" s="1"/>
  <c r="F8507" i="3" s="1"/>
  <c r="F8531" i="3" s="1"/>
  <c r="F8555" i="3" s="1"/>
  <c r="F8579" i="3" s="1"/>
  <c r="F8603" i="3" s="1"/>
  <c r="F8627" i="3" s="1"/>
  <c r="F8651" i="3" s="1"/>
  <c r="F8675" i="3" s="1"/>
  <c r="F8699" i="3" s="1"/>
  <c r="F8723" i="3" s="1"/>
  <c r="F8747" i="3" s="1"/>
  <c r="F8771" i="3" s="1"/>
  <c r="F8795" i="3" s="1"/>
  <c r="F8819" i="3" s="1"/>
  <c r="F8843" i="3" s="1"/>
  <c r="F8867" i="3" s="1"/>
  <c r="F8891" i="3" s="1"/>
  <c r="F8915" i="3" s="1"/>
  <c r="F8939" i="3" s="1"/>
  <c r="F8963" i="3" s="1"/>
  <c r="F8987" i="3" s="1"/>
  <c r="F9011" i="3" s="1"/>
  <c r="F9035" i="3" s="1"/>
  <c r="F9059" i="3" s="1"/>
  <c r="F9083" i="3" s="1"/>
  <c r="F9107" i="3" s="1"/>
  <c r="F9131" i="3" s="1"/>
  <c r="F9155" i="3" s="1"/>
  <c r="F9179" i="3" s="1"/>
  <c r="F9203" i="3" s="1"/>
  <c r="F9227" i="3" s="1"/>
  <c r="F9251" i="3" s="1"/>
  <c r="F9275" i="3" s="1"/>
  <c r="F9299" i="3" s="1"/>
  <c r="F9323" i="3" s="1"/>
  <c r="F9347" i="3" s="1"/>
  <c r="F9371" i="3" s="1"/>
  <c r="F9395" i="3" s="1"/>
  <c r="F9419" i="3" s="1"/>
  <c r="F9443" i="3" s="1"/>
  <c r="F9467" i="3" s="1"/>
  <c r="F9491" i="3" s="1"/>
  <c r="F9515" i="3" s="1"/>
  <c r="F9539" i="3" s="1"/>
  <c r="F9563" i="3" s="1"/>
  <c r="F9587" i="3" s="1"/>
  <c r="F9611" i="3" s="1"/>
  <c r="F9635" i="3" s="1"/>
  <c r="F9659" i="3" s="1"/>
  <c r="F9683" i="3" s="1"/>
  <c r="F9707" i="3" s="1"/>
  <c r="F9731" i="3" s="1"/>
  <c r="F9755" i="3" s="1"/>
  <c r="F8032" i="3"/>
  <c r="F8056" i="3" s="1"/>
  <c r="F8080" i="3" s="1"/>
  <c r="F8104" i="3" s="1"/>
  <c r="F8128" i="3" s="1"/>
  <c r="F8152" i="3" s="1"/>
  <c r="F8176" i="3" s="1"/>
  <c r="F8200" i="3" s="1"/>
  <c r="F8224" i="3" s="1"/>
  <c r="F8248" i="3" s="1"/>
  <c r="F8272" i="3" s="1"/>
  <c r="F8296" i="3" s="1"/>
  <c r="F8320" i="3" s="1"/>
  <c r="F8344" i="3" s="1"/>
  <c r="F8368" i="3" s="1"/>
  <c r="F8392" i="3" s="1"/>
  <c r="F8416" i="3" s="1"/>
  <c r="F8440" i="3" s="1"/>
  <c r="F8464" i="3" s="1"/>
  <c r="F8488" i="3" s="1"/>
  <c r="F8512" i="3" s="1"/>
  <c r="F8536" i="3" s="1"/>
  <c r="F8560" i="3" s="1"/>
  <c r="F8584" i="3" s="1"/>
  <c r="F8608" i="3" s="1"/>
  <c r="F8632" i="3" s="1"/>
  <c r="F8656" i="3" s="1"/>
  <c r="F8680" i="3" s="1"/>
  <c r="F8704" i="3" s="1"/>
  <c r="F8728" i="3" s="1"/>
  <c r="F8752" i="3" s="1"/>
  <c r="F8776" i="3" s="1"/>
  <c r="F8800" i="3" s="1"/>
  <c r="F8824" i="3" s="1"/>
  <c r="F8848" i="3" s="1"/>
  <c r="F8872" i="3" s="1"/>
  <c r="F8896" i="3" s="1"/>
  <c r="F8920" i="3" s="1"/>
  <c r="F8944" i="3" s="1"/>
  <c r="F8968" i="3" s="1"/>
  <c r="F8992" i="3" s="1"/>
  <c r="F9016" i="3" s="1"/>
  <c r="F9040" i="3" s="1"/>
  <c r="F9064" i="3" s="1"/>
  <c r="F9088" i="3" s="1"/>
  <c r="F9112" i="3" s="1"/>
  <c r="F9136" i="3" s="1"/>
  <c r="F9160" i="3" s="1"/>
  <c r="F9184" i="3" s="1"/>
  <c r="F9208" i="3" s="1"/>
  <c r="F9232" i="3" s="1"/>
  <c r="F9256" i="3" s="1"/>
  <c r="F9280" i="3" s="1"/>
  <c r="F9304" i="3" s="1"/>
  <c r="F9328" i="3" s="1"/>
  <c r="F9352" i="3" s="1"/>
  <c r="F9376" i="3" s="1"/>
  <c r="F9400" i="3" s="1"/>
  <c r="F9424" i="3" s="1"/>
  <c r="F9448" i="3" s="1"/>
  <c r="F9472" i="3" s="1"/>
  <c r="F9496" i="3" s="1"/>
  <c r="F9520" i="3" s="1"/>
  <c r="F9544" i="3" s="1"/>
  <c r="F9568" i="3" s="1"/>
  <c r="F9592" i="3" s="1"/>
  <c r="F9616" i="3" s="1"/>
  <c r="F9640" i="3" s="1"/>
  <c r="F9664" i="3" s="1"/>
  <c r="F9688" i="3" s="1"/>
  <c r="F9712" i="3" s="1"/>
  <c r="F9736" i="3" s="1"/>
  <c r="F9760" i="3" s="1"/>
  <c r="E5402" i="3"/>
  <c r="E5425" i="3"/>
  <c r="E5424" i="3"/>
  <c r="E5423" i="3"/>
  <c r="E5422" i="3"/>
  <c r="E5418" i="3"/>
  <c r="E5417" i="3"/>
  <c r="E5416" i="3"/>
  <c r="E5414" i="3"/>
  <c r="E5412" i="3"/>
  <c r="E5409" i="3"/>
  <c r="E5407" i="3"/>
  <c r="E5405" i="3"/>
  <c r="E5403" i="3"/>
  <c r="E5421" i="3"/>
  <c r="E5420" i="3"/>
  <c r="E5413" i="3"/>
  <c r="M225" i="1"/>
  <c r="E5377" i="3"/>
  <c r="E5374" i="3"/>
  <c r="E5373" i="3"/>
  <c r="E5370" i="3"/>
  <c r="E5369" i="3"/>
  <c r="E5366" i="3"/>
  <c r="E5361" i="3"/>
  <c r="E5359" i="3"/>
  <c r="E5358" i="3"/>
  <c r="E5355" i="3"/>
  <c r="E5365" i="3"/>
  <c r="E5354" i="3"/>
  <c r="E5376" i="3"/>
  <c r="E5375" i="3"/>
  <c r="E5368" i="3"/>
  <c r="M224" i="1"/>
  <c r="E5330" i="3"/>
  <c r="E5353" i="3"/>
  <c r="E5351" i="3"/>
  <c r="E5350" i="3"/>
  <c r="E5345" i="3"/>
  <c r="E5342" i="3"/>
  <c r="E5341" i="3"/>
  <c r="E5337" i="3"/>
  <c r="E5335" i="3"/>
  <c r="E5331" i="3"/>
  <c r="E5349" i="3"/>
  <c r="E5339" i="3"/>
  <c r="E5325" i="3"/>
  <c r="E5322" i="3"/>
  <c r="E5320" i="3"/>
  <c r="E5318" i="3"/>
  <c r="E5317" i="3"/>
  <c r="E5313" i="3"/>
  <c r="E5309" i="3"/>
  <c r="E5307" i="3"/>
  <c r="M223" i="1"/>
  <c r="M222" i="1"/>
  <c r="E5305" i="3"/>
  <c r="E5303" i="3"/>
  <c r="E5302" i="3"/>
  <c r="E5301" i="3"/>
  <c r="E5298" i="3"/>
  <c r="E5297" i="3"/>
  <c r="E5296" i="3"/>
  <c r="E5294" i="3"/>
  <c r="E5293" i="3"/>
  <c r="E5285" i="3"/>
  <c r="E5283" i="3"/>
  <c r="E5282" i="3"/>
  <c r="E5304" i="3"/>
  <c r="E5289" i="3"/>
  <c r="E5286" i="3"/>
  <c r="M221" i="1"/>
  <c r="C114" i="1"/>
  <c r="C119" i="1"/>
  <c r="C120" i="1" s="1"/>
  <c r="C122" i="1"/>
  <c r="C123" i="1" s="1"/>
  <c r="C124" i="1" s="1"/>
  <c r="C125" i="1" s="1"/>
  <c r="C136" i="1"/>
  <c r="C138" i="1"/>
  <c r="C142" i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M220" i="1"/>
  <c r="M219" i="1"/>
  <c r="X201" i="23" l="1"/>
  <c r="G202" i="23"/>
  <c r="W190" i="23"/>
  <c r="D191" i="23"/>
  <c r="V190" i="23"/>
  <c r="Y190" i="23" s="1"/>
  <c r="U190" i="23"/>
  <c r="X190" i="23"/>
  <c r="C159" i="1"/>
  <c r="M218" i="1"/>
  <c r="M217" i="1"/>
  <c r="E5185" i="3"/>
  <c r="E5182" i="3"/>
  <c r="E5180" i="3"/>
  <c r="E5179" i="3"/>
  <c r="E5178" i="3"/>
  <c r="E5177" i="3"/>
  <c r="E5174" i="3"/>
  <c r="E5171" i="3"/>
  <c r="E5167" i="3"/>
  <c r="E5163" i="3"/>
  <c r="E5183" i="3"/>
  <c r="E5181" i="3"/>
  <c r="E5176" i="3"/>
  <c r="E5172" i="3"/>
  <c r="E5165" i="3"/>
  <c r="M216" i="1"/>
  <c r="E5160" i="3"/>
  <c r="E5158" i="3"/>
  <c r="E5156" i="3"/>
  <c r="E5154" i="3"/>
  <c r="E5153" i="3"/>
  <c r="E5150" i="3"/>
  <c r="E5147" i="3"/>
  <c r="E5144" i="3"/>
  <c r="E5143" i="3"/>
  <c r="E5139" i="3"/>
  <c r="E5159" i="3"/>
  <c r="E5152" i="3"/>
  <c r="E5145" i="3"/>
  <c r="E5141" i="3"/>
  <c r="M214" i="1"/>
  <c r="M215" i="1"/>
  <c r="W191" i="23" l="1"/>
  <c r="D192" i="23"/>
  <c r="V191" i="23"/>
  <c r="Y191" i="23" s="1"/>
  <c r="U191" i="23"/>
  <c r="X191" i="23"/>
  <c r="G203" i="23"/>
  <c r="X202" i="23"/>
  <c r="C160" i="1"/>
  <c r="G204" i="23" l="1"/>
  <c r="D193" i="23"/>
  <c r="U192" i="23"/>
  <c r="W192" i="23"/>
  <c r="V192" i="23"/>
  <c r="Y192" i="23" s="1"/>
  <c r="X192" i="23"/>
  <c r="C161" i="1"/>
  <c r="G205" i="23" l="1"/>
  <c r="U193" i="23"/>
  <c r="D194" i="23"/>
  <c r="W193" i="23"/>
  <c r="V193" i="23"/>
  <c r="Y193" i="23" s="1"/>
  <c r="X193" i="23"/>
  <c r="X203" i="23"/>
  <c r="C162" i="1"/>
  <c r="D195" i="23" l="1"/>
  <c r="V194" i="23"/>
  <c r="Y194" i="23" s="1"/>
  <c r="U194" i="23"/>
  <c r="W194" i="23"/>
  <c r="X194" i="23"/>
  <c r="X204" i="23"/>
  <c r="G206" i="23"/>
  <c r="X205" i="23"/>
  <c r="C163" i="1"/>
  <c r="G207" i="23" l="1"/>
  <c r="W195" i="23"/>
  <c r="U195" i="23"/>
  <c r="D196" i="23"/>
  <c r="X206" i="23" s="1"/>
  <c r="V195" i="23"/>
  <c r="Y195" i="23" s="1"/>
  <c r="X195" i="23"/>
  <c r="C164" i="1"/>
  <c r="E5081" i="3"/>
  <c r="M213" i="1"/>
  <c r="M212" i="1"/>
  <c r="E5078" i="3"/>
  <c r="E5067" i="3"/>
  <c r="E5087" i="3"/>
  <c r="E5086" i="3"/>
  <c r="E5083" i="3"/>
  <c r="E5082" i="3"/>
  <c r="E5075" i="3"/>
  <c r="E5073" i="3"/>
  <c r="E5071" i="3"/>
  <c r="E5070" i="3"/>
  <c r="E5069" i="3"/>
  <c r="E5066" i="3"/>
  <c r="E5085" i="3"/>
  <c r="E5084" i="3"/>
  <c r="E5080" i="3"/>
  <c r="D197" i="23" l="1"/>
  <c r="V196" i="23"/>
  <c r="Y196" i="23" s="1"/>
  <c r="W196" i="23"/>
  <c r="U196" i="23"/>
  <c r="X196" i="23"/>
  <c r="X207" i="23"/>
  <c r="G208" i="23"/>
  <c r="C165" i="1"/>
  <c r="M211" i="1"/>
  <c r="G209" i="23" l="1"/>
  <c r="U197" i="23"/>
  <c r="W197" i="23"/>
  <c r="D198" i="23"/>
  <c r="X208" i="23" s="1"/>
  <c r="V197" i="23"/>
  <c r="Y197" i="23" s="1"/>
  <c r="C166" i="1"/>
  <c r="M210" i="1"/>
  <c r="D199" i="23" l="1"/>
  <c r="V198" i="23"/>
  <c r="Y198" i="23" s="1"/>
  <c r="U198" i="23"/>
  <c r="W198" i="23"/>
  <c r="G210" i="23"/>
  <c r="X209" i="23"/>
  <c r="C167" i="1"/>
  <c r="E5015" i="3"/>
  <c r="E5014" i="3"/>
  <c r="E5013" i="3"/>
  <c r="E5010" i="3"/>
  <c r="E5009" i="3"/>
  <c r="E5004" i="3"/>
  <c r="E5003" i="3"/>
  <c r="E4999" i="3"/>
  <c r="E4995" i="3"/>
  <c r="E4994" i="3"/>
  <c r="E5008" i="3"/>
  <c r="E5006" i="3"/>
  <c r="E5001" i="3"/>
  <c r="E5000" i="3"/>
  <c r="E4997" i="3"/>
  <c r="E4996" i="3"/>
  <c r="M209" i="1"/>
  <c r="M208" i="1"/>
  <c r="G211" i="23" l="1"/>
  <c r="W199" i="23"/>
  <c r="U199" i="23"/>
  <c r="D200" i="23"/>
  <c r="X210" i="23" s="1"/>
  <c r="V199" i="23"/>
  <c r="Y199" i="23" s="1"/>
  <c r="C168" i="1"/>
  <c r="E4990" i="3"/>
  <c r="E4989" i="3"/>
  <c r="E4987" i="3"/>
  <c r="E4986" i="3"/>
  <c r="E4982" i="3"/>
  <c r="E4980" i="3"/>
  <c r="E4979" i="3"/>
  <c r="E4977" i="3"/>
  <c r="E4975" i="3"/>
  <c r="E4974" i="3"/>
  <c r="E4973" i="3"/>
  <c r="E4971" i="3"/>
  <c r="E4970" i="3"/>
  <c r="E4991" i="3"/>
  <c r="E4985" i="3"/>
  <c r="E4984" i="3"/>
  <c r="E4874" i="3"/>
  <c r="E4969" i="3"/>
  <c r="E4968" i="3"/>
  <c r="E4967" i="3"/>
  <c r="E4966" i="3"/>
  <c r="E4962" i="3"/>
  <c r="E4958" i="3"/>
  <c r="E4955" i="3"/>
  <c r="E4951" i="3"/>
  <c r="E4950" i="3"/>
  <c r="E4949" i="3"/>
  <c r="E4947" i="3"/>
  <c r="E4946" i="3"/>
  <c r="E4965" i="3"/>
  <c r="E4964" i="3"/>
  <c r="E4960" i="3"/>
  <c r="E4953" i="3"/>
  <c r="U200" i="23" l="1"/>
  <c r="W200" i="23"/>
  <c r="D201" i="23"/>
  <c r="V200" i="23"/>
  <c r="Y200" i="23" s="1"/>
  <c r="G212" i="23"/>
  <c r="C169" i="1"/>
  <c r="M207" i="1"/>
  <c r="E4942" i="3"/>
  <c r="E4941" i="3"/>
  <c r="E4938" i="3"/>
  <c r="E4937" i="3"/>
  <c r="E4936" i="3"/>
  <c r="E4934" i="3"/>
  <c r="E4931" i="3"/>
  <c r="E4929" i="3"/>
  <c r="E4927" i="3"/>
  <c r="E4923" i="3"/>
  <c r="E4945" i="3"/>
  <c r="E4944" i="3"/>
  <c r="E4943" i="3"/>
  <c r="E4928" i="3"/>
  <c r="E4925" i="3"/>
  <c r="M206" i="1"/>
  <c r="D202" i="23" l="1"/>
  <c r="V201" i="23"/>
  <c r="Y201" i="23" s="1"/>
  <c r="W201" i="23"/>
  <c r="U201" i="23"/>
  <c r="X211" i="23"/>
  <c r="G213" i="23"/>
  <c r="X212" i="23"/>
  <c r="C170" i="1"/>
  <c r="E4918" i="3"/>
  <c r="E4915" i="3"/>
  <c r="E4914" i="3"/>
  <c r="E4913" i="3"/>
  <c r="E4912" i="3"/>
  <c r="E4910" i="3"/>
  <c r="E4907" i="3"/>
  <c r="E4905" i="3"/>
  <c r="E4903" i="3"/>
  <c r="E4902" i="3"/>
  <c r="E4901" i="3"/>
  <c r="E4899" i="3"/>
  <c r="E4898" i="3"/>
  <c r="E4920" i="3"/>
  <c r="E4919" i="3"/>
  <c r="E4917" i="3"/>
  <c r="M204" i="1"/>
  <c r="M205" i="1"/>
  <c r="G214" i="23" l="1"/>
  <c r="W202" i="23"/>
  <c r="U202" i="23"/>
  <c r="D203" i="23"/>
  <c r="X213" i="23" s="1"/>
  <c r="V202" i="23"/>
  <c r="Y202" i="23" s="1"/>
  <c r="C171" i="1"/>
  <c r="E4896" i="3"/>
  <c r="E4895" i="3"/>
  <c r="E4894" i="3"/>
  <c r="E4892" i="3"/>
  <c r="E4890" i="3"/>
  <c r="E4889" i="3"/>
  <c r="E4888" i="3"/>
  <c r="E4886" i="3"/>
  <c r="E4883" i="3"/>
  <c r="E4881" i="3"/>
  <c r="E4879" i="3"/>
  <c r="E4878" i="3"/>
  <c r="E4875" i="3"/>
  <c r="E4893" i="3"/>
  <c r="D203" i="1"/>
  <c r="M203" i="1"/>
  <c r="E4835" i="3"/>
  <c r="E4826" i="3"/>
  <c r="E4849" i="3"/>
  <c r="E4847" i="3"/>
  <c r="E4846" i="3"/>
  <c r="E4842" i="3"/>
  <c r="E4838" i="3"/>
  <c r="E4831" i="3"/>
  <c r="E4827" i="3"/>
  <c r="E4840" i="3"/>
  <c r="E4837" i="3"/>
  <c r="E4833" i="3"/>
  <c r="E4832" i="3"/>
  <c r="E4848" i="3"/>
  <c r="L202" i="1"/>
  <c r="K202" i="1" s="1"/>
  <c r="E4825" i="3"/>
  <c r="E4822" i="3"/>
  <c r="E4818" i="3"/>
  <c r="E4817" i="3"/>
  <c r="E4807" i="3"/>
  <c r="E4803" i="3"/>
  <c r="E4802" i="3"/>
  <c r="E4819" i="3"/>
  <c r="E4814" i="3"/>
  <c r="E4809" i="3"/>
  <c r="E4808" i="3"/>
  <c r="U203" i="23" l="1"/>
  <c r="W203" i="23"/>
  <c r="D204" i="23"/>
  <c r="V203" i="23"/>
  <c r="Y203" i="23" s="1"/>
  <c r="G215" i="23"/>
  <c r="C172" i="1"/>
  <c r="G216" i="23" l="1"/>
  <c r="X215" i="23"/>
  <c r="D205" i="23"/>
  <c r="V204" i="23"/>
  <c r="Y204" i="23" s="1"/>
  <c r="W204" i="23"/>
  <c r="U204" i="23"/>
  <c r="X214" i="23"/>
  <c r="C173" i="1"/>
  <c r="D202" i="1"/>
  <c r="E4816" i="3"/>
  <c r="E4811" i="3"/>
  <c r="E4805" i="3"/>
  <c r="L201" i="1"/>
  <c r="K201" i="1" s="1"/>
  <c r="E4800" i="3"/>
  <c r="E4798" i="3"/>
  <c r="E4797" i="3"/>
  <c r="E4795" i="3"/>
  <c r="E4794" i="3"/>
  <c r="E4793" i="3"/>
  <c r="E4790" i="3"/>
  <c r="E4785" i="3"/>
  <c r="E4783" i="3"/>
  <c r="E4781" i="3"/>
  <c r="E4779" i="3"/>
  <c r="E4778" i="3"/>
  <c r="E4789" i="3"/>
  <c r="E4782" i="3"/>
  <c r="D201" i="1"/>
  <c r="D197" i="1"/>
  <c r="E4682" i="3"/>
  <c r="E4792" i="3"/>
  <c r="L200" i="1"/>
  <c r="K200" i="1" s="1"/>
  <c r="E4776" i="3"/>
  <c r="E4774" i="3"/>
  <c r="E4770" i="3"/>
  <c r="E4769" i="3"/>
  <c r="E4763" i="3"/>
  <c r="E4761" i="3"/>
  <c r="E4759" i="3"/>
  <c r="E4755" i="3"/>
  <c r="E4777" i="3"/>
  <c r="E4775" i="3"/>
  <c r="E4773" i="3"/>
  <c r="E4766" i="3"/>
  <c r="E4765" i="3"/>
  <c r="E4757" i="3"/>
  <c r="E4768" i="3"/>
  <c r="E4758" i="3"/>
  <c r="L199" i="1"/>
  <c r="K199" i="1" s="1"/>
  <c r="E4750" i="3"/>
  <c r="E4747" i="3"/>
  <c r="E4746" i="3"/>
  <c r="E4745" i="3"/>
  <c r="E4737" i="3"/>
  <c r="E4735" i="3"/>
  <c r="E4731" i="3"/>
  <c r="E4730" i="3"/>
  <c r="E4752" i="3"/>
  <c r="E4753" i="3"/>
  <c r="E4749" i="3"/>
  <c r="E4742" i="3"/>
  <c r="D199" i="1"/>
  <c r="E4744" i="3"/>
  <c r="L198" i="1"/>
  <c r="K198" i="1" s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E4726" i="3"/>
  <c r="E4722" i="3"/>
  <c r="E4721" i="3"/>
  <c r="E4718" i="3"/>
  <c r="E4717" i="3"/>
  <c r="E4715" i="3"/>
  <c r="E4713" i="3"/>
  <c r="E4711" i="3"/>
  <c r="E4710" i="3"/>
  <c r="E4707" i="3"/>
  <c r="E4706" i="3"/>
  <c r="E4709" i="3"/>
  <c r="D198" i="1"/>
  <c r="E4729" i="3"/>
  <c r="E4720" i="3"/>
  <c r="L197" i="1"/>
  <c r="K197" i="1" s="1"/>
  <c r="E4704" i="3"/>
  <c r="E4702" i="3"/>
  <c r="E4701" i="3"/>
  <c r="E4698" i="3"/>
  <c r="E4697" i="3"/>
  <c r="E4694" i="3"/>
  <c r="E4691" i="3"/>
  <c r="E4687" i="3"/>
  <c r="E4686" i="3"/>
  <c r="E4685" i="3"/>
  <c r="E4683" i="3"/>
  <c r="E4703" i="3"/>
  <c r="E4693" i="3"/>
  <c r="E4696" i="3"/>
  <c r="L196" i="1"/>
  <c r="K196" i="1" s="1"/>
  <c r="E4669" i="3"/>
  <c r="E4663" i="3"/>
  <c r="E4659" i="3"/>
  <c r="E4658" i="3"/>
  <c r="E4680" i="3"/>
  <c r="E4678" i="3"/>
  <c r="E4672" i="3"/>
  <c r="E4670" i="3"/>
  <c r="E4667" i="3"/>
  <c r="E4665" i="3"/>
  <c r="D196" i="1"/>
  <c r="E4674" i="3"/>
  <c r="E4673" i="3"/>
  <c r="E4679" i="3"/>
  <c r="E4661" i="3"/>
  <c r="L195" i="1"/>
  <c r="K195" i="1" s="1"/>
  <c r="E4656" i="3"/>
  <c r="E4654" i="3"/>
  <c r="E4651" i="3"/>
  <c r="E4638" i="3"/>
  <c r="E4637" i="3"/>
  <c r="E4635" i="3"/>
  <c r="E4634" i="3"/>
  <c r="E4657" i="3"/>
  <c r="E4650" i="3"/>
  <c r="E4646" i="3"/>
  <c r="E4639" i="3"/>
  <c r="D195" i="1"/>
  <c r="W205" i="23" l="1"/>
  <c r="U205" i="23"/>
  <c r="D206" i="23"/>
  <c r="V205" i="23"/>
  <c r="Y205" i="23" s="1"/>
  <c r="G217" i="23"/>
  <c r="X216" i="23"/>
  <c r="C174" i="1"/>
  <c r="E4643" i="3"/>
  <c r="D207" i="23" l="1"/>
  <c r="V206" i="23"/>
  <c r="Y206" i="23" s="1"/>
  <c r="W206" i="23"/>
  <c r="U206" i="23"/>
  <c r="G218" i="23"/>
  <c r="X217" i="23"/>
  <c r="C175" i="1"/>
  <c r="L194" i="1"/>
  <c r="K194" i="1" s="1"/>
  <c r="G219" i="23" l="1"/>
  <c r="X218" i="23"/>
  <c r="U207" i="23"/>
  <c r="W207" i="23"/>
  <c r="D208" i="23"/>
  <c r="V207" i="23"/>
  <c r="Y207" i="23" s="1"/>
  <c r="C176" i="1"/>
  <c r="E4624" i="3"/>
  <c r="E4630" i="3"/>
  <c r="E4626" i="3"/>
  <c r="E4625" i="3"/>
  <c r="E4632" i="3"/>
  <c r="E4622" i="3"/>
  <c r="E4615" i="3"/>
  <c r="E4611" i="3"/>
  <c r="E4633" i="3"/>
  <c r="E4616" i="3"/>
  <c r="E4613" i="3"/>
  <c r="D194" i="1"/>
  <c r="D209" i="23" l="1"/>
  <c r="V208" i="23"/>
  <c r="Y208" i="23" s="1"/>
  <c r="U208" i="23"/>
  <c r="W208" i="23"/>
  <c r="G220" i="23"/>
  <c r="X219" i="23"/>
  <c r="C177" i="1"/>
  <c r="E4619" i="3"/>
  <c r="L193" i="1"/>
  <c r="K193" i="1" s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3" i="12"/>
  <c r="G221" i="23" l="1"/>
  <c r="X220" i="23"/>
  <c r="W209" i="23"/>
  <c r="U209" i="23"/>
  <c r="D210" i="23"/>
  <c r="V209" i="23"/>
  <c r="Y209" i="23" s="1"/>
  <c r="C178" i="1"/>
  <c r="E4521" i="3"/>
  <c r="D190" i="1"/>
  <c r="E4607" i="3"/>
  <c r="E4602" i="3"/>
  <c r="E4606" i="3"/>
  <c r="E4601" i="3"/>
  <c r="E4608" i="3"/>
  <c r="E4598" i="3"/>
  <c r="E4597" i="3"/>
  <c r="E4595" i="3"/>
  <c r="E4591" i="3"/>
  <c r="E4593" i="3"/>
  <c r="E4586" i="3"/>
  <c r="E4600" i="3"/>
  <c r="E4589" i="3"/>
  <c r="D192" i="1"/>
  <c r="D193" i="1"/>
  <c r="L192" i="1"/>
  <c r="K192" i="1" s="1"/>
  <c r="D211" i="23" l="1"/>
  <c r="V210" i="23"/>
  <c r="Y210" i="23" s="1"/>
  <c r="W210" i="23"/>
  <c r="U210" i="23"/>
  <c r="G222" i="23"/>
  <c r="X221" i="23"/>
  <c r="C179" i="1"/>
  <c r="E4582" i="3"/>
  <c r="E4578" i="3"/>
  <c r="E4576" i="3"/>
  <c r="E4571" i="3"/>
  <c r="E4567" i="3"/>
  <c r="E4584" i="3"/>
  <c r="E4583" i="3"/>
  <c r="E4574" i="3"/>
  <c r="D191" i="1"/>
  <c r="L179" i="1"/>
  <c r="L180" i="1"/>
  <c r="L181" i="1"/>
  <c r="K181" i="1" s="1"/>
  <c r="L182" i="1"/>
  <c r="K182" i="1" s="1"/>
  <c r="L183" i="1"/>
  <c r="K183" i="1" s="1"/>
  <c r="L184" i="1"/>
  <c r="K184" i="1" s="1"/>
  <c r="L185" i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F26" i="3"/>
  <c r="F50" i="3" s="1"/>
  <c r="F74" i="3" s="1"/>
  <c r="F98" i="3" s="1"/>
  <c r="F122" i="3" s="1"/>
  <c r="F146" i="3" s="1"/>
  <c r="F170" i="3" s="1"/>
  <c r="F194" i="3" s="1"/>
  <c r="F218" i="3" s="1"/>
  <c r="F242" i="3" s="1"/>
  <c r="F266" i="3" s="1"/>
  <c r="F290" i="3" s="1"/>
  <c r="F314" i="3" s="1"/>
  <c r="F338" i="3" s="1"/>
  <c r="F362" i="3" s="1"/>
  <c r="F386" i="3" s="1"/>
  <c r="F410" i="3" s="1"/>
  <c r="F434" i="3" s="1"/>
  <c r="F458" i="3" s="1"/>
  <c r="F482" i="3" s="1"/>
  <c r="F506" i="3" s="1"/>
  <c r="F530" i="3" s="1"/>
  <c r="F554" i="3" s="1"/>
  <c r="F578" i="3" s="1"/>
  <c r="F602" i="3" s="1"/>
  <c r="F626" i="3" s="1"/>
  <c r="F650" i="3" s="1"/>
  <c r="F674" i="3" s="1"/>
  <c r="F698" i="3" s="1"/>
  <c r="F722" i="3" s="1"/>
  <c r="F746" i="3" s="1"/>
  <c r="F770" i="3" s="1"/>
  <c r="F794" i="3" s="1"/>
  <c r="F818" i="3" s="1"/>
  <c r="F842" i="3" s="1"/>
  <c r="F866" i="3" s="1"/>
  <c r="F890" i="3" s="1"/>
  <c r="F914" i="3" s="1"/>
  <c r="F938" i="3" s="1"/>
  <c r="F962" i="3" s="1"/>
  <c r="F986" i="3" s="1"/>
  <c r="F1010" i="3" s="1"/>
  <c r="F1034" i="3" s="1"/>
  <c r="F1058" i="3" s="1"/>
  <c r="F1082" i="3" s="1"/>
  <c r="F1106" i="3" s="1"/>
  <c r="F1130" i="3" s="1"/>
  <c r="F1154" i="3" s="1"/>
  <c r="F1178" i="3" s="1"/>
  <c r="F1202" i="3" s="1"/>
  <c r="F1226" i="3" s="1"/>
  <c r="F1250" i="3" s="1"/>
  <c r="F1274" i="3" s="1"/>
  <c r="F1298" i="3" s="1"/>
  <c r="F1322" i="3" s="1"/>
  <c r="F1346" i="3" s="1"/>
  <c r="F1370" i="3" s="1"/>
  <c r="F1394" i="3" s="1"/>
  <c r="F1418" i="3" s="1"/>
  <c r="F1442" i="3" s="1"/>
  <c r="F1466" i="3" s="1"/>
  <c r="F1490" i="3" s="1"/>
  <c r="F1514" i="3" s="1"/>
  <c r="F1538" i="3" s="1"/>
  <c r="F1562" i="3" s="1"/>
  <c r="F1586" i="3" s="1"/>
  <c r="F1610" i="3" s="1"/>
  <c r="F1634" i="3" s="1"/>
  <c r="F1658" i="3" s="1"/>
  <c r="F1682" i="3" s="1"/>
  <c r="F1706" i="3" s="1"/>
  <c r="F1730" i="3" s="1"/>
  <c r="F1754" i="3" s="1"/>
  <c r="F1778" i="3" s="1"/>
  <c r="F1802" i="3" s="1"/>
  <c r="F1826" i="3" s="1"/>
  <c r="F1850" i="3" s="1"/>
  <c r="F1874" i="3" s="1"/>
  <c r="F1898" i="3" s="1"/>
  <c r="F1922" i="3" s="1"/>
  <c r="F1946" i="3" s="1"/>
  <c r="F1970" i="3" s="1"/>
  <c r="F1994" i="3" s="1"/>
  <c r="F2018" i="3" s="1"/>
  <c r="F2042" i="3" s="1"/>
  <c r="F2066" i="3" s="1"/>
  <c r="F2090" i="3" s="1"/>
  <c r="F2114" i="3" s="1"/>
  <c r="F2138" i="3" s="1"/>
  <c r="F2162" i="3" s="1"/>
  <c r="F2186" i="3" s="1"/>
  <c r="F2210" i="3" s="1"/>
  <c r="F2234" i="3" s="1"/>
  <c r="F2258" i="3" s="1"/>
  <c r="F2282" i="3" s="1"/>
  <c r="F2306" i="3" s="1"/>
  <c r="F2330" i="3" s="1"/>
  <c r="F2354" i="3" s="1"/>
  <c r="F2378" i="3" s="1"/>
  <c r="F2402" i="3" s="1"/>
  <c r="F2426" i="3" s="1"/>
  <c r="F2450" i="3" s="1"/>
  <c r="F2474" i="3" s="1"/>
  <c r="F2498" i="3" s="1"/>
  <c r="F2522" i="3" s="1"/>
  <c r="F2546" i="3" s="1"/>
  <c r="F2570" i="3" s="1"/>
  <c r="F2594" i="3" s="1"/>
  <c r="F2618" i="3" s="1"/>
  <c r="F2642" i="3" s="1"/>
  <c r="F2666" i="3" s="1"/>
  <c r="F2690" i="3" s="1"/>
  <c r="F2714" i="3" s="1"/>
  <c r="F2738" i="3" s="1"/>
  <c r="F2762" i="3" s="1"/>
  <c r="F2786" i="3" s="1"/>
  <c r="F2810" i="3" s="1"/>
  <c r="F2834" i="3" s="1"/>
  <c r="F2858" i="3" s="1"/>
  <c r="F2882" i="3" s="1"/>
  <c r="F2906" i="3" s="1"/>
  <c r="F2930" i="3" s="1"/>
  <c r="F2954" i="3" s="1"/>
  <c r="F2978" i="3" s="1"/>
  <c r="F3002" i="3" s="1"/>
  <c r="F3026" i="3" s="1"/>
  <c r="F3050" i="3" s="1"/>
  <c r="F3074" i="3" s="1"/>
  <c r="F3098" i="3" s="1"/>
  <c r="F3122" i="3" s="1"/>
  <c r="F3146" i="3" s="1"/>
  <c r="F3170" i="3" s="1"/>
  <c r="F3194" i="3" s="1"/>
  <c r="F3218" i="3" s="1"/>
  <c r="F3242" i="3" s="1"/>
  <c r="F3266" i="3" s="1"/>
  <c r="F3290" i="3" s="1"/>
  <c r="F3314" i="3" s="1"/>
  <c r="F3338" i="3" s="1"/>
  <c r="F27" i="3"/>
  <c r="F51" i="3" s="1"/>
  <c r="F75" i="3" s="1"/>
  <c r="F99" i="3" s="1"/>
  <c r="F123" i="3" s="1"/>
  <c r="F147" i="3" s="1"/>
  <c r="F171" i="3" s="1"/>
  <c r="F195" i="3" s="1"/>
  <c r="F219" i="3" s="1"/>
  <c r="F243" i="3" s="1"/>
  <c r="F267" i="3" s="1"/>
  <c r="F291" i="3" s="1"/>
  <c r="F315" i="3" s="1"/>
  <c r="F339" i="3" s="1"/>
  <c r="F363" i="3" s="1"/>
  <c r="F387" i="3" s="1"/>
  <c r="F411" i="3" s="1"/>
  <c r="F435" i="3" s="1"/>
  <c r="F459" i="3" s="1"/>
  <c r="F483" i="3" s="1"/>
  <c r="F507" i="3" s="1"/>
  <c r="F531" i="3" s="1"/>
  <c r="F555" i="3" s="1"/>
  <c r="F579" i="3" s="1"/>
  <c r="F603" i="3" s="1"/>
  <c r="F627" i="3" s="1"/>
  <c r="F651" i="3" s="1"/>
  <c r="F675" i="3" s="1"/>
  <c r="F699" i="3" s="1"/>
  <c r="F723" i="3" s="1"/>
  <c r="F747" i="3" s="1"/>
  <c r="F771" i="3" s="1"/>
  <c r="F795" i="3" s="1"/>
  <c r="F819" i="3" s="1"/>
  <c r="F843" i="3" s="1"/>
  <c r="F867" i="3" s="1"/>
  <c r="F891" i="3" s="1"/>
  <c r="F915" i="3" s="1"/>
  <c r="F939" i="3" s="1"/>
  <c r="F963" i="3" s="1"/>
  <c r="F987" i="3" s="1"/>
  <c r="F1011" i="3" s="1"/>
  <c r="F1035" i="3" s="1"/>
  <c r="F1059" i="3" s="1"/>
  <c r="F1083" i="3" s="1"/>
  <c r="F1107" i="3" s="1"/>
  <c r="F1131" i="3" s="1"/>
  <c r="F1155" i="3" s="1"/>
  <c r="F1179" i="3" s="1"/>
  <c r="F1203" i="3" s="1"/>
  <c r="F1227" i="3" s="1"/>
  <c r="F1251" i="3" s="1"/>
  <c r="F1275" i="3" s="1"/>
  <c r="F1299" i="3" s="1"/>
  <c r="F1323" i="3" s="1"/>
  <c r="F1347" i="3" s="1"/>
  <c r="F1371" i="3" s="1"/>
  <c r="F1395" i="3" s="1"/>
  <c r="F1419" i="3" s="1"/>
  <c r="F1443" i="3" s="1"/>
  <c r="F1467" i="3" s="1"/>
  <c r="F1491" i="3" s="1"/>
  <c r="F1515" i="3" s="1"/>
  <c r="F1539" i="3" s="1"/>
  <c r="F1563" i="3" s="1"/>
  <c r="F1587" i="3" s="1"/>
  <c r="F1611" i="3" s="1"/>
  <c r="F1635" i="3" s="1"/>
  <c r="F1659" i="3" s="1"/>
  <c r="F1683" i="3" s="1"/>
  <c r="F1707" i="3" s="1"/>
  <c r="F1731" i="3" s="1"/>
  <c r="F1755" i="3" s="1"/>
  <c r="F1779" i="3" s="1"/>
  <c r="F1803" i="3" s="1"/>
  <c r="F1827" i="3" s="1"/>
  <c r="F1851" i="3" s="1"/>
  <c r="F1875" i="3" s="1"/>
  <c r="F1899" i="3" s="1"/>
  <c r="F1923" i="3" s="1"/>
  <c r="F1947" i="3" s="1"/>
  <c r="F1971" i="3" s="1"/>
  <c r="F1995" i="3" s="1"/>
  <c r="F2019" i="3" s="1"/>
  <c r="F2043" i="3" s="1"/>
  <c r="F2067" i="3" s="1"/>
  <c r="F2091" i="3" s="1"/>
  <c r="F2115" i="3" s="1"/>
  <c r="F2139" i="3" s="1"/>
  <c r="F2163" i="3" s="1"/>
  <c r="F2187" i="3" s="1"/>
  <c r="F2211" i="3" s="1"/>
  <c r="F2235" i="3" s="1"/>
  <c r="F2259" i="3" s="1"/>
  <c r="F2283" i="3" s="1"/>
  <c r="F2307" i="3" s="1"/>
  <c r="F2331" i="3" s="1"/>
  <c r="F2355" i="3" s="1"/>
  <c r="F2379" i="3" s="1"/>
  <c r="F2403" i="3" s="1"/>
  <c r="F2427" i="3" s="1"/>
  <c r="F2451" i="3" s="1"/>
  <c r="F2475" i="3" s="1"/>
  <c r="F2499" i="3" s="1"/>
  <c r="F2523" i="3" s="1"/>
  <c r="F2547" i="3" s="1"/>
  <c r="F2571" i="3" s="1"/>
  <c r="F2595" i="3" s="1"/>
  <c r="F2619" i="3" s="1"/>
  <c r="F2643" i="3" s="1"/>
  <c r="F2667" i="3" s="1"/>
  <c r="F2691" i="3" s="1"/>
  <c r="F2715" i="3" s="1"/>
  <c r="F2739" i="3" s="1"/>
  <c r="F2763" i="3" s="1"/>
  <c r="F2787" i="3" s="1"/>
  <c r="F2811" i="3" s="1"/>
  <c r="F2835" i="3" s="1"/>
  <c r="F2859" i="3" s="1"/>
  <c r="F2883" i="3" s="1"/>
  <c r="F2907" i="3" s="1"/>
  <c r="F2931" i="3" s="1"/>
  <c r="F2955" i="3" s="1"/>
  <c r="F2979" i="3" s="1"/>
  <c r="F3003" i="3" s="1"/>
  <c r="F3027" i="3" s="1"/>
  <c r="F3051" i="3" s="1"/>
  <c r="F3075" i="3" s="1"/>
  <c r="F3099" i="3" s="1"/>
  <c r="F3123" i="3" s="1"/>
  <c r="F3147" i="3" s="1"/>
  <c r="F3171" i="3" s="1"/>
  <c r="F3195" i="3" s="1"/>
  <c r="F3219" i="3" s="1"/>
  <c r="F3243" i="3" s="1"/>
  <c r="F3267" i="3" s="1"/>
  <c r="F3291" i="3" s="1"/>
  <c r="F3315" i="3" s="1"/>
  <c r="F3339" i="3" s="1"/>
  <c r="F3363" i="3" s="1"/>
  <c r="F3387" i="3" s="1"/>
  <c r="F3411" i="3" s="1"/>
  <c r="F3435" i="3" s="1"/>
  <c r="F3459" i="3" s="1"/>
  <c r="F3483" i="3" s="1"/>
  <c r="F3507" i="3" s="1"/>
  <c r="F3531" i="3" s="1"/>
  <c r="F3555" i="3" s="1"/>
  <c r="F3579" i="3" s="1"/>
  <c r="F3603" i="3" s="1"/>
  <c r="F3627" i="3" s="1"/>
  <c r="F3651" i="3" s="1"/>
  <c r="F3675" i="3" s="1"/>
  <c r="F3699" i="3" s="1"/>
  <c r="F3723" i="3" s="1"/>
  <c r="F3747" i="3" s="1"/>
  <c r="F3771" i="3" s="1"/>
  <c r="F3795" i="3" s="1"/>
  <c r="F3819" i="3" s="1"/>
  <c r="F3843" i="3" s="1"/>
  <c r="F3868" i="3" s="1"/>
  <c r="F28" i="3"/>
  <c r="F52" i="3" s="1"/>
  <c r="F76" i="3" s="1"/>
  <c r="F100" i="3" s="1"/>
  <c r="F124" i="3" s="1"/>
  <c r="F148" i="3" s="1"/>
  <c r="F172" i="3" s="1"/>
  <c r="F196" i="3" s="1"/>
  <c r="F220" i="3" s="1"/>
  <c r="F244" i="3" s="1"/>
  <c r="F268" i="3" s="1"/>
  <c r="F292" i="3" s="1"/>
  <c r="F316" i="3" s="1"/>
  <c r="F340" i="3" s="1"/>
  <c r="F364" i="3" s="1"/>
  <c r="F388" i="3" s="1"/>
  <c r="F412" i="3" s="1"/>
  <c r="F436" i="3" s="1"/>
  <c r="F460" i="3" s="1"/>
  <c r="F484" i="3" s="1"/>
  <c r="F508" i="3" s="1"/>
  <c r="F532" i="3" s="1"/>
  <c r="F556" i="3" s="1"/>
  <c r="F580" i="3" s="1"/>
  <c r="F604" i="3" s="1"/>
  <c r="F628" i="3" s="1"/>
  <c r="F652" i="3" s="1"/>
  <c r="F676" i="3" s="1"/>
  <c r="F700" i="3" s="1"/>
  <c r="F724" i="3" s="1"/>
  <c r="F748" i="3" s="1"/>
  <c r="F772" i="3" s="1"/>
  <c r="F796" i="3" s="1"/>
  <c r="F820" i="3" s="1"/>
  <c r="F844" i="3" s="1"/>
  <c r="F868" i="3" s="1"/>
  <c r="F892" i="3" s="1"/>
  <c r="F916" i="3" s="1"/>
  <c r="F940" i="3" s="1"/>
  <c r="F964" i="3" s="1"/>
  <c r="F988" i="3" s="1"/>
  <c r="F1012" i="3" s="1"/>
  <c r="F1036" i="3" s="1"/>
  <c r="F1060" i="3" s="1"/>
  <c r="F1084" i="3" s="1"/>
  <c r="F1108" i="3" s="1"/>
  <c r="F1132" i="3" s="1"/>
  <c r="F1156" i="3" s="1"/>
  <c r="F1180" i="3" s="1"/>
  <c r="F1204" i="3" s="1"/>
  <c r="F1228" i="3" s="1"/>
  <c r="F1252" i="3" s="1"/>
  <c r="F1276" i="3" s="1"/>
  <c r="F1300" i="3" s="1"/>
  <c r="F1324" i="3" s="1"/>
  <c r="F1348" i="3" s="1"/>
  <c r="F1372" i="3" s="1"/>
  <c r="F1396" i="3" s="1"/>
  <c r="F1420" i="3" s="1"/>
  <c r="F1444" i="3" s="1"/>
  <c r="F1468" i="3" s="1"/>
  <c r="F1492" i="3" s="1"/>
  <c r="F1516" i="3" s="1"/>
  <c r="F1540" i="3" s="1"/>
  <c r="F1564" i="3" s="1"/>
  <c r="F1588" i="3" s="1"/>
  <c r="F1612" i="3" s="1"/>
  <c r="F1636" i="3" s="1"/>
  <c r="F1660" i="3" s="1"/>
  <c r="F1684" i="3" s="1"/>
  <c r="F1708" i="3" s="1"/>
  <c r="F1732" i="3" s="1"/>
  <c r="F1756" i="3" s="1"/>
  <c r="F1780" i="3" s="1"/>
  <c r="F1804" i="3" s="1"/>
  <c r="F1828" i="3" s="1"/>
  <c r="F1852" i="3" s="1"/>
  <c r="F1876" i="3" s="1"/>
  <c r="F1900" i="3" s="1"/>
  <c r="F1924" i="3" s="1"/>
  <c r="F1948" i="3" s="1"/>
  <c r="F1972" i="3" s="1"/>
  <c r="F1996" i="3" s="1"/>
  <c r="F2020" i="3" s="1"/>
  <c r="F2044" i="3" s="1"/>
  <c r="F2068" i="3" s="1"/>
  <c r="F2092" i="3" s="1"/>
  <c r="F2116" i="3" s="1"/>
  <c r="F2140" i="3" s="1"/>
  <c r="F2164" i="3" s="1"/>
  <c r="F2188" i="3" s="1"/>
  <c r="F2212" i="3" s="1"/>
  <c r="F2236" i="3" s="1"/>
  <c r="F2260" i="3" s="1"/>
  <c r="F2284" i="3" s="1"/>
  <c r="F2308" i="3" s="1"/>
  <c r="F2332" i="3" s="1"/>
  <c r="F2356" i="3" s="1"/>
  <c r="F2380" i="3" s="1"/>
  <c r="F2404" i="3" s="1"/>
  <c r="F2428" i="3" s="1"/>
  <c r="F2452" i="3" s="1"/>
  <c r="F2476" i="3" s="1"/>
  <c r="F2500" i="3" s="1"/>
  <c r="F2524" i="3" s="1"/>
  <c r="F2548" i="3" s="1"/>
  <c r="F2572" i="3" s="1"/>
  <c r="F2596" i="3" s="1"/>
  <c r="F2620" i="3" s="1"/>
  <c r="F2644" i="3" s="1"/>
  <c r="F29" i="3"/>
  <c r="F53" i="3" s="1"/>
  <c r="F77" i="3" s="1"/>
  <c r="F101" i="3" s="1"/>
  <c r="F125" i="3" s="1"/>
  <c r="F149" i="3" s="1"/>
  <c r="F173" i="3" s="1"/>
  <c r="F197" i="3" s="1"/>
  <c r="F221" i="3" s="1"/>
  <c r="F245" i="3" s="1"/>
  <c r="F269" i="3" s="1"/>
  <c r="F293" i="3" s="1"/>
  <c r="F317" i="3" s="1"/>
  <c r="F341" i="3" s="1"/>
  <c r="F365" i="3" s="1"/>
  <c r="F389" i="3" s="1"/>
  <c r="F413" i="3" s="1"/>
  <c r="F437" i="3" s="1"/>
  <c r="F461" i="3" s="1"/>
  <c r="F485" i="3" s="1"/>
  <c r="F509" i="3" s="1"/>
  <c r="F533" i="3" s="1"/>
  <c r="F557" i="3" s="1"/>
  <c r="F581" i="3" s="1"/>
  <c r="F605" i="3" s="1"/>
  <c r="F629" i="3" s="1"/>
  <c r="F653" i="3" s="1"/>
  <c r="F677" i="3" s="1"/>
  <c r="F701" i="3" s="1"/>
  <c r="F725" i="3" s="1"/>
  <c r="F749" i="3" s="1"/>
  <c r="F773" i="3" s="1"/>
  <c r="F797" i="3" s="1"/>
  <c r="F821" i="3" s="1"/>
  <c r="F845" i="3" s="1"/>
  <c r="F869" i="3" s="1"/>
  <c r="F893" i="3" s="1"/>
  <c r="F917" i="3" s="1"/>
  <c r="F941" i="3" s="1"/>
  <c r="F965" i="3" s="1"/>
  <c r="F989" i="3" s="1"/>
  <c r="F1013" i="3" s="1"/>
  <c r="F1037" i="3" s="1"/>
  <c r="F1061" i="3" s="1"/>
  <c r="F1085" i="3" s="1"/>
  <c r="F1109" i="3" s="1"/>
  <c r="F1133" i="3" s="1"/>
  <c r="F1157" i="3" s="1"/>
  <c r="F1181" i="3" s="1"/>
  <c r="F1205" i="3" s="1"/>
  <c r="F1229" i="3" s="1"/>
  <c r="F1253" i="3" s="1"/>
  <c r="F1277" i="3" s="1"/>
  <c r="F1301" i="3" s="1"/>
  <c r="F1325" i="3" s="1"/>
  <c r="F1349" i="3" s="1"/>
  <c r="F1373" i="3" s="1"/>
  <c r="F1397" i="3" s="1"/>
  <c r="F1421" i="3" s="1"/>
  <c r="F1445" i="3" s="1"/>
  <c r="F1469" i="3" s="1"/>
  <c r="F1493" i="3" s="1"/>
  <c r="F1517" i="3" s="1"/>
  <c r="F1541" i="3" s="1"/>
  <c r="F1565" i="3" s="1"/>
  <c r="F1589" i="3" s="1"/>
  <c r="F1613" i="3" s="1"/>
  <c r="F1637" i="3" s="1"/>
  <c r="F1661" i="3" s="1"/>
  <c r="F1685" i="3" s="1"/>
  <c r="F1709" i="3" s="1"/>
  <c r="F1733" i="3" s="1"/>
  <c r="F1757" i="3" s="1"/>
  <c r="F1781" i="3" s="1"/>
  <c r="F1805" i="3" s="1"/>
  <c r="F1829" i="3" s="1"/>
  <c r="F1853" i="3" s="1"/>
  <c r="F1877" i="3" s="1"/>
  <c r="F1901" i="3" s="1"/>
  <c r="F1925" i="3" s="1"/>
  <c r="F1949" i="3" s="1"/>
  <c r="F1973" i="3" s="1"/>
  <c r="F1997" i="3" s="1"/>
  <c r="F2021" i="3" s="1"/>
  <c r="F2045" i="3" s="1"/>
  <c r="F2069" i="3" s="1"/>
  <c r="F2093" i="3" s="1"/>
  <c r="F2117" i="3" s="1"/>
  <c r="F2141" i="3" s="1"/>
  <c r="F2165" i="3" s="1"/>
  <c r="F2189" i="3" s="1"/>
  <c r="F2213" i="3" s="1"/>
  <c r="F2237" i="3" s="1"/>
  <c r="F2261" i="3" s="1"/>
  <c r="F2285" i="3" s="1"/>
  <c r="F2309" i="3" s="1"/>
  <c r="F2333" i="3" s="1"/>
  <c r="F2357" i="3" s="1"/>
  <c r="F2381" i="3" s="1"/>
  <c r="F2405" i="3" s="1"/>
  <c r="F2429" i="3" s="1"/>
  <c r="F2453" i="3" s="1"/>
  <c r="F2477" i="3" s="1"/>
  <c r="F2501" i="3" s="1"/>
  <c r="F2525" i="3" s="1"/>
  <c r="F2549" i="3" s="1"/>
  <c r="F2573" i="3" s="1"/>
  <c r="F2597" i="3" s="1"/>
  <c r="F2621" i="3" s="1"/>
  <c r="F2645" i="3" s="1"/>
  <c r="F2669" i="3" s="1"/>
  <c r="F2693" i="3" s="1"/>
  <c r="F2717" i="3" s="1"/>
  <c r="F2741" i="3" s="1"/>
  <c r="F2765" i="3" s="1"/>
  <c r="F2789" i="3" s="1"/>
  <c r="F2813" i="3" s="1"/>
  <c r="F2837" i="3" s="1"/>
  <c r="F2861" i="3" s="1"/>
  <c r="F2885" i="3" s="1"/>
  <c r="F2909" i="3" s="1"/>
  <c r="F2933" i="3" s="1"/>
  <c r="F2957" i="3" s="1"/>
  <c r="F2981" i="3" s="1"/>
  <c r="F3005" i="3" s="1"/>
  <c r="F3029" i="3" s="1"/>
  <c r="F3053" i="3" s="1"/>
  <c r="F3077" i="3" s="1"/>
  <c r="F3101" i="3" s="1"/>
  <c r="F3125" i="3" s="1"/>
  <c r="F3149" i="3" s="1"/>
  <c r="F3173" i="3" s="1"/>
  <c r="F3197" i="3" s="1"/>
  <c r="F3221" i="3" s="1"/>
  <c r="F3245" i="3" s="1"/>
  <c r="F3269" i="3" s="1"/>
  <c r="F3293" i="3" s="1"/>
  <c r="F3317" i="3" s="1"/>
  <c r="F3341" i="3" s="1"/>
  <c r="F3365" i="3" s="1"/>
  <c r="F3389" i="3" s="1"/>
  <c r="F3413" i="3" s="1"/>
  <c r="F3437" i="3" s="1"/>
  <c r="F3461" i="3" s="1"/>
  <c r="F3485" i="3" s="1"/>
  <c r="F3509" i="3" s="1"/>
  <c r="F3533" i="3" s="1"/>
  <c r="F3557" i="3" s="1"/>
  <c r="F3581" i="3" s="1"/>
  <c r="F3605" i="3" s="1"/>
  <c r="F3629" i="3" s="1"/>
  <c r="F3653" i="3" s="1"/>
  <c r="F3677" i="3" s="1"/>
  <c r="F3701" i="3" s="1"/>
  <c r="F3725" i="3" s="1"/>
  <c r="F3749" i="3" s="1"/>
  <c r="F3773" i="3" s="1"/>
  <c r="F3797" i="3" s="1"/>
  <c r="F3821" i="3" s="1"/>
  <c r="F3845" i="3" s="1"/>
  <c r="F3870" i="3" s="1"/>
  <c r="F30" i="3"/>
  <c r="F54" i="3" s="1"/>
  <c r="F78" i="3" s="1"/>
  <c r="F102" i="3" s="1"/>
  <c r="F126" i="3" s="1"/>
  <c r="F150" i="3" s="1"/>
  <c r="F174" i="3" s="1"/>
  <c r="F198" i="3" s="1"/>
  <c r="F222" i="3" s="1"/>
  <c r="F246" i="3" s="1"/>
  <c r="F270" i="3" s="1"/>
  <c r="F294" i="3" s="1"/>
  <c r="F318" i="3" s="1"/>
  <c r="F342" i="3" s="1"/>
  <c r="F366" i="3" s="1"/>
  <c r="F390" i="3" s="1"/>
  <c r="F414" i="3" s="1"/>
  <c r="F438" i="3" s="1"/>
  <c r="F462" i="3" s="1"/>
  <c r="F486" i="3" s="1"/>
  <c r="F510" i="3" s="1"/>
  <c r="F534" i="3" s="1"/>
  <c r="F558" i="3" s="1"/>
  <c r="F582" i="3" s="1"/>
  <c r="F606" i="3" s="1"/>
  <c r="F630" i="3" s="1"/>
  <c r="F654" i="3" s="1"/>
  <c r="F678" i="3" s="1"/>
  <c r="F702" i="3" s="1"/>
  <c r="F726" i="3" s="1"/>
  <c r="F750" i="3" s="1"/>
  <c r="F774" i="3" s="1"/>
  <c r="F798" i="3" s="1"/>
  <c r="F822" i="3" s="1"/>
  <c r="F846" i="3" s="1"/>
  <c r="F870" i="3" s="1"/>
  <c r="F894" i="3" s="1"/>
  <c r="F918" i="3" s="1"/>
  <c r="F942" i="3" s="1"/>
  <c r="F966" i="3" s="1"/>
  <c r="F990" i="3" s="1"/>
  <c r="F1014" i="3" s="1"/>
  <c r="F1038" i="3" s="1"/>
  <c r="F1062" i="3" s="1"/>
  <c r="F1086" i="3" s="1"/>
  <c r="F1110" i="3" s="1"/>
  <c r="F1134" i="3" s="1"/>
  <c r="F1158" i="3" s="1"/>
  <c r="F1182" i="3" s="1"/>
  <c r="F1206" i="3" s="1"/>
  <c r="F1230" i="3" s="1"/>
  <c r="F1254" i="3" s="1"/>
  <c r="F1278" i="3" s="1"/>
  <c r="F1302" i="3" s="1"/>
  <c r="F1326" i="3" s="1"/>
  <c r="F1350" i="3" s="1"/>
  <c r="F1374" i="3" s="1"/>
  <c r="F1398" i="3" s="1"/>
  <c r="F1422" i="3" s="1"/>
  <c r="F1446" i="3" s="1"/>
  <c r="F1470" i="3" s="1"/>
  <c r="F1494" i="3" s="1"/>
  <c r="F1518" i="3" s="1"/>
  <c r="F1542" i="3" s="1"/>
  <c r="F1566" i="3" s="1"/>
  <c r="F1590" i="3" s="1"/>
  <c r="F1614" i="3" s="1"/>
  <c r="F1638" i="3" s="1"/>
  <c r="F1662" i="3" s="1"/>
  <c r="F1686" i="3" s="1"/>
  <c r="F1710" i="3" s="1"/>
  <c r="F1734" i="3" s="1"/>
  <c r="F1758" i="3" s="1"/>
  <c r="F1782" i="3" s="1"/>
  <c r="F1806" i="3" s="1"/>
  <c r="F1830" i="3" s="1"/>
  <c r="F1854" i="3" s="1"/>
  <c r="F31" i="3"/>
  <c r="F55" i="3" s="1"/>
  <c r="F79" i="3" s="1"/>
  <c r="F103" i="3" s="1"/>
  <c r="F127" i="3" s="1"/>
  <c r="F151" i="3" s="1"/>
  <c r="F175" i="3" s="1"/>
  <c r="F199" i="3" s="1"/>
  <c r="F223" i="3" s="1"/>
  <c r="F247" i="3" s="1"/>
  <c r="F271" i="3" s="1"/>
  <c r="F295" i="3" s="1"/>
  <c r="F319" i="3" s="1"/>
  <c r="F343" i="3" s="1"/>
  <c r="F367" i="3" s="1"/>
  <c r="F391" i="3" s="1"/>
  <c r="F415" i="3" s="1"/>
  <c r="F439" i="3" s="1"/>
  <c r="F463" i="3" s="1"/>
  <c r="F487" i="3" s="1"/>
  <c r="F511" i="3" s="1"/>
  <c r="F535" i="3" s="1"/>
  <c r="F559" i="3" s="1"/>
  <c r="F583" i="3" s="1"/>
  <c r="F607" i="3" s="1"/>
  <c r="F631" i="3" s="1"/>
  <c r="F655" i="3" s="1"/>
  <c r="F679" i="3" s="1"/>
  <c r="F703" i="3" s="1"/>
  <c r="F727" i="3" s="1"/>
  <c r="F751" i="3" s="1"/>
  <c r="F775" i="3" s="1"/>
  <c r="F799" i="3" s="1"/>
  <c r="F823" i="3" s="1"/>
  <c r="F847" i="3" s="1"/>
  <c r="F871" i="3" s="1"/>
  <c r="F895" i="3" s="1"/>
  <c r="F919" i="3" s="1"/>
  <c r="F943" i="3" s="1"/>
  <c r="F967" i="3" s="1"/>
  <c r="F991" i="3" s="1"/>
  <c r="F1015" i="3" s="1"/>
  <c r="F1039" i="3" s="1"/>
  <c r="F1063" i="3" s="1"/>
  <c r="F1087" i="3" s="1"/>
  <c r="F1111" i="3" s="1"/>
  <c r="F1135" i="3" s="1"/>
  <c r="F1159" i="3" s="1"/>
  <c r="F1183" i="3" s="1"/>
  <c r="F1207" i="3" s="1"/>
  <c r="F1231" i="3" s="1"/>
  <c r="F1255" i="3" s="1"/>
  <c r="F1279" i="3" s="1"/>
  <c r="F1303" i="3" s="1"/>
  <c r="F1327" i="3" s="1"/>
  <c r="F1351" i="3" s="1"/>
  <c r="F1375" i="3" s="1"/>
  <c r="F1399" i="3" s="1"/>
  <c r="F1423" i="3" s="1"/>
  <c r="F1447" i="3" s="1"/>
  <c r="F1471" i="3" s="1"/>
  <c r="F1495" i="3" s="1"/>
  <c r="F1519" i="3" s="1"/>
  <c r="F1543" i="3" s="1"/>
  <c r="F1567" i="3" s="1"/>
  <c r="F1591" i="3" s="1"/>
  <c r="F1615" i="3" s="1"/>
  <c r="F1639" i="3" s="1"/>
  <c r="F1663" i="3" s="1"/>
  <c r="F1687" i="3" s="1"/>
  <c r="F1711" i="3" s="1"/>
  <c r="F1735" i="3" s="1"/>
  <c r="F1759" i="3" s="1"/>
  <c r="F1783" i="3" s="1"/>
  <c r="F1807" i="3" s="1"/>
  <c r="F1831" i="3" s="1"/>
  <c r="F1855" i="3" s="1"/>
  <c r="F1879" i="3" s="1"/>
  <c r="F1903" i="3" s="1"/>
  <c r="F1927" i="3" s="1"/>
  <c r="F1951" i="3" s="1"/>
  <c r="F1975" i="3" s="1"/>
  <c r="F1999" i="3" s="1"/>
  <c r="F2023" i="3" s="1"/>
  <c r="F2047" i="3" s="1"/>
  <c r="F2071" i="3" s="1"/>
  <c r="F2095" i="3" s="1"/>
  <c r="F2119" i="3" s="1"/>
  <c r="F2143" i="3" s="1"/>
  <c r="F2167" i="3" s="1"/>
  <c r="F2191" i="3" s="1"/>
  <c r="F2215" i="3" s="1"/>
  <c r="F2239" i="3" s="1"/>
  <c r="F2263" i="3" s="1"/>
  <c r="F2287" i="3" s="1"/>
  <c r="F2311" i="3" s="1"/>
  <c r="F2335" i="3" s="1"/>
  <c r="F2359" i="3" s="1"/>
  <c r="F2383" i="3" s="1"/>
  <c r="F2407" i="3" s="1"/>
  <c r="F2431" i="3" s="1"/>
  <c r="F2455" i="3" s="1"/>
  <c r="F2479" i="3" s="1"/>
  <c r="F2503" i="3" s="1"/>
  <c r="F2527" i="3" s="1"/>
  <c r="F2551" i="3" s="1"/>
  <c r="F2575" i="3" s="1"/>
  <c r="F2599" i="3" s="1"/>
  <c r="F2623" i="3" s="1"/>
  <c r="F2647" i="3" s="1"/>
  <c r="F2671" i="3" s="1"/>
  <c r="F2695" i="3" s="1"/>
  <c r="F2719" i="3" s="1"/>
  <c r="F2743" i="3" s="1"/>
  <c r="F2767" i="3" s="1"/>
  <c r="F2791" i="3" s="1"/>
  <c r="F2815" i="3" s="1"/>
  <c r="F2839" i="3" s="1"/>
  <c r="F2863" i="3" s="1"/>
  <c r="F2887" i="3" s="1"/>
  <c r="F2911" i="3" s="1"/>
  <c r="F2935" i="3" s="1"/>
  <c r="F2959" i="3" s="1"/>
  <c r="F2983" i="3" s="1"/>
  <c r="F3007" i="3" s="1"/>
  <c r="F3031" i="3" s="1"/>
  <c r="F3055" i="3" s="1"/>
  <c r="F3079" i="3" s="1"/>
  <c r="F3103" i="3" s="1"/>
  <c r="F3127" i="3" s="1"/>
  <c r="F3151" i="3" s="1"/>
  <c r="F3175" i="3" s="1"/>
  <c r="F3199" i="3" s="1"/>
  <c r="F3223" i="3" s="1"/>
  <c r="F3247" i="3" s="1"/>
  <c r="F3271" i="3" s="1"/>
  <c r="F3295" i="3" s="1"/>
  <c r="F3319" i="3" s="1"/>
  <c r="F3343" i="3" s="1"/>
  <c r="F3367" i="3" s="1"/>
  <c r="F3391" i="3" s="1"/>
  <c r="F3415" i="3" s="1"/>
  <c r="F3439" i="3" s="1"/>
  <c r="F3463" i="3" s="1"/>
  <c r="F3487" i="3" s="1"/>
  <c r="F3511" i="3" s="1"/>
  <c r="F3535" i="3" s="1"/>
  <c r="F3559" i="3" s="1"/>
  <c r="F3583" i="3" s="1"/>
  <c r="F3607" i="3" s="1"/>
  <c r="F3631" i="3" s="1"/>
  <c r="F3655" i="3" s="1"/>
  <c r="F3679" i="3" s="1"/>
  <c r="F3703" i="3" s="1"/>
  <c r="F3727" i="3" s="1"/>
  <c r="F3751" i="3" s="1"/>
  <c r="F32" i="3"/>
  <c r="F56" i="3" s="1"/>
  <c r="F80" i="3" s="1"/>
  <c r="F104" i="3" s="1"/>
  <c r="F128" i="3" s="1"/>
  <c r="F152" i="3" s="1"/>
  <c r="F176" i="3" s="1"/>
  <c r="F200" i="3" s="1"/>
  <c r="F224" i="3" s="1"/>
  <c r="F248" i="3" s="1"/>
  <c r="F272" i="3" s="1"/>
  <c r="F296" i="3" s="1"/>
  <c r="F320" i="3" s="1"/>
  <c r="F344" i="3" s="1"/>
  <c r="F368" i="3" s="1"/>
  <c r="F392" i="3" s="1"/>
  <c r="F416" i="3" s="1"/>
  <c r="F440" i="3" s="1"/>
  <c r="F464" i="3" s="1"/>
  <c r="F488" i="3" s="1"/>
  <c r="F512" i="3" s="1"/>
  <c r="F536" i="3" s="1"/>
  <c r="F560" i="3" s="1"/>
  <c r="F584" i="3" s="1"/>
  <c r="F608" i="3" s="1"/>
  <c r="F632" i="3" s="1"/>
  <c r="F656" i="3" s="1"/>
  <c r="F680" i="3" s="1"/>
  <c r="F704" i="3" s="1"/>
  <c r="F728" i="3" s="1"/>
  <c r="F752" i="3" s="1"/>
  <c r="F776" i="3" s="1"/>
  <c r="F800" i="3" s="1"/>
  <c r="F824" i="3" s="1"/>
  <c r="F848" i="3" s="1"/>
  <c r="F872" i="3" s="1"/>
  <c r="F896" i="3" s="1"/>
  <c r="F920" i="3" s="1"/>
  <c r="F944" i="3" s="1"/>
  <c r="F968" i="3" s="1"/>
  <c r="F992" i="3" s="1"/>
  <c r="F1016" i="3" s="1"/>
  <c r="F1040" i="3" s="1"/>
  <c r="F1064" i="3" s="1"/>
  <c r="F1088" i="3" s="1"/>
  <c r="F1112" i="3" s="1"/>
  <c r="F1136" i="3" s="1"/>
  <c r="F1160" i="3" s="1"/>
  <c r="F1184" i="3" s="1"/>
  <c r="F1208" i="3" s="1"/>
  <c r="F1232" i="3" s="1"/>
  <c r="F1256" i="3" s="1"/>
  <c r="F1280" i="3" s="1"/>
  <c r="F1304" i="3" s="1"/>
  <c r="F1328" i="3" s="1"/>
  <c r="F1352" i="3" s="1"/>
  <c r="F1376" i="3" s="1"/>
  <c r="F1400" i="3" s="1"/>
  <c r="F1424" i="3" s="1"/>
  <c r="F1448" i="3" s="1"/>
  <c r="F1472" i="3" s="1"/>
  <c r="F1496" i="3" s="1"/>
  <c r="F1520" i="3" s="1"/>
  <c r="F1544" i="3" s="1"/>
  <c r="F1568" i="3" s="1"/>
  <c r="F1592" i="3" s="1"/>
  <c r="F1616" i="3" s="1"/>
  <c r="F1640" i="3" s="1"/>
  <c r="F1664" i="3" s="1"/>
  <c r="F1688" i="3" s="1"/>
  <c r="F1712" i="3" s="1"/>
  <c r="F1736" i="3" s="1"/>
  <c r="F1760" i="3" s="1"/>
  <c r="F1784" i="3" s="1"/>
  <c r="F1808" i="3" s="1"/>
  <c r="F1832" i="3" s="1"/>
  <c r="F1856" i="3" s="1"/>
  <c r="F1880" i="3" s="1"/>
  <c r="F1904" i="3" s="1"/>
  <c r="F1928" i="3" s="1"/>
  <c r="F1952" i="3" s="1"/>
  <c r="F1976" i="3" s="1"/>
  <c r="F2000" i="3" s="1"/>
  <c r="F2024" i="3" s="1"/>
  <c r="F2048" i="3" s="1"/>
  <c r="F2072" i="3" s="1"/>
  <c r="F2096" i="3" s="1"/>
  <c r="F2120" i="3" s="1"/>
  <c r="F2144" i="3" s="1"/>
  <c r="F2168" i="3" s="1"/>
  <c r="F2192" i="3" s="1"/>
  <c r="F2216" i="3" s="1"/>
  <c r="F2240" i="3" s="1"/>
  <c r="F2264" i="3" s="1"/>
  <c r="F2288" i="3" s="1"/>
  <c r="F2312" i="3" s="1"/>
  <c r="F2336" i="3" s="1"/>
  <c r="F2360" i="3" s="1"/>
  <c r="F2384" i="3" s="1"/>
  <c r="F2408" i="3" s="1"/>
  <c r="F2432" i="3" s="1"/>
  <c r="F2456" i="3" s="1"/>
  <c r="F2480" i="3" s="1"/>
  <c r="F2504" i="3" s="1"/>
  <c r="F2528" i="3" s="1"/>
  <c r="F2552" i="3" s="1"/>
  <c r="F2576" i="3" s="1"/>
  <c r="F2600" i="3" s="1"/>
  <c r="F2624" i="3" s="1"/>
  <c r="F2648" i="3" s="1"/>
  <c r="F2672" i="3" s="1"/>
  <c r="F2696" i="3" s="1"/>
  <c r="F2720" i="3" s="1"/>
  <c r="F2744" i="3" s="1"/>
  <c r="F2768" i="3" s="1"/>
  <c r="F2792" i="3" s="1"/>
  <c r="F2816" i="3" s="1"/>
  <c r="F2840" i="3" s="1"/>
  <c r="F2864" i="3" s="1"/>
  <c r="F2888" i="3" s="1"/>
  <c r="F2912" i="3" s="1"/>
  <c r="F2936" i="3" s="1"/>
  <c r="F2960" i="3" s="1"/>
  <c r="F2984" i="3" s="1"/>
  <c r="F3008" i="3" s="1"/>
  <c r="F3032" i="3" s="1"/>
  <c r="F3056" i="3" s="1"/>
  <c r="F3080" i="3" s="1"/>
  <c r="F3104" i="3" s="1"/>
  <c r="F3128" i="3" s="1"/>
  <c r="F3152" i="3" s="1"/>
  <c r="F3176" i="3" s="1"/>
  <c r="F3200" i="3" s="1"/>
  <c r="F3224" i="3" s="1"/>
  <c r="F3248" i="3" s="1"/>
  <c r="F3272" i="3" s="1"/>
  <c r="F3296" i="3" s="1"/>
  <c r="F3320" i="3" s="1"/>
  <c r="F3344" i="3" s="1"/>
  <c r="F3368" i="3" s="1"/>
  <c r="F3392" i="3" s="1"/>
  <c r="F3416" i="3" s="1"/>
  <c r="F3440" i="3" s="1"/>
  <c r="F3464" i="3" s="1"/>
  <c r="F3488" i="3" s="1"/>
  <c r="F3512" i="3" s="1"/>
  <c r="F3536" i="3" s="1"/>
  <c r="F3560" i="3" s="1"/>
  <c r="F3584" i="3" s="1"/>
  <c r="F3608" i="3" s="1"/>
  <c r="F3632" i="3" s="1"/>
  <c r="F3656" i="3" s="1"/>
  <c r="F3680" i="3" s="1"/>
  <c r="F33" i="3"/>
  <c r="F57" i="3" s="1"/>
  <c r="F81" i="3" s="1"/>
  <c r="F105" i="3" s="1"/>
  <c r="F129" i="3" s="1"/>
  <c r="F153" i="3" s="1"/>
  <c r="F177" i="3" s="1"/>
  <c r="F201" i="3" s="1"/>
  <c r="F225" i="3" s="1"/>
  <c r="F249" i="3" s="1"/>
  <c r="F273" i="3" s="1"/>
  <c r="F297" i="3" s="1"/>
  <c r="F321" i="3" s="1"/>
  <c r="F345" i="3" s="1"/>
  <c r="F369" i="3" s="1"/>
  <c r="F393" i="3" s="1"/>
  <c r="F417" i="3" s="1"/>
  <c r="F441" i="3" s="1"/>
  <c r="F465" i="3" s="1"/>
  <c r="F489" i="3" s="1"/>
  <c r="F513" i="3" s="1"/>
  <c r="F537" i="3" s="1"/>
  <c r="F561" i="3" s="1"/>
  <c r="F585" i="3" s="1"/>
  <c r="F609" i="3" s="1"/>
  <c r="F633" i="3" s="1"/>
  <c r="F657" i="3" s="1"/>
  <c r="F681" i="3" s="1"/>
  <c r="F705" i="3" s="1"/>
  <c r="F729" i="3" s="1"/>
  <c r="F753" i="3" s="1"/>
  <c r="F777" i="3" s="1"/>
  <c r="F801" i="3" s="1"/>
  <c r="F825" i="3" s="1"/>
  <c r="F849" i="3" s="1"/>
  <c r="F873" i="3" s="1"/>
  <c r="F897" i="3" s="1"/>
  <c r="F921" i="3" s="1"/>
  <c r="F945" i="3" s="1"/>
  <c r="F969" i="3" s="1"/>
  <c r="F993" i="3" s="1"/>
  <c r="F1017" i="3" s="1"/>
  <c r="F1041" i="3" s="1"/>
  <c r="F1065" i="3" s="1"/>
  <c r="F1089" i="3" s="1"/>
  <c r="F1113" i="3" s="1"/>
  <c r="F1137" i="3" s="1"/>
  <c r="F1161" i="3" s="1"/>
  <c r="F1185" i="3" s="1"/>
  <c r="F1209" i="3" s="1"/>
  <c r="F1233" i="3" s="1"/>
  <c r="F1257" i="3" s="1"/>
  <c r="F1281" i="3" s="1"/>
  <c r="F1305" i="3" s="1"/>
  <c r="F1329" i="3" s="1"/>
  <c r="F34" i="3"/>
  <c r="F58" i="3" s="1"/>
  <c r="F82" i="3" s="1"/>
  <c r="F106" i="3" s="1"/>
  <c r="F130" i="3" s="1"/>
  <c r="F154" i="3" s="1"/>
  <c r="F178" i="3" s="1"/>
  <c r="F202" i="3" s="1"/>
  <c r="F226" i="3" s="1"/>
  <c r="F250" i="3" s="1"/>
  <c r="F274" i="3" s="1"/>
  <c r="F298" i="3" s="1"/>
  <c r="F322" i="3" s="1"/>
  <c r="F346" i="3" s="1"/>
  <c r="F370" i="3" s="1"/>
  <c r="F394" i="3" s="1"/>
  <c r="F418" i="3" s="1"/>
  <c r="F442" i="3" s="1"/>
  <c r="F466" i="3" s="1"/>
  <c r="F490" i="3" s="1"/>
  <c r="F514" i="3" s="1"/>
  <c r="F538" i="3" s="1"/>
  <c r="F562" i="3" s="1"/>
  <c r="F586" i="3" s="1"/>
  <c r="F610" i="3" s="1"/>
  <c r="F634" i="3" s="1"/>
  <c r="F658" i="3" s="1"/>
  <c r="F682" i="3" s="1"/>
  <c r="F706" i="3" s="1"/>
  <c r="F730" i="3" s="1"/>
  <c r="F754" i="3" s="1"/>
  <c r="F778" i="3" s="1"/>
  <c r="F802" i="3" s="1"/>
  <c r="F826" i="3" s="1"/>
  <c r="F850" i="3" s="1"/>
  <c r="F874" i="3" s="1"/>
  <c r="F898" i="3" s="1"/>
  <c r="F922" i="3" s="1"/>
  <c r="F946" i="3" s="1"/>
  <c r="F970" i="3" s="1"/>
  <c r="F994" i="3" s="1"/>
  <c r="F1018" i="3" s="1"/>
  <c r="F1042" i="3" s="1"/>
  <c r="F1066" i="3" s="1"/>
  <c r="F1090" i="3" s="1"/>
  <c r="F1114" i="3" s="1"/>
  <c r="F1138" i="3" s="1"/>
  <c r="F1162" i="3" s="1"/>
  <c r="F1186" i="3" s="1"/>
  <c r="F1210" i="3" s="1"/>
  <c r="F1234" i="3" s="1"/>
  <c r="F1258" i="3" s="1"/>
  <c r="F1282" i="3" s="1"/>
  <c r="F1306" i="3" s="1"/>
  <c r="F1330" i="3" s="1"/>
  <c r="F1355" i="3" s="1"/>
  <c r="F1380" i="3" s="1"/>
  <c r="F1405" i="3" s="1"/>
  <c r="F1430" i="3" s="1"/>
  <c r="F1455" i="3" s="1"/>
  <c r="F1480" i="3" s="1"/>
  <c r="F1505" i="3" s="1"/>
  <c r="F1530" i="3" s="1"/>
  <c r="F35" i="3"/>
  <c r="F59" i="3" s="1"/>
  <c r="F83" i="3" s="1"/>
  <c r="F107" i="3" s="1"/>
  <c r="F131" i="3" s="1"/>
  <c r="F155" i="3" s="1"/>
  <c r="F179" i="3" s="1"/>
  <c r="F203" i="3" s="1"/>
  <c r="F227" i="3" s="1"/>
  <c r="F251" i="3" s="1"/>
  <c r="F275" i="3" s="1"/>
  <c r="F299" i="3" s="1"/>
  <c r="F323" i="3" s="1"/>
  <c r="F347" i="3" s="1"/>
  <c r="F371" i="3" s="1"/>
  <c r="F395" i="3" s="1"/>
  <c r="F419" i="3" s="1"/>
  <c r="F443" i="3" s="1"/>
  <c r="F467" i="3" s="1"/>
  <c r="F491" i="3" s="1"/>
  <c r="F515" i="3" s="1"/>
  <c r="F539" i="3" s="1"/>
  <c r="F563" i="3" s="1"/>
  <c r="F587" i="3" s="1"/>
  <c r="F611" i="3" s="1"/>
  <c r="F635" i="3" s="1"/>
  <c r="F659" i="3" s="1"/>
  <c r="F683" i="3" s="1"/>
  <c r="F707" i="3" s="1"/>
  <c r="F731" i="3" s="1"/>
  <c r="F755" i="3" s="1"/>
  <c r="F779" i="3" s="1"/>
  <c r="F803" i="3" s="1"/>
  <c r="F827" i="3" s="1"/>
  <c r="F851" i="3" s="1"/>
  <c r="F875" i="3" s="1"/>
  <c r="F899" i="3" s="1"/>
  <c r="F923" i="3" s="1"/>
  <c r="F947" i="3" s="1"/>
  <c r="F971" i="3" s="1"/>
  <c r="F995" i="3" s="1"/>
  <c r="F1019" i="3" s="1"/>
  <c r="F1043" i="3" s="1"/>
  <c r="F1067" i="3" s="1"/>
  <c r="F1091" i="3" s="1"/>
  <c r="F1115" i="3" s="1"/>
  <c r="F1139" i="3" s="1"/>
  <c r="F1163" i="3" s="1"/>
  <c r="F1187" i="3" s="1"/>
  <c r="F1211" i="3" s="1"/>
  <c r="F1235" i="3" s="1"/>
  <c r="F1259" i="3" s="1"/>
  <c r="F1283" i="3" s="1"/>
  <c r="F1307" i="3" s="1"/>
  <c r="F1331" i="3" s="1"/>
  <c r="F1356" i="3" s="1"/>
  <c r="F1381" i="3" s="1"/>
  <c r="F1406" i="3" s="1"/>
  <c r="F1431" i="3" s="1"/>
  <c r="F1456" i="3" s="1"/>
  <c r="F1481" i="3" s="1"/>
  <c r="F1506" i="3" s="1"/>
  <c r="F36" i="3"/>
  <c r="F60" i="3" s="1"/>
  <c r="F84" i="3" s="1"/>
  <c r="F108" i="3" s="1"/>
  <c r="F132" i="3" s="1"/>
  <c r="F156" i="3" s="1"/>
  <c r="F180" i="3" s="1"/>
  <c r="F204" i="3" s="1"/>
  <c r="F228" i="3" s="1"/>
  <c r="F252" i="3" s="1"/>
  <c r="F276" i="3" s="1"/>
  <c r="F300" i="3" s="1"/>
  <c r="F324" i="3" s="1"/>
  <c r="F348" i="3" s="1"/>
  <c r="F372" i="3" s="1"/>
  <c r="F396" i="3" s="1"/>
  <c r="F420" i="3" s="1"/>
  <c r="F444" i="3" s="1"/>
  <c r="F468" i="3" s="1"/>
  <c r="F492" i="3" s="1"/>
  <c r="F516" i="3" s="1"/>
  <c r="F540" i="3" s="1"/>
  <c r="F564" i="3" s="1"/>
  <c r="F588" i="3" s="1"/>
  <c r="F612" i="3" s="1"/>
  <c r="F636" i="3" s="1"/>
  <c r="F660" i="3" s="1"/>
  <c r="F684" i="3" s="1"/>
  <c r="F708" i="3" s="1"/>
  <c r="F732" i="3" s="1"/>
  <c r="F756" i="3" s="1"/>
  <c r="F780" i="3" s="1"/>
  <c r="F804" i="3" s="1"/>
  <c r="F828" i="3" s="1"/>
  <c r="F852" i="3" s="1"/>
  <c r="F876" i="3" s="1"/>
  <c r="F900" i="3" s="1"/>
  <c r="F924" i="3" s="1"/>
  <c r="F948" i="3" s="1"/>
  <c r="F972" i="3" s="1"/>
  <c r="F996" i="3" s="1"/>
  <c r="F1020" i="3" s="1"/>
  <c r="F1044" i="3" s="1"/>
  <c r="F1068" i="3" s="1"/>
  <c r="F1092" i="3" s="1"/>
  <c r="F1116" i="3" s="1"/>
  <c r="F1140" i="3" s="1"/>
  <c r="F1164" i="3" s="1"/>
  <c r="F1188" i="3" s="1"/>
  <c r="F1212" i="3" s="1"/>
  <c r="F1236" i="3" s="1"/>
  <c r="F1260" i="3" s="1"/>
  <c r="F1284" i="3" s="1"/>
  <c r="F1308" i="3" s="1"/>
  <c r="F1332" i="3" s="1"/>
  <c r="F1357" i="3" s="1"/>
  <c r="F1382" i="3" s="1"/>
  <c r="F1407" i="3" s="1"/>
  <c r="F1432" i="3" s="1"/>
  <c r="F1457" i="3" s="1"/>
  <c r="F1482" i="3" s="1"/>
  <c r="F37" i="3"/>
  <c r="F61" i="3" s="1"/>
  <c r="F85" i="3" s="1"/>
  <c r="F109" i="3" s="1"/>
  <c r="F133" i="3" s="1"/>
  <c r="F157" i="3" s="1"/>
  <c r="F181" i="3" s="1"/>
  <c r="F205" i="3" s="1"/>
  <c r="F229" i="3" s="1"/>
  <c r="F253" i="3" s="1"/>
  <c r="F277" i="3" s="1"/>
  <c r="F301" i="3" s="1"/>
  <c r="F325" i="3" s="1"/>
  <c r="F349" i="3" s="1"/>
  <c r="F373" i="3" s="1"/>
  <c r="F397" i="3" s="1"/>
  <c r="F421" i="3" s="1"/>
  <c r="F445" i="3" s="1"/>
  <c r="F469" i="3" s="1"/>
  <c r="F493" i="3" s="1"/>
  <c r="F517" i="3" s="1"/>
  <c r="F541" i="3" s="1"/>
  <c r="F565" i="3" s="1"/>
  <c r="F589" i="3" s="1"/>
  <c r="F613" i="3" s="1"/>
  <c r="F637" i="3" s="1"/>
  <c r="F661" i="3" s="1"/>
  <c r="F685" i="3" s="1"/>
  <c r="F709" i="3" s="1"/>
  <c r="F733" i="3" s="1"/>
  <c r="F757" i="3" s="1"/>
  <c r="F781" i="3" s="1"/>
  <c r="F805" i="3" s="1"/>
  <c r="F829" i="3" s="1"/>
  <c r="F853" i="3" s="1"/>
  <c r="F877" i="3" s="1"/>
  <c r="F901" i="3" s="1"/>
  <c r="F925" i="3" s="1"/>
  <c r="F949" i="3" s="1"/>
  <c r="F973" i="3" s="1"/>
  <c r="F997" i="3" s="1"/>
  <c r="F1021" i="3" s="1"/>
  <c r="F1045" i="3" s="1"/>
  <c r="F1069" i="3" s="1"/>
  <c r="F1093" i="3" s="1"/>
  <c r="F1117" i="3" s="1"/>
  <c r="F1141" i="3" s="1"/>
  <c r="F1165" i="3" s="1"/>
  <c r="F1189" i="3" s="1"/>
  <c r="F1213" i="3" s="1"/>
  <c r="F1237" i="3" s="1"/>
  <c r="F1261" i="3" s="1"/>
  <c r="F1285" i="3" s="1"/>
  <c r="F1309" i="3" s="1"/>
  <c r="F1333" i="3" s="1"/>
  <c r="F1358" i="3" s="1"/>
  <c r="F1383" i="3" s="1"/>
  <c r="F1408" i="3" s="1"/>
  <c r="F1433" i="3" s="1"/>
  <c r="F1458" i="3" s="1"/>
  <c r="F38" i="3"/>
  <c r="F62" i="3" s="1"/>
  <c r="F86" i="3" s="1"/>
  <c r="F110" i="3" s="1"/>
  <c r="F134" i="3" s="1"/>
  <c r="F158" i="3" s="1"/>
  <c r="F182" i="3" s="1"/>
  <c r="F206" i="3" s="1"/>
  <c r="F230" i="3" s="1"/>
  <c r="F254" i="3" s="1"/>
  <c r="F278" i="3" s="1"/>
  <c r="F302" i="3" s="1"/>
  <c r="F326" i="3" s="1"/>
  <c r="F350" i="3" s="1"/>
  <c r="F374" i="3" s="1"/>
  <c r="F398" i="3" s="1"/>
  <c r="F422" i="3" s="1"/>
  <c r="F446" i="3" s="1"/>
  <c r="F470" i="3" s="1"/>
  <c r="F494" i="3" s="1"/>
  <c r="F518" i="3" s="1"/>
  <c r="F542" i="3" s="1"/>
  <c r="F566" i="3" s="1"/>
  <c r="F590" i="3" s="1"/>
  <c r="F614" i="3" s="1"/>
  <c r="F638" i="3" s="1"/>
  <c r="F662" i="3" s="1"/>
  <c r="F686" i="3" s="1"/>
  <c r="F710" i="3" s="1"/>
  <c r="F734" i="3" s="1"/>
  <c r="F758" i="3" s="1"/>
  <c r="F782" i="3" s="1"/>
  <c r="F806" i="3" s="1"/>
  <c r="F830" i="3" s="1"/>
  <c r="F854" i="3" s="1"/>
  <c r="F878" i="3" s="1"/>
  <c r="F902" i="3" s="1"/>
  <c r="F926" i="3" s="1"/>
  <c r="F950" i="3" s="1"/>
  <c r="F974" i="3" s="1"/>
  <c r="F998" i="3" s="1"/>
  <c r="F1022" i="3" s="1"/>
  <c r="F1046" i="3" s="1"/>
  <c r="F1070" i="3" s="1"/>
  <c r="F1094" i="3" s="1"/>
  <c r="F1118" i="3" s="1"/>
  <c r="F1142" i="3" s="1"/>
  <c r="F1166" i="3" s="1"/>
  <c r="F1190" i="3" s="1"/>
  <c r="F1214" i="3" s="1"/>
  <c r="F1238" i="3" s="1"/>
  <c r="F1262" i="3" s="1"/>
  <c r="F1286" i="3" s="1"/>
  <c r="F1310" i="3" s="1"/>
  <c r="F1334" i="3" s="1"/>
  <c r="F1359" i="3" s="1"/>
  <c r="F1384" i="3" s="1"/>
  <c r="F1409" i="3" s="1"/>
  <c r="F1434" i="3" s="1"/>
  <c r="F39" i="3"/>
  <c r="F63" i="3" s="1"/>
  <c r="F87" i="3" s="1"/>
  <c r="F111" i="3" s="1"/>
  <c r="F135" i="3" s="1"/>
  <c r="F159" i="3" s="1"/>
  <c r="F183" i="3" s="1"/>
  <c r="F207" i="3" s="1"/>
  <c r="F231" i="3" s="1"/>
  <c r="F255" i="3" s="1"/>
  <c r="F279" i="3" s="1"/>
  <c r="F303" i="3" s="1"/>
  <c r="F327" i="3" s="1"/>
  <c r="F351" i="3" s="1"/>
  <c r="F375" i="3" s="1"/>
  <c r="F399" i="3" s="1"/>
  <c r="F423" i="3" s="1"/>
  <c r="F447" i="3" s="1"/>
  <c r="F471" i="3" s="1"/>
  <c r="F495" i="3" s="1"/>
  <c r="F519" i="3" s="1"/>
  <c r="F543" i="3" s="1"/>
  <c r="F567" i="3" s="1"/>
  <c r="F591" i="3" s="1"/>
  <c r="F615" i="3" s="1"/>
  <c r="F639" i="3" s="1"/>
  <c r="F663" i="3" s="1"/>
  <c r="F687" i="3" s="1"/>
  <c r="F711" i="3" s="1"/>
  <c r="F735" i="3" s="1"/>
  <c r="F759" i="3" s="1"/>
  <c r="F783" i="3" s="1"/>
  <c r="F807" i="3" s="1"/>
  <c r="F831" i="3" s="1"/>
  <c r="F855" i="3" s="1"/>
  <c r="F879" i="3" s="1"/>
  <c r="F903" i="3" s="1"/>
  <c r="F927" i="3" s="1"/>
  <c r="F951" i="3" s="1"/>
  <c r="F975" i="3" s="1"/>
  <c r="F999" i="3" s="1"/>
  <c r="F1023" i="3" s="1"/>
  <c r="F1047" i="3" s="1"/>
  <c r="F1071" i="3" s="1"/>
  <c r="F1095" i="3" s="1"/>
  <c r="F1119" i="3" s="1"/>
  <c r="F1143" i="3" s="1"/>
  <c r="F1167" i="3" s="1"/>
  <c r="F1191" i="3" s="1"/>
  <c r="F1215" i="3" s="1"/>
  <c r="F1239" i="3" s="1"/>
  <c r="F1263" i="3" s="1"/>
  <c r="F1287" i="3" s="1"/>
  <c r="F1311" i="3" s="1"/>
  <c r="F1335" i="3" s="1"/>
  <c r="F1360" i="3" s="1"/>
  <c r="F1385" i="3" s="1"/>
  <c r="F1410" i="3" s="1"/>
  <c r="F40" i="3"/>
  <c r="F64" i="3" s="1"/>
  <c r="F88" i="3" s="1"/>
  <c r="F112" i="3" s="1"/>
  <c r="F136" i="3" s="1"/>
  <c r="F160" i="3" s="1"/>
  <c r="F184" i="3" s="1"/>
  <c r="F208" i="3" s="1"/>
  <c r="F232" i="3" s="1"/>
  <c r="F256" i="3" s="1"/>
  <c r="F280" i="3" s="1"/>
  <c r="F304" i="3" s="1"/>
  <c r="F328" i="3" s="1"/>
  <c r="F352" i="3" s="1"/>
  <c r="F376" i="3" s="1"/>
  <c r="F400" i="3" s="1"/>
  <c r="F424" i="3" s="1"/>
  <c r="F448" i="3" s="1"/>
  <c r="F472" i="3" s="1"/>
  <c r="F496" i="3" s="1"/>
  <c r="F520" i="3" s="1"/>
  <c r="F544" i="3" s="1"/>
  <c r="F568" i="3" s="1"/>
  <c r="F592" i="3" s="1"/>
  <c r="F616" i="3" s="1"/>
  <c r="F640" i="3" s="1"/>
  <c r="F664" i="3" s="1"/>
  <c r="F688" i="3" s="1"/>
  <c r="F712" i="3" s="1"/>
  <c r="F736" i="3" s="1"/>
  <c r="F760" i="3" s="1"/>
  <c r="F784" i="3" s="1"/>
  <c r="F808" i="3" s="1"/>
  <c r="F832" i="3" s="1"/>
  <c r="F856" i="3" s="1"/>
  <c r="F880" i="3" s="1"/>
  <c r="F904" i="3" s="1"/>
  <c r="F928" i="3" s="1"/>
  <c r="F952" i="3" s="1"/>
  <c r="F976" i="3" s="1"/>
  <c r="F1000" i="3" s="1"/>
  <c r="F1024" i="3" s="1"/>
  <c r="F1048" i="3" s="1"/>
  <c r="F1072" i="3" s="1"/>
  <c r="F1096" i="3" s="1"/>
  <c r="F1120" i="3" s="1"/>
  <c r="F1144" i="3" s="1"/>
  <c r="F1168" i="3" s="1"/>
  <c r="F1192" i="3" s="1"/>
  <c r="F1216" i="3" s="1"/>
  <c r="F1240" i="3" s="1"/>
  <c r="F1264" i="3" s="1"/>
  <c r="F1288" i="3" s="1"/>
  <c r="F1312" i="3" s="1"/>
  <c r="F1336" i="3" s="1"/>
  <c r="F1361" i="3" s="1"/>
  <c r="F1386" i="3" s="1"/>
  <c r="F41" i="3"/>
  <c r="F65" i="3" s="1"/>
  <c r="F89" i="3" s="1"/>
  <c r="F113" i="3" s="1"/>
  <c r="F137" i="3" s="1"/>
  <c r="F161" i="3" s="1"/>
  <c r="F185" i="3" s="1"/>
  <c r="F209" i="3" s="1"/>
  <c r="F233" i="3" s="1"/>
  <c r="F257" i="3" s="1"/>
  <c r="F281" i="3" s="1"/>
  <c r="F305" i="3" s="1"/>
  <c r="F329" i="3" s="1"/>
  <c r="F353" i="3" s="1"/>
  <c r="F377" i="3" s="1"/>
  <c r="F401" i="3" s="1"/>
  <c r="F425" i="3" s="1"/>
  <c r="F449" i="3" s="1"/>
  <c r="F473" i="3" s="1"/>
  <c r="F497" i="3" s="1"/>
  <c r="F521" i="3" s="1"/>
  <c r="F545" i="3" s="1"/>
  <c r="F569" i="3" s="1"/>
  <c r="F593" i="3" s="1"/>
  <c r="F617" i="3" s="1"/>
  <c r="F641" i="3" s="1"/>
  <c r="F665" i="3" s="1"/>
  <c r="F689" i="3" s="1"/>
  <c r="F713" i="3" s="1"/>
  <c r="F737" i="3" s="1"/>
  <c r="F761" i="3" s="1"/>
  <c r="F785" i="3" s="1"/>
  <c r="F809" i="3" s="1"/>
  <c r="F833" i="3" s="1"/>
  <c r="F857" i="3" s="1"/>
  <c r="F881" i="3" s="1"/>
  <c r="F905" i="3" s="1"/>
  <c r="F929" i="3" s="1"/>
  <c r="F953" i="3" s="1"/>
  <c r="F977" i="3" s="1"/>
  <c r="F1001" i="3" s="1"/>
  <c r="F1025" i="3" s="1"/>
  <c r="F1049" i="3" s="1"/>
  <c r="F1073" i="3" s="1"/>
  <c r="F1097" i="3" s="1"/>
  <c r="F1121" i="3" s="1"/>
  <c r="F1145" i="3" s="1"/>
  <c r="F1169" i="3" s="1"/>
  <c r="F1193" i="3" s="1"/>
  <c r="F1217" i="3" s="1"/>
  <c r="F1241" i="3" s="1"/>
  <c r="F1265" i="3" s="1"/>
  <c r="F1289" i="3" s="1"/>
  <c r="F1313" i="3" s="1"/>
  <c r="F1337" i="3" s="1"/>
  <c r="F1362" i="3" s="1"/>
  <c r="F42" i="3"/>
  <c r="F66" i="3" s="1"/>
  <c r="F90" i="3" s="1"/>
  <c r="F114" i="3" s="1"/>
  <c r="F138" i="3" s="1"/>
  <c r="F162" i="3" s="1"/>
  <c r="F186" i="3" s="1"/>
  <c r="F210" i="3" s="1"/>
  <c r="F234" i="3" s="1"/>
  <c r="F258" i="3" s="1"/>
  <c r="F282" i="3" s="1"/>
  <c r="F306" i="3" s="1"/>
  <c r="F330" i="3" s="1"/>
  <c r="F354" i="3" s="1"/>
  <c r="F378" i="3" s="1"/>
  <c r="F402" i="3" s="1"/>
  <c r="F426" i="3" s="1"/>
  <c r="F450" i="3" s="1"/>
  <c r="F474" i="3" s="1"/>
  <c r="F498" i="3" s="1"/>
  <c r="F522" i="3" s="1"/>
  <c r="F546" i="3" s="1"/>
  <c r="F570" i="3" s="1"/>
  <c r="F594" i="3" s="1"/>
  <c r="F618" i="3" s="1"/>
  <c r="F642" i="3" s="1"/>
  <c r="F666" i="3" s="1"/>
  <c r="F690" i="3" s="1"/>
  <c r="F714" i="3" s="1"/>
  <c r="F738" i="3" s="1"/>
  <c r="F762" i="3" s="1"/>
  <c r="F786" i="3" s="1"/>
  <c r="F810" i="3" s="1"/>
  <c r="F834" i="3" s="1"/>
  <c r="F858" i="3" s="1"/>
  <c r="F882" i="3" s="1"/>
  <c r="F906" i="3" s="1"/>
  <c r="F930" i="3" s="1"/>
  <c r="F954" i="3" s="1"/>
  <c r="F978" i="3" s="1"/>
  <c r="F1002" i="3" s="1"/>
  <c r="F1026" i="3" s="1"/>
  <c r="F1050" i="3" s="1"/>
  <c r="F1074" i="3" s="1"/>
  <c r="F1098" i="3" s="1"/>
  <c r="F1122" i="3" s="1"/>
  <c r="F1146" i="3" s="1"/>
  <c r="F1170" i="3" s="1"/>
  <c r="F1194" i="3" s="1"/>
  <c r="F1218" i="3" s="1"/>
  <c r="F1242" i="3" s="1"/>
  <c r="F1266" i="3" s="1"/>
  <c r="F1290" i="3" s="1"/>
  <c r="F1314" i="3" s="1"/>
  <c r="F1338" i="3" s="1"/>
  <c r="F1363" i="3" s="1"/>
  <c r="F43" i="3"/>
  <c r="F67" i="3" s="1"/>
  <c r="F91" i="3" s="1"/>
  <c r="F115" i="3" s="1"/>
  <c r="F139" i="3" s="1"/>
  <c r="F163" i="3" s="1"/>
  <c r="F187" i="3" s="1"/>
  <c r="F211" i="3" s="1"/>
  <c r="F235" i="3" s="1"/>
  <c r="F259" i="3" s="1"/>
  <c r="F283" i="3" s="1"/>
  <c r="F307" i="3" s="1"/>
  <c r="F331" i="3" s="1"/>
  <c r="F355" i="3" s="1"/>
  <c r="F379" i="3" s="1"/>
  <c r="F403" i="3" s="1"/>
  <c r="F427" i="3" s="1"/>
  <c r="F451" i="3" s="1"/>
  <c r="F475" i="3" s="1"/>
  <c r="F499" i="3" s="1"/>
  <c r="F523" i="3" s="1"/>
  <c r="F547" i="3" s="1"/>
  <c r="F571" i="3" s="1"/>
  <c r="F595" i="3" s="1"/>
  <c r="F619" i="3" s="1"/>
  <c r="F643" i="3" s="1"/>
  <c r="F667" i="3" s="1"/>
  <c r="F691" i="3" s="1"/>
  <c r="F715" i="3" s="1"/>
  <c r="F739" i="3" s="1"/>
  <c r="F763" i="3" s="1"/>
  <c r="F787" i="3" s="1"/>
  <c r="F811" i="3" s="1"/>
  <c r="F835" i="3" s="1"/>
  <c r="F859" i="3" s="1"/>
  <c r="F883" i="3" s="1"/>
  <c r="F907" i="3" s="1"/>
  <c r="F931" i="3" s="1"/>
  <c r="F955" i="3" s="1"/>
  <c r="F979" i="3" s="1"/>
  <c r="F1003" i="3" s="1"/>
  <c r="F1027" i="3" s="1"/>
  <c r="F1051" i="3" s="1"/>
  <c r="F1075" i="3" s="1"/>
  <c r="F1099" i="3" s="1"/>
  <c r="F1123" i="3" s="1"/>
  <c r="F1147" i="3" s="1"/>
  <c r="F1171" i="3" s="1"/>
  <c r="F1195" i="3" s="1"/>
  <c r="F1219" i="3" s="1"/>
  <c r="F1243" i="3" s="1"/>
  <c r="F1267" i="3" s="1"/>
  <c r="F1291" i="3" s="1"/>
  <c r="F1315" i="3" s="1"/>
  <c r="F1339" i="3" s="1"/>
  <c r="F1364" i="3" s="1"/>
  <c r="F1389" i="3" s="1"/>
  <c r="F44" i="3"/>
  <c r="F68" i="3" s="1"/>
  <c r="F92" i="3" s="1"/>
  <c r="F116" i="3" s="1"/>
  <c r="F140" i="3" s="1"/>
  <c r="F164" i="3" s="1"/>
  <c r="F188" i="3" s="1"/>
  <c r="F212" i="3" s="1"/>
  <c r="F236" i="3" s="1"/>
  <c r="F260" i="3" s="1"/>
  <c r="F284" i="3" s="1"/>
  <c r="F308" i="3" s="1"/>
  <c r="F332" i="3" s="1"/>
  <c r="F356" i="3" s="1"/>
  <c r="F380" i="3" s="1"/>
  <c r="F404" i="3" s="1"/>
  <c r="F428" i="3" s="1"/>
  <c r="F452" i="3" s="1"/>
  <c r="F476" i="3" s="1"/>
  <c r="F500" i="3" s="1"/>
  <c r="F524" i="3" s="1"/>
  <c r="F548" i="3" s="1"/>
  <c r="F572" i="3" s="1"/>
  <c r="F596" i="3" s="1"/>
  <c r="F620" i="3" s="1"/>
  <c r="F644" i="3" s="1"/>
  <c r="F668" i="3" s="1"/>
  <c r="F692" i="3" s="1"/>
  <c r="F716" i="3" s="1"/>
  <c r="F740" i="3" s="1"/>
  <c r="F764" i="3" s="1"/>
  <c r="F788" i="3" s="1"/>
  <c r="F812" i="3" s="1"/>
  <c r="F836" i="3" s="1"/>
  <c r="F860" i="3" s="1"/>
  <c r="F884" i="3" s="1"/>
  <c r="F908" i="3" s="1"/>
  <c r="F932" i="3" s="1"/>
  <c r="F956" i="3" s="1"/>
  <c r="F980" i="3" s="1"/>
  <c r="F1004" i="3" s="1"/>
  <c r="F1028" i="3" s="1"/>
  <c r="F1052" i="3" s="1"/>
  <c r="F1076" i="3" s="1"/>
  <c r="F1100" i="3" s="1"/>
  <c r="F1124" i="3" s="1"/>
  <c r="F1148" i="3" s="1"/>
  <c r="F1172" i="3" s="1"/>
  <c r="F1196" i="3" s="1"/>
  <c r="F1220" i="3" s="1"/>
  <c r="F1244" i="3" s="1"/>
  <c r="F1268" i="3" s="1"/>
  <c r="F1292" i="3" s="1"/>
  <c r="F1316" i="3" s="1"/>
  <c r="F1340" i="3" s="1"/>
  <c r="F1365" i="3" s="1"/>
  <c r="F45" i="3"/>
  <c r="F69" i="3" s="1"/>
  <c r="F93" i="3" s="1"/>
  <c r="F117" i="3" s="1"/>
  <c r="F141" i="3" s="1"/>
  <c r="F165" i="3" s="1"/>
  <c r="F189" i="3" s="1"/>
  <c r="F213" i="3" s="1"/>
  <c r="F237" i="3" s="1"/>
  <c r="F261" i="3" s="1"/>
  <c r="F285" i="3" s="1"/>
  <c r="F309" i="3" s="1"/>
  <c r="F333" i="3" s="1"/>
  <c r="F357" i="3" s="1"/>
  <c r="F381" i="3" s="1"/>
  <c r="F405" i="3" s="1"/>
  <c r="F429" i="3" s="1"/>
  <c r="F453" i="3" s="1"/>
  <c r="F477" i="3" s="1"/>
  <c r="F501" i="3" s="1"/>
  <c r="F525" i="3" s="1"/>
  <c r="F549" i="3" s="1"/>
  <c r="F573" i="3" s="1"/>
  <c r="F597" i="3" s="1"/>
  <c r="F621" i="3" s="1"/>
  <c r="F645" i="3" s="1"/>
  <c r="F669" i="3" s="1"/>
  <c r="F693" i="3" s="1"/>
  <c r="F717" i="3" s="1"/>
  <c r="F741" i="3" s="1"/>
  <c r="F765" i="3" s="1"/>
  <c r="F789" i="3" s="1"/>
  <c r="F813" i="3" s="1"/>
  <c r="F837" i="3" s="1"/>
  <c r="F861" i="3" s="1"/>
  <c r="F885" i="3" s="1"/>
  <c r="F909" i="3" s="1"/>
  <c r="F933" i="3" s="1"/>
  <c r="F957" i="3" s="1"/>
  <c r="F981" i="3" s="1"/>
  <c r="F1005" i="3" s="1"/>
  <c r="F1029" i="3" s="1"/>
  <c r="F1053" i="3" s="1"/>
  <c r="F1077" i="3" s="1"/>
  <c r="F1101" i="3" s="1"/>
  <c r="F1125" i="3" s="1"/>
  <c r="F1149" i="3" s="1"/>
  <c r="F1173" i="3" s="1"/>
  <c r="F1197" i="3" s="1"/>
  <c r="F1221" i="3" s="1"/>
  <c r="F1245" i="3" s="1"/>
  <c r="F1269" i="3" s="1"/>
  <c r="F1293" i="3" s="1"/>
  <c r="F1317" i="3" s="1"/>
  <c r="F1341" i="3" s="1"/>
  <c r="F46" i="3"/>
  <c r="F70" i="3" s="1"/>
  <c r="F94" i="3" s="1"/>
  <c r="F118" i="3" s="1"/>
  <c r="F142" i="3" s="1"/>
  <c r="F166" i="3" s="1"/>
  <c r="F190" i="3" s="1"/>
  <c r="F214" i="3" s="1"/>
  <c r="F238" i="3" s="1"/>
  <c r="F262" i="3" s="1"/>
  <c r="F286" i="3" s="1"/>
  <c r="F310" i="3" s="1"/>
  <c r="F334" i="3" s="1"/>
  <c r="F358" i="3" s="1"/>
  <c r="F382" i="3" s="1"/>
  <c r="F406" i="3" s="1"/>
  <c r="F430" i="3" s="1"/>
  <c r="F454" i="3" s="1"/>
  <c r="F478" i="3" s="1"/>
  <c r="F502" i="3" s="1"/>
  <c r="F526" i="3" s="1"/>
  <c r="F550" i="3" s="1"/>
  <c r="F574" i="3" s="1"/>
  <c r="F598" i="3" s="1"/>
  <c r="F622" i="3" s="1"/>
  <c r="F646" i="3" s="1"/>
  <c r="F670" i="3" s="1"/>
  <c r="F694" i="3" s="1"/>
  <c r="F47" i="3"/>
  <c r="F71" i="3" s="1"/>
  <c r="F95" i="3" s="1"/>
  <c r="F119" i="3" s="1"/>
  <c r="F143" i="3" s="1"/>
  <c r="F167" i="3" s="1"/>
  <c r="F191" i="3" s="1"/>
  <c r="F215" i="3" s="1"/>
  <c r="F239" i="3" s="1"/>
  <c r="F263" i="3" s="1"/>
  <c r="F287" i="3" s="1"/>
  <c r="F311" i="3" s="1"/>
  <c r="F335" i="3" s="1"/>
  <c r="F359" i="3" s="1"/>
  <c r="F383" i="3" s="1"/>
  <c r="F407" i="3" s="1"/>
  <c r="F431" i="3" s="1"/>
  <c r="F455" i="3" s="1"/>
  <c r="F479" i="3" s="1"/>
  <c r="F503" i="3" s="1"/>
  <c r="F527" i="3" s="1"/>
  <c r="F551" i="3" s="1"/>
  <c r="F575" i="3" s="1"/>
  <c r="F599" i="3" s="1"/>
  <c r="F623" i="3" s="1"/>
  <c r="F647" i="3" s="1"/>
  <c r="F671" i="3" s="1"/>
  <c r="F695" i="3" s="1"/>
  <c r="F719" i="3" s="1"/>
  <c r="F743" i="3" s="1"/>
  <c r="F767" i="3" s="1"/>
  <c r="F791" i="3" s="1"/>
  <c r="F815" i="3" s="1"/>
  <c r="F839" i="3" s="1"/>
  <c r="F863" i="3" s="1"/>
  <c r="F887" i="3" s="1"/>
  <c r="F911" i="3" s="1"/>
  <c r="F935" i="3" s="1"/>
  <c r="F959" i="3" s="1"/>
  <c r="F983" i="3" s="1"/>
  <c r="F1007" i="3" s="1"/>
  <c r="F1031" i="3" s="1"/>
  <c r="F1055" i="3" s="1"/>
  <c r="F1079" i="3" s="1"/>
  <c r="F1103" i="3" s="1"/>
  <c r="F1127" i="3" s="1"/>
  <c r="F1151" i="3" s="1"/>
  <c r="F1175" i="3" s="1"/>
  <c r="F1199" i="3" s="1"/>
  <c r="F1223" i="3" s="1"/>
  <c r="F1247" i="3" s="1"/>
  <c r="F1271" i="3" s="1"/>
  <c r="F1295" i="3" s="1"/>
  <c r="F1319" i="3" s="1"/>
  <c r="F48" i="3"/>
  <c r="F72" i="3" s="1"/>
  <c r="F96" i="3" s="1"/>
  <c r="F120" i="3" s="1"/>
  <c r="F144" i="3" s="1"/>
  <c r="F168" i="3" s="1"/>
  <c r="F192" i="3" s="1"/>
  <c r="F216" i="3" s="1"/>
  <c r="F240" i="3" s="1"/>
  <c r="F264" i="3" s="1"/>
  <c r="F288" i="3" s="1"/>
  <c r="F312" i="3" s="1"/>
  <c r="F336" i="3" s="1"/>
  <c r="F360" i="3" s="1"/>
  <c r="F384" i="3" s="1"/>
  <c r="F408" i="3" s="1"/>
  <c r="F432" i="3" s="1"/>
  <c r="F456" i="3" s="1"/>
  <c r="F480" i="3" s="1"/>
  <c r="F504" i="3" s="1"/>
  <c r="F528" i="3" s="1"/>
  <c r="F552" i="3" s="1"/>
  <c r="F576" i="3" s="1"/>
  <c r="F600" i="3" s="1"/>
  <c r="F624" i="3" s="1"/>
  <c r="F648" i="3" s="1"/>
  <c r="F672" i="3" s="1"/>
  <c r="F696" i="3" s="1"/>
  <c r="F720" i="3" s="1"/>
  <c r="F744" i="3" s="1"/>
  <c r="F768" i="3" s="1"/>
  <c r="F792" i="3" s="1"/>
  <c r="F816" i="3" s="1"/>
  <c r="F840" i="3" s="1"/>
  <c r="F864" i="3" s="1"/>
  <c r="F888" i="3" s="1"/>
  <c r="F912" i="3" s="1"/>
  <c r="F936" i="3" s="1"/>
  <c r="F960" i="3" s="1"/>
  <c r="F984" i="3" s="1"/>
  <c r="F1008" i="3" s="1"/>
  <c r="F1032" i="3" s="1"/>
  <c r="F1056" i="3" s="1"/>
  <c r="F1080" i="3" s="1"/>
  <c r="F1104" i="3" s="1"/>
  <c r="F1128" i="3" s="1"/>
  <c r="F1152" i="3" s="1"/>
  <c r="F1176" i="3" s="1"/>
  <c r="F1200" i="3" s="1"/>
  <c r="F1224" i="3" s="1"/>
  <c r="F1248" i="3" s="1"/>
  <c r="F1272" i="3" s="1"/>
  <c r="F1296" i="3" s="1"/>
  <c r="F1320" i="3" s="1"/>
  <c r="F1344" i="3" s="1"/>
  <c r="F49" i="3"/>
  <c r="F73" i="3" s="1"/>
  <c r="F97" i="3" s="1"/>
  <c r="F121" i="3" s="1"/>
  <c r="F145" i="3" s="1"/>
  <c r="F169" i="3" s="1"/>
  <c r="F193" i="3" s="1"/>
  <c r="F217" i="3" s="1"/>
  <c r="F241" i="3" s="1"/>
  <c r="F265" i="3" s="1"/>
  <c r="F289" i="3" s="1"/>
  <c r="F313" i="3" s="1"/>
  <c r="F337" i="3" s="1"/>
  <c r="F361" i="3" s="1"/>
  <c r="F385" i="3" s="1"/>
  <c r="F409" i="3" s="1"/>
  <c r="F433" i="3" s="1"/>
  <c r="F457" i="3" s="1"/>
  <c r="F481" i="3" s="1"/>
  <c r="F505" i="3" s="1"/>
  <c r="F529" i="3" s="1"/>
  <c r="F553" i="3" s="1"/>
  <c r="F577" i="3" s="1"/>
  <c r="F601" i="3" s="1"/>
  <c r="F625" i="3" s="1"/>
  <c r="F649" i="3" s="1"/>
  <c r="F673" i="3" s="1"/>
  <c r="F697" i="3" s="1"/>
  <c r="F721" i="3" s="1"/>
  <c r="F745" i="3" s="1"/>
  <c r="F769" i="3" s="1"/>
  <c r="F793" i="3" s="1"/>
  <c r="F817" i="3" s="1"/>
  <c r="F841" i="3" s="1"/>
  <c r="F865" i="3" s="1"/>
  <c r="F889" i="3" s="1"/>
  <c r="F913" i="3" s="1"/>
  <c r="F937" i="3" s="1"/>
  <c r="F961" i="3" s="1"/>
  <c r="F985" i="3" s="1"/>
  <c r="F1009" i="3" s="1"/>
  <c r="F1033" i="3" s="1"/>
  <c r="F1057" i="3" s="1"/>
  <c r="F1081" i="3" s="1"/>
  <c r="F1105" i="3" s="1"/>
  <c r="F1129" i="3" s="1"/>
  <c r="F1153" i="3" s="1"/>
  <c r="F1177" i="3" s="1"/>
  <c r="F1201" i="3" s="1"/>
  <c r="F1225" i="3" s="1"/>
  <c r="F1249" i="3" s="1"/>
  <c r="F1273" i="3" s="1"/>
  <c r="F1297" i="3" s="1"/>
  <c r="F1321" i="3" s="1"/>
  <c r="F1345" i="3" s="1"/>
  <c r="F1369" i="3" s="1"/>
  <c r="F1393" i="3" s="1"/>
  <c r="F1417" i="3" s="1"/>
  <c r="F1441" i="3" s="1"/>
  <c r="F1465" i="3" s="1"/>
  <c r="F1489" i="3" s="1"/>
  <c r="F1513" i="3" s="1"/>
  <c r="F1537" i="3" s="1"/>
  <c r="F1561" i="3" s="1"/>
  <c r="F1585" i="3" s="1"/>
  <c r="F1609" i="3" s="1"/>
  <c r="F1633" i="3" s="1"/>
  <c r="F1657" i="3" s="1"/>
  <c r="F1681" i="3" s="1"/>
  <c r="F1705" i="3" s="1"/>
  <c r="F1729" i="3" s="1"/>
  <c r="F1753" i="3" s="1"/>
  <c r="F1777" i="3" s="1"/>
  <c r="F1801" i="3" s="1"/>
  <c r="F1825" i="3" s="1"/>
  <c r="F1849" i="3" s="1"/>
  <c r="F1873" i="3" s="1"/>
  <c r="F1897" i="3" s="1"/>
  <c r="F1921" i="3" s="1"/>
  <c r="F1945" i="3" s="1"/>
  <c r="F1969" i="3" s="1"/>
  <c r="F1993" i="3" s="1"/>
  <c r="F2017" i="3" s="1"/>
  <c r="F2041" i="3" s="1"/>
  <c r="F2065" i="3" s="1"/>
  <c r="F2089" i="3" s="1"/>
  <c r="F2113" i="3" s="1"/>
  <c r="F2137" i="3" s="1"/>
  <c r="F2161" i="3" s="1"/>
  <c r="F2185" i="3" s="1"/>
  <c r="F2209" i="3" s="1"/>
  <c r="F2233" i="3" s="1"/>
  <c r="F2257" i="3" s="1"/>
  <c r="F2281" i="3" s="1"/>
  <c r="F2305" i="3" s="1"/>
  <c r="F2329" i="3" s="1"/>
  <c r="F2353" i="3" s="1"/>
  <c r="F2377" i="3" s="1"/>
  <c r="F2401" i="3" s="1"/>
  <c r="F2425" i="3" s="1"/>
  <c r="F2449" i="3" s="1"/>
  <c r="F2473" i="3" s="1"/>
  <c r="F2497" i="3" s="1"/>
  <c r="F2521" i="3" s="1"/>
  <c r="F2545" i="3" s="1"/>
  <c r="F2569" i="3" s="1"/>
  <c r="F2593" i="3" s="1"/>
  <c r="F2617" i="3" s="1"/>
  <c r="F2641" i="3" s="1"/>
  <c r="F2665" i="3" s="1"/>
  <c r="F2689" i="3" s="1"/>
  <c r="F2713" i="3" s="1"/>
  <c r="F2737" i="3" s="1"/>
  <c r="F2761" i="3" s="1"/>
  <c r="F2785" i="3" s="1"/>
  <c r="F2809" i="3" s="1"/>
  <c r="F2833" i="3" s="1"/>
  <c r="F2857" i="3" s="1"/>
  <c r="F2881" i="3" s="1"/>
  <c r="F2905" i="3" s="1"/>
  <c r="F2929" i="3" s="1"/>
  <c r="F2953" i="3" s="1"/>
  <c r="F2977" i="3" s="1"/>
  <c r="F3001" i="3" s="1"/>
  <c r="F3025" i="3" s="1"/>
  <c r="F3049" i="3" s="1"/>
  <c r="F3073" i="3" s="1"/>
  <c r="F3097" i="3" s="1"/>
  <c r="F3121" i="3" s="1"/>
  <c r="F3145" i="3" s="1"/>
  <c r="F3169" i="3" s="1"/>
  <c r="F3193" i="3" s="1"/>
  <c r="F3217" i="3" s="1"/>
  <c r="F3241" i="3" s="1"/>
  <c r="F3265" i="3" s="1"/>
  <c r="F3289" i="3" s="1"/>
  <c r="F3313" i="3" s="1"/>
  <c r="F3337" i="3" s="1"/>
  <c r="F3361" i="3" s="1"/>
  <c r="F3385" i="3" s="1"/>
  <c r="F3409" i="3" s="1"/>
  <c r="F3433" i="3" s="1"/>
  <c r="F3457" i="3" s="1"/>
  <c r="F3481" i="3" s="1"/>
  <c r="F3505" i="3" s="1"/>
  <c r="F3529" i="3" s="1"/>
  <c r="F3553" i="3" s="1"/>
  <c r="F3577" i="3" s="1"/>
  <c r="F3601" i="3" s="1"/>
  <c r="F3625" i="3" s="1"/>
  <c r="F3649" i="3" s="1"/>
  <c r="F3673" i="3" s="1"/>
  <c r="F3697" i="3" s="1"/>
  <c r="F3721" i="3" s="1"/>
  <c r="F3745" i="3" s="1"/>
  <c r="E4577" i="3"/>
  <c r="E4581" i="3"/>
  <c r="E4550" i="3"/>
  <c r="E4514" i="3"/>
  <c r="E4534" i="3"/>
  <c r="E4559" i="3"/>
  <c r="E4558" i="3"/>
  <c r="E4555" i="3"/>
  <c r="E4553" i="3"/>
  <c r="E4547" i="3"/>
  <c r="E4545" i="3"/>
  <c r="E4543" i="3"/>
  <c r="E4541" i="3"/>
  <c r="E4561" i="3"/>
  <c r="E4552" i="3"/>
  <c r="D182" i="1"/>
  <c r="D189" i="1"/>
  <c r="E4499" i="3"/>
  <c r="E4535" i="3"/>
  <c r="E4533" i="3"/>
  <c r="E4530" i="3"/>
  <c r="E4529" i="3"/>
  <c r="E4526" i="3"/>
  <c r="E4523" i="3"/>
  <c r="E4519" i="3"/>
  <c r="E4537" i="3"/>
  <c r="E4525" i="3"/>
  <c r="E4528" i="3"/>
  <c r="E4510" i="3"/>
  <c r="E4505" i="3"/>
  <c r="E4497" i="3"/>
  <c r="E4495" i="3"/>
  <c r="E4491" i="3"/>
  <c r="E4511" i="3"/>
  <c r="E4506" i="3"/>
  <c r="E4504" i="3"/>
  <c r="E4512" i="3"/>
  <c r="E4502" i="3"/>
  <c r="E4501" i="3"/>
  <c r="E4493" i="3"/>
  <c r="E4466" i="3"/>
  <c r="E4481" i="3"/>
  <c r="E4478" i="3"/>
  <c r="E4473" i="3"/>
  <c r="E4471" i="3"/>
  <c r="E4467" i="3"/>
  <c r="E4488" i="3"/>
  <c r="E4487" i="3"/>
  <c r="D188" i="1"/>
  <c r="E4480" i="3"/>
  <c r="E4469" i="3"/>
  <c r="E4482" i="3"/>
  <c r="E4489" i="3"/>
  <c r="D186" i="1"/>
  <c r="D187" i="1"/>
  <c r="E4464" i="3"/>
  <c r="E4462" i="3"/>
  <c r="E4458" i="3"/>
  <c r="E4457" i="3"/>
  <c r="E4451" i="3"/>
  <c r="E4447" i="3"/>
  <c r="E4445" i="3"/>
  <c r="E4454" i="3"/>
  <c r="D185" i="1"/>
  <c r="E4416" i="3"/>
  <c r="E4438" i="3"/>
  <c r="E4432" i="3"/>
  <c r="E4427" i="3"/>
  <c r="E4423" i="3"/>
  <c r="E4419" i="3"/>
  <c r="E4434" i="3"/>
  <c r="E4433" i="3"/>
  <c r="E4428" i="3"/>
  <c r="E4440" i="3"/>
  <c r="E4430" i="3"/>
  <c r="K185" i="1"/>
  <c r="E4414" i="3"/>
  <c r="E4413" i="3"/>
  <c r="E4406" i="3"/>
  <c r="E4401" i="3"/>
  <c r="E4399" i="3"/>
  <c r="E4394" i="3"/>
  <c r="E4410" i="3"/>
  <c r="E4409" i="3"/>
  <c r="E4403" i="3"/>
  <c r="E4391" i="3"/>
  <c r="E4390" i="3"/>
  <c r="E4385" i="3"/>
  <c r="E4384" i="3"/>
  <c r="E4381" i="3"/>
  <c r="E4380" i="3"/>
  <c r="E4389" i="3"/>
  <c r="E4375" i="3"/>
  <c r="E4377" i="3"/>
  <c r="E4382" i="3"/>
  <c r="D184" i="1"/>
  <c r="D181" i="1"/>
  <c r="E4353" i="3"/>
  <c r="E4346" i="3"/>
  <c r="E4347" i="3"/>
  <c r="E4367" i="3"/>
  <c r="E4366" i="3"/>
  <c r="E4362" i="3"/>
  <c r="E4358" i="3"/>
  <c r="E4351" i="3"/>
  <c r="E4349" i="3"/>
  <c r="E4369" i="3"/>
  <c r="E4368" i="3"/>
  <c r="E4361" i="3"/>
  <c r="D183" i="1"/>
  <c r="E4360" i="3"/>
  <c r="E4343" i="3"/>
  <c r="E4337" i="3"/>
  <c r="E4329" i="3"/>
  <c r="E4327" i="3"/>
  <c r="E4342" i="3"/>
  <c r="E4334" i="3"/>
  <c r="E4325" i="3"/>
  <c r="E4338" i="3"/>
  <c r="E4336" i="3"/>
  <c r="G223" i="23" l="1"/>
  <c r="X222" i="23"/>
  <c r="U211" i="23"/>
  <c r="W211" i="23"/>
  <c r="D212" i="23"/>
  <c r="V211" i="23"/>
  <c r="Y211" i="23" s="1"/>
  <c r="C180" i="1"/>
  <c r="F1878" i="3"/>
  <c r="F1902" i="3" s="1"/>
  <c r="F1926" i="3" s="1"/>
  <c r="F1950" i="3" s="1"/>
  <c r="F1974" i="3" s="1"/>
  <c r="F1998" i="3" s="1"/>
  <c r="F2022" i="3" s="1"/>
  <c r="F2046" i="3" s="1"/>
  <c r="F2070" i="3" s="1"/>
  <c r="F2094" i="3" s="1"/>
  <c r="F2118" i="3" s="1"/>
  <c r="F2142" i="3" s="1"/>
  <c r="F2166" i="3" s="1"/>
  <c r="F2190" i="3" s="1"/>
  <c r="F2214" i="3" s="1"/>
  <c r="F2238" i="3" s="1"/>
  <c r="F2262" i="3" s="1"/>
  <c r="F2286" i="3" s="1"/>
  <c r="F2310" i="3" s="1"/>
  <c r="F2334" i="3" s="1"/>
  <c r="F2358" i="3" s="1"/>
  <c r="F1343" i="3"/>
  <c r="F1367" i="3" s="1"/>
  <c r="F1391" i="3" s="1"/>
  <c r="F1415" i="3" s="1"/>
  <c r="F1439" i="3" s="1"/>
  <c r="F1463" i="3" s="1"/>
  <c r="F1487" i="3" s="1"/>
  <c r="F1511" i="3" s="1"/>
  <c r="F1535" i="3" s="1"/>
  <c r="F1559" i="3" s="1"/>
  <c r="F1583" i="3" s="1"/>
  <c r="F1607" i="3" s="1"/>
  <c r="F1631" i="3" s="1"/>
  <c r="F1655" i="3" s="1"/>
  <c r="F1679" i="3" s="1"/>
  <c r="F1703" i="3" s="1"/>
  <c r="F1727" i="3" s="1"/>
  <c r="F1751" i="3" s="1"/>
  <c r="F1775" i="3" s="1"/>
  <c r="F1799" i="3" s="1"/>
  <c r="F1823" i="3" s="1"/>
  <c r="F1847" i="3" s="1"/>
  <c r="F1871" i="3" s="1"/>
  <c r="F1895" i="3" s="1"/>
  <c r="F1919" i="3" s="1"/>
  <c r="F1943" i="3" s="1"/>
  <c r="F1967" i="3" s="1"/>
  <c r="F1991" i="3" s="1"/>
  <c r="F2015" i="3" s="1"/>
  <c r="F2039" i="3" s="1"/>
  <c r="F2063" i="3" s="1"/>
  <c r="F2087" i="3" s="1"/>
  <c r="F2111" i="3" s="1"/>
  <c r="F2135" i="3" s="1"/>
  <c r="F2159" i="3" s="1"/>
  <c r="F2183" i="3" s="1"/>
  <c r="F2207" i="3" s="1"/>
  <c r="F2231" i="3" s="1"/>
  <c r="F2255" i="3" s="1"/>
  <c r="F2279" i="3" s="1"/>
  <c r="F2303" i="3" s="1"/>
  <c r="F2327" i="3" s="1"/>
  <c r="F2351" i="3" s="1"/>
  <c r="F2375" i="3" s="1"/>
  <c r="F2399" i="3" s="1"/>
  <c r="F2423" i="3" s="1"/>
  <c r="F2447" i="3" s="1"/>
  <c r="F2471" i="3" s="1"/>
  <c r="F2495" i="3" s="1"/>
  <c r="F2519" i="3" s="1"/>
  <c r="F2543" i="3" s="1"/>
  <c r="F2567" i="3" s="1"/>
  <c r="F2591" i="3" s="1"/>
  <c r="F2615" i="3" s="1"/>
  <c r="F2639" i="3" s="1"/>
  <c r="F2663" i="3" s="1"/>
  <c r="F2687" i="3" s="1"/>
  <c r="F2711" i="3" s="1"/>
  <c r="F2735" i="3" s="1"/>
  <c r="F2759" i="3" s="1"/>
  <c r="F2783" i="3" s="1"/>
  <c r="F2807" i="3" s="1"/>
  <c r="F2831" i="3" s="1"/>
  <c r="F2855" i="3" s="1"/>
  <c r="F2879" i="3" s="1"/>
  <c r="F2903" i="3" s="1"/>
  <c r="F2927" i="3" s="1"/>
  <c r="F2951" i="3" s="1"/>
  <c r="F2975" i="3" s="1"/>
  <c r="F2999" i="3" s="1"/>
  <c r="F3023" i="3" s="1"/>
  <c r="F3047" i="3" s="1"/>
  <c r="F3071" i="3" s="1"/>
  <c r="F3095" i="3" s="1"/>
  <c r="F3119" i="3" s="1"/>
  <c r="F3143" i="3" s="1"/>
  <c r="F3167" i="3" s="1"/>
  <c r="F3191" i="3" s="1"/>
  <c r="F3215" i="3" s="1"/>
  <c r="F3239" i="3" s="1"/>
  <c r="F3263" i="3" s="1"/>
  <c r="F3287" i="3" s="1"/>
  <c r="F3311" i="3" s="1"/>
  <c r="F3335" i="3" s="1"/>
  <c r="F3359" i="3" s="1"/>
  <c r="F3383" i="3" s="1"/>
  <c r="F3407" i="3" s="1"/>
  <c r="F3431" i="3" s="1"/>
  <c r="F3455" i="3" s="1"/>
  <c r="F3479" i="3" s="1"/>
  <c r="F3503" i="3" s="1"/>
  <c r="F3527" i="3" s="1"/>
  <c r="F3551" i="3" s="1"/>
  <c r="F3575" i="3" s="1"/>
  <c r="F3599" i="3" s="1"/>
  <c r="F3623" i="3" s="1"/>
  <c r="F3647" i="3" s="1"/>
  <c r="F3671" i="3" s="1"/>
  <c r="F3695" i="3" s="1"/>
  <c r="F3719" i="3" s="1"/>
  <c r="F3743" i="3" s="1"/>
  <c r="F3767" i="3" s="1"/>
  <c r="F3791" i="3" s="1"/>
  <c r="F3815" i="3" s="1"/>
  <c r="F3839" i="3" s="1"/>
  <c r="F3863" i="3" s="1"/>
  <c r="F3887" i="3" s="1"/>
  <c r="F3911" i="3" s="1"/>
  <c r="F3935" i="3" s="1"/>
  <c r="F3959" i="3" s="1"/>
  <c r="F3983" i="3" s="1"/>
  <c r="F4007" i="3" s="1"/>
  <c r="F4031" i="3" s="1"/>
  <c r="F4055" i="3" s="1"/>
  <c r="F4079" i="3" s="1"/>
  <c r="F4103" i="3" s="1"/>
  <c r="F4127" i="3" s="1"/>
  <c r="F4151" i="3" s="1"/>
  <c r="F4175" i="3" s="1"/>
  <c r="F718" i="3"/>
  <c r="F742" i="3" s="1"/>
  <c r="F766" i="3" s="1"/>
  <c r="F790" i="3" s="1"/>
  <c r="F814" i="3" s="1"/>
  <c r="F838" i="3" s="1"/>
  <c r="F862" i="3" s="1"/>
  <c r="F886" i="3" s="1"/>
  <c r="F910" i="3" s="1"/>
  <c r="F934" i="3" s="1"/>
  <c r="F958" i="3" s="1"/>
  <c r="F982" i="3" s="1"/>
  <c r="F1006" i="3" s="1"/>
  <c r="F1030" i="3" s="1"/>
  <c r="F1054" i="3" s="1"/>
  <c r="F1078" i="3" s="1"/>
  <c r="F1102" i="3" s="1"/>
  <c r="F1126" i="3" s="1"/>
  <c r="F1150" i="3" s="1"/>
  <c r="F1174" i="3" s="1"/>
  <c r="F1198" i="3" s="1"/>
  <c r="F1222" i="3" s="1"/>
  <c r="F1246" i="3" s="1"/>
  <c r="F1270" i="3" s="1"/>
  <c r="F1294" i="3" s="1"/>
  <c r="F1318" i="3" s="1"/>
  <c r="F1342" i="3" s="1"/>
  <c r="F1366" i="3" s="1"/>
  <c r="F1390" i="3" s="1"/>
  <c r="F1414" i="3" s="1"/>
  <c r="F1438" i="3" s="1"/>
  <c r="F1462" i="3" s="1"/>
  <c r="F1486" i="3" s="1"/>
  <c r="F1510" i="3" s="1"/>
  <c r="F1534" i="3" s="1"/>
  <c r="F1558" i="3" s="1"/>
  <c r="F1582" i="3" s="1"/>
  <c r="F1606" i="3" s="1"/>
  <c r="F1630" i="3" s="1"/>
  <c r="F1654" i="3" s="1"/>
  <c r="F1678" i="3" s="1"/>
  <c r="F1702" i="3" s="1"/>
  <c r="F1726" i="3" s="1"/>
  <c r="F1750" i="3" s="1"/>
  <c r="F1774" i="3" s="1"/>
  <c r="F1798" i="3" s="1"/>
  <c r="F1822" i="3" s="1"/>
  <c r="F1846" i="3" s="1"/>
  <c r="F1870" i="3" s="1"/>
  <c r="F1894" i="3" s="1"/>
  <c r="F1918" i="3" s="1"/>
  <c r="F1942" i="3" s="1"/>
  <c r="F1966" i="3" s="1"/>
  <c r="F1990" i="3" s="1"/>
  <c r="F2014" i="3" s="1"/>
  <c r="F2038" i="3" s="1"/>
  <c r="F2062" i="3" s="1"/>
  <c r="F2086" i="3" s="1"/>
  <c r="F2110" i="3" s="1"/>
  <c r="F2134" i="3" s="1"/>
  <c r="F2158" i="3" s="1"/>
  <c r="F2182" i="3" s="1"/>
  <c r="F2206" i="3" s="1"/>
  <c r="F2230" i="3" s="1"/>
  <c r="F2254" i="3" s="1"/>
  <c r="F2278" i="3" s="1"/>
  <c r="F2302" i="3" s="1"/>
  <c r="F2326" i="3" s="1"/>
  <c r="F2350" i="3" s="1"/>
  <c r="F2374" i="3" s="1"/>
  <c r="F2398" i="3" s="1"/>
  <c r="F2422" i="3" s="1"/>
  <c r="F2446" i="3" s="1"/>
  <c r="F2470" i="3" s="1"/>
  <c r="F2494" i="3" s="1"/>
  <c r="F2518" i="3" s="1"/>
  <c r="F2542" i="3" s="1"/>
  <c r="F2566" i="3" s="1"/>
  <c r="F2590" i="3" s="1"/>
  <c r="F2614" i="3" s="1"/>
  <c r="F2638" i="3" s="1"/>
  <c r="F2662" i="3" s="1"/>
  <c r="F2686" i="3" s="1"/>
  <c r="F2710" i="3" s="1"/>
  <c r="F2734" i="3" s="1"/>
  <c r="F2758" i="3" s="1"/>
  <c r="F2782" i="3" s="1"/>
  <c r="F2806" i="3" s="1"/>
  <c r="F2830" i="3" s="1"/>
  <c r="F2854" i="3" s="1"/>
  <c r="F2878" i="3" s="1"/>
  <c r="F2902" i="3" s="1"/>
  <c r="F2926" i="3" s="1"/>
  <c r="F2950" i="3" s="1"/>
  <c r="F2974" i="3" s="1"/>
  <c r="F2998" i="3" s="1"/>
  <c r="F3022" i="3" s="1"/>
  <c r="F3046" i="3" s="1"/>
  <c r="F3070" i="3" s="1"/>
  <c r="F3094" i="3" s="1"/>
  <c r="F3118" i="3" s="1"/>
  <c r="F3142" i="3" s="1"/>
  <c r="F3166" i="3" s="1"/>
  <c r="F3190" i="3" s="1"/>
  <c r="F3214" i="3" s="1"/>
  <c r="F3238" i="3" s="1"/>
  <c r="F3262" i="3" s="1"/>
  <c r="F3286" i="3" s="1"/>
  <c r="F3310" i="3" s="1"/>
  <c r="F3334" i="3" s="1"/>
  <c r="F3358" i="3" s="1"/>
  <c r="F3382" i="3" s="1"/>
  <c r="F3406" i="3" s="1"/>
  <c r="F3430" i="3" s="1"/>
  <c r="F3454" i="3" s="1"/>
  <c r="F3478" i="3" s="1"/>
  <c r="F3502" i="3" s="1"/>
  <c r="F3526" i="3" s="1"/>
  <c r="F3550" i="3" s="1"/>
  <c r="F3574" i="3" s="1"/>
  <c r="F3598" i="3" s="1"/>
  <c r="F3622" i="3" s="1"/>
  <c r="F3646" i="3" s="1"/>
  <c r="F3670" i="3" s="1"/>
  <c r="F3694" i="3" s="1"/>
  <c r="F3718" i="3" s="1"/>
  <c r="F1388" i="3"/>
  <c r="F1413" i="3" s="1"/>
  <c r="F1387" i="3"/>
  <c r="F1411" i="3" s="1"/>
  <c r="F1435" i="3" s="1"/>
  <c r="F1459" i="3" s="1"/>
  <c r="F1483" i="3" s="1"/>
  <c r="F1507" i="3" s="1"/>
  <c r="F1531" i="3" s="1"/>
  <c r="F1555" i="3" s="1"/>
  <c r="F1579" i="3" s="1"/>
  <c r="F1603" i="3" s="1"/>
  <c r="F1627" i="3" s="1"/>
  <c r="F1651" i="3" s="1"/>
  <c r="F1675" i="3" s="1"/>
  <c r="F1699" i="3" s="1"/>
  <c r="F1723" i="3" s="1"/>
  <c r="F1747" i="3" s="1"/>
  <c r="F1771" i="3" s="1"/>
  <c r="F1795" i="3" s="1"/>
  <c r="F1819" i="3" s="1"/>
  <c r="F1843" i="3" s="1"/>
  <c r="F1867" i="3" s="1"/>
  <c r="F1891" i="3" s="1"/>
  <c r="F1915" i="3" s="1"/>
  <c r="F1939" i="3" s="1"/>
  <c r="F1963" i="3" s="1"/>
  <c r="F1987" i="3" s="1"/>
  <c r="F2011" i="3" s="1"/>
  <c r="F2035" i="3" s="1"/>
  <c r="F2059" i="3" s="1"/>
  <c r="F2083" i="3" s="1"/>
  <c r="F2107" i="3" s="1"/>
  <c r="F2131" i="3" s="1"/>
  <c r="F2155" i="3" s="1"/>
  <c r="F2179" i="3" s="1"/>
  <c r="F2203" i="3" s="1"/>
  <c r="F2227" i="3" s="1"/>
  <c r="F2251" i="3" s="1"/>
  <c r="F2275" i="3" s="1"/>
  <c r="F2299" i="3" s="1"/>
  <c r="F2323" i="3" s="1"/>
  <c r="F2347" i="3" s="1"/>
  <c r="F2371" i="3" s="1"/>
  <c r="F2395" i="3" s="1"/>
  <c r="F2419" i="3" s="1"/>
  <c r="F2443" i="3" s="1"/>
  <c r="F2467" i="3" s="1"/>
  <c r="F2491" i="3" s="1"/>
  <c r="F2515" i="3" s="1"/>
  <c r="F2539" i="3" s="1"/>
  <c r="F2563" i="3" s="1"/>
  <c r="F2587" i="3" s="1"/>
  <c r="F2611" i="3" s="1"/>
  <c r="F2635" i="3" s="1"/>
  <c r="F2659" i="3" s="1"/>
  <c r="F2683" i="3" s="1"/>
  <c r="F2707" i="3" s="1"/>
  <c r="F2731" i="3" s="1"/>
  <c r="F2755" i="3" s="1"/>
  <c r="F2779" i="3" s="1"/>
  <c r="F2803" i="3" s="1"/>
  <c r="F2827" i="3" s="1"/>
  <c r="F2851" i="3" s="1"/>
  <c r="F2875" i="3" s="1"/>
  <c r="F2899" i="3" s="1"/>
  <c r="F2923" i="3" s="1"/>
  <c r="F2947" i="3" s="1"/>
  <c r="F2971" i="3" s="1"/>
  <c r="F2995" i="3" s="1"/>
  <c r="F3019" i="3" s="1"/>
  <c r="F3043" i="3" s="1"/>
  <c r="F3067" i="3" s="1"/>
  <c r="F3091" i="3" s="1"/>
  <c r="F3115" i="3" s="1"/>
  <c r="F3139" i="3" s="1"/>
  <c r="F3163" i="3" s="1"/>
  <c r="F3187" i="3" s="1"/>
  <c r="F3211" i="3" s="1"/>
  <c r="F3235" i="3" s="1"/>
  <c r="F3259" i="3" s="1"/>
  <c r="F3283" i="3" s="1"/>
  <c r="F3307" i="3" s="1"/>
  <c r="F3331" i="3" s="1"/>
  <c r="F3355" i="3" s="1"/>
  <c r="F3379" i="3" s="1"/>
  <c r="F3403" i="3" s="1"/>
  <c r="F3427" i="3" s="1"/>
  <c r="F3451" i="3" s="1"/>
  <c r="F3475" i="3" s="1"/>
  <c r="F3499" i="3" s="1"/>
  <c r="F3523" i="3" s="1"/>
  <c r="F3547" i="3" s="1"/>
  <c r="F3571" i="3" s="1"/>
  <c r="F3595" i="3" s="1"/>
  <c r="F3619" i="3" s="1"/>
  <c r="F3643" i="3" s="1"/>
  <c r="F3667" i="3" s="1"/>
  <c r="F3691" i="3" s="1"/>
  <c r="F3715" i="3" s="1"/>
  <c r="F3739" i="3" s="1"/>
  <c r="F3763" i="3" s="1"/>
  <c r="F3787" i="3" s="1"/>
  <c r="F3811" i="3" s="1"/>
  <c r="F3835" i="3" s="1"/>
  <c r="F3859" i="3" s="1"/>
  <c r="F3883" i="3" s="1"/>
  <c r="F3907" i="3" s="1"/>
  <c r="F3931" i="3" s="1"/>
  <c r="F3955" i="3" s="1"/>
  <c r="F3979" i="3" s="1"/>
  <c r="F4003" i="3" s="1"/>
  <c r="F4027" i="3" s="1"/>
  <c r="F4051" i="3" s="1"/>
  <c r="F4075" i="3" s="1"/>
  <c r="F4099" i="3" s="1"/>
  <c r="F4123" i="3" s="1"/>
  <c r="F4147" i="3" s="1"/>
  <c r="F4171" i="3" s="1"/>
  <c r="F4195" i="3" s="1"/>
  <c r="F4219" i="3" s="1"/>
  <c r="F4243" i="3" s="1"/>
  <c r="F4267" i="3" s="1"/>
  <c r="F4291" i="3" s="1"/>
  <c r="F4315" i="3" s="1"/>
  <c r="F4339" i="3" s="1"/>
  <c r="F4363" i="3" s="1"/>
  <c r="F4387" i="3" s="1"/>
  <c r="F4411" i="3" s="1"/>
  <c r="F4435" i="3" s="1"/>
  <c r="F4459" i="3" s="1"/>
  <c r="F4483" i="3" s="1"/>
  <c r="F4507" i="3" s="1"/>
  <c r="F4531" i="3" s="1"/>
  <c r="F4555" i="3" s="1"/>
  <c r="F4579" i="3" s="1"/>
  <c r="F4603" i="3" s="1"/>
  <c r="F4627" i="3" s="1"/>
  <c r="F4651" i="3" s="1"/>
  <c r="F4675" i="3" s="1"/>
  <c r="F4699" i="3" s="1"/>
  <c r="F4723" i="3" s="1"/>
  <c r="F4747" i="3" s="1"/>
  <c r="F4771" i="3" s="1"/>
  <c r="F4795" i="3" s="1"/>
  <c r="F4819" i="3" s="1"/>
  <c r="F4843" i="3" s="1"/>
  <c r="F4867" i="3" s="1"/>
  <c r="F4891" i="3" s="1"/>
  <c r="F4915" i="3" s="1"/>
  <c r="F4939" i="3" s="1"/>
  <c r="F4963" i="3" s="1"/>
  <c r="F4987" i="3" s="1"/>
  <c r="F5011" i="3" s="1"/>
  <c r="F5035" i="3" s="1"/>
  <c r="F5059" i="3" s="1"/>
  <c r="F5083" i="3" s="1"/>
  <c r="F5107" i="3" s="1"/>
  <c r="F5131" i="3" s="1"/>
  <c r="F5155" i="3" s="1"/>
  <c r="F5179" i="3" s="1"/>
  <c r="F5203" i="3" s="1"/>
  <c r="F5227" i="3" s="1"/>
  <c r="F5251" i="3" s="1"/>
  <c r="F5275" i="3" s="1"/>
  <c r="F5299" i="3" s="1"/>
  <c r="F5323" i="3" s="1"/>
  <c r="F5347" i="3" s="1"/>
  <c r="F5371" i="3" s="1"/>
  <c r="F5395" i="3" s="1"/>
  <c r="F5419" i="3" s="1"/>
  <c r="F5443" i="3" s="1"/>
  <c r="F5467" i="3" s="1"/>
  <c r="F5491" i="3" s="1"/>
  <c r="F5515" i="3" s="1"/>
  <c r="F3704" i="3"/>
  <c r="F3728" i="3" s="1"/>
  <c r="F3752" i="3" s="1"/>
  <c r="F3776" i="3" s="1"/>
  <c r="F3800" i="3" s="1"/>
  <c r="F3824" i="3" s="1"/>
  <c r="F3848" i="3" s="1"/>
  <c r="F3872" i="3" s="1"/>
  <c r="F3896" i="3" s="1"/>
  <c r="F3920" i="3" s="1"/>
  <c r="F3944" i="3" s="1"/>
  <c r="F3968" i="3" s="1"/>
  <c r="F3992" i="3" s="1"/>
  <c r="F4016" i="3" s="1"/>
  <c r="F4040" i="3" s="1"/>
  <c r="F4064" i="3" s="1"/>
  <c r="F4088" i="3" s="1"/>
  <c r="F4112" i="3" s="1"/>
  <c r="F4136" i="3" s="1"/>
  <c r="F2668" i="3"/>
  <c r="F2692" i="3" s="1"/>
  <c r="F2716" i="3" s="1"/>
  <c r="F2740" i="3" s="1"/>
  <c r="F2764" i="3" s="1"/>
  <c r="F2788" i="3" s="1"/>
  <c r="F2812" i="3" s="1"/>
  <c r="F2836" i="3" s="1"/>
  <c r="F2860" i="3" s="1"/>
  <c r="F2884" i="3" s="1"/>
  <c r="F2908" i="3" s="1"/>
  <c r="F2932" i="3" s="1"/>
  <c r="F2956" i="3" s="1"/>
  <c r="F2980" i="3" s="1"/>
  <c r="F3004" i="3" s="1"/>
  <c r="F3028" i="3" s="1"/>
  <c r="F3052" i="3" s="1"/>
  <c r="F3076" i="3" s="1"/>
  <c r="F3100" i="3" s="1"/>
  <c r="F3124" i="3" s="1"/>
  <c r="F3148" i="3" s="1"/>
  <c r="F3172" i="3" s="1"/>
  <c r="F3196" i="3" s="1"/>
  <c r="F3220" i="3" s="1"/>
  <c r="F3244" i="3" s="1"/>
  <c r="F3268" i="3" s="1"/>
  <c r="F3292" i="3" s="1"/>
  <c r="F3316" i="3" s="1"/>
  <c r="F3340" i="3" s="1"/>
  <c r="F3364" i="3" s="1"/>
  <c r="F3388" i="3" s="1"/>
  <c r="F3412" i="3" s="1"/>
  <c r="F3892" i="3"/>
  <c r="F3916" i="3" s="1"/>
  <c r="F3940" i="3" s="1"/>
  <c r="F3964" i="3" s="1"/>
  <c r="F3988" i="3" s="1"/>
  <c r="F4012" i="3" s="1"/>
  <c r="F4036" i="3" s="1"/>
  <c r="F4060" i="3" s="1"/>
  <c r="F4084" i="3" s="1"/>
  <c r="F4108" i="3" s="1"/>
  <c r="F4132" i="3" s="1"/>
  <c r="F4156" i="3" s="1"/>
  <c r="F4180" i="3" s="1"/>
  <c r="F4204" i="3" s="1"/>
  <c r="F4228" i="3" s="1"/>
  <c r="F4252" i="3" s="1"/>
  <c r="F4276" i="3" s="1"/>
  <c r="F4300" i="3" s="1"/>
  <c r="F4324" i="3" s="1"/>
  <c r="F4348" i="3" s="1"/>
  <c r="F4372" i="3" s="1"/>
  <c r="F4396" i="3" s="1"/>
  <c r="F4420" i="3" s="1"/>
  <c r="F4444" i="3" s="1"/>
  <c r="F4468" i="3" s="1"/>
  <c r="F4492" i="3" s="1"/>
  <c r="F4516" i="3" s="1"/>
  <c r="F4540" i="3" s="1"/>
  <c r="F4564" i="3" s="1"/>
  <c r="F4588" i="3" s="1"/>
  <c r="F4612" i="3" s="1"/>
  <c r="F4636" i="3" s="1"/>
  <c r="F4660" i="3" s="1"/>
  <c r="F4684" i="3" s="1"/>
  <c r="F4708" i="3" s="1"/>
  <c r="F4732" i="3" s="1"/>
  <c r="F4756" i="3" s="1"/>
  <c r="F4780" i="3" s="1"/>
  <c r="F4804" i="3" s="1"/>
  <c r="F4828" i="3" s="1"/>
  <c r="F4852" i="3" s="1"/>
  <c r="F4876" i="3" s="1"/>
  <c r="F4900" i="3" s="1"/>
  <c r="F4924" i="3" s="1"/>
  <c r="F4948" i="3" s="1"/>
  <c r="F4972" i="3" s="1"/>
  <c r="F4996" i="3" s="1"/>
  <c r="F5020" i="3" s="1"/>
  <c r="F5044" i="3" s="1"/>
  <c r="F5068" i="3" s="1"/>
  <c r="F5092" i="3" s="1"/>
  <c r="F5116" i="3" s="1"/>
  <c r="F5140" i="3" s="1"/>
  <c r="F5164" i="3" s="1"/>
  <c r="F5188" i="3" s="1"/>
  <c r="F5212" i="3" s="1"/>
  <c r="F5236" i="3" s="1"/>
  <c r="F5260" i="3" s="1"/>
  <c r="F5284" i="3" s="1"/>
  <c r="F5308" i="3" s="1"/>
  <c r="F5332" i="3" s="1"/>
  <c r="F5356" i="3" s="1"/>
  <c r="F5380" i="3" s="1"/>
  <c r="F5404" i="3" s="1"/>
  <c r="F5428" i="3" s="1"/>
  <c r="F5452" i="3" s="1"/>
  <c r="F5476" i="3" s="1"/>
  <c r="F5500" i="3" s="1"/>
  <c r="F5524" i="3" s="1"/>
  <c r="F5548" i="3" s="1"/>
  <c r="F5572" i="3" s="1"/>
  <c r="F5596" i="3" s="1"/>
  <c r="F5620" i="3" s="1"/>
  <c r="F5644" i="3" s="1"/>
  <c r="F5668" i="3" s="1"/>
  <c r="F5692" i="3" s="1"/>
  <c r="F5716" i="3" s="1"/>
  <c r="F5740" i="3" s="1"/>
  <c r="F5764" i="3" s="1"/>
  <c r="F5788" i="3" s="1"/>
  <c r="F5812" i="3" s="1"/>
  <c r="F5836" i="3" s="1"/>
  <c r="F5860" i="3" s="1"/>
  <c r="F5884" i="3" s="1"/>
  <c r="F5908" i="3" s="1"/>
  <c r="F5932" i="3" s="1"/>
  <c r="F5956" i="3" s="1"/>
  <c r="F5980" i="3" s="1"/>
  <c r="F6004" i="3" s="1"/>
  <c r="F6028" i="3" s="1"/>
  <c r="F6052" i="3" s="1"/>
  <c r="F6076" i="3" s="1"/>
  <c r="F6100" i="3" s="1"/>
  <c r="F6124" i="3" s="1"/>
  <c r="F6148" i="3" s="1"/>
  <c r="F6172" i="3" s="1"/>
  <c r="F6196" i="3" s="1"/>
  <c r="F6220" i="3" s="1"/>
  <c r="F6244" i="3" s="1"/>
  <c r="F6268" i="3" s="1"/>
  <c r="F6292" i="3" s="1"/>
  <c r="F6316" i="3" s="1"/>
  <c r="F6340" i="3" s="1"/>
  <c r="F6364" i="3" s="1"/>
  <c r="F6388" i="3" s="1"/>
  <c r="F6412" i="3" s="1"/>
  <c r="F6436" i="3" s="1"/>
  <c r="F6460" i="3" s="1"/>
  <c r="F6484" i="3" s="1"/>
  <c r="F6508" i="3" s="1"/>
  <c r="F6532" i="3" s="1"/>
  <c r="F6556" i="3" s="1"/>
  <c r="F6580" i="3" s="1"/>
  <c r="F6604" i="3" s="1"/>
  <c r="F6628" i="3" s="1"/>
  <c r="F6652" i="3" s="1"/>
  <c r="F6676" i="3" s="1"/>
  <c r="F6700" i="3" s="1"/>
  <c r="F6724" i="3" s="1"/>
  <c r="F6748" i="3" s="1"/>
  <c r="F6772" i="3" s="1"/>
  <c r="F6796" i="3" s="1"/>
  <c r="F6820" i="3" s="1"/>
  <c r="F6844" i="3" s="1"/>
  <c r="F6868" i="3" s="1"/>
  <c r="F6892" i="3" s="1"/>
  <c r="F6916" i="3" s="1"/>
  <c r="F6940" i="3" s="1"/>
  <c r="F6964" i="3" s="1"/>
  <c r="F6988" i="3" s="1"/>
  <c r="F7012" i="3" s="1"/>
  <c r="F7036" i="3" s="1"/>
  <c r="F7060" i="3" s="1"/>
  <c r="F7084" i="3" s="1"/>
  <c r="F7108" i="3" s="1"/>
  <c r="F7132" i="3" s="1"/>
  <c r="F7156" i="3" s="1"/>
  <c r="F7180" i="3" s="1"/>
  <c r="F7204" i="3" s="1"/>
  <c r="F7228" i="3" s="1"/>
  <c r="F7252" i="3" s="1"/>
  <c r="F7276" i="3" s="1"/>
  <c r="F7300" i="3" s="1"/>
  <c r="F7324" i="3" s="1"/>
  <c r="F7348" i="3" s="1"/>
  <c r="F7372" i="3" s="1"/>
  <c r="F7396" i="3" s="1"/>
  <c r="F7420" i="3" s="1"/>
  <c r="F7444" i="3" s="1"/>
  <c r="F7468" i="3" s="1"/>
  <c r="F7492" i="3" s="1"/>
  <c r="F7516" i="3" s="1"/>
  <c r="F7540" i="3" s="1"/>
  <c r="F7564" i="3" s="1"/>
  <c r="F7588" i="3" s="1"/>
  <c r="F7612" i="3" s="1"/>
  <c r="F7636" i="3" s="1"/>
  <c r="F7660" i="3" s="1"/>
  <c r="F7684" i="3" s="1"/>
  <c r="F7708" i="3" s="1"/>
  <c r="F7732" i="3" s="1"/>
  <c r="F7756" i="3" s="1"/>
  <c r="F7780" i="3" s="1"/>
  <c r="F7804" i="3" s="1"/>
  <c r="F7828" i="3" s="1"/>
  <c r="F7852" i="3" s="1"/>
  <c r="F7876" i="3" s="1"/>
  <c r="F7900" i="3" s="1"/>
  <c r="F7924" i="3" s="1"/>
  <c r="F7948" i="3" s="1"/>
  <c r="F8020" i="3" s="1"/>
  <c r="F8044" i="3" s="1"/>
  <c r="F8068" i="3" s="1"/>
  <c r="F8092" i="3" s="1"/>
  <c r="F8116" i="3" s="1"/>
  <c r="F8140" i="3" s="1"/>
  <c r="F8164" i="3" s="1"/>
  <c r="F8188" i="3" s="1"/>
  <c r="F8212" i="3" s="1"/>
  <c r="F8236" i="3" s="1"/>
  <c r="F8260" i="3" s="1"/>
  <c r="F8284" i="3" s="1"/>
  <c r="F8308" i="3" s="1"/>
  <c r="F8332" i="3" s="1"/>
  <c r="F8356" i="3" s="1"/>
  <c r="F8380" i="3" s="1"/>
  <c r="F8404" i="3" s="1"/>
  <c r="F8428" i="3" s="1"/>
  <c r="F8452" i="3" s="1"/>
  <c r="F8476" i="3" s="1"/>
  <c r="F8500" i="3" s="1"/>
  <c r="F8524" i="3" s="1"/>
  <c r="F8548" i="3" s="1"/>
  <c r="F8572" i="3" s="1"/>
  <c r="F8596" i="3" s="1"/>
  <c r="F8620" i="3" s="1"/>
  <c r="F8644" i="3" s="1"/>
  <c r="F8668" i="3" s="1"/>
  <c r="F8692" i="3" s="1"/>
  <c r="F8716" i="3" s="1"/>
  <c r="F8740" i="3" s="1"/>
  <c r="F8764" i="3" s="1"/>
  <c r="F8788" i="3" s="1"/>
  <c r="F8812" i="3" s="1"/>
  <c r="F8836" i="3" s="1"/>
  <c r="F8860" i="3" s="1"/>
  <c r="F8884" i="3" s="1"/>
  <c r="F8908" i="3" s="1"/>
  <c r="F8932" i="3" s="1"/>
  <c r="F8956" i="3" s="1"/>
  <c r="F8980" i="3" s="1"/>
  <c r="F9004" i="3" s="1"/>
  <c r="F9028" i="3" s="1"/>
  <c r="F9052" i="3" s="1"/>
  <c r="F9076" i="3" s="1"/>
  <c r="F9100" i="3" s="1"/>
  <c r="F9124" i="3" s="1"/>
  <c r="F9148" i="3" s="1"/>
  <c r="F9172" i="3" s="1"/>
  <c r="F9196" i="3" s="1"/>
  <c r="F9220" i="3" s="1"/>
  <c r="F9244" i="3" s="1"/>
  <c r="F9268" i="3" s="1"/>
  <c r="F9292" i="3" s="1"/>
  <c r="F9316" i="3" s="1"/>
  <c r="F9340" i="3" s="1"/>
  <c r="F9364" i="3" s="1"/>
  <c r="F9388" i="3" s="1"/>
  <c r="F9412" i="3" s="1"/>
  <c r="F9436" i="3" s="1"/>
  <c r="F9460" i="3" s="1"/>
  <c r="F9484" i="3" s="1"/>
  <c r="F9508" i="3" s="1"/>
  <c r="F9532" i="3" s="1"/>
  <c r="F9556" i="3" s="1"/>
  <c r="F9580" i="3" s="1"/>
  <c r="F9604" i="3" s="1"/>
  <c r="F9628" i="3" s="1"/>
  <c r="F9652" i="3" s="1"/>
  <c r="F9676" i="3" s="1"/>
  <c r="F9700" i="3" s="1"/>
  <c r="F9724" i="3" s="1"/>
  <c r="F9748" i="3" s="1"/>
  <c r="F1353" i="3"/>
  <c r="F1354" i="3"/>
  <c r="F1379" i="3" s="1"/>
  <c r="F1404" i="3" s="1"/>
  <c r="F1429" i="3" s="1"/>
  <c r="F1454" i="3" s="1"/>
  <c r="F1479" i="3" s="1"/>
  <c r="F1504" i="3" s="1"/>
  <c r="F1529" i="3" s="1"/>
  <c r="F1554" i="3" s="1"/>
  <c r="F1484" i="3" l="1"/>
  <c r="F1509" i="3" s="1"/>
  <c r="D213" i="23"/>
  <c r="V212" i="23"/>
  <c r="Y212" i="23" s="1"/>
  <c r="U212" i="23"/>
  <c r="W212" i="23"/>
  <c r="G224" i="23"/>
  <c r="X223" i="23"/>
  <c r="F1584" i="3"/>
  <c r="C181" i="1"/>
  <c r="F2382" i="3"/>
  <c r="F2406" i="3" s="1"/>
  <c r="F2430" i="3" s="1"/>
  <c r="F2454" i="3" s="1"/>
  <c r="F2478" i="3" s="1"/>
  <c r="F2502" i="3" s="1"/>
  <c r="F1440" i="3"/>
  <c r="F1488" i="3"/>
  <c r="F1556" i="3"/>
  <c r="F1581" i="3" s="1"/>
  <c r="F1656" i="3" s="1"/>
  <c r="F1508" i="3"/>
  <c r="F1533" i="3" s="1"/>
  <c r="F1608" i="3" s="1"/>
  <c r="F1416" i="3"/>
  <c r="F1368" i="3"/>
  <c r="F1604" i="3"/>
  <c r="F1629" i="3" s="1"/>
  <c r="F1704" i="3" s="1"/>
  <c r="F1532" i="3"/>
  <c r="F1557" i="3" s="1"/>
  <c r="F1632" i="3" s="1"/>
  <c r="F1580" i="3"/>
  <c r="F1605" i="3" s="1"/>
  <c r="F1680" i="3" s="1"/>
  <c r="F1464" i="3"/>
  <c r="F1392" i="3"/>
  <c r="F1436" i="3"/>
  <c r="F1461" i="3" s="1"/>
  <c r="F1536" i="3" s="1"/>
  <c r="F1460" i="3"/>
  <c r="F1485" i="3" s="1"/>
  <c r="F1560" i="3" s="1"/>
  <c r="F1412" i="3"/>
  <c r="F1437" i="3" s="1"/>
  <c r="F1512" i="3" s="1"/>
  <c r="F3436" i="3"/>
  <c r="F3460" i="3" s="1"/>
  <c r="F3484" i="3" s="1"/>
  <c r="F3508" i="3" s="1"/>
  <c r="F3532" i="3" s="1"/>
  <c r="F1378" i="3"/>
  <c r="F1403" i="3" s="1"/>
  <c r="F1428" i="3" s="1"/>
  <c r="F1453" i="3" s="1"/>
  <c r="F1478" i="3" s="1"/>
  <c r="F1503" i="3" s="1"/>
  <c r="F1528" i="3" s="1"/>
  <c r="F1553" i="3" s="1"/>
  <c r="F1578" i="3" s="1"/>
  <c r="F1628" i="3" s="1"/>
  <c r="F1653" i="3" s="1"/>
  <c r="F1728" i="3" s="1"/>
  <c r="F1377" i="3"/>
  <c r="G225" i="23" l="1"/>
  <c r="X224" i="23"/>
  <c r="W213" i="23"/>
  <c r="U213" i="23"/>
  <c r="D214" i="23"/>
  <c r="V213" i="23"/>
  <c r="Y213" i="23" s="1"/>
  <c r="C182" i="1"/>
  <c r="F2526" i="3"/>
  <c r="F2550" i="3" s="1"/>
  <c r="F2574" i="3" s="1"/>
  <c r="F2598" i="3" s="1"/>
  <c r="F2622" i="3" s="1"/>
  <c r="F2646" i="3" s="1"/>
  <c r="F2670" i="3" s="1"/>
  <c r="F1402" i="3"/>
  <c r="F1427" i="3" s="1"/>
  <c r="F1452" i="3" s="1"/>
  <c r="F1477" i="3" s="1"/>
  <c r="F1502" i="3" s="1"/>
  <c r="F1527" i="3" s="1"/>
  <c r="F1552" i="3" s="1"/>
  <c r="F1577" i="3" s="1"/>
  <c r="F1602" i="3" s="1"/>
  <c r="F1652" i="3" s="1"/>
  <c r="F1677" i="3" s="1"/>
  <c r="F1752" i="3" s="1"/>
  <c r="F1401" i="3"/>
  <c r="D215" i="23" l="1"/>
  <c r="V214" i="23"/>
  <c r="Y214" i="23" s="1"/>
  <c r="W214" i="23"/>
  <c r="U214" i="23"/>
  <c r="G226" i="23"/>
  <c r="X225" i="23"/>
  <c r="C183" i="1"/>
  <c r="F2694" i="3"/>
  <c r="F2718" i="3" s="1"/>
  <c r="F2742" i="3" s="1"/>
  <c r="F2766" i="3" s="1"/>
  <c r="F2790" i="3" s="1"/>
  <c r="F1426" i="3"/>
  <c r="F1451" i="3" s="1"/>
  <c r="F1476" i="3" s="1"/>
  <c r="F1501" i="3" s="1"/>
  <c r="F1526" i="3" s="1"/>
  <c r="F1551" i="3" s="1"/>
  <c r="F1576" i="3" s="1"/>
  <c r="F1601" i="3" s="1"/>
  <c r="F1626" i="3" s="1"/>
  <c r="F1676" i="3" s="1"/>
  <c r="F1701" i="3" s="1"/>
  <c r="F1776" i="3" s="1"/>
  <c r="F1425" i="3"/>
  <c r="G227" i="23" l="1"/>
  <c r="X226" i="23"/>
  <c r="U215" i="23"/>
  <c r="W215" i="23"/>
  <c r="D216" i="23"/>
  <c r="V215" i="23"/>
  <c r="Y215" i="23" s="1"/>
  <c r="C184" i="1"/>
  <c r="F2814" i="3"/>
  <c r="F2838" i="3" s="1"/>
  <c r="F2862" i="3" s="1"/>
  <c r="F2886" i="3" s="1"/>
  <c r="F2910" i="3" s="1"/>
  <c r="F2934" i="3" s="1"/>
  <c r="F2958" i="3" s="1"/>
  <c r="F2982" i="3" s="1"/>
  <c r="F3006" i="3" s="1"/>
  <c r="F3030" i="3" s="1"/>
  <c r="F3054" i="3" s="1"/>
  <c r="F3078" i="3" s="1"/>
  <c r="F3102" i="3" s="1"/>
  <c r="F3126" i="3" s="1"/>
  <c r="F3150" i="3" s="1"/>
  <c r="F3174" i="3" s="1"/>
  <c r="F3198" i="3" s="1"/>
  <c r="F3222" i="3" s="1"/>
  <c r="F3246" i="3" s="1"/>
  <c r="F3270" i="3" s="1"/>
  <c r="F3294" i="3" s="1"/>
  <c r="F3318" i="3" s="1"/>
  <c r="F3342" i="3" s="1"/>
  <c r="F1450" i="3"/>
  <c r="F1475" i="3" s="1"/>
  <c r="F1500" i="3" s="1"/>
  <c r="F1525" i="3" s="1"/>
  <c r="F1550" i="3" s="1"/>
  <c r="F1575" i="3" s="1"/>
  <c r="F1600" i="3" s="1"/>
  <c r="F1625" i="3" s="1"/>
  <c r="F1650" i="3" s="1"/>
  <c r="F1700" i="3" s="1"/>
  <c r="F1725" i="3" s="1"/>
  <c r="F1800" i="3" s="1"/>
  <c r="F1449" i="3"/>
  <c r="D217" i="23" l="1"/>
  <c r="V216" i="23"/>
  <c r="Y216" i="23" s="1"/>
  <c r="U216" i="23"/>
  <c r="W216" i="23"/>
  <c r="G228" i="23"/>
  <c r="X227" i="23"/>
  <c r="C185" i="1"/>
  <c r="F1474" i="3"/>
  <c r="F1499" i="3" s="1"/>
  <c r="F1524" i="3" s="1"/>
  <c r="F1549" i="3" s="1"/>
  <c r="F1574" i="3" s="1"/>
  <c r="F1599" i="3" s="1"/>
  <c r="F1624" i="3" s="1"/>
  <c r="F1649" i="3" s="1"/>
  <c r="F1674" i="3" s="1"/>
  <c r="F1724" i="3" s="1"/>
  <c r="F1749" i="3" s="1"/>
  <c r="F1824" i="3" s="1"/>
  <c r="F1473" i="3"/>
  <c r="G229" i="23" l="1"/>
  <c r="X228" i="23"/>
  <c r="W217" i="23"/>
  <c r="U217" i="23"/>
  <c r="D218" i="23"/>
  <c r="V217" i="23"/>
  <c r="Y217" i="23" s="1"/>
  <c r="C186" i="1"/>
  <c r="F1498" i="3"/>
  <c r="F1523" i="3" s="1"/>
  <c r="F1548" i="3" s="1"/>
  <c r="F1573" i="3" s="1"/>
  <c r="F1598" i="3" s="1"/>
  <c r="F1623" i="3" s="1"/>
  <c r="F1648" i="3" s="1"/>
  <c r="F1673" i="3" s="1"/>
  <c r="F1698" i="3" s="1"/>
  <c r="F1748" i="3" s="1"/>
  <c r="F1773" i="3" s="1"/>
  <c r="F1848" i="3" s="1"/>
  <c r="F1497" i="3"/>
  <c r="D219" i="23" l="1"/>
  <c r="V218" i="23"/>
  <c r="Y218" i="23" s="1"/>
  <c r="W218" i="23"/>
  <c r="U218" i="23"/>
  <c r="G230" i="23"/>
  <c r="X229" i="23"/>
  <c r="C187" i="1"/>
  <c r="F1522" i="3"/>
  <c r="F1547" i="3" s="1"/>
  <c r="F1572" i="3" s="1"/>
  <c r="F1597" i="3" s="1"/>
  <c r="F1622" i="3" s="1"/>
  <c r="F1647" i="3" s="1"/>
  <c r="F1672" i="3" s="1"/>
  <c r="F1697" i="3" s="1"/>
  <c r="F1722" i="3" s="1"/>
  <c r="F1772" i="3" s="1"/>
  <c r="F1797" i="3" s="1"/>
  <c r="F1872" i="3" s="1"/>
  <c r="F1521" i="3"/>
  <c r="G231" i="23" l="1"/>
  <c r="X230" i="23"/>
  <c r="U219" i="23"/>
  <c r="W219" i="23"/>
  <c r="D220" i="23"/>
  <c r="V219" i="23"/>
  <c r="Y219" i="23" s="1"/>
  <c r="C188" i="1"/>
  <c r="F1546" i="3"/>
  <c r="F1571" i="3" s="1"/>
  <c r="F1596" i="3" s="1"/>
  <c r="F1621" i="3" s="1"/>
  <c r="F1646" i="3" s="1"/>
  <c r="F1671" i="3" s="1"/>
  <c r="F1696" i="3" s="1"/>
  <c r="F1721" i="3" s="1"/>
  <c r="F1746" i="3" s="1"/>
  <c r="F1796" i="3" s="1"/>
  <c r="F1821" i="3" s="1"/>
  <c r="F1896" i="3" s="1"/>
  <c r="F1545" i="3"/>
  <c r="D221" i="23" l="1"/>
  <c r="V220" i="23"/>
  <c r="Y220" i="23" s="1"/>
  <c r="U220" i="23"/>
  <c r="W220" i="23"/>
  <c r="G232" i="23"/>
  <c r="X231" i="23"/>
  <c r="C189" i="1"/>
  <c r="F1570" i="3"/>
  <c r="F1595" i="3" s="1"/>
  <c r="F1620" i="3" s="1"/>
  <c r="F1645" i="3" s="1"/>
  <c r="F1670" i="3" s="1"/>
  <c r="F1695" i="3" s="1"/>
  <c r="F1720" i="3" s="1"/>
  <c r="F1745" i="3" s="1"/>
  <c r="F1770" i="3" s="1"/>
  <c r="F1820" i="3" s="1"/>
  <c r="F1845" i="3" s="1"/>
  <c r="F1920" i="3" s="1"/>
  <c r="F1569" i="3"/>
  <c r="G233" i="23" l="1"/>
  <c r="X232" i="23"/>
  <c r="W221" i="23"/>
  <c r="U221" i="23"/>
  <c r="D222" i="23"/>
  <c r="V221" i="23"/>
  <c r="Y221" i="23" s="1"/>
  <c r="C190" i="1"/>
  <c r="F1593" i="3"/>
  <c r="F1594" i="3"/>
  <c r="F1619" i="3" s="1"/>
  <c r="F1644" i="3" s="1"/>
  <c r="F1669" i="3" s="1"/>
  <c r="F1694" i="3" s="1"/>
  <c r="F1719" i="3" s="1"/>
  <c r="F1744" i="3" s="1"/>
  <c r="F1769" i="3" s="1"/>
  <c r="F1794" i="3" s="1"/>
  <c r="F1844" i="3" s="1"/>
  <c r="F1869" i="3" s="1"/>
  <c r="F1944" i="3" s="1"/>
  <c r="D223" i="23" l="1"/>
  <c r="V222" i="23"/>
  <c r="Y222" i="23" s="1"/>
  <c r="W222" i="23"/>
  <c r="U222" i="23"/>
  <c r="G234" i="23"/>
  <c r="X233" i="23"/>
  <c r="C191" i="1"/>
  <c r="F1617" i="3"/>
  <c r="F1618" i="3"/>
  <c r="F1643" i="3" s="1"/>
  <c r="F1668" i="3" s="1"/>
  <c r="F1693" i="3" s="1"/>
  <c r="F1718" i="3" s="1"/>
  <c r="F1743" i="3" s="1"/>
  <c r="F1768" i="3" s="1"/>
  <c r="F1793" i="3" s="1"/>
  <c r="F1818" i="3" s="1"/>
  <c r="F1868" i="3" s="1"/>
  <c r="F1893" i="3" s="1"/>
  <c r="F1968" i="3" s="1"/>
  <c r="X234" i="23" l="1"/>
  <c r="G235" i="23"/>
  <c r="U223" i="23"/>
  <c r="W223" i="23"/>
  <c r="D224" i="23"/>
  <c r="V223" i="23"/>
  <c r="Y223" i="23" s="1"/>
  <c r="C192" i="1"/>
  <c r="Q191" i="1"/>
  <c r="F1641" i="3"/>
  <c r="F1642" i="3"/>
  <c r="F1667" i="3" s="1"/>
  <c r="F1692" i="3" s="1"/>
  <c r="F1717" i="3" s="1"/>
  <c r="F1742" i="3" s="1"/>
  <c r="F1767" i="3" s="1"/>
  <c r="F1792" i="3" s="1"/>
  <c r="F1817" i="3" s="1"/>
  <c r="F1842" i="3" s="1"/>
  <c r="F1892" i="3" s="1"/>
  <c r="F1917" i="3" s="1"/>
  <c r="F1992" i="3" s="1"/>
  <c r="G236" i="23" l="1"/>
  <c r="X235" i="23"/>
  <c r="D225" i="23"/>
  <c r="V224" i="23"/>
  <c r="Y224" i="23" s="1"/>
  <c r="U224" i="23"/>
  <c r="W224" i="23"/>
  <c r="C193" i="1"/>
  <c r="Q192" i="1"/>
  <c r="F1665" i="3"/>
  <c r="F1666" i="3"/>
  <c r="F1691" i="3" s="1"/>
  <c r="F1716" i="3" s="1"/>
  <c r="F1741" i="3" s="1"/>
  <c r="F1766" i="3" s="1"/>
  <c r="F1791" i="3" s="1"/>
  <c r="F1816" i="3" s="1"/>
  <c r="F1841" i="3" s="1"/>
  <c r="F1866" i="3" s="1"/>
  <c r="F1916" i="3" s="1"/>
  <c r="F1941" i="3" s="1"/>
  <c r="F2016" i="3" s="1"/>
  <c r="W225" i="23" l="1"/>
  <c r="U225" i="23"/>
  <c r="D226" i="23"/>
  <c r="V225" i="23"/>
  <c r="Y225" i="23" s="1"/>
  <c r="G237" i="23"/>
  <c r="X236" i="23"/>
  <c r="C194" i="1"/>
  <c r="Q193" i="1"/>
  <c r="F1690" i="3"/>
  <c r="F1715" i="3" s="1"/>
  <c r="F1740" i="3" s="1"/>
  <c r="F1765" i="3" s="1"/>
  <c r="F1790" i="3" s="1"/>
  <c r="F1815" i="3" s="1"/>
  <c r="F1840" i="3" s="1"/>
  <c r="F1865" i="3" s="1"/>
  <c r="F1890" i="3" s="1"/>
  <c r="F1940" i="3" s="1"/>
  <c r="F1965" i="3" s="1"/>
  <c r="F2040" i="3" s="1"/>
  <c r="F1689" i="3"/>
  <c r="D227" i="23" l="1"/>
  <c r="V226" i="23"/>
  <c r="Y226" i="23" s="1"/>
  <c r="W226" i="23"/>
  <c r="U226" i="23"/>
  <c r="G238" i="23"/>
  <c r="X237" i="23"/>
  <c r="C195" i="1"/>
  <c r="Q194" i="1"/>
  <c r="F1714" i="3"/>
  <c r="F1739" i="3" s="1"/>
  <c r="F1764" i="3" s="1"/>
  <c r="F1789" i="3" s="1"/>
  <c r="F1814" i="3" s="1"/>
  <c r="F1839" i="3" s="1"/>
  <c r="F1864" i="3" s="1"/>
  <c r="F1889" i="3" s="1"/>
  <c r="F1914" i="3" s="1"/>
  <c r="F1964" i="3" s="1"/>
  <c r="F1989" i="3" s="1"/>
  <c r="F2064" i="3" s="1"/>
  <c r="F1713" i="3"/>
  <c r="G239" i="23" l="1"/>
  <c r="X238" i="23"/>
  <c r="U227" i="23"/>
  <c r="W227" i="23"/>
  <c r="D228" i="23"/>
  <c r="V227" i="23"/>
  <c r="Y227" i="23" s="1"/>
  <c r="C196" i="1"/>
  <c r="Q195" i="1"/>
  <c r="F1738" i="3"/>
  <c r="F1763" i="3" s="1"/>
  <c r="F1788" i="3" s="1"/>
  <c r="F1813" i="3" s="1"/>
  <c r="F1838" i="3" s="1"/>
  <c r="F1863" i="3" s="1"/>
  <c r="F1888" i="3" s="1"/>
  <c r="F1913" i="3" s="1"/>
  <c r="F1938" i="3" s="1"/>
  <c r="F1988" i="3" s="1"/>
  <c r="F2013" i="3" s="1"/>
  <c r="F2088" i="3" s="1"/>
  <c r="F1737" i="3"/>
  <c r="D229" i="23" l="1"/>
  <c r="V228" i="23"/>
  <c r="Y228" i="23" s="1"/>
  <c r="U228" i="23"/>
  <c r="W228" i="23"/>
  <c r="G240" i="23"/>
  <c r="X239" i="23"/>
  <c r="C197" i="1"/>
  <c r="Q196" i="1"/>
  <c r="F1761" i="3"/>
  <c r="F1762" i="3"/>
  <c r="F1787" i="3" s="1"/>
  <c r="F1812" i="3" s="1"/>
  <c r="F1837" i="3" s="1"/>
  <c r="F1862" i="3" s="1"/>
  <c r="F1887" i="3" s="1"/>
  <c r="F1912" i="3" s="1"/>
  <c r="F1937" i="3" s="1"/>
  <c r="F1962" i="3" s="1"/>
  <c r="F2012" i="3" s="1"/>
  <c r="F2037" i="3" s="1"/>
  <c r="F2112" i="3" s="1"/>
  <c r="G241" i="23" l="1"/>
  <c r="X240" i="23"/>
  <c r="W229" i="23"/>
  <c r="U229" i="23"/>
  <c r="D230" i="23"/>
  <c r="V229" i="23"/>
  <c r="Y229" i="23" s="1"/>
  <c r="C198" i="1"/>
  <c r="Q197" i="1"/>
  <c r="F1786" i="3"/>
  <c r="F1811" i="3" s="1"/>
  <c r="F1836" i="3" s="1"/>
  <c r="F1861" i="3" s="1"/>
  <c r="F1886" i="3" s="1"/>
  <c r="F1911" i="3" s="1"/>
  <c r="F1936" i="3" s="1"/>
  <c r="F1961" i="3" s="1"/>
  <c r="F1986" i="3" s="1"/>
  <c r="F2036" i="3" s="1"/>
  <c r="F2061" i="3" s="1"/>
  <c r="F2136" i="3" s="1"/>
  <c r="F1785" i="3"/>
  <c r="D231" i="23" l="1"/>
  <c r="V230" i="23"/>
  <c r="Y230" i="23" s="1"/>
  <c r="W230" i="23"/>
  <c r="U230" i="23"/>
  <c r="G242" i="23"/>
  <c r="X241" i="23"/>
  <c r="C199" i="1"/>
  <c r="Q198" i="1"/>
  <c r="F1810" i="3"/>
  <c r="F1835" i="3" s="1"/>
  <c r="F1860" i="3" s="1"/>
  <c r="F1885" i="3" s="1"/>
  <c r="F1910" i="3" s="1"/>
  <c r="F1935" i="3" s="1"/>
  <c r="F1960" i="3" s="1"/>
  <c r="F1985" i="3" s="1"/>
  <c r="F2010" i="3" s="1"/>
  <c r="F2060" i="3" s="1"/>
  <c r="F2085" i="3" s="1"/>
  <c r="F2160" i="3" s="1"/>
  <c r="F1809" i="3"/>
  <c r="G243" i="23" l="1"/>
  <c r="X242" i="23"/>
  <c r="U231" i="23"/>
  <c r="W231" i="23"/>
  <c r="D232" i="23"/>
  <c r="V231" i="23"/>
  <c r="Y231" i="23" s="1"/>
  <c r="C200" i="1"/>
  <c r="Q199" i="1"/>
  <c r="F1834" i="3"/>
  <c r="F1859" i="3" s="1"/>
  <c r="F1884" i="3" s="1"/>
  <c r="F1909" i="3" s="1"/>
  <c r="F1934" i="3" s="1"/>
  <c r="F1959" i="3" s="1"/>
  <c r="F1984" i="3" s="1"/>
  <c r="F2009" i="3" s="1"/>
  <c r="F2034" i="3" s="1"/>
  <c r="F2084" i="3" s="1"/>
  <c r="F2109" i="3" s="1"/>
  <c r="F2184" i="3" s="1"/>
  <c r="F1833" i="3"/>
  <c r="D233" i="23" l="1"/>
  <c r="V232" i="23"/>
  <c r="Y232" i="23" s="1"/>
  <c r="W232" i="23"/>
  <c r="G244" i="23"/>
  <c r="X243" i="23"/>
  <c r="C201" i="1"/>
  <c r="Q200" i="1"/>
  <c r="F1857" i="3"/>
  <c r="F1858" i="3"/>
  <c r="F1883" i="3" s="1"/>
  <c r="F1908" i="3" s="1"/>
  <c r="F1933" i="3" s="1"/>
  <c r="F1958" i="3" s="1"/>
  <c r="F1983" i="3" s="1"/>
  <c r="F2008" i="3" s="1"/>
  <c r="F2033" i="3" s="1"/>
  <c r="F2058" i="3" s="1"/>
  <c r="F2108" i="3" s="1"/>
  <c r="F2133" i="3" s="1"/>
  <c r="F2208" i="3" s="1"/>
  <c r="G245" i="23" l="1"/>
  <c r="X244" i="23"/>
  <c r="W233" i="23"/>
  <c r="D234" i="23"/>
  <c r="U233" i="23"/>
  <c r="V233" i="23"/>
  <c r="Y233" i="23" s="1"/>
  <c r="C202" i="1"/>
  <c r="Q201" i="1"/>
  <c r="F1881" i="3"/>
  <c r="F1882" i="3"/>
  <c r="F1907" i="3" s="1"/>
  <c r="F1932" i="3" s="1"/>
  <c r="F1957" i="3" s="1"/>
  <c r="F1982" i="3" s="1"/>
  <c r="F2007" i="3" s="1"/>
  <c r="F2032" i="3" s="1"/>
  <c r="F2057" i="3" s="1"/>
  <c r="F2082" i="3" s="1"/>
  <c r="F2132" i="3" s="1"/>
  <c r="F2157" i="3" s="1"/>
  <c r="F2232" i="3" s="1"/>
  <c r="W234" i="23" l="1"/>
  <c r="U234" i="23"/>
  <c r="V234" i="23"/>
  <c r="Y234" i="23" s="1"/>
  <c r="D235" i="23"/>
  <c r="G246" i="23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X245" i="23"/>
  <c r="C203" i="1"/>
  <c r="Q202" i="1"/>
  <c r="F1906" i="3"/>
  <c r="F1931" i="3" s="1"/>
  <c r="F1956" i="3" s="1"/>
  <c r="F1981" i="3" s="1"/>
  <c r="F2006" i="3" s="1"/>
  <c r="F2031" i="3" s="1"/>
  <c r="F2056" i="3" s="1"/>
  <c r="F2081" i="3" s="1"/>
  <c r="F2106" i="3" s="1"/>
  <c r="F2156" i="3" s="1"/>
  <c r="F2181" i="3" s="1"/>
  <c r="F2256" i="3" s="1"/>
  <c r="F1905" i="3"/>
  <c r="D236" i="23" l="1"/>
  <c r="V235" i="23"/>
  <c r="Y235" i="23" s="1"/>
  <c r="U235" i="23"/>
  <c r="W235" i="23"/>
  <c r="G401" i="23"/>
  <c r="G402" i="23" s="1"/>
  <c r="G403" i="23" s="1"/>
  <c r="G404" i="23" s="1"/>
  <c r="G405" i="23" s="1"/>
  <c r="T401" i="23"/>
  <c r="C204" i="1"/>
  <c r="Q203" i="1"/>
  <c r="F1930" i="3"/>
  <c r="F1955" i="3" s="1"/>
  <c r="F1980" i="3" s="1"/>
  <c r="F2005" i="3" s="1"/>
  <c r="F2030" i="3" s="1"/>
  <c r="F2055" i="3" s="1"/>
  <c r="F2080" i="3" s="1"/>
  <c r="F2105" i="3" s="1"/>
  <c r="F2130" i="3" s="1"/>
  <c r="F2180" i="3" s="1"/>
  <c r="F2205" i="3" s="1"/>
  <c r="F2280" i="3" s="1"/>
  <c r="F1929" i="3"/>
  <c r="U236" i="23" l="1"/>
  <c r="W236" i="23"/>
  <c r="D237" i="23"/>
  <c r="V236" i="23"/>
  <c r="Y236" i="23" s="1"/>
  <c r="Q204" i="1"/>
  <c r="C205" i="1"/>
  <c r="F1953" i="3"/>
  <c r="F1954" i="3"/>
  <c r="F1979" i="3" s="1"/>
  <c r="F2004" i="3" s="1"/>
  <c r="F2029" i="3" s="1"/>
  <c r="F2054" i="3" s="1"/>
  <c r="F2079" i="3" s="1"/>
  <c r="F2104" i="3" s="1"/>
  <c r="F2129" i="3" s="1"/>
  <c r="F2154" i="3" s="1"/>
  <c r="F2204" i="3" s="1"/>
  <c r="F2229" i="3" s="1"/>
  <c r="F2304" i="3" s="1"/>
  <c r="W237" i="23" l="1"/>
  <c r="D238" i="23"/>
  <c r="V237" i="23"/>
  <c r="Y237" i="23" s="1"/>
  <c r="U237" i="23"/>
  <c r="C206" i="1"/>
  <c r="Q205" i="1"/>
  <c r="F1977" i="3"/>
  <c r="F1978" i="3"/>
  <c r="F2003" i="3" s="1"/>
  <c r="F2028" i="3" s="1"/>
  <c r="F2053" i="3" s="1"/>
  <c r="F2078" i="3" s="1"/>
  <c r="F2103" i="3" s="1"/>
  <c r="F2128" i="3" s="1"/>
  <c r="F2153" i="3" s="1"/>
  <c r="F2178" i="3" s="1"/>
  <c r="F2228" i="3" s="1"/>
  <c r="F2253" i="3" s="1"/>
  <c r="F2328" i="3" s="1"/>
  <c r="W238" i="23" l="1"/>
  <c r="D239" i="23"/>
  <c r="V238" i="23"/>
  <c r="Y238" i="23" s="1"/>
  <c r="U238" i="23"/>
  <c r="C207" i="1"/>
  <c r="Q206" i="1"/>
  <c r="F2001" i="3"/>
  <c r="F2002" i="3"/>
  <c r="F2027" i="3" s="1"/>
  <c r="F2052" i="3" s="1"/>
  <c r="F2077" i="3" s="1"/>
  <c r="F2102" i="3" s="1"/>
  <c r="F2127" i="3" s="1"/>
  <c r="F2152" i="3" s="1"/>
  <c r="F2177" i="3" s="1"/>
  <c r="F2202" i="3" s="1"/>
  <c r="F2252" i="3" s="1"/>
  <c r="F2277" i="3" s="1"/>
  <c r="F2352" i="3" s="1"/>
  <c r="D240" i="23" l="1"/>
  <c r="V239" i="23"/>
  <c r="Y239" i="23" s="1"/>
  <c r="U239" i="23"/>
  <c r="W239" i="23"/>
  <c r="C208" i="1"/>
  <c r="Q207" i="1"/>
  <c r="F2025" i="3"/>
  <c r="F2026" i="3"/>
  <c r="F2051" i="3" s="1"/>
  <c r="F2076" i="3" s="1"/>
  <c r="F2101" i="3" s="1"/>
  <c r="F2126" i="3" s="1"/>
  <c r="F2151" i="3" s="1"/>
  <c r="F2176" i="3" s="1"/>
  <c r="F2201" i="3" s="1"/>
  <c r="F2226" i="3" s="1"/>
  <c r="F2276" i="3" s="1"/>
  <c r="F2301" i="3" s="1"/>
  <c r="F2376" i="3" s="1"/>
  <c r="U240" i="23" l="1"/>
  <c r="W240" i="23"/>
  <c r="D241" i="23"/>
  <c r="V240" i="23"/>
  <c r="Y240" i="23" s="1"/>
  <c r="C209" i="1"/>
  <c r="Q208" i="1"/>
  <c r="F2049" i="3"/>
  <c r="F2050" i="3"/>
  <c r="F2075" i="3" s="1"/>
  <c r="F2100" i="3" s="1"/>
  <c r="F2125" i="3" s="1"/>
  <c r="F2150" i="3" s="1"/>
  <c r="F2175" i="3" s="1"/>
  <c r="F2200" i="3" s="1"/>
  <c r="F2225" i="3" s="1"/>
  <c r="F2250" i="3" s="1"/>
  <c r="F2300" i="3" s="1"/>
  <c r="F2325" i="3" s="1"/>
  <c r="F2400" i="3" s="1"/>
  <c r="W241" i="23" l="1"/>
  <c r="D242" i="23"/>
  <c r="V241" i="23"/>
  <c r="Y241" i="23" s="1"/>
  <c r="U241" i="23"/>
  <c r="C210" i="1"/>
  <c r="Q209" i="1"/>
  <c r="F2073" i="3"/>
  <c r="F2074" i="3"/>
  <c r="F2099" i="3" s="1"/>
  <c r="F2124" i="3" s="1"/>
  <c r="F2149" i="3" s="1"/>
  <c r="F2174" i="3" s="1"/>
  <c r="F2199" i="3" s="1"/>
  <c r="F2224" i="3" s="1"/>
  <c r="F2249" i="3" s="1"/>
  <c r="F2274" i="3" s="1"/>
  <c r="F2324" i="3" s="1"/>
  <c r="F2349" i="3" s="1"/>
  <c r="F2424" i="3" s="1"/>
  <c r="W242" i="23" l="1"/>
  <c r="D243" i="23"/>
  <c r="V242" i="23"/>
  <c r="Y242" i="23" s="1"/>
  <c r="U242" i="23"/>
  <c r="C211" i="1"/>
  <c r="Q210" i="1"/>
  <c r="F2098" i="3"/>
  <c r="F2123" i="3" s="1"/>
  <c r="F2148" i="3" s="1"/>
  <c r="F2173" i="3" s="1"/>
  <c r="F2198" i="3" s="1"/>
  <c r="F2223" i="3" s="1"/>
  <c r="F2248" i="3" s="1"/>
  <c r="F2273" i="3" s="1"/>
  <c r="F2298" i="3" s="1"/>
  <c r="F2348" i="3" s="1"/>
  <c r="F2373" i="3" s="1"/>
  <c r="F2448" i="3" s="1"/>
  <c r="F2097" i="3"/>
  <c r="D244" i="23" l="1"/>
  <c r="V243" i="23"/>
  <c r="Y243" i="23" s="1"/>
  <c r="U243" i="23"/>
  <c r="W243" i="23"/>
  <c r="C212" i="1"/>
  <c r="Q211" i="1"/>
  <c r="F2121" i="3"/>
  <c r="F2122" i="3"/>
  <c r="F2147" i="3" s="1"/>
  <c r="F2172" i="3" s="1"/>
  <c r="F2197" i="3" s="1"/>
  <c r="F2222" i="3" s="1"/>
  <c r="F2247" i="3" s="1"/>
  <c r="F2272" i="3" s="1"/>
  <c r="F2297" i="3" s="1"/>
  <c r="F2322" i="3" s="1"/>
  <c r="F2372" i="3" s="1"/>
  <c r="F2397" i="3" s="1"/>
  <c r="F2472" i="3" s="1"/>
  <c r="U244" i="23" l="1"/>
  <c r="W244" i="23"/>
  <c r="D245" i="23"/>
  <c r="V244" i="23"/>
  <c r="Y244" i="23" s="1"/>
  <c r="Q212" i="1"/>
  <c r="C213" i="1"/>
  <c r="F2145" i="3"/>
  <c r="F2146" i="3"/>
  <c r="F2171" i="3" s="1"/>
  <c r="F2196" i="3" s="1"/>
  <c r="F2221" i="3" s="1"/>
  <c r="F2246" i="3" s="1"/>
  <c r="F2271" i="3" s="1"/>
  <c r="F2296" i="3" s="1"/>
  <c r="F2321" i="3" s="1"/>
  <c r="F2346" i="3" s="1"/>
  <c r="F2396" i="3" s="1"/>
  <c r="F2421" i="3" s="1"/>
  <c r="F2496" i="3" s="1"/>
  <c r="W245" i="23" l="1"/>
  <c r="D246" i="23"/>
  <c r="V245" i="23"/>
  <c r="Y245" i="23" s="1"/>
  <c r="U245" i="23"/>
  <c r="C214" i="1"/>
  <c r="Q213" i="1"/>
  <c r="F2170" i="3"/>
  <c r="F2195" i="3" s="1"/>
  <c r="F2220" i="3" s="1"/>
  <c r="F2245" i="3" s="1"/>
  <c r="F2270" i="3" s="1"/>
  <c r="F2295" i="3" s="1"/>
  <c r="F2320" i="3" s="1"/>
  <c r="F2345" i="3" s="1"/>
  <c r="F2370" i="3" s="1"/>
  <c r="F2420" i="3" s="1"/>
  <c r="F2445" i="3" s="1"/>
  <c r="F2520" i="3" s="1"/>
  <c r="F2169" i="3"/>
  <c r="V246" i="23" l="1"/>
  <c r="Y246" i="23" s="1"/>
  <c r="D247" i="23"/>
  <c r="U246" i="23"/>
  <c r="C215" i="1"/>
  <c r="Q214" i="1"/>
  <c r="F2194" i="3"/>
  <c r="F2219" i="3" s="1"/>
  <c r="F2244" i="3" s="1"/>
  <c r="F2269" i="3" s="1"/>
  <c r="F2294" i="3" s="1"/>
  <c r="F2319" i="3" s="1"/>
  <c r="F2344" i="3" s="1"/>
  <c r="F2369" i="3" s="1"/>
  <c r="F2394" i="3" s="1"/>
  <c r="F2444" i="3" s="1"/>
  <c r="F2469" i="3" s="1"/>
  <c r="F2544" i="3" s="1"/>
  <c r="F2193" i="3"/>
  <c r="V247" i="23" l="1"/>
  <c r="Y247" i="23" s="1"/>
  <c r="D248" i="23"/>
  <c r="U247" i="23"/>
  <c r="C216" i="1"/>
  <c r="Q215" i="1"/>
  <c r="F2218" i="3"/>
  <c r="F2243" i="3" s="1"/>
  <c r="F2268" i="3" s="1"/>
  <c r="F2293" i="3" s="1"/>
  <c r="F2318" i="3" s="1"/>
  <c r="F2343" i="3" s="1"/>
  <c r="F2368" i="3" s="1"/>
  <c r="F2393" i="3" s="1"/>
  <c r="F2418" i="3" s="1"/>
  <c r="F2468" i="3" s="1"/>
  <c r="F2493" i="3" s="1"/>
  <c r="F2568" i="3" s="1"/>
  <c r="F2217" i="3"/>
  <c r="V248" i="23" l="1"/>
  <c r="Y248" i="23" s="1"/>
  <c r="D249" i="23"/>
  <c r="U248" i="23"/>
  <c r="C217" i="1"/>
  <c r="Q216" i="1"/>
  <c r="F2242" i="3"/>
  <c r="F2267" i="3" s="1"/>
  <c r="F2292" i="3" s="1"/>
  <c r="F2317" i="3" s="1"/>
  <c r="F2342" i="3" s="1"/>
  <c r="F2367" i="3" s="1"/>
  <c r="F2392" i="3" s="1"/>
  <c r="F2417" i="3" s="1"/>
  <c r="F2442" i="3" s="1"/>
  <c r="F2492" i="3" s="1"/>
  <c r="F2517" i="3" s="1"/>
  <c r="F2592" i="3" s="1"/>
  <c r="F2241" i="3"/>
  <c r="V249" i="23" l="1"/>
  <c r="Y249" i="23" s="1"/>
  <c r="D250" i="23"/>
  <c r="U249" i="23"/>
  <c r="C218" i="1"/>
  <c r="Q217" i="1"/>
  <c r="F2266" i="3"/>
  <c r="F2291" i="3" s="1"/>
  <c r="F2316" i="3" s="1"/>
  <c r="F2341" i="3" s="1"/>
  <c r="F2366" i="3" s="1"/>
  <c r="F2391" i="3" s="1"/>
  <c r="F2416" i="3" s="1"/>
  <c r="F2441" i="3" s="1"/>
  <c r="F2466" i="3" s="1"/>
  <c r="F2516" i="3" s="1"/>
  <c r="F2541" i="3" s="1"/>
  <c r="F2616" i="3" s="1"/>
  <c r="F2265" i="3"/>
  <c r="E4319" i="3"/>
  <c r="E4303" i="3"/>
  <c r="E4299" i="3"/>
  <c r="E4320" i="3"/>
  <c r="E4313" i="3"/>
  <c r="E4301" i="3"/>
  <c r="K180" i="1"/>
  <c r="E4318" i="3"/>
  <c r="V250" i="23" l="1"/>
  <c r="Y250" i="23" s="1"/>
  <c r="D251" i="23"/>
  <c r="U250" i="23"/>
  <c r="C219" i="1"/>
  <c r="Q218" i="1"/>
  <c r="F2290" i="3"/>
  <c r="F2315" i="3" s="1"/>
  <c r="F2340" i="3" s="1"/>
  <c r="F2365" i="3" s="1"/>
  <c r="F2390" i="3" s="1"/>
  <c r="F2415" i="3" s="1"/>
  <c r="F2440" i="3" s="1"/>
  <c r="F2465" i="3" s="1"/>
  <c r="F2490" i="3" s="1"/>
  <c r="F2540" i="3" s="1"/>
  <c r="F2565" i="3" s="1"/>
  <c r="F2640" i="3" s="1"/>
  <c r="F2289" i="3"/>
  <c r="E4275" i="3"/>
  <c r="E4274" i="3"/>
  <c r="E4297" i="3"/>
  <c r="E4294" i="3"/>
  <c r="E4289" i="3"/>
  <c r="E4286" i="3"/>
  <c r="E4283" i="3"/>
  <c r="E4281" i="3"/>
  <c r="E4296" i="3"/>
  <c r="E4290" i="3"/>
  <c r="E4279" i="3"/>
  <c r="D180" i="1"/>
  <c r="V251" i="23" l="1"/>
  <c r="Y251" i="23" s="1"/>
  <c r="D252" i="23"/>
  <c r="U251" i="23"/>
  <c r="C220" i="1"/>
  <c r="Q219" i="1"/>
  <c r="F2314" i="3"/>
  <c r="F2339" i="3" s="1"/>
  <c r="F2364" i="3" s="1"/>
  <c r="F2389" i="3" s="1"/>
  <c r="F2414" i="3" s="1"/>
  <c r="F2439" i="3" s="1"/>
  <c r="F2464" i="3" s="1"/>
  <c r="F2489" i="3" s="1"/>
  <c r="F2514" i="3" s="1"/>
  <c r="F2564" i="3" s="1"/>
  <c r="F2589" i="3" s="1"/>
  <c r="F2664" i="3" s="1"/>
  <c r="F2313" i="3"/>
  <c r="E4293" i="3"/>
  <c r="E4288" i="3"/>
  <c r="E4277" i="3"/>
  <c r="K179" i="1"/>
  <c r="V252" i="23" l="1"/>
  <c r="Y252" i="23" s="1"/>
  <c r="D253" i="23"/>
  <c r="U252" i="23"/>
  <c r="Q220" i="1"/>
  <c r="C221" i="1"/>
  <c r="F2337" i="3"/>
  <c r="F2338" i="3"/>
  <c r="F2363" i="3" s="1"/>
  <c r="F2388" i="3" s="1"/>
  <c r="F2413" i="3" s="1"/>
  <c r="F2438" i="3" s="1"/>
  <c r="F2463" i="3" s="1"/>
  <c r="F2488" i="3" s="1"/>
  <c r="F2513" i="3" s="1"/>
  <c r="F2538" i="3" s="1"/>
  <c r="F2588" i="3" s="1"/>
  <c r="F2613" i="3" s="1"/>
  <c r="F2688" i="3" s="1"/>
  <c r="E4270" i="3"/>
  <c r="E4265" i="3"/>
  <c r="E4262" i="3"/>
  <c r="E4264" i="3"/>
  <c r="E4257" i="3"/>
  <c r="E4273" i="3"/>
  <c r="E4259" i="3"/>
  <c r="D179" i="1"/>
  <c r="V253" i="23" l="1"/>
  <c r="Y253" i="23" s="1"/>
  <c r="D254" i="23"/>
  <c r="U253" i="23"/>
  <c r="Q221" i="1"/>
  <c r="C222" i="1"/>
  <c r="F2361" i="3"/>
  <c r="F2362" i="3"/>
  <c r="F2387" i="3" s="1"/>
  <c r="F2412" i="3" s="1"/>
  <c r="F2437" i="3" s="1"/>
  <c r="F2462" i="3" s="1"/>
  <c r="F2487" i="3" s="1"/>
  <c r="F2512" i="3" s="1"/>
  <c r="F2537" i="3" s="1"/>
  <c r="F2562" i="3" s="1"/>
  <c r="F2612" i="3" s="1"/>
  <c r="F2637" i="3" s="1"/>
  <c r="F2712" i="3" s="1"/>
  <c r="L178" i="1"/>
  <c r="K178" i="1" s="1"/>
  <c r="E4266" i="3"/>
  <c r="E4253" i="3"/>
  <c r="E4246" i="3"/>
  <c r="E4241" i="3"/>
  <c r="E4242" i="3"/>
  <c r="E4229" i="3"/>
  <c r="E4227" i="3"/>
  <c r="E4226" i="3"/>
  <c r="E4237" i="3"/>
  <c r="E4248" i="3"/>
  <c r="E4233" i="3"/>
  <c r="E4231" i="3"/>
  <c r="D178" i="1"/>
  <c r="E4238" i="3"/>
  <c r="E4235" i="3"/>
  <c r="L177" i="1"/>
  <c r="K177" i="1" s="1"/>
  <c r="V254" i="23" l="1"/>
  <c r="Y254" i="23" s="1"/>
  <c r="D255" i="23"/>
  <c r="U254" i="23"/>
  <c r="Q222" i="1"/>
  <c r="C223" i="1"/>
  <c r="F2736" i="3"/>
  <c r="F2760" i="3" s="1"/>
  <c r="F2784" i="3" s="1"/>
  <c r="F2808" i="3" s="1"/>
  <c r="F2832" i="3" s="1"/>
  <c r="F2856" i="3" s="1"/>
  <c r="F2880" i="3" s="1"/>
  <c r="F2904" i="3" s="1"/>
  <c r="F2928" i="3" s="1"/>
  <c r="F2952" i="3" s="1"/>
  <c r="F2976" i="3" s="1"/>
  <c r="F3000" i="3" s="1"/>
  <c r="F3024" i="3" s="1"/>
  <c r="F3048" i="3" s="1"/>
  <c r="F3072" i="3" s="1"/>
  <c r="F3096" i="3" s="1"/>
  <c r="F3120" i="3" s="1"/>
  <c r="F3144" i="3" s="1"/>
  <c r="F3168" i="3" s="1"/>
  <c r="F3192" i="3" s="1"/>
  <c r="F3216" i="3" s="1"/>
  <c r="F3240" i="3" s="1"/>
  <c r="F3264" i="3" s="1"/>
  <c r="F3288" i="3" s="1"/>
  <c r="F3312" i="3" s="1"/>
  <c r="F3336" i="3" s="1"/>
  <c r="F3360" i="3" s="1"/>
  <c r="F3384" i="3" s="1"/>
  <c r="F3408" i="3" s="1"/>
  <c r="F3432" i="3" s="1"/>
  <c r="F3456" i="3" s="1"/>
  <c r="F3480" i="3" s="1"/>
  <c r="F3504" i="3" s="1"/>
  <c r="F3528" i="3" s="1"/>
  <c r="F3552" i="3" s="1"/>
  <c r="F3576" i="3" s="1"/>
  <c r="F3600" i="3" s="1"/>
  <c r="F3624" i="3" s="1"/>
  <c r="F3648" i="3" s="1"/>
  <c r="F3672" i="3" s="1"/>
  <c r="F3696" i="3" s="1"/>
  <c r="F3720" i="3" s="1"/>
  <c r="F3744" i="3" s="1"/>
  <c r="F2385" i="3"/>
  <c r="F2386" i="3"/>
  <c r="F2411" i="3" s="1"/>
  <c r="F2436" i="3" s="1"/>
  <c r="F2461" i="3" s="1"/>
  <c r="F2486" i="3" s="1"/>
  <c r="F2511" i="3" s="1"/>
  <c r="F2536" i="3" s="1"/>
  <c r="F2561" i="3" s="1"/>
  <c r="F2586" i="3" s="1"/>
  <c r="F2636" i="3" s="1"/>
  <c r="F2661" i="3" s="1"/>
  <c r="D175" i="1"/>
  <c r="D176" i="1"/>
  <c r="E4183" i="3"/>
  <c r="E4223" i="3"/>
  <c r="E4222" i="3"/>
  <c r="E4217" i="3"/>
  <c r="E4203" i="3"/>
  <c r="E4202" i="3"/>
  <c r="E4225" i="3"/>
  <c r="E4218" i="3"/>
  <c r="D177" i="1"/>
  <c r="E4214" i="3"/>
  <c r="E4224" i="3"/>
  <c r="E4216" i="3"/>
  <c r="L176" i="1"/>
  <c r="K176" i="1" s="1"/>
  <c r="E4198" i="3"/>
  <c r="E4193" i="3"/>
  <c r="E4190" i="3"/>
  <c r="E4187" i="3"/>
  <c r="E4181" i="3"/>
  <c r="E4179" i="3"/>
  <c r="E4199" i="3"/>
  <c r="F4199" i="3" s="1"/>
  <c r="E4145" i="3"/>
  <c r="V255" i="23" l="1"/>
  <c r="Y255" i="23" s="1"/>
  <c r="D256" i="23"/>
  <c r="U255" i="23"/>
  <c r="C224" i="1"/>
  <c r="Q223" i="1"/>
  <c r="F4223" i="3"/>
  <c r="F4247" i="3" s="1"/>
  <c r="F4271" i="3" s="1"/>
  <c r="F4295" i="3" s="1"/>
  <c r="F4319" i="3" s="1"/>
  <c r="F4343" i="3" s="1"/>
  <c r="F4367" i="3" s="1"/>
  <c r="F4391" i="3" s="1"/>
  <c r="F4415" i="3" s="1"/>
  <c r="F4439" i="3" s="1"/>
  <c r="F4463" i="3" s="1"/>
  <c r="F4487" i="3" s="1"/>
  <c r="F4511" i="3" s="1"/>
  <c r="F4535" i="3" s="1"/>
  <c r="F4559" i="3" s="1"/>
  <c r="F4583" i="3" s="1"/>
  <c r="F4607" i="3" s="1"/>
  <c r="F2410" i="3"/>
  <c r="F2435" i="3" s="1"/>
  <c r="F2460" i="3" s="1"/>
  <c r="F2485" i="3" s="1"/>
  <c r="F2510" i="3" s="1"/>
  <c r="F2535" i="3" s="1"/>
  <c r="F2560" i="3" s="1"/>
  <c r="F2585" i="3" s="1"/>
  <c r="F2610" i="3" s="1"/>
  <c r="F2660" i="3" s="1"/>
  <c r="F2685" i="3" s="1"/>
  <c r="F2409" i="3"/>
  <c r="D172" i="1"/>
  <c r="L175" i="1"/>
  <c r="K175" i="1" s="1"/>
  <c r="E4197" i="3"/>
  <c r="E4192" i="3"/>
  <c r="E4189" i="3"/>
  <c r="E4184" i="3"/>
  <c r="E4200" i="3"/>
  <c r="E4194" i="3"/>
  <c r="E4166" i="3"/>
  <c r="E4165" i="3"/>
  <c r="E4174" i="3"/>
  <c r="E4155" i="3"/>
  <c r="E4170" i="3"/>
  <c r="E4176" i="3"/>
  <c r="E4160" i="3"/>
  <c r="F4160" i="3" s="1"/>
  <c r="E4169" i="3"/>
  <c r="E4159" i="3"/>
  <c r="L174" i="1"/>
  <c r="K174" i="1" s="1"/>
  <c r="V256" i="23" l="1"/>
  <c r="Y256" i="23" s="1"/>
  <c r="D257" i="23"/>
  <c r="U256" i="23"/>
  <c r="C225" i="1"/>
  <c r="Q224" i="1"/>
  <c r="F2433" i="3"/>
  <c r="F2434" i="3"/>
  <c r="F2459" i="3" s="1"/>
  <c r="F2484" i="3" s="1"/>
  <c r="F2509" i="3" s="1"/>
  <c r="F2534" i="3" s="1"/>
  <c r="F2559" i="3" s="1"/>
  <c r="F2584" i="3" s="1"/>
  <c r="F2609" i="3" s="1"/>
  <c r="F2634" i="3" s="1"/>
  <c r="F2684" i="3" s="1"/>
  <c r="F2709" i="3" s="1"/>
  <c r="F4184" i="3"/>
  <c r="F4208" i="3" s="1"/>
  <c r="F4232" i="3" s="1"/>
  <c r="F4256" i="3" s="1"/>
  <c r="F4280" i="3" s="1"/>
  <c r="F4304" i="3" s="1"/>
  <c r="F4328" i="3" s="1"/>
  <c r="F4352" i="3" s="1"/>
  <c r="F4376" i="3" s="1"/>
  <c r="F4400" i="3" s="1"/>
  <c r="F4424" i="3" s="1"/>
  <c r="F4448" i="3" s="1"/>
  <c r="F4472" i="3" s="1"/>
  <c r="F4496" i="3" s="1"/>
  <c r="F4520" i="3" s="1"/>
  <c r="F4544" i="3" s="1"/>
  <c r="F4568" i="3" s="1"/>
  <c r="F4592" i="3" s="1"/>
  <c r="F4616" i="3" s="1"/>
  <c r="F4640" i="3" s="1"/>
  <c r="F4664" i="3" s="1"/>
  <c r="F4688" i="3" s="1"/>
  <c r="F4712" i="3" s="1"/>
  <c r="F4736" i="3" s="1"/>
  <c r="F4760" i="3" s="1"/>
  <c r="F4784" i="3" s="1"/>
  <c r="F4808" i="3" s="1"/>
  <c r="F4832" i="3" s="1"/>
  <c r="F4856" i="3" s="1"/>
  <c r="F4880" i="3" s="1"/>
  <c r="F4904" i="3" s="1"/>
  <c r="F4928" i="3" s="1"/>
  <c r="F4952" i="3" s="1"/>
  <c r="F4976" i="3" s="1"/>
  <c r="F5000" i="3" s="1"/>
  <c r="F5024" i="3" s="1"/>
  <c r="F5048" i="3" s="1"/>
  <c r="F5072" i="3" s="1"/>
  <c r="F5096" i="3" s="1"/>
  <c r="F5120" i="3" s="1"/>
  <c r="F5144" i="3" s="1"/>
  <c r="F5168" i="3" s="1"/>
  <c r="F5192" i="3" s="1"/>
  <c r="F5216" i="3" s="1"/>
  <c r="F5240" i="3" s="1"/>
  <c r="F5264" i="3" s="1"/>
  <c r="F5288" i="3" s="1"/>
  <c r="F5312" i="3" s="1"/>
  <c r="F5336" i="3" s="1"/>
  <c r="F5360" i="3" s="1"/>
  <c r="F5384" i="3" s="1"/>
  <c r="F5408" i="3" s="1"/>
  <c r="F5432" i="3" s="1"/>
  <c r="F5456" i="3" s="1"/>
  <c r="F5480" i="3" s="1"/>
  <c r="F5504" i="3" s="1"/>
  <c r="L173" i="1"/>
  <c r="K173" i="1" s="1"/>
  <c r="E4131" i="3"/>
  <c r="E4130" i="3"/>
  <c r="E4150" i="3"/>
  <c r="E4142" i="3"/>
  <c r="E4146" i="3"/>
  <c r="E4139" i="3"/>
  <c r="E4122" i="3"/>
  <c r="E4118" i="3"/>
  <c r="E4115" i="3"/>
  <c r="E4107" i="3"/>
  <c r="D173" i="1"/>
  <c r="V257" i="23" l="1"/>
  <c r="Y257" i="23" s="1"/>
  <c r="D258" i="23"/>
  <c r="U257" i="23"/>
  <c r="C226" i="1"/>
  <c r="Q225" i="1"/>
  <c r="F2457" i="3"/>
  <c r="F2458" i="3"/>
  <c r="F2483" i="3" s="1"/>
  <c r="F2508" i="3" s="1"/>
  <c r="F2533" i="3" s="1"/>
  <c r="F2558" i="3" s="1"/>
  <c r="F2583" i="3" s="1"/>
  <c r="F2608" i="3" s="1"/>
  <c r="F2633" i="3" s="1"/>
  <c r="F2658" i="3" s="1"/>
  <c r="F2708" i="3" s="1"/>
  <c r="F2733" i="3" s="1"/>
  <c r="E4120" i="3"/>
  <c r="E4110" i="3"/>
  <c r="E4109" i="3"/>
  <c r="L172" i="1"/>
  <c r="K172" i="1" s="1"/>
  <c r="V258" i="23" l="1"/>
  <c r="Y258" i="23" s="1"/>
  <c r="D259" i="23"/>
  <c r="U258" i="23"/>
  <c r="Q226" i="1"/>
  <c r="C227" i="1"/>
  <c r="F2481" i="3"/>
  <c r="F2482" i="3"/>
  <c r="F2507" i="3" s="1"/>
  <c r="F2532" i="3" s="1"/>
  <c r="F2557" i="3" s="1"/>
  <c r="F2582" i="3" s="1"/>
  <c r="F2607" i="3" s="1"/>
  <c r="F2632" i="3" s="1"/>
  <c r="F2657" i="3" s="1"/>
  <c r="F2682" i="3" s="1"/>
  <c r="F2732" i="3" s="1"/>
  <c r="F2757" i="3" s="1"/>
  <c r="E4097" i="3"/>
  <c r="E4091" i="3"/>
  <c r="E4087" i="3"/>
  <c r="E4101" i="3"/>
  <c r="E4094" i="3"/>
  <c r="V259" i="23" l="1"/>
  <c r="Y259" i="23" s="1"/>
  <c r="D260" i="23"/>
  <c r="U259" i="23"/>
  <c r="Q227" i="1"/>
  <c r="C228" i="1"/>
  <c r="F2505" i="3"/>
  <c r="F2506" i="3"/>
  <c r="F2531" i="3" s="1"/>
  <c r="F2556" i="3" s="1"/>
  <c r="F2581" i="3" s="1"/>
  <c r="F2606" i="3" s="1"/>
  <c r="F2631" i="3" s="1"/>
  <c r="F2656" i="3" s="1"/>
  <c r="F2681" i="3" s="1"/>
  <c r="F2706" i="3" s="1"/>
  <c r="F2756" i="3" s="1"/>
  <c r="F2781" i="3" s="1"/>
  <c r="L171" i="1"/>
  <c r="K171" i="1" s="1"/>
  <c r="V260" i="23" l="1"/>
  <c r="Y260" i="23" s="1"/>
  <c r="D261" i="23"/>
  <c r="U260" i="23"/>
  <c r="C229" i="1"/>
  <c r="Q228" i="1"/>
  <c r="F2529" i="3"/>
  <c r="F2530" i="3"/>
  <c r="F2555" i="3" s="1"/>
  <c r="F2580" i="3" s="1"/>
  <c r="F2605" i="3" s="1"/>
  <c r="F2630" i="3" s="1"/>
  <c r="F2655" i="3" s="1"/>
  <c r="F2680" i="3" s="1"/>
  <c r="F2705" i="3" s="1"/>
  <c r="F2730" i="3" s="1"/>
  <c r="F2780" i="3" s="1"/>
  <c r="F2805" i="3" s="1"/>
  <c r="D171" i="1"/>
  <c r="D170" i="1"/>
  <c r="E4059" i="3"/>
  <c r="D4081" i="3"/>
  <c r="D4105" i="3" s="1"/>
  <c r="D4129" i="3" s="1"/>
  <c r="D4153" i="3" s="1"/>
  <c r="D4177" i="3" s="1"/>
  <c r="D4201" i="3" s="1"/>
  <c r="D4225" i="3" s="1"/>
  <c r="D4249" i="3" s="1"/>
  <c r="D4273" i="3" s="1"/>
  <c r="D4297" i="3" s="1"/>
  <c r="D4321" i="3" s="1"/>
  <c r="D4345" i="3" s="1"/>
  <c r="D4369" i="3" s="1"/>
  <c r="D4393" i="3" s="1"/>
  <c r="D4417" i="3" s="1"/>
  <c r="D4441" i="3" s="1"/>
  <c r="D4465" i="3" s="1"/>
  <c r="D4489" i="3" s="1"/>
  <c r="D4513" i="3" s="1"/>
  <c r="D4537" i="3" s="1"/>
  <c r="D4561" i="3" s="1"/>
  <c r="D4585" i="3" s="1"/>
  <c r="D4609" i="3" s="1"/>
  <c r="D4633" i="3" s="1"/>
  <c r="D4657" i="3" s="1"/>
  <c r="D4681" i="3" s="1"/>
  <c r="D4705" i="3" s="1"/>
  <c r="D4729" i="3" s="1"/>
  <c r="D4753" i="3" s="1"/>
  <c r="D4777" i="3" s="1"/>
  <c r="D4801" i="3" s="1"/>
  <c r="D4825" i="3" s="1"/>
  <c r="D4849" i="3" s="1"/>
  <c r="D4873" i="3" s="1"/>
  <c r="D4897" i="3" s="1"/>
  <c r="D4921" i="3" s="1"/>
  <c r="D4945" i="3" s="1"/>
  <c r="D4969" i="3" s="1"/>
  <c r="D4993" i="3" s="1"/>
  <c r="D5017" i="3" s="1"/>
  <c r="D5041" i="3" s="1"/>
  <c r="D5065" i="3" s="1"/>
  <c r="D5089" i="3" s="1"/>
  <c r="D5113" i="3" s="1"/>
  <c r="D5137" i="3" s="1"/>
  <c r="D5161" i="3" s="1"/>
  <c r="D5185" i="3" s="1"/>
  <c r="D5209" i="3" s="1"/>
  <c r="D5233" i="3" s="1"/>
  <c r="D5257" i="3" s="1"/>
  <c r="D5281" i="3" s="1"/>
  <c r="D5305" i="3" s="1"/>
  <c r="D5329" i="3" s="1"/>
  <c r="D5353" i="3" s="1"/>
  <c r="D5377" i="3" s="1"/>
  <c r="D5401" i="3" s="1"/>
  <c r="D5425" i="3" s="1"/>
  <c r="D5449" i="3" s="1"/>
  <c r="D5473" i="3" s="1"/>
  <c r="D5497" i="3" s="1"/>
  <c r="D5521" i="3" s="1"/>
  <c r="D5545" i="3" s="1"/>
  <c r="D5569" i="3" s="1"/>
  <c r="D5593" i="3" s="1"/>
  <c r="D5617" i="3" s="1"/>
  <c r="D5641" i="3" s="1"/>
  <c r="D5665" i="3" s="1"/>
  <c r="D5689" i="3" s="1"/>
  <c r="D5713" i="3" s="1"/>
  <c r="D5737" i="3" s="1"/>
  <c r="D5761" i="3" s="1"/>
  <c r="D5785" i="3" s="1"/>
  <c r="D5809" i="3" s="1"/>
  <c r="D5833" i="3" s="1"/>
  <c r="D5857" i="3" s="1"/>
  <c r="D5881" i="3" s="1"/>
  <c r="D5905" i="3" s="1"/>
  <c r="D5929" i="3" s="1"/>
  <c r="D5953" i="3" s="1"/>
  <c r="D5977" i="3" s="1"/>
  <c r="D6001" i="3" s="1"/>
  <c r="D6025" i="3" s="1"/>
  <c r="D6049" i="3" s="1"/>
  <c r="D6073" i="3" s="1"/>
  <c r="D6097" i="3" s="1"/>
  <c r="D6121" i="3" s="1"/>
  <c r="D6145" i="3" s="1"/>
  <c r="D6169" i="3" s="1"/>
  <c r="D6193" i="3" s="1"/>
  <c r="D6217" i="3" s="1"/>
  <c r="D6241" i="3" s="1"/>
  <c r="D6265" i="3" s="1"/>
  <c r="D6289" i="3" s="1"/>
  <c r="D6313" i="3" s="1"/>
  <c r="D6337" i="3" s="1"/>
  <c r="D6361" i="3" s="1"/>
  <c r="D6385" i="3" s="1"/>
  <c r="D6409" i="3" s="1"/>
  <c r="D6433" i="3" s="1"/>
  <c r="D6457" i="3" s="1"/>
  <c r="D6481" i="3" s="1"/>
  <c r="D6505" i="3" s="1"/>
  <c r="D6529" i="3" s="1"/>
  <c r="D6553" i="3" s="1"/>
  <c r="D6577" i="3" s="1"/>
  <c r="D6601" i="3" s="1"/>
  <c r="D6625" i="3" s="1"/>
  <c r="D6649" i="3" s="1"/>
  <c r="D6673" i="3" s="1"/>
  <c r="D6697" i="3" s="1"/>
  <c r="D6721" i="3" s="1"/>
  <c r="D6745" i="3" s="1"/>
  <c r="D6769" i="3" s="1"/>
  <c r="D6793" i="3" s="1"/>
  <c r="D6817" i="3" s="1"/>
  <c r="D6841" i="3" s="1"/>
  <c r="D6865" i="3" s="1"/>
  <c r="D6889" i="3" s="1"/>
  <c r="D6913" i="3" s="1"/>
  <c r="D6937" i="3" s="1"/>
  <c r="D6961" i="3" s="1"/>
  <c r="D6985" i="3" s="1"/>
  <c r="D7009" i="3" s="1"/>
  <c r="D7033" i="3" s="1"/>
  <c r="D7057" i="3" s="1"/>
  <c r="D7081" i="3" s="1"/>
  <c r="D7105" i="3" s="1"/>
  <c r="D7129" i="3" s="1"/>
  <c r="D7153" i="3" s="1"/>
  <c r="D7177" i="3" s="1"/>
  <c r="D7201" i="3" s="1"/>
  <c r="D7225" i="3" s="1"/>
  <c r="D7249" i="3" s="1"/>
  <c r="D7273" i="3" s="1"/>
  <c r="D7297" i="3" s="1"/>
  <c r="D7321" i="3" s="1"/>
  <c r="D7345" i="3" s="1"/>
  <c r="D7369" i="3" s="1"/>
  <c r="D7393" i="3" s="1"/>
  <c r="D7417" i="3" s="1"/>
  <c r="D7441" i="3" s="1"/>
  <c r="D7465" i="3" s="1"/>
  <c r="D7489" i="3" s="1"/>
  <c r="D7513" i="3" s="1"/>
  <c r="D7537" i="3" s="1"/>
  <c r="D7561" i="3" s="1"/>
  <c r="D7585" i="3" s="1"/>
  <c r="D7609" i="3" s="1"/>
  <c r="D7633" i="3" s="1"/>
  <c r="D7657" i="3" s="1"/>
  <c r="D7681" i="3" s="1"/>
  <c r="D7705" i="3" s="1"/>
  <c r="D7729" i="3" s="1"/>
  <c r="D7753" i="3" s="1"/>
  <c r="D7777" i="3" s="1"/>
  <c r="D7801" i="3" s="1"/>
  <c r="D7825" i="3" s="1"/>
  <c r="D7849" i="3" s="1"/>
  <c r="D7873" i="3" s="1"/>
  <c r="D7897" i="3" s="1"/>
  <c r="D7921" i="3" s="1"/>
  <c r="D7945" i="3" s="1"/>
  <c r="D7969" i="3" s="1"/>
  <c r="D7993" i="3" s="1"/>
  <c r="D8017" i="3" s="1"/>
  <c r="D8041" i="3" s="1"/>
  <c r="D8065" i="3" s="1"/>
  <c r="D8089" i="3" s="1"/>
  <c r="D8113" i="3" s="1"/>
  <c r="D8137" i="3" s="1"/>
  <c r="D8161" i="3" s="1"/>
  <c r="D8185" i="3" s="1"/>
  <c r="D8209" i="3" s="1"/>
  <c r="D8233" i="3" s="1"/>
  <c r="D8257" i="3" s="1"/>
  <c r="D8281" i="3" s="1"/>
  <c r="D8305" i="3" s="1"/>
  <c r="D8329" i="3" s="1"/>
  <c r="D8353" i="3" s="1"/>
  <c r="D8377" i="3" s="1"/>
  <c r="D8401" i="3" s="1"/>
  <c r="D8425" i="3" s="1"/>
  <c r="D8449" i="3" s="1"/>
  <c r="D8473" i="3" s="1"/>
  <c r="D8497" i="3" s="1"/>
  <c r="D8521" i="3" s="1"/>
  <c r="D8545" i="3" s="1"/>
  <c r="D8569" i="3" s="1"/>
  <c r="D8593" i="3" s="1"/>
  <c r="D8617" i="3" s="1"/>
  <c r="D8641" i="3" s="1"/>
  <c r="D8665" i="3" s="1"/>
  <c r="D8689" i="3" s="1"/>
  <c r="D8713" i="3" s="1"/>
  <c r="D8737" i="3" s="1"/>
  <c r="D8761" i="3" s="1"/>
  <c r="D8785" i="3" s="1"/>
  <c r="D8809" i="3" s="1"/>
  <c r="D8833" i="3" s="1"/>
  <c r="D8857" i="3" s="1"/>
  <c r="D8881" i="3" s="1"/>
  <c r="D8905" i="3" s="1"/>
  <c r="D8929" i="3" s="1"/>
  <c r="D8953" i="3" s="1"/>
  <c r="D8977" i="3" s="1"/>
  <c r="D9001" i="3" s="1"/>
  <c r="D9025" i="3" s="1"/>
  <c r="D9049" i="3" s="1"/>
  <c r="D9073" i="3" s="1"/>
  <c r="D9097" i="3" s="1"/>
  <c r="D9121" i="3" s="1"/>
  <c r="D9145" i="3" s="1"/>
  <c r="D9169" i="3" s="1"/>
  <c r="D9193" i="3" s="1"/>
  <c r="D9217" i="3" s="1"/>
  <c r="D9241" i="3" s="1"/>
  <c r="D9265" i="3" s="1"/>
  <c r="D9289" i="3" s="1"/>
  <c r="D9313" i="3" s="1"/>
  <c r="D9337" i="3" s="1"/>
  <c r="D9361" i="3" s="1"/>
  <c r="D9385" i="3" s="1"/>
  <c r="D9409" i="3" s="1"/>
  <c r="D9433" i="3" s="1"/>
  <c r="D9457" i="3" s="1"/>
  <c r="D9481" i="3" s="1"/>
  <c r="D9505" i="3" s="1"/>
  <c r="D9529" i="3" s="1"/>
  <c r="D9553" i="3" s="1"/>
  <c r="D9577" i="3" s="1"/>
  <c r="D9601" i="3" s="1"/>
  <c r="D9625" i="3" s="1"/>
  <c r="D9649" i="3" s="1"/>
  <c r="D9673" i="3" s="1"/>
  <c r="D9697" i="3" s="1"/>
  <c r="D9721" i="3" s="1"/>
  <c r="D9745" i="3" s="1"/>
  <c r="D9769" i="3" s="1"/>
  <c r="D4080" i="3"/>
  <c r="D4104" i="3" s="1"/>
  <c r="D4128" i="3" s="1"/>
  <c r="D4152" i="3" s="1"/>
  <c r="D4176" i="3" s="1"/>
  <c r="D4200" i="3" s="1"/>
  <c r="D4224" i="3" s="1"/>
  <c r="D4248" i="3" s="1"/>
  <c r="D4272" i="3" s="1"/>
  <c r="D4296" i="3" s="1"/>
  <c r="D4320" i="3" s="1"/>
  <c r="D4344" i="3" s="1"/>
  <c r="D4368" i="3" s="1"/>
  <c r="D4392" i="3" s="1"/>
  <c r="D4416" i="3" s="1"/>
  <c r="D4440" i="3" s="1"/>
  <c r="D4464" i="3" s="1"/>
  <c r="D4488" i="3" s="1"/>
  <c r="D4512" i="3" s="1"/>
  <c r="D4536" i="3" s="1"/>
  <c r="D4560" i="3" s="1"/>
  <c r="D4584" i="3" s="1"/>
  <c r="D4608" i="3" s="1"/>
  <c r="D4632" i="3" s="1"/>
  <c r="D4656" i="3" s="1"/>
  <c r="D4680" i="3" s="1"/>
  <c r="D4704" i="3" s="1"/>
  <c r="D4728" i="3" s="1"/>
  <c r="D4752" i="3" s="1"/>
  <c r="D4776" i="3" s="1"/>
  <c r="D4800" i="3" s="1"/>
  <c r="D4824" i="3" s="1"/>
  <c r="D4848" i="3" s="1"/>
  <c r="D4872" i="3" s="1"/>
  <c r="D4896" i="3" s="1"/>
  <c r="D4920" i="3" s="1"/>
  <c r="D4944" i="3" s="1"/>
  <c r="D4968" i="3" s="1"/>
  <c r="D4992" i="3" s="1"/>
  <c r="D5016" i="3" s="1"/>
  <c r="D5040" i="3" s="1"/>
  <c r="D5064" i="3" s="1"/>
  <c r="D5088" i="3" s="1"/>
  <c r="D5112" i="3" s="1"/>
  <c r="D5136" i="3" s="1"/>
  <c r="D5160" i="3" s="1"/>
  <c r="D5184" i="3" s="1"/>
  <c r="D5208" i="3" s="1"/>
  <c r="D5232" i="3" s="1"/>
  <c r="D5256" i="3" s="1"/>
  <c r="D5280" i="3" s="1"/>
  <c r="D5304" i="3" s="1"/>
  <c r="D5328" i="3" s="1"/>
  <c r="D5352" i="3" s="1"/>
  <c r="D5376" i="3" s="1"/>
  <c r="D5400" i="3" s="1"/>
  <c r="D5424" i="3" s="1"/>
  <c r="D5448" i="3" s="1"/>
  <c r="D5472" i="3" s="1"/>
  <c r="D5496" i="3" s="1"/>
  <c r="D5520" i="3" s="1"/>
  <c r="D5544" i="3" s="1"/>
  <c r="D5568" i="3" s="1"/>
  <c r="D5592" i="3" s="1"/>
  <c r="D5616" i="3" s="1"/>
  <c r="D5640" i="3" s="1"/>
  <c r="D5664" i="3" s="1"/>
  <c r="D5688" i="3" s="1"/>
  <c r="D5712" i="3" s="1"/>
  <c r="D5736" i="3" s="1"/>
  <c r="D5760" i="3" s="1"/>
  <c r="D5784" i="3" s="1"/>
  <c r="D5808" i="3" s="1"/>
  <c r="D5832" i="3" s="1"/>
  <c r="D5856" i="3" s="1"/>
  <c r="D5880" i="3" s="1"/>
  <c r="D5904" i="3" s="1"/>
  <c r="D5928" i="3" s="1"/>
  <c r="D5952" i="3" s="1"/>
  <c r="D5976" i="3" s="1"/>
  <c r="D6000" i="3" s="1"/>
  <c r="D6024" i="3" s="1"/>
  <c r="D6048" i="3" s="1"/>
  <c r="D6072" i="3" s="1"/>
  <c r="D6096" i="3" s="1"/>
  <c r="D6120" i="3" s="1"/>
  <c r="D6144" i="3" s="1"/>
  <c r="D6168" i="3" s="1"/>
  <c r="D6192" i="3" s="1"/>
  <c r="D6216" i="3" s="1"/>
  <c r="D6240" i="3" s="1"/>
  <c r="D6264" i="3" s="1"/>
  <c r="D6288" i="3" s="1"/>
  <c r="D6312" i="3" s="1"/>
  <c r="D6336" i="3" s="1"/>
  <c r="D6360" i="3" s="1"/>
  <c r="D6384" i="3" s="1"/>
  <c r="D6408" i="3" s="1"/>
  <c r="D6432" i="3" s="1"/>
  <c r="D6456" i="3" s="1"/>
  <c r="D6480" i="3" s="1"/>
  <c r="D6504" i="3" s="1"/>
  <c r="D6528" i="3" s="1"/>
  <c r="D6552" i="3" s="1"/>
  <c r="D6576" i="3" s="1"/>
  <c r="D6600" i="3" s="1"/>
  <c r="D6624" i="3" s="1"/>
  <c r="D6648" i="3" s="1"/>
  <c r="D6672" i="3" s="1"/>
  <c r="D6696" i="3" s="1"/>
  <c r="D6720" i="3" s="1"/>
  <c r="D6744" i="3" s="1"/>
  <c r="D6768" i="3" s="1"/>
  <c r="D6792" i="3" s="1"/>
  <c r="D6816" i="3" s="1"/>
  <c r="D6840" i="3" s="1"/>
  <c r="D6864" i="3" s="1"/>
  <c r="D6888" i="3" s="1"/>
  <c r="D6912" i="3" s="1"/>
  <c r="D6936" i="3" s="1"/>
  <c r="D6960" i="3" s="1"/>
  <c r="D6984" i="3" s="1"/>
  <c r="D7008" i="3" s="1"/>
  <c r="D7032" i="3" s="1"/>
  <c r="D7056" i="3" s="1"/>
  <c r="D7080" i="3" s="1"/>
  <c r="D7104" i="3" s="1"/>
  <c r="D7128" i="3" s="1"/>
  <c r="D7152" i="3" s="1"/>
  <c r="D7176" i="3" s="1"/>
  <c r="D7200" i="3" s="1"/>
  <c r="D7224" i="3" s="1"/>
  <c r="D7248" i="3" s="1"/>
  <c r="D7272" i="3" s="1"/>
  <c r="D7296" i="3" s="1"/>
  <c r="D7320" i="3" s="1"/>
  <c r="D7344" i="3" s="1"/>
  <c r="D7368" i="3" s="1"/>
  <c r="D7392" i="3" s="1"/>
  <c r="D7416" i="3" s="1"/>
  <c r="D7440" i="3" s="1"/>
  <c r="D7464" i="3" s="1"/>
  <c r="D7488" i="3" s="1"/>
  <c r="D7512" i="3" s="1"/>
  <c r="D7536" i="3" s="1"/>
  <c r="D7560" i="3" s="1"/>
  <c r="D7584" i="3" s="1"/>
  <c r="D7608" i="3" s="1"/>
  <c r="D7632" i="3" s="1"/>
  <c r="D7656" i="3" s="1"/>
  <c r="D7680" i="3" s="1"/>
  <c r="D7704" i="3" s="1"/>
  <c r="D7728" i="3" s="1"/>
  <c r="D7752" i="3" s="1"/>
  <c r="D7776" i="3" s="1"/>
  <c r="D7800" i="3" s="1"/>
  <c r="D7824" i="3" s="1"/>
  <c r="D7848" i="3" s="1"/>
  <c r="D7872" i="3" s="1"/>
  <c r="D7896" i="3" s="1"/>
  <c r="D7920" i="3" s="1"/>
  <c r="D7944" i="3" s="1"/>
  <c r="D7968" i="3" s="1"/>
  <c r="D7992" i="3" s="1"/>
  <c r="D8016" i="3" s="1"/>
  <c r="D8040" i="3" s="1"/>
  <c r="D8064" i="3" s="1"/>
  <c r="D8088" i="3" s="1"/>
  <c r="D8112" i="3" s="1"/>
  <c r="D8136" i="3" s="1"/>
  <c r="D8160" i="3" s="1"/>
  <c r="D8184" i="3" s="1"/>
  <c r="D8208" i="3" s="1"/>
  <c r="D8232" i="3" s="1"/>
  <c r="D8256" i="3" s="1"/>
  <c r="D8280" i="3" s="1"/>
  <c r="D8304" i="3" s="1"/>
  <c r="D8328" i="3" s="1"/>
  <c r="D8352" i="3" s="1"/>
  <c r="D8376" i="3" s="1"/>
  <c r="D8400" i="3" s="1"/>
  <c r="D8424" i="3" s="1"/>
  <c r="D8448" i="3" s="1"/>
  <c r="D8472" i="3" s="1"/>
  <c r="D8496" i="3" s="1"/>
  <c r="D8520" i="3" s="1"/>
  <c r="D8544" i="3" s="1"/>
  <c r="D8568" i="3" s="1"/>
  <c r="D8592" i="3" s="1"/>
  <c r="D8616" i="3" s="1"/>
  <c r="D8640" i="3" s="1"/>
  <c r="D8664" i="3" s="1"/>
  <c r="D8688" i="3" s="1"/>
  <c r="D8712" i="3" s="1"/>
  <c r="D8736" i="3" s="1"/>
  <c r="D8760" i="3" s="1"/>
  <c r="D8784" i="3" s="1"/>
  <c r="D8808" i="3" s="1"/>
  <c r="D8832" i="3" s="1"/>
  <c r="D8856" i="3" s="1"/>
  <c r="D8880" i="3" s="1"/>
  <c r="D8904" i="3" s="1"/>
  <c r="D8928" i="3" s="1"/>
  <c r="D8952" i="3" s="1"/>
  <c r="D8976" i="3" s="1"/>
  <c r="D9000" i="3" s="1"/>
  <c r="D9024" i="3" s="1"/>
  <c r="D9048" i="3" s="1"/>
  <c r="D9072" i="3" s="1"/>
  <c r="D9096" i="3" s="1"/>
  <c r="D9120" i="3" s="1"/>
  <c r="D9144" i="3" s="1"/>
  <c r="D9168" i="3" s="1"/>
  <c r="D9192" i="3" s="1"/>
  <c r="D9216" i="3" s="1"/>
  <c r="D9240" i="3" s="1"/>
  <c r="D9264" i="3" s="1"/>
  <c r="D9288" i="3" s="1"/>
  <c r="D9312" i="3" s="1"/>
  <c r="D9336" i="3" s="1"/>
  <c r="D9360" i="3" s="1"/>
  <c r="D9384" i="3" s="1"/>
  <c r="D9408" i="3" s="1"/>
  <c r="D9432" i="3" s="1"/>
  <c r="D9456" i="3" s="1"/>
  <c r="D9480" i="3" s="1"/>
  <c r="D9504" i="3" s="1"/>
  <c r="D9528" i="3" s="1"/>
  <c r="D9552" i="3" s="1"/>
  <c r="D9576" i="3" s="1"/>
  <c r="D9600" i="3" s="1"/>
  <c r="D9624" i="3" s="1"/>
  <c r="D9648" i="3" s="1"/>
  <c r="D9672" i="3" s="1"/>
  <c r="D9696" i="3" s="1"/>
  <c r="D9720" i="3" s="1"/>
  <c r="D9744" i="3" s="1"/>
  <c r="D9768" i="3" s="1"/>
  <c r="D4079" i="3"/>
  <c r="D4103" i="3" s="1"/>
  <c r="D4127" i="3" s="1"/>
  <c r="D4151" i="3" s="1"/>
  <c r="D4175" i="3" s="1"/>
  <c r="D4199" i="3" s="1"/>
  <c r="D4223" i="3" s="1"/>
  <c r="D4247" i="3" s="1"/>
  <c r="D4271" i="3" s="1"/>
  <c r="D4295" i="3" s="1"/>
  <c r="D4319" i="3" s="1"/>
  <c r="D4343" i="3" s="1"/>
  <c r="D4367" i="3" s="1"/>
  <c r="D4391" i="3" s="1"/>
  <c r="D4415" i="3" s="1"/>
  <c r="D4439" i="3" s="1"/>
  <c r="D4463" i="3" s="1"/>
  <c r="D4487" i="3" s="1"/>
  <c r="D4511" i="3" s="1"/>
  <c r="D4535" i="3" s="1"/>
  <c r="D4559" i="3" s="1"/>
  <c r="D4583" i="3" s="1"/>
  <c r="D4607" i="3" s="1"/>
  <c r="D4631" i="3" s="1"/>
  <c r="D4655" i="3" s="1"/>
  <c r="D4679" i="3" s="1"/>
  <c r="D4703" i="3" s="1"/>
  <c r="D4727" i="3" s="1"/>
  <c r="D4751" i="3" s="1"/>
  <c r="D4775" i="3" s="1"/>
  <c r="D4799" i="3" s="1"/>
  <c r="D4823" i="3" s="1"/>
  <c r="D4847" i="3" s="1"/>
  <c r="D4871" i="3" s="1"/>
  <c r="D4895" i="3" s="1"/>
  <c r="D4919" i="3" s="1"/>
  <c r="D4943" i="3" s="1"/>
  <c r="D4967" i="3" s="1"/>
  <c r="D4991" i="3" s="1"/>
  <c r="D5015" i="3" s="1"/>
  <c r="D5039" i="3" s="1"/>
  <c r="D5063" i="3" s="1"/>
  <c r="D5087" i="3" s="1"/>
  <c r="D5111" i="3" s="1"/>
  <c r="D5135" i="3" s="1"/>
  <c r="D5159" i="3" s="1"/>
  <c r="D5183" i="3" s="1"/>
  <c r="D5207" i="3" s="1"/>
  <c r="D5231" i="3" s="1"/>
  <c r="D5255" i="3" s="1"/>
  <c r="D5279" i="3" s="1"/>
  <c r="D5303" i="3" s="1"/>
  <c r="D5327" i="3" s="1"/>
  <c r="D5351" i="3" s="1"/>
  <c r="D5375" i="3" s="1"/>
  <c r="D5399" i="3" s="1"/>
  <c r="D5423" i="3" s="1"/>
  <c r="D5447" i="3" s="1"/>
  <c r="D5471" i="3" s="1"/>
  <c r="D5495" i="3" s="1"/>
  <c r="D5519" i="3" s="1"/>
  <c r="D5543" i="3" s="1"/>
  <c r="D5567" i="3" s="1"/>
  <c r="D5591" i="3" s="1"/>
  <c r="D5615" i="3" s="1"/>
  <c r="D5639" i="3" s="1"/>
  <c r="D5663" i="3" s="1"/>
  <c r="D5687" i="3" s="1"/>
  <c r="D5711" i="3" s="1"/>
  <c r="D5735" i="3" s="1"/>
  <c r="D5759" i="3" s="1"/>
  <c r="D4077" i="3"/>
  <c r="D4101" i="3" s="1"/>
  <c r="D4125" i="3" s="1"/>
  <c r="D4149" i="3" s="1"/>
  <c r="D4173" i="3" s="1"/>
  <c r="D4197" i="3" s="1"/>
  <c r="D4221" i="3" s="1"/>
  <c r="D4245" i="3" s="1"/>
  <c r="D4269" i="3" s="1"/>
  <c r="D4293" i="3" s="1"/>
  <c r="D4317" i="3" s="1"/>
  <c r="D4341" i="3" s="1"/>
  <c r="D4365" i="3" s="1"/>
  <c r="D4389" i="3" s="1"/>
  <c r="D4413" i="3" s="1"/>
  <c r="D4437" i="3" s="1"/>
  <c r="D4461" i="3" s="1"/>
  <c r="D4485" i="3" s="1"/>
  <c r="D4509" i="3" s="1"/>
  <c r="D4533" i="3" s="1"/>
  <c r="D4557" i="3" s="1"/>
  <c r="D4581" i="3" s="1"/>
  <c r="D4605" i="3" s="1"/>
  <c r="D4629" i="3" s="1"/>
  <c r="D4653" i="3" s="1"/>
  <c r="D4677" i="3" s="1"/>
  <c r="D4701" i="3" s="1"/>
  <c r="D4725" i="3" s="1"/>
  <c r="D4749" i="3" s="1"/>
  <c r="D4773" i="3" s="1"/>
  <c r="D4797" i="3" s="1"/>
  <c r="D4821" i="3" s="1"/>
  <c r="D4845" i="3" s="1"/>
  <c r="D4869" i="3" s="1"/>
  <c r="D4893" i="3" s="1"/>
  <c r="D4917" i="3" s="1"/>
  <c r="D4941" i="3" s="1"/>
  <c r="D4965" i="3" s="1"/>
  <c r="D4989" i="3" s="1"/>
  <c r="D5013" i="3" s="1"/>
  <c r="D5037" i="3" s="1"/>
  <c r="D5061" i="3" s="1"/>
  <c r="D5085" i="3" s="1"/>
  <c r="D5109" i="3" s="1"/>
  <c r="D5133" i="3" s="1"/>
  <c r="D5157" i="3" s="1"/>
  <c r="D5181" i="3" s="1"/>
  <c r="D5205" i="3" s="1"/>
  <c r="D5229" i="3" s="1"/>
  <c r="D5253" i="3" s="1"/>
  <c r="D5277" i="3" s="1"/>
  <c r="D5301" i="3" s="1"/>
  <c r="D5325" i="3" s="1"/>
  <c r="D5349" i="3" s="1"/>
  <c r="D5373" i="3" s="1"/>
  <c r="D5397" i="3" s="1"/>
  <c r="D5421" i="3" s="1"/>
  <c r="D5445" i="3" s="1"/>
  <c r="D5469" i="3" s="1"/>
  <c r="D5493" i="3" s="1"/>
  <c r="D5517" i="3" s="1"/>
  <c r="D5541" i="3" s="1"/>
  <c r="D5565" i="3" s="1"/>
  <c r="D5589" i="3" s="1"/>
  <c r="D5613" i="3" s="1"/>
  <c r="D5637" i="3" s="1"/>
  <c r="D5661" i="3" s="1"/>
  <c r="D5685" i="3" s="1"/>
  <c r="D5709" i="3" s="1"/>
  <c r="D5733" i="3" s="1"/>
  <c r="D5757" i="3" s="1"/>
  <c r="D5781" i="3" s="1"/>
  <c r="D5805" i="3" s="1"/>
  <c r="D5829" i="3" s="1"/>
  <c r="D5853" i="3" s="1"/>
  <c r="D5877" i="3" s="1"/>
  <c r="D5901" i="3" s="1"/>
  <c r="D5925" i="3" s="1"/>
  <c r="D5949" i="3" s="1"/>
  <c r="D5973" i="3" s="1"/>
  <c r="D5997" i="3" s="1"/>
  <c r="D6021" i="3" s="1"/>
  <c r="D6045" i="3" s="1"/>
  <c r="D6069" i="3" s="1"/>
  <c r="D6093" i="3" s="1"/>
  <c r="D6117" i="3" s="1"/>
  <c r="D6141" i="3" s="1"/>
  <c r="D6165" i="3" s="1"/>
  <c r="D6189" i="3" s="1"/>
  <c r="D6213" i="3" s="1"/>
  <c r="D6237" i="3" s="1"/>
  <c r="D6261" i="3" s="1"/>
  <c r="D6285" i="3" s="1"/>
  <c r="D6309" i="3" s="1"/>
  <c r="D6333" i="3" s="1"/>
  <c r="D6357" i="3" s="1"/>
  <c r="D6381" i="3" s="1"/>
  <c r="D6405" i="3" s="1"/>
  <c r="D6429" i="3" s="1"/>
  <c r="D6453" i="3" s="1"/>
  <c r="D6477" i="3" s="1"/>
  <c r="D6501" i="3" s="1"/>
  <c r="D6525" i="3" s="1"/>
  <c r="D6549" i="3" s="1"/>
  <c r="D6573" i="3" s="1"/>
  <c r="D6597" i="3" s="1"/>
  <c r="D6621" i="3" s="1"/>
  <c r="D6645" i="3" s="1"/>
  <c r="D6669" i="3" s="1"/>
  <c r="D6693" i="3" s="1"/>
  <c r="D6717" i="3" s="1"/>
  <c r="D6741" i="3" s="1"/>
  <c r="D6765" i="3" s="1"/>
  <c r="D6789" i="3" s="1"/>
  <c r="D6813" i="3" s="1"/>
  <c r="D6837" i="3" s="1"/>
  <c r="D6861" i="3" s="1"/>
  <c r="D6885" i="3" s="1"/>
  <c r="D6909" i="3" s="1"/>
  <c r="D6933" i="3" s="1"/>
  <c r="D6957" i="3" s="1"/>
  <c r="D6981" i="3" s="1"/>
  <c r="D7005" i="3" s="1"/>
  <c r="D7029" i="3" s="1"/>
  <c r="D7053" i="3" s="1"/>
  <c r="D7077" i="3" s="1"/>
  <c r="D7101" i="3" s="1"/>
  <c r="D7125" i="3" s="1"/>
  <c r="D7149" i="3" s="1"/>
  <c r="D7173" i="3" s="1"/>
  <c r="D7197" i="3" s="1"/>
  <c r="D7221" i="3" s="1"/>
  <c r="D7245" i="3" s="1"/>
  <c r="D7269" i="3" s="1"/>
  <c r="D7293" i="3" s="1"/>
  <c r="D7317" i="3" s="1"/>
  <c r="D7341" i="3" s="1"/>
  <c r="D7365" i="3" s="1"/>
  <c r="D7389" i="3" s="1"/>
  <c r="D7413" i="3" s="1"/>
  <c r="D7437" i="3" s="1"/>
  <c r="D7461" i="3" s="1"/>
  <c r="D7485" i="3" s="1"/>
  <c r="D7509" i="3" s="1"/>
  <c r="D7533" i="3" s="1"/>
  <c r="D7557" i="3" s="1"/>
  <c r="D7581" i="3" s="1"/>
  <c r="D7605" i="3" s="1"/>
  <c r="D7629" i="3" s="1"/>
  <c r="D7653" i="3" s="1"/>
  <c r="D7677" i="3" s="1"/>
  <c r="D7701" i="3" s="1"/>
  <c r="D7725" i="3" s="1"/>
  <c r="D7749" i="3" s="1"/>
  <c r="D7773" i="3" s="1"/>
  <c r="D7797" i="3" s="1"/>
  <c r="D7821" i="3" s="1"/>
  <c r="D7845" i="3" s="1"/>
  <c r="D7869" i="3" s="1"/>
  <c r="D7893" i="3" s="1"/>
  <c r="D7917" i="3" s="1"/>
  <c r="D7941" i="3" s="1"/>
  <c r="D7965" i="3" s="1"/>
  <c r="D7989" i="3" s="1"/>
  <c r="D8013" i="3" s="1"/>
  <c r="D8037" i="3" s="1"/>
  <c r="D8061" i="3" s="1"/>
  <c r="D8085" i="3" s="1"/>
  <c r="D8109" i="3" s="1"/>
  <c r="D8133" i="3" s="1"/>
  <c r="D8157" i="3" s="1"/>
  <c r="D8181" i="3" s="1"/>
  <c r="D8205" i="3" s="1"/>
  <c r="D8229" i="3" s="1"/>
  <c r="D8253" i="3" s="1"/>
  <c r="D8277" i="3" s="1"/>
  <c r="D8301" i="3" s="1"/>
  <c r="D8325" i="3" s="1"/>
  <c r="D8349" i="3" s="1"/>
  <c r="D8373" i="3" s="1"/>
  <c r="D8397" i="3" s="1"/>
  <c r="D8421" i="3" s="1"/>
  <c r="D8445" i="3" s="1"/>
  <c r="D8469" i="3" s="1"/>
  <c r="D8493" i="3" s="1"/>
  <c r="D8517" i="3" s="1"/>
  <c r="D8541" i="3" s="1"/>
  <c r="D8565" i="3" s="1"/>
  <c r="D8589" i="3" s="1"/>
  <c r="D8613" i="3" s="1"/>
  <c r="D8637" i="3" s="1"/>
  <c r="D8661" i="3" s="1"/>
  <c r="D8685" i="3" s="1"/>
  <c r="D8709" i="3" s="1"/>
  <c r="D8733" i="3" s="1"/>
  <c r="D8757" i="3" s="1"/>
  <c r="D8781" i="3" s="1"/>
  <c r="D8805" i="3" s="1"/>
  <c r="D8829" i="3" s="1"/>
  <c r="D8853" i="3" s="1"/>
  <c r="D8877" i="3" s="1"/>
  <c r="D8901" i="3" s="1"/>
  <c r="D8925" i="3" s="1"/>
  <c r="D8949" i="3" s="1"/>
  <c r="D8973" i="3" s="1"/>
  <c r="D8997" i="3" s="1"/>
  <c r="D9021" i="3" s="1"/>
  <c r="D9045" i="3" s="1"/>
  <c r="D9069" i="3" s="1"/>
  <c r="D9093" i="3" s="1"/>
  <c r="D9117" i="3" s="1"/>
  <c r="D9141" i="3" s="1"/>
  <c r="D9165" i="3" s="1"/>
  <c r="D9189" i="3" s="1"/>
  <c r="D9213" i="3" s="1"/>
  <c r="D9237" i="3" s="1"/>
  <c r="D9261" i="3" s="1"/>
  <c r="D9285" i="3" s="1"/>
  <c r="D9309" i="3" s="1"/>
  <c r="D9333" i="3" s="1"/>
  <c r="D9357" i="3" s="1"/>
  <c r="D9381" i="3" s="1"/>
  <c r="D9405" i="3" s="1"/>
  <c r="D9429" i="3" s="1"/>
  <c r="D9453" i="3" s="1"/>
  <c r="D9477" i="3" s="1"/>
  <c r="D9501" i="3" s="1"/>
  <c r="D9525" i="3" s="1"/>
  <c r="D9549" i="3" s="1"/>
  <c r="D9573" i="3" s="1"/>
  <c r="D9597" i="3" s="1"/>
  <c r="D9621" i="3" s="1"/>
  <c r="D9645" i="3" s="1"/>
  <c r="D9669" i="3" s="1"/>
  <c r="D9693" i="3" s="1"/>
  <c r="D9717" i="3" s="1"/>
  <c r="D9741" i="3" s="1"/>
  <c r="D9765" i="3" s="1"/>
  <c r="D4074" i="3"/>
  <c r="D4098" i="3" s="1"/>
  <c r="D4122" i="3" s="1"/>
  <c r="D4146" i="3" s="1"/>
  <c r="D4170" i="3" s="1"/>
  <c r="D4194" i="3" s="1"/>
  <c r="D4218" i="3" s="1"/>
  <c r="D4242" i="3" s="1"/>
  <c r="D4266" i="3" s="1"/>
  <c r="D4290" i="3" s="1"/>
  <c r="D4314" i="3" s="1"/>
  <c r="D4338" i="3" s="1"/>
  <c r="D4362" i="3" s="1"/>
  <c r="D4386" i="3" s="1"/>
  <c r="D4410" i="3" s="1"/>
  <c r="D4434" i="3" s="1"/>
  <c r="D4458" i="3" s="1"/>
  <c r="D4482" i="3" s="1"/>
  <c r="D4506" i="3" s="1"/>
  <c r="D4530" i="3" s="1"/>
  <c r="D4554" i="3" s="1"/>
  <c r="D4578" i="3" s="1"/>
  <c r="D4602" i="3" s="1"/>
  <c r="D4626" i="3" s="1"/>
  <c r="D4650" i="3" s="1"/>
  <c r="D4674" i="3" s="1"/>
  <c r="D4698" i="3" s="1"/>
  <c r="D4722" i="3" s="1"/>
  <c r="D4746" i="3" s="1"/>
  <c r="D4770" i="3" s="1"/>
  <c r="D4794" i="3" s="1"/>
  <c r="D4818" i="3" s="1"/>
  <c r="D4842" i="3" s="1"/>
  <c r="D4866" i="3" s="1"/>
  <c r="D4890" i="3" s="1"/>
  <c r="D4914" i="3" s="1"/>
  <c r="D4938" i="3" s="1"/>
  <c r="D4962" i="3" s="1"/>
  <c r="D4986" i="3" s="1"/>
  <c r="D5010" i="3" s="1"/>
  <c r="D5034" i="3" s="1"/>
  <c r="D5058" i="3" s="1"/>
  <c r="D5082" i="3" s="1"/>
  <c r="D5106" i="3" s="1"/>
  <c r="D5130" i="3" s="1"/>
  <c r="D5154" i="3" s="1"/>
  <c r="D5178" i="3" s="1"/>
  <c r="D5202" i="3" s="1"/>
  <c r="D5226" i="3" s="1"/>
  <c r="D5250" i="3" s="1"/>
  <c r="D5274" i="3" s="1"/>
  <c r="D5298" i="3" s="1"/>
  <c r="D5322" i="3" s="1"/>
  <c r="D5346" i="3" s="1"/>
  <c r="D5370" i="3" s="1"/>
  <c r="D5394" i="3" s="1"/>
  <c r="D5418" i="3" s="1"/>
  <c r="D5442" i="3" s="1"/>
  <c r="D5466" i="3" s="1"/>
  <c r="D5490" i="3" s="1"/>
  <c r="D5514" i="3" s="1"/>
  <c r="D5538" i="3" s="1"/>
  <c r="D5562" i="3" s="1"/>
  <c r="D5586" i="3" s="1"/>
  <c r="D5610" i="3" s="1"/>
  <c r="D5634" i="3" s="1"/>
  <c r="D5658" i="3" s="1"/>
  <c r="D5682" i="3" s="1"/>
  <c r="D5706" i="3" s="1"/>
  <c r="D5730" i="3" s="1"/>
  <c r="D5754" i="3" s="1"/>
  <c r="D4072" i="3"/>
  <c r="D4096" i="3" s="1"/>
  <c r="D4120" i="3" s="1"/>
  <c r="D4144" i="3" s="1"/>
  <c r="D4168" i="3" s="1"/>
  <c r="D4192" i="3" s="1"/>
  <c r="D4216" i="3" s="1"/>
  <c r="D4240" i="3" s="1"/>
  <c r="D4264" i="3" s="1"/>
  <c r="D4288" i="3" s="1"/>
  <c r="D4312" i="3" s="1"/>
  <c r="D4336" i="3" s="1"/>
  <c r="D4360" i="3" s="1"/>
  <c r="D4384" i="3" s="1"/>
  <c r="D4408" i="3" s="1"/>
  <c r="D4432" i="3" s="1"/>
  <c r="D4456" i="3" s="1"/>
  <c r="D4480" i="3" s="1"/>
  <c r="D4504" i="3" s="1"/>
  <c r="D4528" i="3" s="1"/>
  <c r="D4552" i="3" s="1"/>
  <c r="D4576" i="3" s="1"/>
  <c r="D4600" i="3" s="1"/>
  <c r="D4624" i="3" s="1"/>
  <c r="D4648" i="3" s="1"/>
  <c r="D4672" i="3" s="1"/>
  <c r="D4696" i="3" s="1"/>
  <c r="D4720" i="3" s="1"/>
  <c r="D4744" i="3" s="1"/>
  <c r="D4768" i="3" s="1"/>
  <c r="D4792" i="3" s="1"/>
  <c r="D4816" i="3" s="1"/>
  <c r="D4840" i="3" s="1"/>
  <c r="D4864" i="3" s="1"/>
  <c r="D4888" i="3" s="1"/>
  <c r="D4912" i="3" s="1"/>
  <c r="D4936" i="3" s="1"/>
  <c r="D4960" i="3" s="1"/>
  <c r="D4984" i="3" s="1"/>
  <c r="D5008" i="3" s="1"/>
  <c r="D5032" i="3" s="1"/>
  <c r="D5056" i="3" s="1"/>
  <c r="D5080" i="3" s="1"/>
  <c r="D5104" i="3" s="1"/>
  <c r="D5128" i="3" s="1"/>
  <c r="D5152" i="3" s="1"/>
  <c r="D5176" i="3" s="1"/>
  <c r="D5200" i="3" s="1"/>
  <c r="D5224" i="3" s="1"/>
  <c r="D5248" i="3" s="1"/>
  <c r="D5272" i="3" s="1"/>
  <c r="D5296" i="3" s="1"/>
  <c r="D5320" i="3" s="1"/>
  <c r="D5344" i="3" s="1"/>
  <c r="D5368" i="3" s="1"/>
  <c r="D5392" i="3" s="1"/>
  <c r="D5416" i="3" s="1"/>
  <c r="D5440" i="3" s="1"/>
  <c r="D5464" i="3" s="1"/>
  <c r="D5488" i="3" s="1"/>
  <c r="D5512" i="3" s="1"/>
  <c r="D5536" i="3" s="1"/>
  <c r="D5560" i="3" s="1"/>
  <c r="D5584" i="3" s="1"/>
  <c r="D5608" i="3" s="1"/>
  <c r="D5632" i="3" s="1"/>
  <c r="D5656" i="3" s="1"/>
  <c r="D5680" i="3" s="1"/>
  <c r="D5704" i="3" s="1"/>
  <c r="D5728" i="3" s="1"/>
  <c r="D5752" i="3" s="1"/>
  <c r="D5776" i="3" s="1"/>
  <c r="D5800" i="3" s="1"/>
  <c r="D5824" i="3" s="1"/>
  <c r="D5848" i="3" s="1"/>
  <c r="D5872" i="3" s="1"/>
  <c r="D5896" i="3" s="1"/>
  <c r="D5920" i="3" s="1"/>
  <c r="D5944" i="3" s="1"/>
  <c r="D5968" i="3" s="1"/>
  <c r="D5992" i="3" s="1"/>
  <c r="D6016" i="3" s="1"/>
  <c r="D6040" i="3" s="1"/>
  <c r="D6064" i="3" s="1"/>
  <c r="D6088" i="3" s="1"/>
  <c r="D6112" i="3" s="1"/>
  <c r="D6136" i="3" s="1"/>
  <c r="D6160" i="3" s="1"/>
  <c r="D6184" i="3" s="1"/>
  <c r="D6208" i="3" s="1"/>
  <c r="D6232" i="3" s="1"/>
  <c r="D6256" i="3" s="1"/>
  <c r="D6280" i="3" s="1"/>
  <c r="D6304" i="3" s="1"/>
  <c r="D6328" i="3" s="1"/>
  <c r="D6352" i="3" s="1"/>
  <c r="D6376" i="3" s="1"/>
  <c r="D6400" i="3" s="1"/>
  <c r="D6424" i="3" s="1"/>
  <c r="D6448" i="3" s="1"/>
  <c r="D6472" i="3" s="1"/>
  <c r="D6496" i="3" s="1"/>
  <c r="D6520" i="3" s="1"/>
  <c r="D6544" i="3" s="1"/>
  <c r="D6568" i="3" s="1"/>
  <c r="D6592" i="3" s="1"/>
  <c r="D6616" i="3" s="1"/>
  <c r="D6640" i="3" s="1"/>
  <c r="D6664" i="3" s="1"/>
  <c r="D6688" i="3" s="1"/>
  <c r="D6712" i="3" s="1"/>
  <c r="D6736" i="3" s="1"/>
  <c r="D6760" i="3" s="1"/>
  <c r="D6784" i="3" s="1"/>
  <c r="D6808" i="3" s="1"/>
  <c r="D6832" i="3" s="1"/>
  <c r="D6856" i="3" s="1"/>
  <c r="D6880" i="3" s="1"/>
  <c r="D6904" i="3" s="1"/>
  <c r="D6928" i="3" s="1"/>
  <c r="D6952" i="3" s="1"/>
  <c r="D6976" i="3" s="1"/>
  <c r="D7000" i="3" s="1"/>
  <c r="D7024" i="3" s="1"/>
  <c r="D7048" i="3" s="1"/>
  <c r="D7072" i="3" s="1"/>
  <c r="D7096" i="3" s="1"/>
  <c r="D7120" i="3" s="1"/>
  <c r="D7144" i="3" s="1"/>
  <c r="D7168" i="3" s="1"/>
  <c r="D7192" i="3" s="1"/>
  <c r="D7216" i="3" s="1"/>
  <c r="D7240" i="3" s="1"/>
  <c r="D7264" i="3" s="1"/>
  <c r="D7288" i="3" s="1"/>
  <c r="D7312" i="3" s="1"/>
  <c r="D7336" i="3" s="1"/>
  <c r="D7360" i="3" s="1"/>
  <c r="D7384" i="3" s="1"/>
  <c r="D7408" i="3" s="1"/>
  <c r="D7432" i="3" s="1"/>
  <c r="D7456" i="3" s="1"/>
  <c r="D7480" i="3" s="1"/>
  <c r="D7504" i="3" s="1"/>
  <c r="D7528" i="3" s="1"/>
  <c r="D7552" i="3" s="1"/>
  <c r="D7576" i="3" s="1"/>
  <c r="D7600" i="3" s="1"/>
  <c r="D7624" i="3" s="1"/>
  <c r="D7648" i="3" s="1"/>
  <c r="D7672" i="3" s="1"/>
  <c r="D7696" i="3" s="1"/>
  <c r="D7720" i="3" s="1"/>
  <c r="D7744" i="3" s="1"/>
  <c r="D7768" i="3" s="1"/>
  <c r="D7792" i="3" s="1"/>
  <c r="D7816" i="3" s="1"/>
  <c r="D7840" i="3" s="1"/>
  <c r="D7864" i="3" s="1"/>
  <c r="D7888" i="3" s="1"/>
  <c r="D7912" i="3" s="1"/>
  <c r="D7936" i="3" s="1"/>
  <c r="D7960" i="3" s="1"/>
  <c r="D7984" i="3" s="1"/>
  <c r="D8008" i="3" s="1"/>
  <c r="D8032" i="3" s="1"/>
  <c r="D8056" i="3" s="1"/>
  <c r="D8080" i="3" s="1"/>
  <c r="D8104" i="3" s="1"/>
  <c r="D8128" i="3" s="1"/>
  <c r="D8152" i="3" s="1"/>
  <c r="D8176" i="3" s="1"/>
  <c r="D8200" i="3" s="1"/>
  <c r="D8224" i="3" s="1"/>
  <c r="D8248" i="3" s="1"/>
  <c r="D8272" i="3" s="1"/>
  <c r="D8296" i="3" s="1"/>
  <c r="D8320" i="3" s="1"/>
  <c r="D8344" i="3" s="1"/>
  <c r="D8368" i="3" s="1"/>
  <c r="D8392" i="3" s="1"/>
  <c r="D8416" i="3" s="1"/>
  <c r="D8440" i="3" s="1"/>
  <c r="D8464" i="3" s="1"/>
  <c r="D8488" i="3" s="1"/>
  <c r="D8512" i="3" s="1"/>
  <c r="D8536" i="3" s="1"/>
  <c r="D8560" i="3" s="1"/>
  <c r="D8584" i="3" s="1"/>
  <c r="D8608" i="3" s="1"/>
  <c r="D8632" i="3" s="1"/>
  <c r="D8656" i="3" s="1"/>
  <c r="D8680" i="3" s="1"/>
  <c r="D8704" i="3" s="1"/>
  <c r="D8728" i="3" s="1"/>
  <c r="D8752" i="3" s="1"/>
  <c r="D8776" i="3" s="1"/>
  <c r="D8800" i="3" s="1"/>
  <c r="D8824" i="3" s="1"/>
  <c r="D8848" i="3" s="1"/>
  <c r="D8872" i="3" s="1"/>
  <c r="D8896" i="3" s="1"/>
  <c r="D8920" i="3" s="1"/>
  <c r="D8944" i="3" s="1"/>
  <c r="D8968" i="3" s="1"/>
  <c r="D8992" i="3" s="1"/>
  <c r="D9016" i="3" s="1"/>
  <c r="D9040" i="3" s="1"/>
  <c r="D9064" i="3" s="1"/>
  <c r="D9088" i="3" s="1"/>
  <c r="D9112" i="3" s="1"/>
  <c r="D9136" i="3" s="1"/>
  <c r="D9160" i="3" s="1"/>
  <c r="D9184" i="3" s="1"/>
  <c r="D9208" i="3" s="1"/>
  <c r="D9232" i="3" s="1"/>
  <c r="D9256" i="3" s="1"/>
  <c r="D9280" i="3" s="1"/>
  <c r="D9304" i="3" s="1"/>
  <c r="D9328" i="3" s="1"/>
  <c r="D9352" i="3" s="1"/>
  <c r="D9376" i="3" s="1"/>
  <c r="D9400" i="3" s="1"/>
  <c r="D9424" i="3" s="1"/>
  <c r="D9448" i="3" s="1"/>
  <c r="D9472" i="3" s="1"/>
  <c r="D9496" i="3" s="1"/>
  <c r="D9520" i="3" s="1"/>
  <c r="D9544" i="3" s="1"/>
  <c r="D9568" i="3" s="1"/>
  <c r="D9592" i="3" s="1"/>
  <c r="D9616" i="3" s="1"/>
  <c r="D9640" i="3" s="1"/>
  <c r="D9664" i="3" s="1"/>
  <c r="D9688" i="3" s="1"/>
  <c r="D9712" i="3" s="1"/>
  <c r="D9736" i="3" s="1"/>
  <c r="D9760" i="3" s="1"/>
  <c r="D4071" i="3"/>
  <c r="D4095" i="3" s="1"/>
  <c r="D4119" i="3" s="1"/>
  <c r="D4143" i="3" s="1"/>
  <c r="D4167" i="3" s="1"/>
  <c r="D4191" i="3" s="1"/>
  <c r="D4215" i="3" s="1"/>
  <c r="D4239" i="3" s="1"/>
  <c r="D4263" i="3" s="1"/>
  <c r="D4287" i="3" s="1"/>
  <c r="D4311" i="3" s="1"/>
  <c r="D4335" i="3" s="1"/>
  <c r="D4359" i="3" s="1"/>
  <c r="D4383" i="3" s="1"/>
  <c r="D4407" i="3" s="1"/>
  <c r="D4431" i="3" s="1"/>
  <c r="D4455" i="3" s="1"/>
  <c r="D4479" i="3" s="1"/>
  <c r="D4503" i="3" s="1"/>
  <c r="D4527" i="3" s="1"/>
  <c r="D4551" i="3" s="1"/>
  <c r="D4575" i="3" s="1"/>
  <c r="D4599" i="3" s="1"/>
  <c r="D4623" i="3" s="1"/>
  <c r="D4647" i="3" s="1"/>
  <c r="D4671" i="3" s="1"/>
  <c r="D4695" i="3" s="1"/>
  <c r="D4719" i="3" s="1"/>
  <c r="D4743" i="3" s="1"/>
  <c r="D4767" i="3" s="1"/>
  <c r="D4791" i="3" s="1"/>
  <c r="D4815" i="3" s="1"/>
  <c r="D4839" i="3" s="1"/>
  <c r="D4863" i="3" s="1"/>
  <c r="D4887" i="3" s="1"/>
  <c r="D4911" i="3" s="1"/>
  <c r="D4935" i="3" s="1"/>
  <c r="D4959" i="3" s="1"/>
  <c r="D4983" i="3" s="1"/>
  <c r="D5007" i="3" s="1"/>
  <c r="D5031" i="3" s="1"/>
  <c r="D5055" i="3" s="1"/>
  <c r="D5079" i="3" s="1"/>
  <c r="D5103" i="3" s="1"/>
  <c r="D5127" i="3" s="1"/>
  <c r="D5151" i="3" s="1"/>
  <c r="D5175" i="3" s="1"/>
  <c r="D5199" i="3" s="1"/>
  <c r="D5223" i="3" s="1"/>
  <c r="D5247" i="3" s="1"/>
  <c r="D5271" i="3" s="1"/>
  <c r="D5295" i="3" s="1"/>
  <c r="D5319" i="3" s="1"/>
  <c r="D5343" i="3" s="1"/>
  <c r="D5367" i="3" s="1"/>
  <c r="D5391" i="3" s="1"/>
  <c r="D5415" i="3" s="1"/>
  <c r="D5439" i="3" s="1"/>
  <c r="D5463" i="3" s="1"/>
  <c r="D5487" i="3" s="1"/>
  <c r="D5511" i="3" s="1"/>
  <c r="D5535" i="3" s="1"/>
  <c r="D5559" i="3" s="1"/>
  <c r="D5583" i="3" s="1"/>
  <c r="D5607" i="3" s="1"/>
  <c r="D5631" i="3" s="1"/>
  <c r="D5655" i="3" s="1"/>
  <c r="D5679" i="3" s="1"/>
  <c r="D5703" i="3" s="1"/>
  <c r="D5727" i="3" s="1"/>
  <c r="D5751" i="3" s="1"/>
  <c r="D5775" i="3" s="1"/>
  <c r="D5799" i="3" s="1"/>
  <c r="D5823" i="3" s="1"/>
  <c r="D5847" i="3" s="1"/>
  <c r="D5871" i="3" s="1"/>
  <c r="D5895" i="3" s="1"/>
  <c r="D5919" i="3" s="1"/>
  <c r="D5943" i="3" s="1"/>
  <c r="D5967" i="3" s="1"/>
  <c r="D5991" i="3" s="1"/>
  <c r="D6015" i="3" s="1"/>
  <c r="D6039" i="3" s="1"/>
  <c r="D6063" i="3" s="1"/>
  <c r="D6087" i="3" s="1"/>
  <c r="D6111" i="3" s="1"/>
  <c r="D6135" i="3" s="1"/>
  <c r="D6159" i="3" s="1"/>
  <c r="D6183" i="3" s="1"/>
  <c r="D6207" i="3" s="1"/>
  <c r="D6231" i="3" s="1"/>
  <c r="D6255" i="3" s="1"/>
  <c r="D6279" i="3" s="1"/>
  <c r="D6303" i="3" s="1"/>
  <c r="D6327" i="3" s="1"/>
  <c r="D6351" i="3" s="1"/>
  <c r="D6375" i="3" s="1"/>
  <c r="D6399" i="3" s="1"/>
  <c r="D6423" i="3" s="1"/>
  <c r="D6447" i="3" s="1"/>
  <c r="D6471" i="3" s="1"/>
  <c r="D6495" i="3" s="1"/>
  <c r="D6519" i="3" s="1"/>
  <c r="D6543" i="3" s="1"/>
  <c r="D6567" i="3" s="1"/>
  <c r="D6591" i="3" s="1"/>
  <c r="D6615" i="3" s="1"/>
  <c r="D6639" i="3" s="1"/>
  <c r="D6663" i="3" s="1"/>
  <c r="D6687" i="3" s="1"/>
  <c r="D6711" i="3" s="1"/>
  <c r="D6735" i="3" s="1"/>
  <c r="D6759" i="3" s="1"/>
  <c r="D6783" i="3" s="1"/>
  <c r="D6807" i="3" s="1"/>
  <c r="D6831" i="3" s="1"/>
  <c r="D6855" i="3" s="1"/>
  <c r="D6879" i="3" s="1"/>
  <c r="D6903" i="3" s="1"/>
  <c r="D6927" i="3" s="1"/>
  <c r="D6951" i="3" s="1"/>
  <c r="D6975" i="3" s="1"/>
  <c r="D6999" i="3" s="1"/>
  <c r="D7023" i="3" s="1"/>
  <c r="D7047" i="3" s="1"/>
  <c r="D7071" i="3" s="1"/>
  <c r="D7095" i="3" s="1"/>
  <c r="D7119" i="3" s="1"/>
  <c r="D7143" i="3" s="1"/>
  <c r="D7167" i="3" s="1"/>
  <c r="D7191" i="3" s="1"/>
  <c r="D7215" i="3" s="1"/>
  <c r="D7239" i="3" s="1"/>
  <c r="D7263" i="3" s="1"/>
  <c r="D7287" i="3" s="1"/>
  <c r="D7311" i="3" s="1"/>
  <c r="D7335" i="3" s="1"/>
  <c r="D7359" i="3" s="1"/>
  <c r="D7383" i="3" s="1"/>
  <c r="D7407" i="3" s="1"/>
  <c r="D7431" i="3" s="1"/>
  <c r="D7455" i="3" s="1"/>
  <c r="D7479" i="3" s="1"/>
  <c r="D7503" i="3" s="1"/>
  <c r="D7527" i="3" s="1"/>
  <c r="D7551" i="3" s="1"/>
  <c r="D7575" i="3" s="1"/>
  <c r="D7599" i="3" s="1"/>
  <c r="D7623" i="3" s="1"/>
  <c r="D7647" i="3" s="1"/>
  <c r="D7671" i="3" s="1"/>
  <c r="D7695" i="3" s="1"/>
  <c r="D7719" i="3" s="1"/>
  <c r="D7743" i="3" s="1"/>
  <c r="D7767" i="3" s="1"/>
  <c r="D7791" i="3" s="1"/>
  <c r="D7815" i="3" s="1"/>
  <c r="D7839" i="3" s="1"/>
  <c r="D7863" i="3" s="1"/>
  <c r="D7887" i="3" s="1"/>
  <c r="D7911" i="3" s="1"/>
  <c r="D7935" i="3" s="1"/>
  <c r="D7959" i="3" s="1"/>
  <c r="D7983" i="3" s="1"/>
  <c r="D8007" i="3" s="1"/>
  <c r="D8031" i="3" s="1"/>
  <c r="D8055" i="3" s="1"/>
  <c r="D8079" i="3" s="1"/>
  <c r="D8103" i="3" s="1"/>
  <c r="D8127" i="3" s="1"/>
  <c r="D8151" i="3" s="1"/>
  <c r="D8175" i="3" s="1"/>
  <c r="D8199" i="3" s="1"/>
  <c r="D8223" i="3" s="1"/>
  <c r="D8247" i="3" s="1"/>
  <c r="D8271" i="3" s="1"/>
  <c r="D8295" i="3" s="1"/>
  <c r="D8319" i="3" s="1"/>
  <c r="D8343" i="3" s="1"/>
  <c r="D8367" i="3" s="1"/>
  <c r="D8391" i="3" s="1"/>
  <c r="D8415" i="3" s="1"/>
  <c r="D8439" i="3" s="1"/>
  <c r="D8463" i="3" s="1"/>
  <c r="D8487" i="3" s="1"/>
  <c r="D8511" i="3" s="1"/>
  <c r="D8535" i="3" s="1"/>
  <c r="D8559" i="3" s="1"/>
  <c r="D8583" i="3" s="1"/>
  <c r="D8607" i="3" s="1"/>
  <c r="D8631" i="3" s="1"/>
  <c r="D8655" i="3" s="1"/>
  <c r="D8679" i="3" s="1"/>
  <c r="D8703" i="3" s="1"/>
  <c r="D8727" i="3" s="1"/>
  <c r="D8751" i="3" s="1"/>
  <c r="D8775" i="3" s="1"/>
  <c r="D8799" i="3" s="1"/>
  <c r="D8823" i="3" s="1"/>
  <c r="D8847" i="3" s="1"/>
  <c r="D8871" i="3" s="1"/>
  <c r="D8895" i="3" s="1"/>
  <c r="D8919" i="3" s="1"/>
  <c r="D8943" i="3" s="1"/>
  <c r="D8967" i="3" s="1"/>
  <c r="D8991" i="3" s="1"/>
  <c r="D9015" i="3" s="1"/>
  <c r="D9039" i="3" s="1"/>
  <c r="D9063" i="3" s="1"/>
  <c r="D9087" i="3" s="1"/>
  <c r="D9111" i="3" s="1"/>
  <c r="D9135" i="3" s="1"/>
  <c r="D9159" i="3" s="1"/>
  <c r="D9183" i="3" s="1"/>
  <c r="D9207" i="3" s="1"/>
  <c r="D9231" i="3" s="1"/>
  <c r="D9255" i="3" s="1"/>
  <c r="D9279" i="3" s="1"/>
  <c r="D9303" i="3" s="1"/>
  <c r="D9327" i="3" s="1"/>
  <c r="D9351" i="3" s="1"/>
  <c r="D9375" i="3" s="1"/>
  <c r="D9399" i="3" s="1"/>
  <c r="D9423" i="3" s="1"/>
  <c r="D9447" i="3" s="1"/>
  <c r="D9471" i="3" s="1"/>
  <c r="D9495" i="3" s="1"/>
  <c r="D9519" i="3" s="1"/>
  <c r="D9543" i="3" s="1"/>
  <c r="D9567" i="3" s="1"/>
  <c r="D9591" i="3" s="1"/>
  <c r="D9615" i="3" s="1"/>
  <c r="D9639" i="3" s="1"/>
  <c r="D9663" i="3" s="1"/>
  <c r="D9687" i="3" s="1"/>
  <c r="D9711" i="3" s="1"/>
  <c r="D9735" i="3" s="1"/>
  <c r="D9759" i="3" s="1"/>
  <c r="D4070" i="3"/>
  <c r="D4094" i="3" s="1"/>
  <c r="D4118" i="3" s="1"/>
  <c r="D4142" i="3" s="1"/>
  <c r="D4166" i="3" s="1"/>
  <c r="D4190" i="3" s="1"/>
  <c r="D4214" i="3" s="1"/>
  <c r="D4238" i="3" s="1"/>
  <c r="D4262" i="3" s="1"/>
  <c r="D4286" i="3" s="1"/>
  <c r="D4310" i="3" s="1"/>
  <c r="D4334" i="3" s="1"/>
  <c r="D4358" i="3" s="1"/>
  <c r="D4382" i="3" s="1"/>
  <c r="D4406" i="3" s="1"/>
  <c r="D4430" i="3" s="1"/>
  <c r="D4454" i="3" s="1"/>
  <c r="D4478" i="3" s="1"/>
  <c r="D4502" i="3" s="1"/>
  <c r="D4526" i="3" s="1"/>
  <c r="D4550" i="3" s="1"/>
  <c r="D4574" i="3" s="1"/>
  <c r="D4598" i="3" s="1"/>
  <c r="D4622" i="3" s="1"/>
  <c r="D4646" i="3" s="1"/>
  <c r="D4670" i="3" s="1"/>
  <c r="D4694" i="3" s="1"/>
  <c r="D4718" i="3" s="1"/>
  <c r="D4742" i="3" s="1"/>
  <c r="D4766" i="3" s="1"/>
  <c r="D4790" i="3" s="1"/>
  <c r="D4814" i="3" s="1"/>
  <c r="D4838" i="3" s="1"/>
  <c r="D4862" i="3" s="1"/>
  <c r="D4886" i="3" s="1"/>
  <c r="D4910" i="3" s="1"/>
  <c r="D4934" i="3" s="1"/>
  <c r="D4958" i="3" s="1"/>
  <c r="D4982" i="3" s="1"/>
  <c r="D5006" i="3" s="1"/>
  <c r="D5030" i="3" s="1"/>
  <c r="D5054" i="3" s="1"/>
  <c r="D5078" i="3" s="1"/>
  <c r="D5102" i="3" s="1"/>
  <c r="D5126" i="3" s="1"/>
  <c r="D5150" i="3" s="1"/>
  <c r="D5174" i="3" s="1"/>
  <c r="D5198" i="3" s="1"/>
  <c r="D5222" i="3" s="1"/>
  <c r="D5246" i="3" s="1"/>
  <c r="D5270" i="3" s="1"/>
  <c r="D5294" i="3" s="1"/>
  <c r="D5318" i="3" s="1"/>
  <c r="D5342" i="3" s="1"/>
  <c r="D5366" i="3" s="1"/>
  <c r="D5390" i="3" s="1"/>
  <c r="D5414" i="3" s="1"/>
  <c r="D5438" i="3" s="1"/>
  <c r="D5462" i="3" s="1"/>
  <c r="D5486" i="3" s="1"/>
  <c r="D5510" i="3" s="1"/>
  <c r="D5534" i="3" s="1"/>
  <c r="D5558" i="3" s="1"/>
  <c r="D5582" i="3" s="1"/>
  <c r="D5606" i="3" s="1"/>
  <c r="D5630" i="3" s="1"/>
  <c r="D5654" i="3" s="1"/>
  <c r="D5678" i="3" s="1"/>
  <c r="D5702" i="3" s="1"/>
  <c r="D5726" i="3" s="1"/>
  <c r="D5750" i="3" s="1"/>
  <c r="D5774" i="3" s="1"/>
  <c r="D5798" i="3" s="1"/>
  <c r="D5822" i="3" s="1"/>
  <c r="D5846" i="3" s="1"/>
  <c r="D5870" i="3" s="1"/>
  <c r="D5894" i="3" s="1"/>
  <c r="D5918" i="3" s="1"/>
  <c r="D5942" i="3" s="1"/>
  <c r="D5966" i="3" s="1"/>
  <c r="D5990" i="3" s="1"/>
  <c r="D6014" i="3" s="1"/>
  <c r="D6038" i="3" s="1"/>
  <c r="D6062" i="3" s="1"/>
  <c r="D6086" i="3" s="1"/>
  <c r="D6110" i="3" s="1"/>
  <c r="D6134" i="3" s="1"/>
  <c r="D6158" i="3" s="1"/>
  <c r="D6182" i="3" s="1"/>
  <c r="D6206" i="3" s="1"/>
  <c r="D6230" i="3" s="1"/>
  <c r="D6254" i="3" s="1"/>
  <c r="D6278" i="3" s="1"/>
  <c r="D6302" i="3" s="1"/>
  <c r="D6326" i="3" s="1"/>
  <c r="D6350" i="3" s="1"/>
  <c r="D6374" i="3" s="1"/>
  <c r="D6398" i="3" s="1"/>
  <c r="D6422" i="3" s="1"/>
  <c r="D6446" i="3" s="1"/>
  <c r="D6470" i="3" s="1"/>
  <c r="D6494" i="3" s="1"/>
  <c r="D6518" i="3" s="1"/>
  <c r="D6542" i="3" s="1"/>
  <c r="D6566" i="3" s="1"/>
  <c r="D6590" i="3" s="1"/>
  <c r="D6614" i="3" s="1"/>
  <c r="D6638" i="3" s="1"/>
  <c r="D6662" i="3" s="1"/>
  <c r="D6686" i="3" s="1"/>
  <c r="D6710" i="3" s="1"/>
  <c r="D6734" i="3" s="1"/>
  <c r="D6758" i="3" s="1"/>
  <c r="D6782" i="3" s="1"/>
  <c r="D6806" i="3" s="1"/>
  <c r="D6830" i="3" s="1"/>
  <c r="D6854" i="3" s="1"/>
  <c r="D6878" i="3" s="1"/>
  <c r="D6902" i="3" s="1"/>
  <c r="D6926" i="3" s="1"/>
  <c r="D6950" i="3" s="1"/>
  <c r="D6974" i="3" s="1"/>
  <c r="D6998" i="3" s="1"/>
  <c r="D7022" i="3" s="1"/>
  <c r="D7046" i="3" s="1"/>
  <c r="D7070" i="3" s="1"/>
  <c r="D7094" i="3" s="1"/>
  <c r="D7118" i="3" s="1"/>
  <c r="D7142" i="3" s="1"/>
  <c r="D7166" i="3" s="1"/>
  <c r="D7190" i="3" s="1"/>
  <c r="D7214" i="3" s="1"/>
  <c r="D7238" i="3" s="1"/>
  <c r="D7262" i="3" s="1"/>
  <c r="D7286" i="3" s="1"/>
  <c r="D7310" i="3" s="1"/>
  <c r="D7334" i="3" s="1"/>
  <c r="D7358" i="3" s="1"/>
  <c r="D7382" i="3" s="1"/>
  <c r="D7406" i="3" s="1"/>
  <c r="D7430" i="3" s="1"/>
  <c r="D7454" i="3" s="1"/>
  <c r="D7478" i="3" s="1"/>
  <c r="D7502" i="3" s="1"/>
  <c r="D7526" i="3" s="1"/>
  <c r="D7550" i="3" s="1"/>
  <c r="D7574" i="3" s="1"/>
  <c r="D7598" i="3" s="1"/>
  <c r="D7622" i="3" s="1"/>
  <c r="D7646" i="3" s="1"/>
  <c r="D7670" i="3" s="1"/>
  <c r="D7694" i="3" s="1"/>
  <c r="D7718" i="3" s="1"/>
  <c r="D7742" i="3" s="1"/>
  <c r="D7766" i="3" s="1"/>
  <c r="D7790" i="3" s="1"/>
  <c r="D7814" i="3" s="1"/>
  <c r="D7838" i="3" s="1"/>
  <c r="D7862" i="3" s="1"/>
  <c r="D7886" i="3" s="1"/>
  <c r="D7910" i="3" s="1"/>
  <c r="D7934" i="3" s="1"/>
  <c r="D7958" i="3" s="1"/>
  <c r="D7982" i="3" s="1"/>
  <c r="D8006" i="3" s="1"/>
  <c r="D8030" i="3" s="1"/>
  <c r="D8054" i="3" s="1"/>
  <c r="D8078" i="3" s="1"/>
  <c r="D8102" i="3" s="1"/>
  <c r="D8126" i="3" s="1"/>
  <c r="D8150" i="3" s="1"/>
  <c r="D8174" i="3" s="1"/>
  <c r="D8198" i="3" s="1"/>
  <c r="D8222" i="3" s="1"/>
  <c r="D8246" i="3" s="1"/>
  <c r="D8270" i="3" s="1"/>
  <c r="D8294" i="3" s="1"/>
  <c r="D8318" i="3" s="1"/>
  <c r="D8342" i="3" s="1"/>
  <c r="D8366" i="3" s="1"/>
  <c r="D8390" i="3" s="1"/>
  <c r="D8414" i="3" s="1"/>
  <c r="D8438" i="3" s="1"/>
  <c r="D8462" i="3" s="1"/>
  <c r="D8486" i="3" s="1"/>
  <c r="D8510" i="3" s="1"/>
  <c r="D8534" i="3" s="1"/>
  <c r="D8558" i="3" s="1"/>
  <c r="D8582" i="3" s="1"/>
  <c r="D8606" i="3" s="1"/>
  <c r="D8630" i="3" s="1"/>
  <c r="D8654" i="3" s="1"/>
  <c r="D8678" i="3" s="1"/>
  <c r="D8702" i="3" s="1"/>
  <c r="D8726" i="3" s="1"/>
  <c r="D8750" i="3" s="1"/>
  <c r="D8774" i="3" s="1"/>
  <c r="D8798" i="3" s="1"/>
  <c r="D8822" i="3" s="1"/>
  <c r="D8846" i="3" s="1"/>
  <c r="D8870" i="3" s="1"/>
  <c r="D8894" i="3" s="1"/>
  <c r="D8918" i="3" s="1"/>
  <c r="D8942" i="3" s="1"/>
  <c r="D8966" i="3" s="1"/>
  <c r="D8990" i="3" s="1"/>
  <c r="D9014" i="3" s="1"/>
  <c r="D9038" i="3" s="1"/>
  <c r="D9062" i="3" s="1"/>
  <c r="D9086" i="3" s="1"/>
  <c r="D9110" i="3" s="1"/>
  <c r="D9134" i="3" s="1"/>
  <c r="D9158" i="3" s="1"/>
  <c r="D9182" i="3" s="1"/>
  <c r="D9206" i="3" s="1"/>
  <c r="D9230" i="3" s="1"/>
  <c r="D9254" i="3" s="1"/>
  <c r="D9278" i="3" s="1"/>
  <c r="D9302" i="3" s="1"/>
  <c r="D9326" i="3" s="1"/>
  <c r="D9350" i="3" s="1"/>
  <c r="D9374" i="3" s="1"/>
  <c r="D9398" i="3" s="1"/>
  <c r="D9422" i="3" s="1"/>
  <c r="D9446" i="3" s="1"/>
  <c r="D9470" i="3" s="1"/>
  <c r="D9494" i="3" s="1"/>
  <c r="D9518" i="3" s="1"/>
  <c r="D9542" i="3" s="1"/>
  <c r="D9566" i="3" s="1"/>
  <c r="D9590" i="3" s="1"/>
  <c r="D9614" i="3" s="1"/>
  <c r="D9638" i="3" s="1"/>
  <c r="D9662" i="3" s="1"/>
  <c r="D9686" i="3" s="1"/>
  <c r="D9710" i="3" s="1"/>
  <c r="D9734" i="3" s="1"/>
  <c r="D9758" i="3" s="1"/>
  <c r="D4069" i="3"/>
  <c r="D4093" i="3" s="1"/>
  <c r="D4117" i="3" s="1"/>
  <c r="D4141" i="3" s="1"/>
  <c r="D4165" i="3" s="1"/>
  <c r="D4189" i="3" s="1"/>
  <c r="D4213" i="3" s="1"/>
  <c r="D4237" i="3" s="1"/>
  <c r="D4261" i="3" s="1"/>
  <c r="D4285" i="3" s="1"/>
  <c r="D4309" i="3" s="1"/>
  <c r="D4333" i="3" s="1"/>
  <c r="D4357" i="3" s="1"/>
  <c r="D4381" i="3" s="1"/>
  <c r="D4405" i="3" s="1"/>
  <c r="D4429" i="3" s="1"/>
  <c r="D4453" i="3" s="1"/>
  <c r="D4477" i="3" s="1"/>
  <c r="D4501" i="3" s="1"/>
  <c r="D4525" i="3" s="1"/>
  <c r="D4549" i="3" s="1"/>
  <c r="D4573" i="3" s="1"/>
  <c r="D4597" i="3" s="1"/>
  <c r="D4621" i="3" s="1"/>
  <c r="D4645" i="3" s="1"/>
  <c r="D4669" i="3" s="1"/>
  <c r="D4693" i="3" s="1"/>
  <c r="D4717" i="3" s="1"/>
  <c r="D4741" i="3" s="1"/>
  <c r="D4765" i="3" s="1"/>
  <c r="D4789" i="3" s="1"/>
  <c r="D4813" i="3" s="1"/>
  <c r="D4837" i="3" s="1"/>
  <c r="D4861" i="3" s="1"/>
  <c r="D4885" i="3" s="1"/>
  <c r="D4909" i="3" s="1"/>
  <c r="D4933" i="3" s="1"/>
  <c r="D4957" i="3" s="1"/>
  <c r="D4981" i="3" s="1"/>
  <c r="D5005" i="3" s="1"/>
  <c r="D5029" i="3" s="1"/>
  <c r="D5053" i="3" s="1"/>
  <c r="D5077" i="3" s="1"/>
  <c r="D5101" i="3" s="1"/>
  <c r="D5125" i="3" s="1"/>
  <c r="D5149" i="3" s="1"/>
  <c r="D5173" i="3" s="1"/>
  <c r="D5197" i="3" s="1"/>
  <c r="D5221" i="3" s="1"/>
  <c r="D5245" i="3" s="1"/>
  <c r="D5269" i="3" s="1"/>
  <c r="D5293" i="3" s="1"/>
  <c r="D5317" i="3" s="1"/>
  <c r="D5341" i="3" s="1"/>
  <c r="D5365" i="3" s="1"/>
  <c r="D5389" i="3" s="1"/>
  <c r="D5413" i="3" s="1"/>
  <c r="D5437" i="3" s="1"/>
  <c r="D5461" i="3" s="1"/>
  <c r="D5485" i="3" s="1"/>
  <c r="D5509" i="3" s="1"/>
  <c r="D5533" i="3" s="1"/>
  <c r="D5557" i="3" s="1"/>
  <c r="D5581" i="3" s="1"/>
  <c r="D5605" i="3" s="1"/>
  <c r="D5629" i="3" s="1"/>
  <c r="D5653" i="3" s="1"/>
  <c r="D5677" i="3" s="1"/>
  <c r="D5701" i="3" s="1"/>
  <c r="D5725" i="3" s="1"/>
  <c r="D5749" i="3" s="1"/>
  <c r="D5773" i="3" s="1"/>
  <c r="D5797" i="3" s="1"/>
  <c r="D5821" i="3" s="1"/>
  <c r="D5845" i="3" s="1"/>
  <c r="D5869" i="3" s="1"/>
  <c r="D5893" i="3" s="1"/>
  <c r="D5917" i="3" s="1"/>
  <c r="D5941" i="3" s="1"/>
  <c r="D5965" i="3" s="1"/>
  <c r="D5989" i="3" s="1"/>
  <c r="D6013" i="3" s="1"/>
  <c r="D6037" i="3" s="1"/>
  <c r="D6061" i="3" s="1"/>
  <c r="D6085" i="3" s="1"/>
  <c r="D6109" i="3" s="1"/>
  <c r="D6133" i="3" s="1"/>
  <c r="D6157" i="3" s="1"/>
  <c r="D6181" i="3" s="1"/>
  <c r="D6205" i="3" s="1"/>
  <c r="D6229" i="3" s="1"/>
  <c r="D6253" i="3" s="1"/>
  <c r="D6277" i="3" s="1"/>
  <c r="D6301" i="3" s="1"/>
  <c r="D6325" i="3" s="1"/>
  <c r="D6349" i="3" s="1"/>
  <c r="D6373" i="3" s="1"/>
  <c r="D6397" i="3" s="1"/>
  <c r="D6421" i="3" s="1"/>
  <c r="D6445" i="3" s="1"/>
  <c r="D6469" i="3" s="1"/>
  <c r="D6493" i="3" s="1"/>
  <c r="D6517" i="3" s="1"/>
  <c r="D6541" i="3" s="1"/>
  <c r="D6565" i="3" s="1"/>
  <c r="D6589" i="3" s="1"/>
  <c r="D6613" i="3" s="1"/>
  <c r="D6637" i="3" s="1"/>
  <c r="D6661" i="3" s="1"/>
  <c r="D6685" i="3" s="1"/>
  <c r="D6709" i="3" s="1"/>
  <c r="D6733" i="3" s="1"/>
  <c r="D6757" i="3" s="1"/>
  <c r="D6781" i="3" s="1"/>
  <c r="D6805" i="3" s="1"/>
  <c r="D6829" i="3" s="1"/>
  <c r="D6853" i="3" s="1"/>
  <c r="D6877" i="3" s="1"/>
  <c r="D6901" i="3" s="1"/>
  <c r="D6925" i="3" s="1"/>
  <c r="D6949" i="3" s="1"/>
  <c r="D6973" i="3" s="1"/>
  <c r="D6997" i="3" s="1"/>
  <c r="D7021" i="3" s="1"/>
  <c r="D7045" i="3" s="1"/>
  <c r="D7069" i="3" s="1"/>
  <c r="D7093" i="3" s="1"/>
  <c r="D7117" i="3" s="1"/>
  <c r="D7141" i="3" s="1"/>
  <c r="D7165" i="3" s="1"/>
  <c r="D7189" i="3" s="1"/>
  <c r="D7213" i="3" s="1"/>
  <c r="D7237" i="3" s="1"/>
  <c r="D7261" i="3" s="1"/>
  <c r="D7285" i="3" s="1"/>
  <c r="D7309" i="3" s="1"/>
  <c r="D7333" i="3" s="1"/>
  <c r="D7357" i="3" s="1"/>
  <c r="D7381" i="3" s="1"/>
  <c r="D7405" i="3" s="1"/>
  <c r="D7429" i="3" s="1"/>
  <c r="D7453" i="3" s="1"/>
  <c r="D7477" i="3" s="1"/>
  <c r="D7501" i="3" s="1"/>
  <c r="D7525" i="3" s="1"/>
  <c r="D7549" i="3" s="1"/>
  <c r="D7573" i="3" s="1"/>
  <c r="D7597" i="3" s="1"/>
  <c r="D7621" i="3" s="1"/>
  <c r="D7645" i="3" s="1"/>
  <c r="D7669" i="3" s="1"/>
  <c r="D7693" i="3" s="1"/>
  <c r="D7717" i="3" s="1"/>
  <c r="D7741" i="3" s="1"/>
  <c r="D7765" i="3" s="1"/>
  <c r="D7789" i="3" s="1"/>
  <c r="D7813" i="3" s="1"/>
  <c r="D7837" i="3" s="1"/>
  <c r="D7861" i="3" s="1"/>
  <c r="D7885" i="3" s="1"/>
  <c r="D7909" i="3" s="1"/>
  <c r="D7933" i="3" s="1"/>
  <c r="D7957" i="3" s="1"/>
  <c r="D7981" i="3" s="1"/>
  <c r="D8005" i="3" s="1"/>
  <c r="D8029" i="3" s="1"/>
  <c r="D8053" i="3" s="1"/>
  <c r="D8077" i="3" s="1"/>
  <c r="D8101" i="3" s="1"/>
  <c r="D8125" i="3" s="1"/>
  <c r="D8149" i="3" s="1"/>
  <c r="D8173" i="3" s="1"/>
  <c r="D8197" i="3" s="1"/>
  <c r="D8221" i="3" s="1"/>
  <c r="D8245" i="3" s="1"/>
  <c r="D8269" i="3" s="1"/>
  <c r="D8293" i="3" s="1"/>
  <c r="D8317" i="3" s="1"/>
  <c r="D8341" i="3" s="1"/>
  <c r="D8365" i="3" s="1"/>
  <c r="D8389" i="3" s="1"/>
  <c r="D8413" i="3" s="1"/>
  <c r="D8437" i="3" s="1"/>
  <c r="D8461" i="3" s="1"/>
  <c r="D8485" i="3" s="1"/>
  <c r="D8509" i="3" s="1"/>
  <c r="D8533" i="3" s="1"/>
  <c r="D8557" i="3" s="1"/>
  <c r="D8581" i="3" s="1"/>
  <c r="D8605" i="3" s="1"/>
  <c r="D8629" i="3" s="1"/>
  <c r="D8653" i="3" s="1"/>
  <c r="D8677" i="3" s="1"/>
  <c r="D8701" i="3" s="1"/>
  <c r="D8725" i="3" s="1"/>
  <c r="D8749" i="3" s="1"/>
  <c r="D8773" i="3" s="1"/>
  <c r="D8797" i="3" s="1"/>
  <c r="D8821" i="3" s="1"/>
  <c r="D8845" i="3" s="1"/>
  <c r="D8869" i="3" s="1"/>
  <c r="D8893" i="3" s="1"/>
  <c r="D8917" i="3" s="1"/>
  <c r="D8941" i="3" s="1"/>
  <c r="D8965" i="3" s="1"/>
  <c r="D8989" i="3" s="1"/>
  <c r="D9013" i="3" s="1"/>
  <c r="D9037" i="3" s="1"/>
  <c r="D9061" i="3" s="1"/>
  <c r="D9085" i="3" s="1"/>
  <c r="D9109" i="3" s="1"/>
  <c r="D9133" i="3" s="1"/>
  <c r="D9157" i="3" s="1"/>
  <c r="D9181" i="3" s="1"/>
  <c r="D9205" i="3" s="1"/>
  <c r="D9229" i="3" s="1"/>
  <c r="D9253" i="3" s="1"/>
  <c r="D9277" i="3" s="1"/>
  <c r="D9301" i="3" s="1"/>
  <c r="D9325" i="3" s="1"/>
  <c r="D9349" i="3" s="1"/>
  <c r="D9373" i="3" s="1"/>
  <c r="D9397" i="3" s="1"/>
  <c r="D9421" i="3" s="1"/>
  <c r="D9445" i="3" s="1"/>
  <c r="D9469" i="3" s="1"/>
  <c r="D9493" i="3" s="1"/>
  <c r="D9517" i="3" s="1"/>
  <c r="D9541" i="3" s="1"/>
  <c r="D9565" i="3" s="1"/>
  <c r="D9589" i="3" s="1"/>
  <c r="D9613" i="3" s="1"/>
  <c r="D9637" i="3" s="1"/>
  <c r="D9661" i="3" s="1"/>
  <c r="D9685" i="3" s="1"/>
  <c r="D9709" i="3" s="1"/>
  <c r="D9733" i="3" s="1"/>
  <c r="D9757" i="3" s="1"/>
  <c r="D4068" i="3"/>
  <c r="D4092" i="3" s="1"/>
  <c r="D4116" i="3" s="1"/>
  <c r="D4140" i="3" s="1"/>
  <c r="D4164" i="3" s="1"/>
  <c r="D4188" i="3" s="1"/>
  <c r="D4212" i="3" s="1"/>
  <c r="D4236" i="3" s="1"/>
  <c r="D4260" i="3" s="1"/>
  <c r="D4284" i="3" s="1"/>
  <c r="D4308" i="3" s="1"/>
  <c r="D4332" i="3" s="1"/>
  <c r="D4356" i="3" s="1"/>
  <c r="D4380" i="3" s="1"/>
  <c r="D4404" i="3" s="1"/>
  <c r="D4428" i="3" s="1"/>
  <c r="D4452" i="3" s="1"/>
  <c r="D4476" i="3" s="1"/>
  <c r="D4500" i="3" s="1"/>
  <c r="D4524" i="3" s="1"/>
  <c r="D4548" i="3" s="1"/>
  <c r="D4572" i="3" s="1"/>
  <c r="D4596" i="3" s="1"/>
  <c r="D4620" i="3" s="1"/>
  <c r="D4644" i="3" s="1"/>
  <c r="D4668" i="3" s="1"/>
  <c r="D4692" i="3" s="1"/>
  <c r="D4716" i="3" s="1"/>
  <c r="D4740" i="3" s="1"/>
  <c r="D4764" i="3" s="1"/>
  <c r="D4788" i="3" s="1"/>
  <c r="D4812" i="3" s="1"/>
  <c r="D4836" i="3" s="1"/>
  <c r="D4860" i="3" s="1"/>
  <c r="D4884" i="3" s="1"/>
  <c r="D4908" i="3" s="1"/>
  <c r="D4932" i="3" s="1"/>
  <c r="D4956" i="3" s="1"/>
  <c r="D4980" i="3" s="1"/>
  <c r="D5004" i="3" s="1"/>
  <c r="D5028" i="3" s="1"/>
  <c r="D5052" i="3" s="1"/>
  <c r="D5076" i="3" s="1"/>
  <c r="D5100" i="3" s="1"/>
  <c r="D5124" i="3" s="1"/>
  <c r="D5148" i="3" s="1"/>
  <c r="D5172" i="3" s="1"/>
  <c r="D5196" i="3" s="1"/>
  <c r="D5220" i="3" s="1"/>
  <c r="D5244" i="3" s="1"/>
  <c r="D5268" i="3" s="1"/>
  <c r="D5292" i="3" s="1"/>
  <c r="D5316" i="3" s="1"/>
  <c r="D5340" i="3" s="1"/>
  <c r="D5364" i="3" s="1"/>
  <c r="D5388" i="3" s="1"/>
  <c r="D5412" i="3" s="1"/>
  <c r="D5436" i="3" s="1"/>
  <c r="D5460" i="3" s="1"/>
  <c r="D5484" i="3" s="1"/>
  <c r="D5508" i="3" s="1"/>
  <c r="D5532" i="3" s="1"/>
  <c r="D5556" i="3" s="1"/>
  <c r="D5580" i="3" s="1"/>
  <c r="D5604" i="3" s="1"/>
  <c r="D5628" i="3" s="1"/>
  <c r="D5652" i="3" s="1"/>
  <c r="D5676" i="3" s="1"/>
  <c r="D5700" i="3" s="1"/>
  <c r="D5724" i="3" s="1"/>
  <c r="D5748" i="3" s="1"/>
  <c r="D5772" i="3" s="1"/>
  <c r="D5796" i="3" s="1"/>
  <c r="D5820" i="3" s="1"/>
  <c r="D5844" i="3" s="1"/>
  <c r="D5868" i="3" s="1"/>
  <c r="D5892" i="3" s="1"/>
  <c r="D5916" i="3" s="1"/>
  <c r="D5940" i="3" s="1"/>
  <c r="D5964" i="3" s="1"/>
  <c r="D5988" i="3" s="1"/>
  <c r="D6012" i="3" s="1"/>
  <c r="D6036" i="3" s="1"/>
  <c r="D6060" i="3" s="1"/>
  <c r="D6084" i="3" s="1"/>
  <c r="D6108" i="3" s="1"/>
  <c r="D6132" i="3" s="1"/>
  <c r="D6156" i="3" s="1"/>
  <c r="D6180" i="3" s="1"/>
  <c r="D6204" i="3" s="1"/>
  <c r="D6228" i="3" s="1"/>
  <c r="D6252" i="3" s="1"/>
  <c r="D6276" i="3" s="1"/>
  <c r="D6300" i="3" s="1"/>
  <c r="D6324" i="3" s="1"/>
  <c r="D6348" i="3" s="1"/>
  <c r="D6372" i="3" s="1"/>
  <c r="D6396" i="3" s="1"/>
  <c r="D6420" i="3" s="1"/>
  <c r="D6444" i="3" s="1"/>
  <c r="D6468" i="3" s="1"/>
  <c r="D6492" i="3" s="1"/>
  <c r="D6516" i="3" s="1"/>
  <c r="D6540" i="3" s="1"/>
  <c r="D6564" i="3" s="1"/>
  <c r="D6588" i="3" s="1"/>
  <c r="D6612" i="3" s="1"/>
  <c r="D6636" i="3" s="1"/>
  <c r="D6660" i="3" s="1"/>
  <c r="D6684" i="3" s="1"/>
  <c r="D6708" i="3" s="1"/>
  <c r="D6732" i="3" s="1"/>
  <c r="D6756" i="3" s="1"/>
  <c r="D6780" i="3" s="1"/>
  <c r="D6804" i="3" s="1"/>
  <c r="D6828" i="3" s="1"/>
  <c r="D6852" i="3" s="1"/>
  <c r="D6876" i="3" s="1"/>
  <c r="D6900" i="3" s="1"/>
  <c r="D6924" i="3" s="1"/>
  <c r="D6948" i="3" s="1"/>
  <c r="D6972" i="3" s="1"/>
  <c r="D6996" i="3" s="1"/>
  <c r="D7020" i="3" s="1"/>
  <c r="D7044" i="3" s="1"/>
  <c r="D7068" i="3" s="1"/>
  <c r="D7092" i="3" s="1"/>
  <c r="D7116" i="3" s="1"/>
  <c r="D7140" i="3" s="1"/>
  <c r="D7164" i="3" s="1"/>
  <c r="D7188" i="3" s="1"/>
  <c r="D7212" i="3" s="1"/>
  <c r="D7236" i="3" s="1"/>
  <c r="D7260" i="3" s="1"/>
  <c r="D7284" i="3" s="1"/>
  <c r="D7308" i="3" s="1"/>
  <c r="D7332" i="3" s="1"/>
  <c r="D7356" i="3" s="1"/>
  <c r="D7380" i="3" s="1"/>
  <c r="D7404" i="3" s="1"/>
  <c r="D7428" i="3" s="1"/>
  <c r="D7452" i="3" s="1"/>
  <c r="D7476" i="3" s="1"/>
  <c r="D7500" i="3" s="1"/>
  <c r="D7524" i="3" s="1"/>
  <c r="D7548" i="3" s="1"/>
  <c r="D7572" i="3" s="1"/>
  <c r="D7596" i="3" s="1"/>
  <c r="D7620" i="3" s="1"/>
  <c r="D7644" i="3" s="1"/>
  <c r="D7668" i="3" s="1"/>
  <c r="D7692" i="3" s="1"/>
  <c r="D7716" i="3" s="1"/>
  <c r="D7740" i="3" s="1"/>
  <c r="D7764" i="3" s="1"/>
  <c r="D7788" i="3" s="1"/>
  <c r="D7812" i="3" s="1"/>
  <c r="D7836" i="3" s="1"/>
  <c r="D7860" i="3" s="1"/>
  <c r="D7884" i="3" s="1"/>
  <c r="D7908" i="3" s="1"/>
  <c r="D7932" i="3" s="1"/>
  <c r="D7956" i="3" s="1"/>
  <c r="D7980" i="3" s="1"/>
  <c r="D8004" i="3" s="1"/>
  <c r="D8028" i="3" s="1"/>
  <c r="D8052" i="3" s="1"/>
  <c r="D8076" i="3" s="1"/>
  <c r="D8100" i="3" s="1"/>
  <c r="D8124" i="3" s="1"/>
  <c r="D8148" i="3" s="1"/>
  <c r="D8172" i="3" s="1"/>
  <c r="D8196" i="3" s="1"/>
  <c r="D8220" i="3" s="1"/>
  <c r="D8244" i="3" s="1"/>
  <c r="D8268" i="3" s="1"/>
  <c r="D8292" i="3" s="1"/>
  <c r="D8316" i="3" s="1"/>
  <c r="D8340" i="3" s="1"/>
  <c r="D8364" i="3" s="1"/>
  <c r="D8388" i="3" s="1"/>
  <c r="D8412" i="3" s="1"/>
  <c r="D8436" i="3" s="1"/>
  <c r="D8460" i="3" s="1"/>
  <c r="D8484" i="3" s="1"/>
  <c r="D8508" i="3" s="1"/>
  <c r="D8532" i="3" s="1"/>
  <c r="D8556" i="3" s="1"/>
  <c r="D8580" i="3" s="1"/>
  <c r="D8604" i="3" s="1"/>
  <c r="D8628" i="3" s="1"/>
  <c r="D8652" i="3" s="1"/>
  <c r="D8676" i="3" s="1"/>
  <c r="D8700" i="3" s="1"/>
  <c r="D8724" i="3" s="1"/>
  <c r="D8748" i="3" s="1"/>
  <c r="D8772" i="3" s="1"/>
  <c r="D8796" i="3" s="1"/>
  <c r="D8820" i="3" s="1"/>
  <c r="D8844" i="3" s="1"/>
  <c r="D8868" i="3" s="1"/>
  <c r="D8892" i="3" s="1"/>
  <c r="D8916" i="3" s="1"/>
  <c r="D8940" i="3" s="1"/>
  <c r="D8964" i="3" s="1"/>
  <c r="D8988" i="3" s="1"/>
  <c r="D9012" i="3" s="1"/>
  <c r="D9036" i="3" s="1"/>
  <c r="D9060" i="3" s="1"/>
  <c r="D9084" i="3" s="1"/>
  <c r="D9108" i="3" s="1"/>
  <c r="D9132" i="3" s="1"/>
  <c r="D9156" i="3" s="1"/>
  <c r="D9180" i="3" s="1"/>
  <c r="D9204" i="3" s="1"/>
  <c r="D9228" i="3" s="1"/>
  <c r="D9252" i="3" s="1"/>
  <c r="D9276" i="3" s="1"/>
  <c r="D9300" i="3" s="1"/>
  <c r="D9324" i="3" s="1"/>
  <c r="D9348" i="3" s="1"/>
  <c r="D9372" i="3" s="1"/>
  <c r="D9396" i="3" s="1"/>
  <c r="D9420" i="3" s="1"/>
  <c r="D9444" i="3" s="1"/>
  <c r="D9468" i="3" s="1"/>
  <c r="D9492" i="3" s="1"/>
  <c r="D9516" i="3" s="1"/>
  <c r="D9540" i="3" s="1"/>
  <c r="D9564" i="3" s="1"/>
  <c r="D9588" i="3" s="1"/>
  <c r="D9612" i="3" s="1"/>
  <c r="D9636" i="3" s="1"/>
  <c r="D9660" i="3" s="1"/>
  <c r="D9684" i="3" s="1"/>
  <c r="D9708" i="3" s="1"/>
  <c r="D9732" i="3" s="1"/>
  <c r="D9756" i="3" s="1"/>
  <c r="D4067" i="3"/>
  <c r="D4091" i="3" s="1"/>
  <c r="D4115" i="3" s="1"/>
  <c r="D4139" i="3" s="1"/>
  <c r="D4163" i="3" s="1"/>
  <c r="D4187" i="3" s="1"/>
  <c r="D4211" i="3" s="1"/>
  <c r="D4235" i="3" s="1"/>
  <c r="D4259" i="3" s="1"/>
  <c r="D4283" i="3" s="1"/>
  <c r="D4307" i="3" s="1"/>
  <c r="D4331" i="3" s="1"/>
  <c r="D4355" i="3" s="1"/>
  <c r="D4379" i="3" s="1"/>
  <c r="D4403" i="3" s="1"/>
  <c r="D4427" i="3" s="1"/>
  <c r="D4451" i="3" s="1"/>
  <c r="D4475" i="3" s="1"/>
  <c r="D4499" i="3" s="1"/>
  <c r="D4523" i="3" s="1"/>
  <c r="D4547" i="3" s="1"/>
  <c r="D4571" i="3" s="1"/>
  <c r="D4595" i="3" s="1"/>
  <c r="D4619" i="3" s="1"/>
  <c r="D4643" i="3" s="1"/>
  <c r="D4667" i="3" s="1"/>
  <c r="D4691" i="3" s="1"/>
  <c r="D4715" i="3" s="1"/>
  <c r="D4739" i="3" s="1"/>
  <c r="D4763" i="3" s="1"/>
  <c r="D4787" i="3" s="1"/>
  <c r="D4811" i="3" s="1"/>
  <c r="D4835" i="3" s="1"/>
  <c r="D4859" i="3" s="1"/>
  <c r="D4883" i="3" s="1"/>
  <c r="D4907" i="3" s="1"/>
  <c r="D4931" i="3" s="1"/>
  <c r="D4955" i="3" s="1"/>
  <c r="D4979" i="3" s="1"/>
  <c r="D5003" i="3" s="1"/>
  <c r="D5027" i="3" s="1"/>
  <c r="D5051" i="3" s="1"/>
  <c r="D5075" i="3" s="1"/>
  <c r="D5099" i="3" s="1"/>
  <c r="D5123" i="3" s="1"/>
  <c r="D5147" i="3" s="1"/>
  <c r="D5171" i="3" s="1"/>
  <c r="D5195" i="3" s="1"/>
  <c r="D5219" i="3" s="1"/>
  <c r="D5243" i="3" s="1"/>
  <c r="D5267" i="3" s="1"/>
  <c r="D5291" i="3" s="1"/>
  <c r="D5315" i="3" s="1"/>
  <c r="D5339" i="3" s="1"/>
  <c r="D5363" i="3" s="1"/>
  <c r="D5387" i="3" s="1"/>
  <c r="D5411" i="3" s="1"/>
  <c r="D5435" i="3" s="1"/>
  <c r="D5459" i="3" s="1"/>
  <c r="D5483" i="3" s="1"/>
  <c r="D5507" i="3" s="1"/>
  <c r="D5531" i="3" s="1"/>
  <c r="D5555" i="3" s="1"/>
  <c r="D5579" i="3" s="1"/>
  <c r="D5603" i="3" s="1"/>
  <c r="D5627" i="3" s="1"/>
  <c r="D5651" i="3" s="1"/>
  <c r="D5675" i="3" s="1"/>
  <c r="D5699" i="3" s="1"/>
  <c r="D5723" i="3" s="1"/>
  <c r="D5747" i="3" s="1"/>
  <c r="D5771" i="3" s="1"/>
  <c r="D5795" i="3" s="1"/>
  <c r="D5819" i="3" s="1"/>
  <c r="D5843" i="3" s="1"/>
  <c r="D5867" i="3" s="1"/>
  <c r="D5891" i="3" s="1"/>
  <c r="D5915" i="3" s="1"/>
  <c r="D5939" i="3" s="1"/>
  <c r="D5963" i="3" s="1"/>
  <c r="D5987" i="3" s="1"/>
  <c r="D6011" i="3" s="1"/>
  <c r="D6035" i="3" s="1"/>
  <c r="D6059" i="3" s="1"/>
  <c r="D6083" i="3" s="1"/>
  <c r="D6107" i="3" s="1"/>
  <c r="D6131" i="3" s="1"/>
  <c r="D6155" i="3" s="1"/>
  <c r="D6179" i="3" s="1"/>
  <c r="D6203" i="3" s="1"/>
  <c r="D6227" i="3" s="1"/>
  <c r="D6251" i="3" s="1"/>
  <c r="D6275" i="3" s="1"/>
  <c r="D6299" i="3" s="1"/>
  <c r="D6323" i="3" s="1"/>
  <c r="D6347" i="3" s="1"/>
  <c r="D6371" i="3" s="1"/>
  <c r="D6395" i="3" s="1"/>
  <c r="D6419" i="3" s="1"/>
  <c r="D6443" i="3" s="1"/>
  <c r="D6467" i="3" s="1"/>
  <c r="D6491" i="3" s="1"/>
  <c r="D6515" i="3" s="1"/>
  <c r="D6539" i="3" s="1"/>
  <c r="D6563" i="3" s="1"/>
  <c r="D6587" i="3" s="1"/>
  <c r="D6611" i="3" s="1"/>
  <c r="D6635" i="3" s="1"/>
  <c r="D6659" i="3" s="1"/>
  <c r="D6683" i="3" s="1"/>
  <c r="D6707" i="3" s="1"/>
  <c r="D6731" i="3" s="1"/>
  <c r="D6755" i="3" s="1"/>
  <c r="D6779" i="3" s="1"/>
  <c r="D6803" i="3" s="1"/>
  <c r="D6827" i="3" s="1"/>
  <c r="D6851" i="3" s="1"/>
  <c r="D6875" i="3" s="1"/>
  <c r="D6899" i="3" s="1"/>
  <c r="D6923" i="3" s="1"/>
  <c r="D6947" i="3" s="1"/>
  <c r="D6971" i="3" s="1"/>
  <c r="D6995" i="3" s="1"/>
  <c r="D7019" i="3" s="1"/>
  <c r="D7043" i="3" s="1"/>
  <c r="D7067" i="3" s="1"/>
  <c r="D7091" i="3" s="1"/>
  <c r="D7115" i="3" s="1"/>
  <c r="D7139" i="3" s="1"/>
  <c r="D7163" i="3" s="1"/>
  <c r="D7187" i="3" s="1"/>
  <c r="D7211" i="3" s="1"/>
  <c r="D7235" i="3" s="1"/>
  <c r="D7259" i="3" s="1"/>
  <c r="D7283" i="3" s="1"/>
  <c r="D7307" i="3" s="1"/>
  <c r="D7331" i="3" s="1"/>
  <c r="D7355" i="3" s="1"/>
  <c r="D7379" i="3" s="1"/>
  <c r="D7403" i="3" s="1"/>
  <c r="D7427" i="3" s="1"/>
  <c r="D7451" i="3" s="1"/>
  <c r="D7475" i="3" s="1"/>
  <c r="D7499" i="3" s="1"/>
  <c r="D7523" i="3" s="1"/>
  <c r="D7547" i="3" s="1"/>
  <c r="D7571" i="3" s="1"/>
  <c r="D7595" i="3" s="1"/>
  <c r="D7619" i="3" s="1"/>
  <c r="D7643" i="3" s="1"/>
  <c r="D7667" i="3" s="1"/>
  <c r="D7691" i="3" s="1"/>
  <c r="D7715" i="3" s="1"/>
  <c r="D7739" i="3" s="1"/>
  <c r="D7763" i="3" s="1"/>
  <c r="D7787" i="3" s="1"/>
  <c r="D7811" i="3" s="1"/>
  <c r="D7835" i="3" s="1"/>
  <c r="D7859" i="3" s="1"/>
  <c r="D7883" i="3" s="1"/>
  <c r="D7907" i="3" s="1"/>
  <c r="D7931" i="3" s="1"/>
  <c r="D7955" i="3" s="1"/>
  <c r="D7979" i="3" s="1"/>
  <c r="D8003" i="3" s="1"/>
  <c r="D8027" i="3" s="1"/>
  <c r="D8051" i="3" s="1"/>
  <c r="D8075" i="3" s="1"/>
  <c r="D8099" i="3" s="1"/>
  <c r="D8123" i="3" s="1"/>
  <c r="D8147" i="3" s="1"/>
  <c r="D8171" i="3" s="1"/>
  <c r="D8195" i="3" s="1"/>
  <c r="D8219" i="3" s="1"/>
  <c r="D8243" i="3" s="1"/>
  <c r="D8267" i="3" s="1"/>
  <c r="D8291" i="3" s="1"/>
  <c r="D8315" i="3" s="1"/>
  <c r="D8339" i="3" s="1"/>
  <c r="D8363" i="3" s="1"/>
  <c r="D8387" i="3" s="1"/>
  <c r="D8411" i="3" s="1"/>
  <c r="D8435" i="3" s="1"/>
  <c r="D8459" i="3" s="1"/>
  <c r="D8483" i="3" s="1"/>
  <c r="D8507" i="3" s="1"/>
  <c r="D8531" i="3" s="1"/>
  <c r="D8555" i="3" s="1"/>
  <c r="D8579" i="3" s="1"/>
  <c r="D8603" i="3" s="1"/>
  <c r="D8627" i="3" s="1"/>
  <c r="D8651" i="3" s="1"/>
  <c r="D8675" i="3" s="1"/>
  <c r="D8699" i="3" s="1"/>
  <c r="D8723" i="3" s="1"/>
  <c r="D8747" i="3" s="1"/>
  <c r="D8771" i="3" s="1"/>
  <c r="D8795" i="3" s="1"/>
  <c r="D8819" i="3" s="1"/>
  <c r="D8843" i="3" s="1"/>
  <c r="D8867" i="3" s="1"/>
  <c r="D8891" i="3" s="1"/>
  <c r="D8915" i="3" s="1"/>
  <c r="D8939" i="3" s="1"/>
  <c r="D8963" i="3" s="1"/>
  <c r="D8987" i="3" s="1"/>
  <c r="D9011" i="3" s="1"/>
  <c r="D9035" i="3" s="1"/>
  <c r="D9059" i="3" s="1"/>
  <c r="D9083" i="3" s="1"/>
  <c r="D9107" i="3" s="1"/>
  <c r="D9131" i="3" s="1"/>
  <c r="D9155" i="3" s="1"/>
  <c r="D9179" i="3" s="1"/>
  <c r="D9203" i="3" s="1"/>
  <c r="D9227" i="3" s="1"/>
  <c r="D9251" i="3" s="1"/>
  <c r="D9275" i="3" s="1"/>
  <c r="D9299" i="3" s="1"/>
  <c r="D9323" i="3" s="1"/>
  <c r="D9347" i="3" s="1"/>
  <c r="D9371" i="3" s="1"/>
  <c r="D9395" i="3" s="1"/>
  <c r="D9419" i="3" s="1"/>
  <c r="D9443" i="3" s="1"/>
  <c r="D9467" i="3" s="1"/>
  <c r="D9491" i="3" s="1"/>
  <c r="D9515" i="3" s="1"/>
  <c r="D9539" i="3" s="1"/>
  <c r="D9563" i="3" s="1"/>
  <c r="D9587" i="3" s="1"/>
  <c r="D9611" i="3" s="1"/>
  <c r="D9635" i="3" s="1"/>
  <c r="D9659" i="3" s="1"/>
  <c r="D9683" i="3" s="1"/>
  <c r="D9707" i="3" s="1"/>
  <c r="D9731" i="3" s="1"/>
  <c r="D9755" i="3" s="1"/>
  <c r="D4066" i="3"/>
  <c r="D4090" i="3" s="1"/>
  <c r="D4114" i="3" s="1"/>
  <c r="D4138" i="3" s="1"/>
  <c r="D4162" i="3" s="1"/>
  <c r="D4186" i="3" s="1"/>
  <c r="D4210" i="3" s="1"/>
  <c r="D4234" i="3" s="1"/>
  <c r="D4258" i="3" s="1"/>
  <c r="D4282" i="3" s="1"/>
  <c r="D4306" i="3" s="1"/>
  <c r="D4330" i="3" s="1"/>
  <c r="D4354" i="3" s="1"/>
  <c r="D4378" i="3" s="1"/>
  <c r="D4402" i="3" s="1"/>
  <c r="D4426" i="3" s="1"/>
  <c r="D4450" i="3" s="1"/>
  <c r="D4474" i="3" s="1"/>
  <c r="D4498" i="3" s="1"/>
  <c r="D4522" i="3" s="1"/>
  <c r="D4546" i="3" s="1"/>
  <c r="D4570" i="3" s="1"/>
  <c r="D4594" i="3" s="1"/>
  <c r="D4618" i="3" s="1"/>
  <c r="D4642" i="3" s="1"/>
  <c r="D4666" i="3" s="1"/>
  <c r="D4690" i="3" s="1"/>
  <c r="D4714" i="3" s="1"/>
  <c r="D4738" i="3" s="1"/>
  <c r="D4762" i="3" s="1"/>
  <c r="D4786" i="3" s="1"/>
  <c r="D4810" i="3" s="1"/>
  <c r="D4834" i="3" s="1"/>
  <c r="D4858" i="3" s="1"/>
  <c r="D4882" i="3" s="1"/>
  <c r="D4906" i="3" s="1"/>
  <c r="D4930" i="3" s="1"/>
  <c r="D4954" i="3" s="1"/>
  <c r="D4978" i="3" s="1"/>
  <c r="D5002" i="3" s="1"/>
  <c r="D5026" i="3" s="1"/>
  <c r="D5050" i="3" s="1"/>
  <c r="D5074" i="3" s="1"/>
  <c r="D5098" i="3" s="1"/>
  <c r="D5122" i="3" s="1"/>
  <c r="D5146" i="3" s="1"/>
  <c r="D5170" i="3" s="1"/>
  <c r="D5194" i="3" s="1"/>
  <c r="D5218" i="3" s="1"/>
  <c r="D5242" i="3" s="1"/>
  <c r="D5266" i="3" s="1"/>
  <c r="D5290" i="3" s="1"/>
  <c r="D5314" i="3" s="1"/>
  <c r="D5338" i="3" s="1"/>
  <c r="D5362" i="3" s="1"/>
  <c r="D5386" i="3" s="1"/>
  <c r="D5410" i="3" s="1"/>
  <c r="D5434" i="3" s="1"/>
  <c r="D5458" i="3" s="1"/>
  <c r="D5482" i="3" s="1"/>
  <c r="D5506" i="3" s="1"/>
  <c r="D5530" i="3" s="1"/>
  <c r="D5554" i="3" s="1"/>
  <c r="D5578" i="3" s="1"/>
  <c r="D5602" i="3" s="1"/>
  <c r="D5626" i="3" s="1"/>
  <c r="D5650" i="3" s="1"/>
  <c r="D5674" i="3" s="1"/>
  <c r="D5698" i="3" s="1"/>
  <c r="D5722" i="3" s="1"/>
  <c r="D5746" i="3" s="1"/>
  <c r="D5770" i="3" s="1"/>
  <c r="D5794" i="3" s="1"/>
  <c r="D5818" i="3" s="1"/>
  <c r="D5842" i="3" s="1"/>
  <c r="D5866" i="3" s="1"/>
  <c r="D5890" i="3" s="1"/>
  <c r="D5914" i="3" s="1"/>
  <c r="D5938" i="3" s="1"/>
  <c r="D5962" i="3" s="1"/>
  <c r="D5986" i="3" s="1"/>
  <c r="D6010" i="3" s="1"/>
  <c r="D6034" i="3" s="1"/>
  <c r="D6058" i="3" s="1"/>
  <c r="D6082" i="3" s="1"/>
  <c r="D6106" i="3" s="1"/>
  <c r="D6130" i="3" s="1"/>
  <c r="D6154" i="3" s="1"/>
  <c r="D6178" i="3" s="1"/>
  <c r="D6202" i="3" s="1"/>
  <c r="D6226" i="3" s="1"/>
  <c r="D6250" i="3" s="1"/>
  <c r="D6274" i="3" s="1"/>
  <c r="D6298" i="3" s="1"/>
  <c r="D6322" i="3" s="1"/>
  <c r="D6346" i="3" s="1"/>
  <c r="D6370" i="3" s="1"/>
  <c r="D6394" i="3" s="1"/>
  <c r="D6418" i="3" s="1"/>
  <c r="D6442" i="3" s="1"/>
  <c r="D6466" i="3" s="1"/>
  <c r="D6490" i="3" s="1"/>
  <c r="D6514" i="3" s="1"/>
  <c r="D6538" i="3" s="1"/>
  <c r="D6562" i="3" s="1"/>
  <c r="D6586" i="3" s="1"/>
  <c r="D6610" i="3" s="1"/>
  <c r="D6634" i="3" s="1"/>
  <c r="D6658" i="3" s="1"/>
  <c r="D6682" i="3" s="1"/>
  <c r="D6706" i="3" s="1"/>
  <c r="D6730" i="3" s="1"/>
  <c r="D6754" i="3" s="1"/>
  <c r="D6778" i="3" s="1"/>
  <c r="D6802" i="3" s="1"/>
  <c r="D6826" i="3" s="1"/>
  <c r="D6850" i="3" s="1"/>
  <c r="D6874" i="3" s="1"/>
  <c r="D6898" i="3" s="1"/>
  <c r="D6922" i="3" s="1"/>
  <c r="D6946" i="3" s="1"/>
  <c r="D6970" i="3" s="1"/>
  <c r="D6994" i="3" s="1"/>
  <c r="D7018" i="3" s="1"/>
  <c r="D7042" i="3" s="1"/>
  <c r="D7066" i="3" s="1"/>
  <c r="D7090" i="3" s="1"/>
  <c r="D7114" i="3" s="1"/>
  <c r="D7138" i="3" s="1"/>
  <c r="D7162" i="3" s="1"/>
  <c r="D7186" i="3" s="1"/>
  <c r="D7210" i="3" s="1"/>
  <c r="D7234" i="3" s="1"/>
  <c r="D7258" i="3" s="1"/>
  <c r="D7282" i="3" s="1"/>
  <c r="D7306" i="3" s="1"/>
  <c r="D7330" i="3" s="1"/>
  <c r="D7354" i="3" s="1"/>
  <c r="D7378" i="3" s="1"/>
  <c r="D7402" i="3" s="1"/>
  <c r="D7426" i="3" s="1"/>
  <c r="D7450" i="3" s="1"/>
  <c r="D7474" i="3" s="1"/>
  <c r="D7498" i="3" s="1"/>
  <c r="D7522" i="3" s="1"/>
  <c r="D7546" i="3" s="1"/>
  <c r="D7570" i="3" s="1"/>
  <c r="D7594" i="3" s="1"/>
  <c r="D7618" i="3" s="1"/>
  <c r="D7642" i="3" s="1"/>
  <c r="D7666" i="3" s="1"/>
  <c r="D7690" i="3" s="1"/>
  <c r="D7714" i="3" s="1"/>
  <c r="D7738" i="3" s="1"/>
  <c r="D7762" i="3" s="1"/>
  <c r="D7786" i="3" s="1"/>
  <c r="D7810" i="3" s="1"/>
  <c r="D7834" i="3" s="1"/>
  <c r="D7858" i="3" s="1"/>
  <c r="D7882" i="3" s="1"/>
  <c r="D7906" i="3" s="1"/>
  <c r="D7930" i="3" s="1"/>
  <c r="D7954" i="3" s="1"/>
  <c r="D7978" i="3" s="1"/>
  <c r="D8002" i="3" s="1"/>
  <c r="D8026" i="3" s="1"/>
  <c r="D8050" i="3" s="1"/>
  <c r="D8074" i="3" s="1"/>
  <c r="D8098" i="3" s="1"/>
  <c r="D8122" i="3" s="1"/>
  <c r="D8146" i="3" s="1"/>
  <c r="D8170" i="3" s="1"/>
  <c r="D8194" i="3" s="1"/>
  <c r="D8218" i="3" s="1"/>
  <c r="D8242" i="3" s="1"/>
  <c r="D8266" i="3" s="1"/>
  <c r="D8290" i="3" s="1"/>
  <c r="D8314" i="3" s="1"/>
  <c r="D8338" i="3" s="1"/>
  <c r="D8362" i="3" s="1"/>
  <c r="D8386" i="3" s="1"/>
  <c r="D8410" i="3" s="1"/>
  <c r="D8434" i="3" s="1"/>
  <c r="D8458" i="3" s="1"/>
  <c r="D8482" i="3" s="1"/>
  <c r="D8506" i="3" s="1"/>
  <c r="D8530" i="3" s="1"/>
  <c r="D8554" i="3" s="1"/>
  <c r="D8578" i="3" s="1"/>
  <c r="D8602" i="3" s="1"/>
  <c r="D8626" i="3" s="1"/>
  <c r="D8650" i="3" s="1"/>
  <c r="D8674" i="3" s="1"/>
  <c r="D8698" i="3" s="1"/>
  <c r="D8722" i="3" s="1"/>
  <c r="D8746" i="3" s="1"/>
  <c r="D8770" i="3" s="1"/>
  <c r="D8794" i="3" s="1"/>
  <c r="D8818" i="3" s="1"/>
  <c r="D8842" i="3" s="1"/>
  <c r="D8866" i="3" s="1"/>
  <c r="D8890" i="3" s="1"/>
  <c r="D8914" i="3" s="1"/>
  <c r="D8938" i="3" s="1"/>
  <c r="D8962" i="3" s="1"/>
  <c r="D8986" i="3" s="1"/>
  <c r="D9010" i="3" s="1"/>
  <c r="D9034" i="3" s="1"/>
  <c r="D9058" i="3" s="1"/>
  <c r="D9082" i="3" s="1"/>
  <c r="D9106" i="3" s="1"/>
  <c r="D9130" i="3" s="1"/>
  <c r="D9154" i="3" s="1"/>
  <c r="D9178" i="3" s="1"/>
  <c r="D9202" i="3" s="1"/>
  <c r="D9226" i="3" s="1"/>
  <c r="D9250" i="3" s="1"/>
  <c r="D9274" i="3" s="1"/>
  <c r="D9298" i="3" s="1"/>
  <c r="D9322" i="3" s="1"/>
  <c r="D9346" i="3" s="1"/>
  <c r="D9370" i="3" s="1"/>
  <c r="D9394" i="3" s="1"/>
  <c r="D9418" i="3" s="1"/>
  <c r="D9442" i="3" s="1"/>
  <c r="D9466" i="3" s="1"/>
  <c r="D9490" i="3" s="1"/>
  <c r="D9514" i="3" s="1"/>
  <c r="D9538" i="3" s="1"/>
  <c r="D9562" i="3" s="1"/>
  <c r="D9586" i="3" s="1"/>
  <c r="D9610" i="3" s="1"/>
  <c r="D9634" i="3" s="1"/>
  <c r="D9658" i="3" s="1"/>
  <c r="D9682" i="3" s="1"/>
  <c r="D9706" i="3" s="1"/>
  <c r="D9730" i="3" s="1"/>
  <c r="D9754" i="3" s="1"/>
  <c r="D4065" i="3"/>
  <c r="D4089" i="3" s="1"/>
  <c r="D4113" i="3" s="1"/>
  <c r="D4137" i="3" s="1"/>
  <c r="D4161" i="3" s="1"/>
  <c r="D4185" i="3" s="1"/>
  <c r="D4209" i="3" s="1"/>
  <c r="D4233" i="3" s="1"/>
  <c r="D4257" i="3" s="1"/>
  <c r="D4281" i="3" s="1"/>
  <c r="D4305" i="3" s="1"/>
  <c r="D4329" i="3" s="1"/>
  <c r="D4353" i="3" s="1"/>
  <c r="D4377" i="3" s="1"/>
  <c r="D4401" i="3" s="1"/>
  <c r="D4425" i="3" s="1"/>
  <c r="D4449" i="3" s="1"/>
  <c r="D4473" i="3" s="1"/>
  <c r="D4497" i="3" s="1"/>
  <c r="D4521" i="3" s="1"/>
  <c r="D4545" i="3" s="1"/>
  <c r="D4569" i="3" s="1"/>
  <c r="D4593" i="3" s="1"/>
  <c r="D4617" i="3" s="1"/>
  <c r="D4641" i="3" s="1"/>
  <c r="D4665" i="3" s="1"/>
  <c r="D4689" i="3" s="1"/>
  <c r="D4713" i="3" s="1"/>
  <c r="D4737" i="3" s="1"/>
  <c r="D4761" i="3" s="1"/>
  <c r="D4785" i="3" s="1"/>
  <c r="D4809" i="3" s="1"/>
  <c r="D4833" i="3" s="1"/>
  <c r="D4857" i="3" s="1"/>
  <c r="D4881" i="3" s="1"/>
  <c r="D4905" i="3" s="1"/>
  <c r="D4929" i="3" s="1"/>
  <c r="D4953" i="3" s="1"/>
  <c r="D4977" i="3" s="1"/>
  <c r="D5001" i="3" s="1"/>
  <c r="D5025" i="3" s="1"/>
  <c r="D5049" i="3" s="1"/>
  <c r="D5073" i="3" s="1"/>
  <c r="D5097" i="3" s="1"/>
  <c r="D5121" i="3" s="1"/>
  <c r="D5145" i="3" s="1"/>
  <c r="D5169" i="3" s="1"/>
  <c r="D5193" i="3" s="1"/>
  <c r="D5217" i="3" s="1"/>
  <c r="D5241" i="3" s="1"/>
  <c r="D5265" i="3" s="1"/>
  <c r="D5289" i="3" s="1"/>
  <c r="D5313" i="3" s="1"/>
  <c r="D5337" i="3" s="1"/>
  <c r="D5361" i="3" s="1"/>
  <c r="D5385" i="3" s="1"/>
  <c r="D5409" i="3" s="1"/>
  <c r="D5433" i="3" s="1"/>
  <c r="D5457" i="3" s="1"/>
  <c r="D5481" i="3" s="1"/>
  <c r="D5505" i="3" s="1"/>
  <c r="D5529" i="3" s="1"/>
  <c r="D5553" i="3" s="1"/>
  <c r="D5577" i="3" s="1"/>
  <c r="D5601" i="3" s="1"/>
  <c r="D5625" i="3" s="1"/>
  <c r="D5649" i="3" s="1"/>
  <c r="D5673" i="3" s="1"/>
  <c r="D5697" i="3" s="1"/>
  <c r="D5721" i="3" s="1"/>
  <c r="D5745" i="3" s="1"/>
  <c r="D5769" i="3" s="1"/>
  <c r="D5793" i="3" s="1"/>
  <c r="D5817" i="3" s="1"/>
  <c r="D5841" i="3" s="1"/>
  <c r="D5865" i="3" s="1"/>
  <c r="D5889" i="3" s="1"/>
  <c r="D5913" i="3" s="1"/>
  <c r="D5937" i="3" s="1"/>
  <c r="D5961" i="3" s="1"/>
  <c r="D5985" i="3" s="1"/>
  <c r="D6009" i="3" s="1"/>
  <c r="D6033" i="3" s="1"/>
  <c r="D6057" i="3" s="1"/>
  <c r="D6081" i="3" s="1"/>
  <c r="D6105" i="3" s="1"/>
  <c r="D6129" i="3" s="1"/>
  <c r="D6153" i="3" s="1"/>
  <c r="D6177" i="3" s="1"/>
  <c r="D6201" i="3" s="1"/>
  <c r="D6225" i="3" s="1"/>
  <c r="D6249" i="3" s="1"/>
  <c r="D6273" i="3" s="1"/>
  <c r="D6297" i="3" s="1"/>
  <c r="D6321" i="3" s="1"/>
  <c r="D6345" i="3" s="1"/>
  <c r="D6369" i="3" s="1"/>
  <c r="D6393" i="3" s="1"/>
  <c r="D6417" i="3" s="1"/>
  <c r="D6441" i="3" s="1"/>
  <c r="D6465" i="3" s="1"/>
  <c r="D6489" i="3" s="1"/>
  <c r="D6513" i="3" s="1"/>
  <c r="D6537" i="3" s="1"/>
  <c r="D6561" i="3" s="1"/>
  <c r="D6585" i="3" s="1"/>
  <c r="D6609" i="3" s="1"/>
  <c r="D6633" i="3" s="1"/>
  <c r="D6657" i="3" s="1"/>
  <c r="D6681" i="3" s="1"/>
  <c r="D6705" i="3" s="1"/>
  <c r="D6729" i="3" s="1"/>
  <c r="D6753" i="3" s="1"/>
  <c r="D6777" i="3" s="1"/>
  <c r="D6801" i="3" s="1"/>
  <c r="D6825" i="3" s="1"/>
  <c r="D6849" i="3" s="1"/>
  <c r="D6873" i="3" s="1"/>
  <c r="D6897" i="3" s="1"/>
  <c r="D6921" i="3" s="1"/>
  <c r="D6945" i="3" s="1"/>
  <c r="D6969" i="3" s="1"/>
  <c r="D6993" i="3" s="1"/>
  <c r="D7017" i="3" s="1"/>
  <c r="D7041" i="3" s="1"/>
  <c r="D7065" i="3" s="1"/>
  <c r="D7089" i="3" s="1"/>
  <c r="D7113" i="3" s="1"/>
  <c r="D7137" i="3" s="1"/>
  <c r="D7161" i="3" s="1"/>
  <c r="D7185" i="3" s="1"/>
  <c r="D7209" i="3" s="1"/>
  <c r="D7233" i="3" s="1"/>
  <c r="D7257" i="3" s="1"/>
  <c r="D7281" i="3" s="1"/>
  <c r="D7305" i="3" s="1"/>
  <c r="D7329" i="3" s="1"/>
  <c r="D7353" i="3" s="1"/>
  <c r="D7377" i="3" s="1"/>
  <c r="D7401" i="3" s="1"/>
  <c r="D7425" i="3" s="1"/>
  <c r="D7449" i="3" s="1"/>
  <c r="D7473" i="3" s="1"/>
  <c r="D7497" i="3" s="1"/>
  <c r="D7521" i="3" s="1"/>
  <c r="D7545" i="3" s="1"/>
  <c r="D7569" i="3" s="1"/>
  <c r="D7593" i="3" s="1"/>
  <c r="D7617" i="3" s="1"/>
  <c r="D7641" i="3" s="1"/>
  <c r="D7665" i="3" s="1"/>
  <c r="D7689" i="3" s="1"/>
  <c r="D7713" i="3" s="1"/>
  <c r="D7737" i="3" s="1"/>
  <c r="D7761" i="3" s="1"/>
  <c r="D7785" i="3" s="1"/>
  <c r="D7809" i="3" s="1"/>
  <c r="D7833" i="3" s="1"/>
  <c r="D7857" i="3" s="1"/>
  <c r="D7881" i="3" s="1"/>
  <c r="D7905" i="3" s="1"/>
  <c r="D7929" i="3" s="1"/>
  <c r="D7953" i="3" s="1"/>
  <c r="D7977" i="3" s="1"/>
  <c r="D8001" i="3" s="1"/>
  <c r="D8025" i="3" s="1"/>
  <c r="D8049" i="3" s="1"/>
  <c r="D8073" i="3" s="1"/>
  <c r="D8097" i="3" s="1"/>
  <c r="D8121" i="3" s="1"/>
  <c r="D8145" i="3" s="1"/>
  <c r="D8169" i="3" s="1"/>
  <c r="D8193" i="3" s="1"/>
  <c r="D8217" i="3" s="1"/>
  <c r="D8241" i="3" s="1"/>
  <c r="D8265" i="3" s="1"/>
  <c r="D8289" i="3" s="1"/>
  <c r="D8313" i="3" s="1"/>
  <c r="D8337" i="3" s="1"/>
  <c r="D8361" i="3" s="1"/>
  <c r="D8385" i="3" s="1"/>
  <c r="D8409" i="3" s="1"/>
  <c r="D8433" i="3" s="1"/>
  <c r="D8457" i="3" s="1"/>
  <c r="D8481" i="3" s="1"/>
  <c r="D8505" i="3" s="1"/>
  <c r="D8529" i="3" s="1"/>
  <c r="D8553" i="3" s="1"/>
  <c r="D8577" i="3" s="1"/>
  <c r="D8601" i="3" s="1"/>
  <c r="D8625" i="3" s="1"/>
  <c r="D8649" i="3" s="1"/>
  <c r="D8673" i="3" s="1"/>
  <c r="D8697" i="3" s="1"/>
  <c r="D8721" i="3" s="1"/>
  <c r="D8745" i="3" s="1"/>
  <c r="D8769" i="3" s="1"/>
  <c r="D8793" i="3" s="1"/>
  <c r="D8817" i="3" s="1"/>
  <c r="D8841" i="3" s="1"/>
  <c r="D8865" i="3" s="1"/>
  <c r="D8889" i="3" s="1"/>
  <c r="D8913" i="3" s="1"/>
  <c r="D8937" i="3" s="1"/>
  <c r="D8961" i="3" s="1"/>
  <c r="D8985" i="3" s="1"/>
  <c r="D9009" i="3" s="1"/>
  <c r="D9033" i="3" s="1"/>
  <c r="D9057" i="3" s="1"/>
  <c r="D9081" i="3" s="1"/>
  <c r="D9105" i="3" s="1"/>
  <c r="D9129" i="3" s="1"/>
  <c r="D9153" i="3" s="1"/>
  <c r="D9177" i="3" s="1"/>
  <c r="D9201" i="3" s="1"/>
  <c r="D9225" i="3" s="1"/>
  <c r="D9249" i="3" s="1"/>
  <c r="D9273" i="3" s="1"/>
  <c r="D9297" i="3" s="1"/>
  <c r="D9321" i="3" s="1"/>
  <c r="D9345" i="3" s="1"/>
  <c r="D9369" i="3" s="1"/>
  <c r="D9393" i="3" s="1"/>
  <c r="D9417" i="3" s="1"/>
  <c r="D9441" i="3" s="1"/>
  <c r="D9465" i="3" s="1"/>
  <c r="D9489" i="3" s="1"/>
  <c r="D9513" i="3" s="1"/>
  <c r="D9537" i="3" s="1"/>
  <c r="D9561" i="3" s="1"/>
  <c r="D9585" i="3" s="1"/>
  <c r="D9609" i="3" s="1"/>
  <c r="D9633" i="3" s="1"/>
  <c r="D9657" i="3" s="1"/>
  <c r="D9681" i="3" s="1"/>
  <c r="D9705" i="3" s="1"/>
  <c r="D9729" i="3" s="1"/>
  <c r="D9753" i="3" s="1"/>
  <c r="D4064" i="3"/>
  <c r="D4088" i="3" s="1"/>
  <c r="D4112" i="3" s="1"/>
  <c r="D4136" i="3" s="1"/>
  <c r="D4160" i="3" s="1"/>
  <c r="D4184" i="3" s="1"/>
  <c r="D4208" i="3" s="1"/>
  <c r="D4232" i="3" s="1"/>
  <c r="D4256" i="3" s="1"/>
  <c r="D4280" i="3" s="1"/>
  <c r="D4304" i="3" s="1"/>
  <c r="D4328" i="3" s="1"/>
  <c r="D4352" i="3" s="1"/>
  <c r="D4376" i="3" s="1"/>
  <c r="D4400" i="3" s="1"/>
  <c r="D4424" i="3" s="1"/>
  <c r="D4448" i="3" s="1"/>
  <c r="D4472" i="3" s="1"/>
  <c r="D4496" i="3" s="1"/>
  <c r="D4520" i="3" s="1"/>
  <c r="D4544" i="3" s="1"/>
  <c r="D4568" i="3" s="1"/>
  <c r="D4592" i="3" s="1"/>
  <c r="D4616" i="3" s="1"/>
  <c r="D4640" i="3" s="1"/>
  <c r="D4664" i="3" s="1"/>
  <c r="D4688" i="3" s="1"/>
  <c r="D4712" i="3" s="1"/>
  <c r="D4736" i="3" s="1"/>
  <c r="D4760" i="3" s="1"/>
  <c r="D4784" i="3" s="1"/>
  <c r="D4808" i="3" s="1"/>
  <c r="D4832" i="3" s="1"/>
  <c r="D4856" i="3" s="1"/>
  <c r="D4880" i="3" s="1"/>
  <c r="D4904" i="3" s="1"/>
  <c r="D4928" i="3" s="1"/>
  <c r="D4952" i="3" s="1"/>
  <c r="D4976" i="3" s="1"/>
  <c r="D5000" i="3" s="1"/>
  <c r="D5024" i="3" s="1"/>
  <c r="D5048" i="3" s="1"/>
  <c r="D5072" i="3" s="1"/>
  <c r="D5096" i="3" s="1"/>
  <c r="D5120" i="3" s="1"/>
  <c r="D5144" i="3" s="1"/>
  <c r="D5168" i="3" s="1"/>
  <c r="D5192" i="3" s="1"/>
  <c r="D5216" i="3" s="1"/>
  <c r="D5240" i="3" s="1"/>
  <c r="D5264" i="3" s="1"/>
  <c r="D5288" i="3" s="1"/>
  <c r="D5312" i="3" s="1"/>
  <c r="D5336" i="3" s="1"/>
  <c r="D5360" i="3" s="1"/>
  <c r="D5384" i="3" s="1"/>
  <c r="D5408" i="3" s="1"/>
  <c r="D5432" i="3" s="1"/>
  <c r="D5456" i="3" s="1"/>
  <c r="D5480" i="3" s="1"/>
  <c r="D5504" i="3" s="1"/>
  <c r="D5528" i="3" s="1"/>
  <c r="D5552" i="3" s="1"/>
  <c r="D5576" i="3" s="1"/>
  <c r="D5600" i="3" s="1"/>
  <c r="D5624" i="3" s="1"/>
  <c r="D5648" i="3" s="1"/>
  <c r="D5672" i="3" s="1"/>
  <c r="D5696" i="3" s="1"/>
  <c r="D5720" i="3" s="1"/>
  <c r="D5744" i="3" s="1"/>
  <c r="D5768" i="3" s="1"/>
  <c r="D5792" i="3" s="1"/>
  <c r="D5816" i="3" s="1"/>
  <c r="D5840" i="3" s="1"/>
  <c r="D5864" i="3" s="1"/>
  <c r="D5888" i="3" s="1"/>
  <c r="D5912" i="3" s="1"/>
  <c r="D5936" i="3" s="1"/>
  <c r="D5960" i="3" s="1"/>
  <c r="D5984" i="3" s="1"/>
  <c r="D6008" i="3" s="1"/>
  <c r="D6032" i="3" s="1"/>
  <c r="D6056" i="3" s="1"/>
  <c r="D6080" i="3" s="1"/>
  <c r="D6104" i="3" s="1"/>
  <c r="D6128" i="3" s="1"/>
  <c r="D6152" i="3" s="1"/>
  <c r="D6176" i="3" s="1"/>
  <c r="D6200" i="3" s="1"/>
  <c r="D6224" i="3" s="1"/>
  <c r="D6248" i="3" s="1"/>
  <c r="D6272" i="3" s="1"/>
  <c r="D6296" i="3" s="1"/>
  <c r="D6320" i="3" s="1"/>
  <c r="D6344" i="3" s="1"/>
  <c r="D6368" i="3" s="1"/>
  <c r="D6392" i="3" s="1"/>
  <c r="D6416" i="3" s="1"/>
  <c r="D6440" i="3" s="1"/>
  <c r="D6464" i="3" s="1"/>
  <c r="D6488" i="3" s="1"/>
  <c r="D6512" i="3" s="1"/>
  <c r="D6536" i="3" s="1"/>
  <c r="D6560" i="3" s="1"/>
  <c r="D6584" i="3" s="1"/>
  <c r="D6608" i="3" s="1"/>
  <c r="D6632" i="3" s="1"/>
  <c r="D6656" i="3" s="1"/>
  <c r="D6680" i="3" s="1"/>
  <c r="D6704" i="3" s="1"/>
  <c r="D6728" i="3" s="1"/>
  <c r="D6752" i="3" s="1"/>
  <c r="D6776" i="3" s="1"/>
  <c r="D6800" i="3" s="1"/>
  <c r="D6824" i="3" s="1"/>
  <c r="D6848" i="3" s="1"/>
  <c r="D6872" i="3" s="1"/>
  <c r="D6896" i="3" s="1"/>
  <c r="D6920" i="3" s="1"/>
  <c r="D6944" i="3" s="1"/>
  <c r="D6968" i="3" s="1"/>
  <c r="D6992" i="3" s="1"/>
  <c r="D7016" i="3" s="1"/>
  <c r="D7040" i="3" s="1"/>
  <c r="D7064" i="3" s="1"/>
  <c r="D7088" i="3" s="1"/>
  <c r="D7112" i="3" s="1"/>
  <c r="D7136" i="3" s="1"/>
  <c r="D7160" i="3" s="1"/>
  <c r="D7184" i="3" s="1"/>
  <c r="D7208" i="3" s="1"/>
  <c r="D7232" i="3" s="1"/>
  <c r="D7256" i="3" s="1"/>
  <c r="D7280" i="3" s="1"/>
  <c r="D7304" i="3" s="1"/>
  <c r="D7328" i="3" s="1"/>
  <c r="D7352" i="3" s="1"/>
  <c r="D7376" i="3" s="1"/>
  <c r="D7400" i="3" s="1"/>
  <c r="D7424" i="3" s="1"/>
  <c r="D7448" i="3" s="1"/>
  <c r="D7472" i="3" s="1"/>
  <c r="D7496" i="3" s="1"/>
  <c r="D7520" i="3" s="1"/>
  <c r="D7544" i="3" s="1"/>
  <c r="D7568" i="3" s="1"/>
  <c r="D7592" i="3" s="1"/>
  <c r="D7616" i="3" s="1"/>
  <c r="D7640" i="3" s="1"/>
  <c r="D7664" i="3" s="1"/>
  <c r="D7688" i="3" s="1"/>
  <c r="D7711" i="3" s="1"/>
  <c r="D7735" i="3" s="1"/>
  <c r="D7759" i="3" s="1"/>
  <c r="D7783" i="3" s="1"/>
  <c r="D7807" i="3" s="1"/>
  <c r="D7831" i="3" s="1"/>
  <c r="D7855" i="3" s="1"/>
  <c r="D7879" i="3" s="1"/>
  <c r="D7903" i="3" s="1"/>
  <c r="D7927" i="3" s="1"/>
  <c r="D7951" i="3" s="1"/>
  <c r="D7975" i="3" s="1"/>
  <c r="D7999" i="3" s="1"/>
  <c r="D8023" i="3" s="1"/>
  <c r="D8047" i="3" s="1"/>
  <c r="D8071" i="3" s="1"/>
  <c r="D8095" i="3" s="1"/>
  <c r="D8119" i="3" s="1"/>
  <c r="D8143" i="3" s="1"/>
  <c r="D8167" i="3" s="1"/>
  <c r="D8191" i="3" s="1"/>
  <c r="D8215" i="3" s="1"/>
  <c r="D8239" i="3" s="1"/>
  <c r="D8263" i="3" s="1"/>
  <c r="D8287" i="3" s="1"/>
  <c r="D8311" i="3" s="1"/>
  <c r="D8335" i="3" s="1"/>
  <c r="D8359" i="3" s="1"/>
  <c r="D8383" i="3" s="1"/>
  <c r="D8407" i="3" s="1"/>
  <c r="D8431" i="3" s="1"/>
  <c r="D8455" i="3" s="1"/>
  <c r="D8479" i="3" s="1"/>
  <c r="D8503" i="3" s="1"/>
  <c r="D8527" i="3" s="1"/>
  <c r="D8551" i="3" s="1"/>
  <c r="D8575" i="3" s="1"/>
  <c r="D8599" i="3" s="1"/>
  <c r="D8623" i="3" s="1"/>
  <c r="D8647" i="3" s="1"/>
  <c r="D8671" i="3" s="1"/>
  <c r="D8695" i="3" s="1"/>
  <c r="D8719" i="3" s="1"/>
  <c r="D8743" i="3" s="1"/>
  <c r="D8767" i="3" s="1"/>
  <c r="D8791" i="3" s="1"/>
  <c r="D8815" i="3" s="1"/>
  <c r="D8839" i="3" s="1"/>
  <c r="D8863" i="3" s="1"/>
  <c r="D8887" i="3" s="1"/>
  <c r="D8911" i="3" s="1"/>
  <c r="D8935" i="3" s="1"/>
  <c r="D8959" i="3" s="1"/>
  <c r="D8983" i="3" s="1"/>
  <c r="D9007" i="3" s="1"/>
  <c r="D9031" i="3" s="1"/>
  <c r="D9055" i="3" s="1"/>
  <c r="D9079" i="3" s="1"/>
  <c r="D9103" i="3" s="1"/>
  <c r="D9127" i="3" s="1"/>
  <c r="D9151" i="3" s="1"/>
  <c r="D9175" i="3" s="1"/>
  <c r="D9199" i="3" s="1"/>
  <c r="D9223" i="3" s="1"/>
  <c r="D9247" i="3" s="1"/>
  <c r="D9271" i="3" s="1"/>
  <c r="D9295" i="3" s="1"/>
  <c r="D9319" i="3" s="1"/>
  <c r="D9343" i="3" s="1"/>
  <c r="D9367" i="3" s="1"/>
  <c r="D9391" i="3" s="1"/>
  <c r="D9415" i="3" s="1"/>
  <c r="D9439" i="3" s="1"/>
  <c r="D9463" i="3" s="1"/>
  <c r="D9487" i="3" s="1"/>
  <c r="D9511" i="3" s="1"/>
  <c r="D9535" i="3" s="1"/>
  <c r="D9559" i="3" s="1"/>
  <c r="D9583" i="3" s="1"/>
  <c r="D9607" i="3" s="1"/>
  <c r="D9631" i="3" s="1"/>
  <c r="D9655" i="3" s="1"/>
  <c r="D9679" i="3" s="1"/>
  <c r="D9703" i="3" s="1"/>
  <c r="D9727" i="3" s="1"/>
  <c r="D9751" i="3" s="1"/>
  <c r="D4063" i="3"/>
  <c r="D4087" i="3" s="1"/>
  <c r="D4111" i="3" s="1"/>
  <c r="D4135" i="3" s="1"/>
  <c r="D4159" i="3" s="1"/>
  <c r="D4183" i="3" s="1"/>
  <c r="D4207" i="3" s="1"/>
  <c r="D4231" i="3" s="1"/>
  <c r="D4255" i="3" s="1"/>
  <c r="D4279" i="3" s="1"/>
  <c r="D4303" i="3" s="1"/>
  <c r="D4327" i="3" s="1"/>
  <c r="D4351" i="3" s="1"/>
  <c r="D4375" i="3" s="1"/>
  <c r="D4399" i="3" s="1"/>
  <c r="D4423" i="3" s="1"/>
  <c r="D4447" i="3" s="1"/>
  <c r="D4471" i="3" s="1"/>
  <c r="D4495" i="3" s="1"/>
  <c r="D4519" i="3" s="1"/>
  <c r="D4543" i="3" s="1"/>
  <c r="D4567" i="3" s="1"/>
  <c r="D4591" i="3" s="1"/>
  <c r="D4615" i="3" s="1"/>
  <c r="D4639" i="3" s="1"/>
  <c r="D4663" i="3" s="1"/>
  <c r="D4687" i="3" s="1"/>
  <c r="D4711" i="3" s="1"/>
  <c r="D4735" i="3" s="1"/>
  <c r="D4759" i="3" s="1"/>
  <c r="D4783" i="3" s="1"/>
  <c r="D4807" i="3" s="1"/>
  <c r="D4831" i="3" s="1"/>
  <c r="D4855" i="3" s="1"/>
  <c r="D4879" i="3" s="1"/>
  <c r="D4903" i="3" s="1"/>
  <c r="D4927" i="3" s="1"/>
  <c r="D4951" i="3" s="1"/>
  <c r="D4975" i="3" s="1"/>
  <c r="D4999" i="3" s="1"/>
  <c r="D5023" i="3" s="1"/>
  <c r="D5047" i="3" s="1"/>
  <c r="D5071" i="3" s="1"/>
  <c r="D5095" i="3" s="1"/>
  <c r="D5119" i="3" s="1"/>
  <c r="D5143" i="3" s="1"/>
  <c r="D5167" i="3" s="1"/>
  <c r="D5191" i="3" s="1"/>
  <c r="D5215" i="3" s="1"/>
  <c r="D5239" i="3" s="1"/>
  <c r="D5263" i="3" s="1"/>
  <c r="D5287" i="3" s="1"/>
  <c r="D5311" i="3" s="1"/>
  <c r="D5335" i="3" s="1"/>
  <c r="D5359" i="3" s="1"/>
  <c r="D5383" i="3" s="1"/>
  <c r="D5407" i="3" s="1"/>
  <c r="D5431" i="3" s="1"/>
  <c r="D5455" i="3" s="1"/>
  <c r="D5479" i="3" s="1"/>
  <c r="D5503" i="3" s="1"/>
  <c r="D5527" i="3" s="1"/>
  <c r="D5551" i="3" s="1"/>
  <c r="D5575" i="3" s="1"/>
  <c r="D5599" i="3" s="1"/>
  <c r="D5623" i="3" s="1"/>
  <c r="D5647" i="3" s="1"/>
  <c r="D5671" i="3" s="1"/>
  <c r="D5695" i="3" s="1"/>
  <c r="D5719" i="3" s="1"/>
  <c r="D5743" i="3" s="1"/>
  <c r="D5767" i="3" s="1"/>
  <c r="D5791" i="3" s="1"/>
  <c r="D5815" i="3" s="1"/>
  <c r="D5839" i="3" s="1"/>
  <c r="D5863" i="3" s="1"/>
  <c r="D5887" i="3" s="1"/>
  <c r="D5911" i="3" s="1"/>
  <c r="D5935" i="3" s="1"/>
  <c r="D5959" i="3" s="1"/>
  <c r="D5983" i="3" s="1"/>
  <c r="D6007" i="3" s="1"/>
  <c r="D6031" i="3" s="1"/>
  <c r="D6055" i="3" s="1"/>
  <c r="D6079" i="3" s="1"/>
  <c r="D6103" i="3" s="1"/>
  <c r="D6127" i="3" s="1"/>
  <c r="D6151" i="3" s="1"/>
  <c r="D6175" i="3" s="1"/>
  <c r="D6199" i="3" s="1"/>
  <c r="D6223" i="3" s="1"/>
  <c r="D6247" i="3" s="1"/>
  <c r="D6271" i="3" s="1"/>
  <c r="D6295" i="3" s="1"/>
  <c r="D6319" i="3" s="1"/>
  <c r="D6343" i="3" s="1"/>
  <c r="D6367" i="3" s="1"/>
  <c r="D6391" i="3" s="1"/>
  <c r="D6415" i="3" s="1"/>
  <c r="D6439" i="3" s="1"/>
  <c r="D6463" i="3" s="1"/>
  <c r="D6487" i="3" s="1"/>
  <c r="D6511" i="3" s="1"/>
  <c r="D6535" i="3" s="1"/>
  <c r="D6559" i="3" s="1"/>
  <c r="D6583" i="3" s="1"/>
  <c r="D6607" i="3" s="1"/>
  <c r="D6631" i="3" s="1"/>
  <c r="D6655" i="3" s="1"/>
  <c r="D6679" i="3" s="1"/>
  <c r="D6703" i="3" s="1"/>
  <c r="D6727" i="3" s="1"/>
  <c r="D6751" i="3" s="1"/>
  <c r="D6775" i="3" s="1"/>
  <c r="D6799" i="3" s="1"/>
  <c r="D6823" i="3" s="1"/>
  <c r="D6847" i="3" s="1"/>
  <c r="D6871" i="3" s="1"/>
  <c r="D6895" i="3" s="1"/>
  <c r="D6919" i="3" s="1"/>
  <c r="D6943" i="3" s="1"/>
  <c r="D6967" i="3" s="1"/>
  <c r="D6991" i="3" s="1"/>
  <c r="D7015" i="3" s="1"/>
  <c r="D4062" i="3"/>
  <c r="D4086" i="3" s="1"/>
  <c r="D4110" i="3" s="1"/>
  <c r="D4134" i="3" s="1"/>
  <c r="D4158" i="3" s="1"/>
  <c r="D4182" i="3" s="1"/>
  <c r="D4206" i="3" s="1"/>
  <c r="D4230" i="3" s="1"/>
  <c r="D4254" i="3" s="1"/>
  <c r="D4278" i="3" s="1"/>
  <c r="D4302" i="3" s="1"/>
  <c r="D4326" i="3" s="1"/>
  <c r="D4350" i="3" s="1"/>
  <c r="D4374" i="3" s="1"/>
  <c r="D4398" i="3" s="1"/>
  <c r="D4422" i="3" s="1"/>
  <c r="D4446" i="3" s="1"/>
  <c r="D4470" i="3" s="1"/>
  <c r="D4494" i="3" s="1"/>
  <c r="D4518" i="3" s="1"/>
  <c r="D4542" i="3" s="1"/>
  <c r="D4566" i="3" s="1"/>
  <c r="D4590" i="3" s="1"/>
  <c r="D4614" i="3" s="1"/>
  <c r="D4638" i="3" s="1"/>
  <c r="D4662" i="3" s="1"/>
  <c r="D4686" i="3" s="1"/>
  <c r="D4710" i="3" s="1"/>
  <c r="D4734" i="3" s="1"/>
  <c r="D4758" i="3" s="1"/>
  <c r="D4782" i="3" s="1"/>
  <c r="D4806" i="3" s="1"/>
  <c r="D4830" i="3" s="1"/>
  <c r="D4854" i="3" s="1"/>
  <c r="D4878" i="3" s="1"/>
  <c r="D4902" i="3" s="1"/>
  <c r="D4926" i="3" s="1"/>
  <c r="D4950" i="3" s="1"/>
  <c r="D4974" i="3" s="1"/>
  <c r="D4998" i="3" s="1"/>
  <c r="D5022" i="3" s="1"/>
  <c r="D5046" i="3" s="1"/>
  <c r="D5070" i="3" s="1"/>
  <c r="D5094" i="3" s="1"/>
  <c r="D5118" i="3" s="1"/>
  <c r="D5142" i="3" s="1"/>
  <c r="D5166" i="3" s="1"/>
  <c r="D5190" i="3" s="1"/>
  <c r="D5214" i="3" s="1"/>
  <c r="D5238" i="3" s="1"/>
  <c r="D5262" i="3" s="1"/>
  <c r="D5286" i="3" s="1"/>
  <c r="D5310" i="3" s="1"/>
  <c r="D5334" i="3" s="1"/>
  <c r="D5358" i="3" s="1"/>
  <c r="D5382" i="3" s="1"/>
  <c r="D5406" i="3" s="1"/>
  <c r="D5430" i="3" s="1"/>
  <c r="D5454" i="3" s="1"/>
  <c r="D5478" i="3" s="1"/>
  <c r="D5502" i="3" s="1"/>
  <c r="D5526" i="3" s="1"/>
  <c r="D5550" i="3" s="1"/>
  <c r="D5574" i="3" s="1"/>
  <c r="D5598" i="3" s="1"/>
  <c r="D5622" i="3" s="1"/>
  <c r="D5646" i="3" s="1"/>
  <c r="D5670" i="3" s="1"/>
  <c r="D5694" i="3" s="1"/>
  <c r="D5718" i="3" s="1"/>
  <c r="D5742" i="3" s="1"/>
  <c r="D5766" i="3" s="1"/>
  <c r="D5790" i="3" s="1"/>
  <c r="D5814" i="3" s="1"/>
  <c r="D5838" i="3" s="1"/>
  <c r="D5862" i="3" s="1"/>
  <c r="D5886" i="3" s="1"/>
  <c r="D5910" i="3" s="1"/>
  <c r="D5934" i="3" s="1"/>
  <c r="D5958" i="3" s="1"/>
  <c r="D5982" i="3" s="1"/>
  <c r="D6006" i="3" s="1"/>
  <c r="D6030" i="3" s="1"/>
  <c r="D6054" i="3" s="1"/>
  <c r="D6078" i="3" s="1"/>
  <c r="D6102" i="3" s="1"/>
  <c r="D6126" i="3" s="1"/>
  <c r="D6150" i="3" s="1"/>
  <c r="D6174" i="3" s="1"/>
  <c r="D6198" i="3" s="1"/>
  <c r="D6222" i="3" s="1"/>
  <c r="D6246" i="3" s="1"/>
  <c r="D6270" i="3" s="1"/>
  <c r="D6294" i="3" s="1"/>
  <c r="D6318" i="3" s="1"/>
  <c r="D6342" i="3" s="1"/>
  <c r="D6366" i="3" s="1"/>
  <c r="D6390" i="3" s="1"/>
  <c r="D6414" i="3" s="1"/>
  <c r="D6438" i="3" s="1"/>
  <c r="D6462" i="3" s="1"/>
  <c r="D6486" i="3" s="1"/>
  <c r="D6510" i="3" s="1"/>
  <c r="D6534" i="3" s="1"/>
  <c r="D6558" i="3" s="1"/>
  <c r="D6582" i="3" s="1"/>
  <c r="D6606" i="3" s="1"/>
  <c r="D6630" i="3" s="1"/>
  <c r="D6654" i="3" s="1"/>
  <c r="D6678" i="3" s="1"/>
  <c r="D6702" i="3" s="1"/>
  <c r="D6726" i="3" s="1"/>
  <c r="D6750" i="3" s="1"/>
  <c r="D6774" i="3" s="1"/>
  <c r="D6798" i="3" s="1"/>
  <c r="D6822" i="3" s="1"/>
  <c r="D6846" i="3" s="1"/>
  <c r="D6870" i="3" s="1"/>
  <c r="D6894" i="3" s="1"/>
  <c r="D6918" i="3" s="1"/>
  <c r="D6942" i="3" s="1"/>
  <c r="D6966" i="3" s="1"/>
  <c r="D6990" i="3" s="1"/>
  <c r="D7014" i="3" s="1"/>
  <c r="D7038" i="3" s="1"/>
  <c r="D7062" i="3" s="1"/>
  <c r="D7086" i="3" s="1"/>
  <c r="D7110" i="3" s="1"/>
  <c r="D7134" i="3" s="1"/>
  <c r="D7158" i="3" s="1"/>
  <c r="D7182" i="3" s="1"/>
  <c r="D7206" i="3" s="1"/>
  <c r="D7230" i="3" s="1"/>
  <c r="D7254" i="3" s="1"/>
  <c r="D7278" i="3" s="1"/>
  <c r="D7302" i="3" s="1"/>
  <c r="D7326" i="3" s="1"/>
  <c r="D7350" i="3" s="1"/>
  <c r="D7374" i="3" s="1"/>
  <c r="D7398" i="3" s="1"/>
  <c r="D7422" i="3" s="1"/>
  <c r="D7446" i="3" s="1"/>
  <c r="D7470" i="3" s="1"/>
  <c r="D7494" i="3" s="1"/>
  <c r="D7518" i="3" s="1"/>
  <c r="D7542" i="3" s="1"/>
  <c r="D7566" i="3" s="1"/>
  <c r="D7590" i="3" s="1"/>
  <c r="D7614" i="3" s="1"/>
  <c r="D7638" i="3" s="1"/>
  <c r="D7662" i="3" s="1"/>
  <c r="D7686" i="3" s="1"/>
  <c r="D7710" i="3" s="1"/>
  <c r="D7734" i="3" s="1"/>
  <c r="D7758" i="3" s="1"/>
  <c r="D7782" i="3" s="1"/>
  <c r="D7806" i="3" s="1"/>
  <c r="D7830" i="3" s="1"/>
  <c r="D7854" i="3" s="1"/>
  <c r="D7878" i="3" s="1"/>
  <c r="D7902" i="3" s="1"/>
  <c r="D7926" i="3" s="1"/>
  <c r="D7950" i="3" s="1"/>
  <c r="D7974" i="3" s="1"/>
  <c r="D7998" i="3" s="1"/>
  <c r="D8022" i="3" s="1"/>
  <c r="D8046" i="3" s="1"/>
  <c r="D8070" i="3" s="1"/>
  <c r="D8094" i="3" s="1"/>
  <c r="D8118" i="3" s="1"/>
  <c r="D8142" i="3" s="1"/>
  <c r="D8166" i="3" s="1"/>
  <c r="D8190" i="3" s="1"/>
  <c r="D8214" i="3" s="1"/>
  <c r="D8238" i="3" s="1"/>
  <c r="D8262" i="3" s="1"/>
  <c r="D8286" i="3" s="1"/>
  <c r="D8310" i="3" s="1"/>
  <c r="D8334" i="3" s="1"/>
  <c r="D8358" i="3" s="1"/>
  <c r="D8382" i="3" s="1"/>
  <c r="D8406" i="3" s="1"/>
  <c r="D8430" i="3" s="1"/>
  <c r="D8454" i="3" s="1"/>
  <c r="D8478" i="3" s="1"/>
  <c r="D8502" i="3" s="1"/>
  <c r="D8526" i="3" s="1"/>
  <c r="D8550" i="3" s="1"/>
  <c r="D8574" i="3" s="1"/>
  <c r="D8598" i="3" s="1"/>
  <c r="D8622" i="3" s="1"/>
  <c r="D8646" i="3" s="1"/>
  <c r="D8670" i="3" s="1"/>
  <c r="D8694" i="3" s="1"/>
  <c r="D8718" i="3" s="1"/>
  <c r="D8742" i="3" s="1"/>
  <c r="D8766" i="3" s="1"/>
  <c r="D8790" i="3" s="1"/>
  <c r="D8814" i="3" s="1"/>
  <c r="D8838" i="3" s="1"/>
  <c r="D8862" i="3" s="1"/>
  <c r="D8886" i="3" s="1"/>
  <c r="D8910" i="3" s="1"/>
  <c r="D8934" i="3" s="1"/>
  <c r="D8958" i="3" s="1"/>
  <c r="D8982" i="3" s="1"/>
  <c r="D9006" i="3" s="1"/>
  <c r="D9030" i="3" s="1"/>
  <c r="D9054" i="3" s="1"/>
  <c r="D9078" i="3" s="1"/>
  <c r="D9102" i="3" s="1"/>
  <c r="D9126" i="3" s="1"/>
  <c r="D9150" i="3" s="1"/>
  <c r="D9174" i="3" s="1"/>
  <c r="D9198" i="3" s="1"/>
  <c r="D9222" i="3" s="1"/>
  <c r="D9246" i="3" s="1"/>
  <c r="D9270" i="3" s="1"/>
  <c r="D9294" i="3" s="1"/>
  <c r="D9318" i="3" s="1"/>
  <c r="D9342" i="3" s="1"/>
  <c r="D9366" i="3" s="1"/>
  <c r="D9390" i="3" s="1"/>
  <c r="D9414" i="3" s="1"/>
  <c r="D9438" i="3" s="1"/>
  <c r="D9462" i="3" s="1"/>
  <c r="D9486" i="3" s="1"/>
  <c r="D9510" i="3" s="1"/>
  <c r="D9534" i="3" s="1"/>
  <c r="D9558" i="3" s="1"/>
  <c r="D9582" i="3" s="1"/>
  <c r="D9606" i="3" s="1"/>
  <c r="D9630" i="3" s="1"/>
  <c r="D9654" i="3" s="1"/>
  <c r="D9678" i="3" s="1"/>
  <c r="D9702" i="3" s="1"/>
  <c r="D9726" i="3" s="1"/>
  <c r="D9750" i="3" s="1"/>
  <c r="D4059" i="3"/>
  <c r="D4083" i="3" s="1"/>
  <c r="D4107" i="3" s="1"/>
  <c r="D4131" i="3" s="1"/>
  <c r="D4155" i="3" s="1"/>
  <c r="D4179" i="3" s="1"/>
  <c r="D4203" i="3" s="1"/>
  <c r="D4227" i="3" s="1"/>
  <c r="D4251" i="3" s="1"/>
  <c r="D4275" i="3" s="1"/>
  <c r="D4299" i="3" s="1"/>
  <c r="D4323" i="3" s="1"/>
  <c r="D4347" i="3" s="1"/>
  <c r="D4371" i="3" s="1"/>
  <c r="D4395" i="3" s="1"/>
  <c r="D4419" i="3" s="1"/>
  <c r="D4443" i="3" s="1"/>
  <c r="D4467" i="3" s="1"/>
  <c r="D4491" i="3" s="1"/>
  <c r="D4515" i="3" s="1"/>
  <c r="D4539" i="3" s="1"/>
  <c r="D4563" i="3" s="1"/>
  <c r="D4587" i="3" s="1"/>
  <c r="D4611" i="3" s="1"/>
  <c r="D4635" i="3" s="1"/>
  <c r="D4659" i="3" s="1"/>
  <c r="D4683" i="3" s="1"/>
  <c r="D4707" i="3" s="1"/>
  <c r="D4731" i="3" s="1"/>
  <c r="D4755" i="3" s="1"/>
  <c r="D4779" i="3" s="1"/>
  <c r="D4803" i="3" s="1"/>
  <c r="D4827" i="3" s="1"/>
  <c r="D4851" i="3" s="1"/>
  <c r="D4875" i="3" s="1"/>
  <c r="D4899" i="3" s="1"/>
  <c r="D4923" i="3" s="1"/>
  <c r="D4947" i="3" s="1"/>
  <c r="D4971" i="3" s="1"/>
  <c r="D4995" i="3" s="1"/>
  <c r="D5019" i="3" s="1"/>
  <c r="D5043" i="3" s="1"/>
  <c r="D5067" i="3" s="1"/>
  <c r="D5091" i="3" s="1"/>
  <c r="D5115" i="3" s="1"/>
  <c r="D5139" i="3" s="1"/>
  <c r="D5163" i="3" s="1"/>
  <c r="D5187" i="3" s="1"/>
  <c r="D5211" i="3" s="1"/>
  <c r="D5235" i="3" s="1"/>
  <c r="D5259" i="3" s="1"/>
  <c r="D5283" i="3" s="1"/>
  <c r="D5307" i="3" s="1"/>
  <c r="D5331" i="3" s="1"/>
  <c r="D5355" i="3" s="1"/>
  <c r="D5379" i="3" s="1"/>
  <c r="D5403" i="3" s="1"/>
  <c r="D5427" i="3" s="1"/>
  <c r="D5451" i="3" s="1"/>
  <c r="D5475" i="3" s="1"/>
  <c r="D5499" i="3" s="1"/>
  <c r="D5523" i="3" s="1"/>
  <c r="D5547" i="3" s="1"/>
  <c r="D5571" i="3" s="1"/>
  <c r="D5595" i="3" s="1"/>
  <c r="D5619" i="3" s="1"/>
  <c r="D5643" i="3" s="1"/>
  <c r="D5667" i="3" s="1"/>
  <c r="D5691" i="3" s="1"/>
  <c r="D5715" i="3" s="1"/>
  <c r="D5739" i="3" s="1"/>
  <c r="D5763" i="3" s="1"/>
  <c r="D5787" i="3" s="1"/>
  <c r="D5811" i="3" s="1"/>
  <c r="D5835" i="3" s="1"/>
  <c r="D5859" i="3" s="1"/>
  <c r="D5883" i="3" s="1"/>
  <c r="D5907" i="3" s="1"/>
  <c r="D5931" i="3" s="1"/>
  <c r="D5955" i="3" s="1"/>
  <c r="D5979" i="3" s="1"/>
  <c r="D6003" i="3" s="1"/>
  <c r="D6027" i="3" s="1"/>
  <c r="D6051" i="3" s="1"/>
  <c r="D6075" i="3" s="1"/>
  <c r="D6099" i="3" s="1"/>
  <c r="D6123" i="3" s="1"/>
  <c r="D6147" i="3" s="1"/>
  <c r="D6171" i="3" s="1"/>
  <c r="D6195" i="3" s="1"/>
  <c r="D6219" i="3" s="1"/>
  <c r="D6243" i="3" s="1"/>
  <c r="D6267" i="3" s="1"/>
  <c r="D6291" i="3" s="1"/>
  <c r="D6315" i="3" s="1"/>
  <c r="D6339" i="3" s="1"/>
  <c r="D6363" i="3" s="1"/>
  <c r="D6387" i="3" s="1"/>
  <c r="D6411" i="3" s="1"/>
  <c r="D6435" i="3" s="1"/>
  <c r="D6459" i="3" s="1"/>
  <c r="D6483" i="3" s="1"/>
  <c r="D6507" i="3" s="1"/>
  <c r="D6531" i="3" s="1"/>
  <c r="D6555" i="3" s="1"/>
  <c r="D6579" i="3" s="1"/>
  <c r="D6603" i="3" s="1"/>
  <c r="D6627" i="3" s="1"/>
  <c r="D6651" i="3" s="1"/>
  <c r="D6675" i="3" s="1"/>
  <c r="D6699" i="3" s="1"/>
  <c r="D6723" i="3" s="1"/>
  <c r="D6747" i="3" s="1"/>
  <c r="D6771" i="3" s="1"/>
  <c r="D6795" i="3" s="1"/>
  <c r="D6819" i="3" s="1"/>
  <c r="D6843" i="3" s="1"/>
  <c r="D6867" i="3" s="1"/>
  <c r="D6891" i="3" s="1"/>
  <c r="D6915" i="3" s="1"/>
  <c r="D6939" i="3" s="1"/>
  <c r="D6963" i="3" s="1"/>
  <c r="D6987" i="3" s="1"/>
  <c r="D7011" i="3" s="1"/>
  <c r="D7035" i="3" s="1"/>
  <c r="D7059" i="3" s="1"/>
  <c r="D7083" i="3" s="1"/>
  <c r="D7107" i="3" s="1"/>
  <c r="D7131" i="3" s="1"/>
  <c r="D7155" i="3" s="1"/>
  <c r="D7179" i="3" s="1"/>
  <c r="D7203" i="3" s="1"/>
  <c r="D7227" i="3" s="1"/>
  <c r="D7251" i="3" s="1"/>
  <c r="D7275" i="3" s="1"/>
  <c r="D7299" i="3" s="1"/>
  <c r="D7323" i="3" s="1"/>
  <c r="D7347" i="3" s="1"/>
  <c r="D7371" i="3" s="1"/>
  <c r="D7395" i="3" s="1"/>
  <c r="D7419" i="3" s="1"/>
  <c r="D7443" i="3" s="1"/>
  <c r="D7467" i="3" s="1"/>
  <c r="D7491" i="3" s="1"/>
  <c r="D7515" i="3" s="1"/>
  <c r="D7539" i="3" s="1"/>
  <c r="D7563" i="3" s="1"/>
  <c r="D7587" i="3" s="1"/>
  <c r="D7611" i="3" s="1"/>
  <c r="D7635" i="3" s="1"/>
  <c r="D7659" i="3" s="1"/>
  <c r="D7683" i="3" s="1"/>
  <c r="D7707" i="3" s="1"/>
  <c r="D7731" i="3" s="1"/>
  <c r="D7755" i="3" s="1"/>
  <c r="D7779" i="3" s="1"/>
  <c r="D7803" i="3" s="1"/>
  <c r="D7827" i="3" s="1"/>
  <c r="D7851" i="3" s="1"/>
  <c r="D7875" i="3" s="1"/>
  <c r="D7899" i="3" s="1"/>
  <c r="D7923" i="3" s="1"/>
  <c r="D7947" i="3" s="1"/>
  <c r="D7971" i="3" s="1"/>
  <c r="D7995" i="3" s="1"/>
  <c r="D8019" i="3" s="1"/>
  <c r="D8043" i="3" s="1"/>
  <c r="D8067" i="3" s="1"/>
  <c r="D8091" i="3" s="1"/>
  <c r="D8115" i="3" s="1"/>
  <c r="D8139" i="3" s="1"/>
  <c r="D8163" i="3" s="1"/>
  <c r="D8187" i="3" s="1"/>
  <c r="D8211" i="3" s="1"/>
  <c r="D8235" i="3" s="1"/>
  <c r="D8259" i="3" s="1"/>
  <c r="D8283" i="3" s="1"/>
  <c r="D8307" i="3" s="1"/>
  <c r="D8331" i="3" s="1"/>
  <c r="D8355" i="3" s="1"/>
  <c r="D8379" i="3" s="1"/>
  <c r="D8403" i="3" s="1"/>
  <c r="D8427" i="3" s="1"/>
  <c r="D8451" i="3" s="1"/>
  <c r="D8475" i="3" s="1"/>
  <c r="D8499" i="3" s="1"/>
  <c r="D8523" i="3" s="1"/>
  <c r="D8547" i="3" s="1"/>
  <c r="D8571" i="3" s="1"/>
  <c r="D8595" i="3" s="1"/>
  <c r="D8619" i="3" s="1"/>
  <c r="D8643" i="3" s="1"/>
  <c r="D8667" i="3" s="1"/>
  <c r="D8691" i="3" s="1"/>
  <c r="D8715" i="3" s="1"/>
  <c r="D8739" i="3" s="1"/>
  <c r="D8763" i="3" s="1"/>
  <c r="D8787" i="3" s="1"/>
  <c r="D8811" i="3" s="1"/>
  <c r="D8835" i="3" s="1"/>
  <c r="D8859" i="3" s="1"/>
  <c r="D8883" i="3" s="1"/>
  <c r="D8907" i="3" s="1"/>
  <c r="D8931" i="3" s="1"/>
  <c r="D8955" i="3" s="1"/>
  <c r="D8979" i="3" s="1"/>
  <c r="D9003" i="3" s="1"/>
  <c r="D9027" i="3" s="1"/>
  <c r="D9051" i="3" s="1"/>
  <c r="D9075" i="3" s="1"/>
  <c r="D9099" i="3" s="1"/>
  <c r="D9123" i="3" s="1"/>
  <c r="D9147" i="3" s="1"/>
  <c r="D9171" i="3" s="1"/>
  <c r="D9195" i="3" s="1"/>
  <c r="D9219" i="3" s="1"/>
  <c r="D9243" i="3" s="1"/>
  <c r="D9267" i="3" s="1"/>
  <c r="D9291" i="3" s="1"/>
  <c r="D9315" i="3" s="1"/>
  <c r="D9339" i="3" s="1"/>
  <c r="D9363" i="3" s="1"/>
  <c r="D9387" i="3" s="1"/>
  <c r="D9411" i="3" s="1"/>
  <c r="D9435" i="3" s="1"/>
  <c r="D9459" i="3" s="1"/>
  <c r="D9483" i="3" s="1"/>
  <c r="D9507" i="3" s="1"/>
  <c r="D9531" i="3" s="1"/>
  <c r="D9555" i="3" s="1"/>
  <c r="D9579" i="3" s="1"/>
  <c r="D9603" i="3" s="1"/>
  <c r="D9627" i="3" s="1"/>
  <c r="D9651" i="3" s="1"/>
  <c r="D9675" i="3" s="1"/>
  <c r="D9699" i="3" s="1"/>
  <c r="D9723" i="3" s="1"/>
  <c r="D9747" i="3" s="1"/>
  <c r="D4058" i="3"/>
  <c r="D4082" i="3" s="1"/>
  <c r="D4106" i="3" s="1"/>
  <c r="D4130" i="3" s="1"/>
  <c r="D4154" i="3" s="1"/>
  <c r="D4178" i="3" s="1"/>
  <c r="D4202" i="3" s="1"/>
  <c r="D4226" i="3" s="1"/>
  <c r="D4250" i="3" s="1"/>
  <c r="D4274" i="3" s="1"/>
  <c r="D4298" i="3" s="1"/>
  <c r="D4322" i="3" s="1"/>
  <c r="D4346" i="3" s="1"/>
  <c r="D4370" i="3" s="1"/>
  <c r="D4394" i="3" s="1"/>
  <c r="D4418" i="3" s="1"/>
  <c r="D4442" i="3" s="1"/>
  <c r="D4466" i="3" s="1"/>
  <c r="D4490" i="3" s="1"/>
  <c r="D4514" i="3" s="1"/>
  <c r="D4538" i="3" s="1"/>
  <c r="D4562" i="3" s="1"/>
  <c r="D4586" i="3" s="1"/>
  <c r="D4610" i="3" s="1"/>
  <c r="D4634" i="3" s="1"/>
  <c r="D4658" i="3" s="1"/>
  <c r="D4682" i="3" s="1"/>
  <c r="D4706" i="3" s="1"/>
  <c r="D4730" i="3" s="1"/>
  <c r="D4754" i="3" s="1"/>
  <c r="D4778" i="3" s="1"/>
  <c r="D4802" i="3" s="1"/>
  <c r="D4826" i="3" s="1"/>
  <c r="D4850" i="3" s="1"/>
  <c r="D4874" i="3" s="1"/>
  <c r="D4898" i="3" s="1"/>
  <c r="D4922" i="3" s="1"/>
  <c r="D4946" i="3" s="1"/>
  <c r="D4970" i="3" s="1"/>
  <c r="D4994" i="3" s="1"/>
  <c r="D5018" i="3" s="1"/>
  <c r="D5042" i="3" s="1"/>
  <c r="D5066" i="3" s="1"/>
  <c r="D5090" i="3" s="1"/>
  <c r="D5114" i="3" s="1"/>
  <c r="D5138" i="3" s="1"/>
  <c r="D5162" i="3" s="1"/>
  <c r="D5186" i="3" s="1"/>
  <c r="D5210" i="3" s="1"/>
  <c r="D5234" i="3" s="1"/>
  <c r="D5258" i="3" s="1"/>
  <c r="D5282" i="3" s="1"/>
  <c r="D5306" i="3" s="1"/>
  <c r="D5330" i="3" s="1"/>
  <c r="D5354" i="3" s="1"/>
  <c r="D5378" i="3" s="1"/>
  <c r="D5402" i="3" s="1"/>
  <c r="D5426" i="3" s="1"/>
  <c r="D5450" i="3" s="1"/>
  <c r="D5474" i="3" s="1"/>
  <c r="D5498" i="3" s="1"/>
  <c r="D5522" i="3" s="1"/>
  <c r="D5546" i="3" s="1"/>
  <c r="D5570" i="3" s="1"/>
  <c r="D5594" i="3" s="1"/>
  <c r="D5618" i="3" s="1"/>
  <c r="D5642" i="3" s="1"/>
  <c r="D5666" i="3" s="1"/>
  <c r="D5690" i="3" s="1"/>
  <c r="D5714" i="3" s="1"/>
  <c r="D5738" i="3" s="1"/>
  <c r="L170" i="1"/>
  <c r="K170" i="1"/>
  <c r="E4043" i="3"/>
  <c r="E4046" i="3"/>
  <c r="E4039" i="3"/>
  <c r="E4037" i="3"/>
  <c r="Q170" i="1"/>
  <c r="L169" i="1"/>
  <c r="K169" i="1" s="1"/>
  <c r="V261" i="23" l="1"/>
  <c r="Y261" i="23" s="1"/>
  <c r="D262" i="23"/>
  <c r="U261" i="23"/>
  <c r="C230" i="1"/>
  <c r="Q229" i="1"/>
  <c r="F2553" i="3"/>
  <c r="F2554" i="3"/>
  <c r="F2579" i="3" s="1"/>
  <c r="F2604" i="3" s="1"/>
  <c r="F2629" i="3" s="1"/>
  <c r="F2654" i="3" s="1"/>
  <c r="F2679" i="3" s="1"/>
  <c r="F2704" i="3" s="1"/>
  <c r="F2729" i="3" s="1"/>
  <c r="F2754" i="3" s="1"/>
  <c r="F2804" i="3" s="1"/>
  <c r="F2829" i="3" s="1"/>
  <c r="C3961" i="3"/>
  <c r="C3960" i="3"/>
  <c r="C3959" i="3"/>
  <c r="C3957" i="3"/>
  <c r="C3954" i="3"/>
  <c r="C3949" i="3"/>
  <c r="C3947" i="3"/>
  <c r="C3939" i="3"/>
  <c r="C3938" i="3"/>
  <c r="E4026" i="3"/>
  <c r="E4025" i="3"/>
  <c r="E4011" i="3"/>
  <c r="E4010" i="3"/>
  <c r="E4030" i="3"/>
  <c r="E4013" i="3"/>
  <c r="E4032" i="3"/>
  <c r="E4024" i="3"/>
  <c r="Q169" i="1"/>
  <c r="L168" i="1"/>
  <c r="K168" i="1" s="1"/>
  <c r="Q168" i="1"/>
  <c r="D169" i="1"/>
  <c r="E3987" i="3"/>
  <c r="E3986" i="3"/>
  <c r="D168" i="1"/>
  <c r="L167" i="1"/>
  <c r="K167" i="1" s="1"/>
  <c r="J167" i="1"/>
  <c r="E3963" i="3"/>
  <c r="E3962" i="3"/>
  <c r="E3974" i="3"/>
  <c r="D167" i="1"/>
  <c r="Q167" i="1"/>
  <c r="Q166" i="1"/>
  <c r="V262" i="23" l="1"/>
  <c r="Y262" i="23" s="1"/>
  <c r="D263" i="23"/>
  <c r="U262" i="23"/>
  <c r="C231" i="1"/>
  <c r="Q230" i="1"/>
  <c r="F2577" i="3"/>
  <c r="F2578" i="3"/>
  <c r="F2603" i="3" s="1"/>
  <c r="F2628" i="3" s="1"/>
  <c r="F2653" i="3" s="1"/>
  <c r="F2678" i="3" s="1"/>
  <c r="F2703" i="3" s="1"/>
  <c r="F2728" i="3" s="1"/>
  <c r="F2753" i="3" s="1"/>
  <c r="F2778" i="3" s="1"/>
  <c r="F2828" i="3" s="1"/>
  <c r="F2853" i="3" s="1"/>
  <c r="L166" i="1"/>
  <c r="K166" i="1" s="1"/>
  <c r="E3939" i="3"/>
  <c r="E3938" i="3"/>
  <c r="D166" i="1"/>
  <c r="E3947" i="3"/>
  <c r="E3943" i="3"/>
  <c r="L165" i="1"/>
  <c r="K165" i="1" s="1"/>
  <c r="V263" i="23" l="1"/>
  <c r="Y263" i="23" s="1"/>
  <c r="D264" i="23"/>
  <c r="U263" i="23"/>
  <c r="C232" i="1"/>
  <c r="Q231" i="1"/>
  <c r="F2601" i="3"/>
  <c r="F2602" i="3"/>
  <c r="F2627" i="3" s="1"/>
  <c r="F2652" i="3" s="1"/>
  <c r="F2677" i="3" s="1"/>
  <c r="F2702" i="3" s="1"/>
  <c r="F2727" i="3" s="1"/>
  <c r="F2752" i="3" s="1"/>
  <c r="F2777" i="3" s="1"/>
  <c r="F2802" i="3" s="1"/>
  <c r="F2852" i="3" s="1"/>
  <c r="F2877" i="3" s="1"/>
  <c r="E3926" i="3"/>
  <c r="E3923" i="3"/>
  <c r="E3915" i="3"/>
  <c r="Q165" i="1"/>
  <c r="D165" i="1"/>
  <c r="D3906" i="3"/>
  <c r="D3930" i="3" s="1"/>
  <c r="D3954" i="3" s="1"/>
  <c r="D3978" i="3" s="1"/>
  <c r="D4002" i="3" s="1"/>
  <c r="D4026" i="3" s="1"/>
  <c r="D3907" i="3"/>
  <c r="D3931" i="3" s="1"/>
  <c r="D3955" i="3" s="1"/>
  <c r="D3979" i="3" s="1"/>
  <c r="D4003" i="3" s="1"/>
  <c r="D4027" i="3" s="1"/>
  <c r="D4051" i="3" s="1"/>
  <c r="D4075" i="3" s="1"/>
  <c r="D4099" i="3" s="1"/>
  <c r="D4123" i="3" s="1"/>
  <c r="D4147" i="3" s="1"/>
  <c r="D4171" i="3" s="1"/>
  <c r="D4195" i="3" s="1"/>
  <c r="D4219" i="3" s="1"/>
  <c r="D4243" i="3" s="1"/>
  <c r="D4267" i="3" s="1"/>
  <c r="D4291" i="3" s="1"/>
  <c r="D4315" i="3" s="1"/>
  <c r="D4339" i="3" s="1"/>
  <c r="D4363" i="3" s="1"/>
  <c r="D4387" i="3" s="1"/>
  <c r="D4411" i="3" s="1"/>
  <c r="D4435" i="3" s="1"/>
  <c r="D4459" i="3" s="1"/>
  <c r="D4483" i="3" s="1"/>
  <c r="D4507" i="3" s="1"/>
  <c r="D4531" i="3" s="1"/>
  <c r="D4555" i="3" s="1"/>
  <c r="D4579" i="3" s="1"/>
  <c r="D4603" i="3" s="1"/>
  <c r="D4627" i="3" s="1"/>
  <c r="D4651" i="3" s="1"/>
  <c r="D4675" i="3" s="1"/>
  <c r="D4699" i="3" s="1"/>
  <c r="D4723" i="3" s="1"/>
  <c r="D4747" i="3" s="1"/>
  <c r="D4771" i="3" s="1"/>
  <c r="D4795" i="3" s="1"/>
  <c r="D4819" i="3" s="1"/>
  <c r="D4843" i="3" s="1"/>
  <c r="D4867" i="3" s="1"/>
  <c r="D4891" i="3" s="1"/>
  <c r="D4915" i="3" s="1"/>
  <c r="D4939" i="3" s="1"/>
  <c r="D4963" i="3" s="1"/>
  <c r="D4987" i="3" s="1"/>
  <c r="D5011" i="3" s="1"/>
  <c r="D5035" i="3" s="1"/>
  <c r="D5059" i="3" s="1"/>
  <c r="D5083" i="3" s="1"/>
  <c r="D5107" i="3" s="1"/>
  <c r="D5131" i="3" s="1"/>
  <c r="D5155" i="3" s="1"/>
  <c r="D5179" i="3" s="1"/>
  <c r="D5203" i="3" s="1"/>
  <c r="D5227" i="3" s="1"/>
  <c r="D5251" i="3" s="1"/>
  <c r="D5275" i="3" s="1"/>
  <c r="D5299" i="3" s="1"/>
  <c r="D5323" i="3" s="1"/>
  <c r="D5347" i="3" s="1"/>
  <c r="D5371" i="3" s="1"/>
  <c r="D5395" i="3" s="1"/>
  <c r="D5419" i="3" s="1"/>
  <c r="D5443" i="3" s="1"/>
  <c r="D5467" i="3" s="1"/>
  <c r="D5491" i="3" s="1"/>
  <c r="D5515" i="3" s="1"/>
  <c r="D5539" i="3" s="1"/>
  <c r="D5563" i="3" s="1"/>
  <c r="D5587" i="3" s="1"/>
  <c r="D5611" i="3" s="1"/>
  <c r="D5635" i="3" s="1"/>
  <c r="D5659" i="3" s="1"/>
  <c r="D5683" i="3" s="1"/>
  <c r="D5707" i="3" s="1"/>
  <c r="D5731" i="3" s="1"/>
  <c r="D5755" i="3" s="1"/>
  <c r="D5779" i="3" s="1"/>
  <c r="D5803" i="3" s="1"/>
  <c r="D5827" i="3" s="1"/>
  <c r="D5851" i="3" s="1"/>
  <c r="D5875" i="3" s="1"/>
  <c r="D5899" i="3" s="1"/>
  <c r="D5923" i="3" s="1"/>
  <c r="D5947" i="3" s="1"/>
  <c r="D5971" i="3" s="1"/>
  <c r="D5995" i="3" s="1"/>
  <c r="D6019" i="3" s="1"/>
  <c r="D6043" i="3" s="1"/>
  <c r="D6067" i="3" s="1"/>
  <c r="D6091" i="3" s="1"/>
  <c r="D6115" i="3" s="1"/>
  <c r="D6139" i="3" s="1"/>
  <c r="D6163" i="3" s="1"/>
  <c r="D6187" i="3" s="1"/>
  <c r="D6211" i="3" s="1"/>
  <c r="D6235" i="3" s="1"/>
  <c r="D6259" i="3" s="1"/>
  <c r="D6283" i="3" s="1"/>
  <c r="D6307" i="3" s="1"/>
  <c r="D6331" i="3" s="1"/>
  <c r="D6355" i="3" s="1"/>
  <c r="D6379" i="3" s="1"/>
  <c r="D6403" i="3" s="1"/>
  <c r="D6427" i="3" s="1"/>
  <c r="D6451" i="3" s="1"/>
  <c r="D6475" i="3" s="1"/>
  <c r="D6499" i="3" s="1"/>
  <c r="D6523" i="3" s="1"/>
  <c r="D6547" i="3" s="1"/>
  <c r="D6571" i="3" s="1"/>
  <c r="D6595" i="3" s="1"/>
  <c r="D6619" i="3" s="1"/>
  <c r="D6643" i="3" s="1"/>
  <c r="D6667" i="3" s="1"/>
  <c r="D6691" i="3" s="1"/>
  <c r="D6715" i="3" s="1"/>
  <c r="D6739" i="3" s="1"/>
  <c r="D6763" i="3" s="1"/>
  <c r="D6787" i="3" s="1"/>
  <c r="D6811" i="3" s="1"/>
  <c r="D6835" i="3" s="1"/>
  <c r="D6859" i="3" s="1"/>
  <c r="D6883" i="3" s="1"/>
  <c r="D6907" i="3" s="1"/>
  <c r="D6931" i="3" s="1"/>
  <c r="D6955" i="3" s="1"/>
  <c r="D6979" i="3" s="1"/>
  <c r="D7003" i="3" s="1"/>
  <c r="D7027" i="3" s="1"/>
  <c r="D7051" i="3" s="1"/>
  <c r="D7075" i="3" s="1"/>
  <c r="D7099" i="3" s="1"/>
  <c r="D7123" i="3" s="1"/>
  <c r="D7147" i="3" s="1"/>
  <c r="D7171" i="3" s="1"/>
  <c r="D7195" i="3" s="1"/>
  <c r="D7219" i="3" s="1"/>
  <c r="D7243" i="3" s="1"/>
  <c r="D7267" i="3" s="1"/>
  <c r="D7291" i="3" s="1"/>
  <c r="D7315" i="3" s="1"/>
  <c r="D7339" i="3" s="1"/>
  <c r="D7363" i="3" s="1"/>
  <c r="D7387" i="3" s="1"/>
  <c r="D7411" i="3" s="1"/>
  <c r="D7435" i="3" s="1"/>
  <c r="D7459" i="3" s="1"/>
  <c r="D7483" i="3" s="1"/>
  <c r="D7507" i="3" s="1"/>
  <c r="D7531" i="3" s="1"/>
  <c r="D7555" i="3" s="1"/>
  <c r="D7579" i="3" s="1"/>
  <c r="D7603" i="3" s="1"/>
  <c r="D7627" i="3" s="1"/>
  <c r="D7651" i="3" s="1"/>
  <c r="D7675" i="3" s="1"/>
  <c r="D7699" i="3" s="1"/>
  <c r="D7723" i="3" s="1"/>
  <c r="D7747" i="3" s="1"/>
  <c r="D7771" i="3" s="1"/>
  <c r="D7795" i="3" s="1"/>
  <c r="D7819" i="3" s="1"/>
  <c r="D7843" i="3" s="1"/>
  <c r="D7867" i="3" s="1"/>
  <c r="D7891" i="3" s="1"/>
  <c r="D7915" i="3" s="1"/>
  <c r="D7939" i="3" s="1"/>
  <c r="D7963" i="3" s="1"/>
  <c r="D7987" i="3" s="1"/>
  <c r="D8011" i="3" s="1"/>
  <c r="D8035" i="3" s="1"/>
  <c r="D8059" i="3" s="1"/>
  <c r="D8083" i="3" s="1"/>
  <c r="D8107" i="3" s="1"/>
  <c r="D8131" i="3" s="1"/>
  <c r="D8155" i="3" s="1"/>
  <c r="D8179" i="3" s="1"/>
  <c r="D8203" i="3" s="1"/>
  <c r="D8227" i="3" s="1"/>
  <c r="D8251" i="3" s="1"/>
  <c r="D8275" i="3" s="1"/>
  <c r="D8299" i="3" s="1"/>
  <c r="D8323" i="3" s="1"/>
  <c r="D8347" i="3" s="1"/>
  <c r="D8371" i="3" s="1"/>
  <c r="D8395" i="3" s="1"/>
  <c r="D8419" i="3" s="1"/>
  <c r="D8443" i="3" s="1"/>
  <c r="D8467" i="3" s="1"/>
  <c r="D8491" i="3" s="1"/>
  <c r="D8515" i="3" s="1"/>
  <c r="D8539" i="3" s="1"/>
  <c r="D8563" i="3" s="1"/>
  <c r="D8587" i="3" s="1"/>
  <c r="D8611" i="3" s="1"/>
  <c r="D8635" i="3" s="1"/>
  <c r="D8659" i="3" s="1"/>
  <c r="D8683" i="3" s="1"/>
  <c r="D8707" i="3" s="1"/>
  <c r="D8731" i="3" s="1"/>
  <c r="D8755" i="3" s="1"/>
  <c r="D8779" i="3" s="1"/>
  <c r="D8803" i="3" s="1"/>
  <c r="D8827" i="3" s="1"/>
  <c r="D8851" i="3" s="1"/>
  <c r="D8875" i="3" s="1"/>
  <c r="D8899" i="3" s="1"/>
  <c r="D8923" i="3" s="1"/>
  <c r="D8947" i="3" s="1"/>
  <c r="D8971" i="3" s="1"/>
  <c r="D8995" i="3" s="1"/>
  <c r="D9019" i="3" s="1"/>
  <c r="D9043" i="3" s="1"/>
  <c r="D9067" i="3" s="1"/>
  <c r="D9091" i="3" s="1"/>
  <c r="D9115" i="3" s="1"/>
  <c r="D9139" i="3" s="1"/>
  <c r="D9163" i="3" s="1"/>
  <c r="D9187" i="3" s="1"/>
  <c r="D9211" i="3" s="1"/>
  <c r="D9235" i="3" s="1"/>
  <c r="D9259" i="3" s="1"/>
  <c r="D9283" i="3" s="1"/>
  <c r="D9307" i="3" s="1"/>
  <c r="D9331" i="3" s="1"/>
  <c r="D9355" i="3" s="1"/>
  <c r="D9379" i="3" s="1"/>
  <c r="D9403" i="3" s="1"/>
  <c r="D9427" i="3" s="1"/>
  <c r="D9451" i="3" s="1"/>
  <c r="D9475" i="3" s="1"/>
  <c r="D9499" i="3" s="1"/>
  <c r="D9523" i="3" s="1"/>
  <c r="D9547" i="3" s="1"/>
  <c r="D9571" i="3" s="1"/>
  <c r="D9595" i="3" s="1"/>
  <c r="D9619" i="3" s="1"/>
  <c r="D9643" i="3" s="1"/>
  <c r="D9667" i="3" s="1"/>
  <c r="D9691" i="3" s="1"/>
  <c r="D9715" i="3" s="1"/>
  <c r="D9739" i="3" s="1"/>
  <c r="D9763" i="3" s="1"/>
  <c r="D3908" i="3"/>
  <c r="D3932" i="3" s="1"/>
  <c r="D3956" i="3" s="1"/>
  <c r="D3980" i="3" s="1"/>
  <c r="D4004" i="3" s="1"/>
  <c r="D4028" i="3" s="1"/>
  <c r="D4052" i="3" s="1"/>
  <c r="D4076" i="3" s="1"/>
  <c r="D4100" i="3" s="1"/>
  <c r="D4124" i="3" s="1"/>
  <c r="D4148" i="3" s="1"/>
  <c r="D4172" i="3" s="1"/>
  <c r="D4196" i="3" s="1"/>
  <c r="D4220" i="3" s="1"/>
  <c r="D4244" i="3" s="1"/>
  <c r="D4268" i="3" s="1"/>
  <c r="D4292" i="3" s="1"/>
  <c r="D4316" i="3" s="1"/>
  <c r="D4340" i="3" s="1"/>
  <c r="D4364" i="3" s="1"/>
  <c r="D4388" i="3" s="1"/>
  <c r="D4412" i="3" s="1"/>
  <c r="D4436" i="3" s="1"/>
  <c r="D4460" i="3" s="1"/>
  <c r="D4484" i="3" s="1"/>
  <c r="D4508" i="3" s="1"/>
  <c r="D4532" i="3" s="1"/>
  <c r="D4556" i="3" s="1"/>
  <c r="D4580" i="3" s="1"/>
  <c r="D4604" i="3" s="1"/>
  <c r="D4628" i="3" s="1"/>
  <c r="D4652" i="3" s="1"/>
  <c r="D4676" i="3" s="1"/>
  <c r="D4700" i="3" s="1"/>
  <c r="D4724" i="3" s="1"/>
  <c r="D4748" i="3" s="1"/>
  <c r="D4772" i="3" s="1"/>
  <c r="D4796" i="3" s="1"/>
  <c r="D4820" i="3" s="1"/>
  <c r="D4844" i="3" s="1"/>
  <c r="D4868" i="3" s="1"/>
  <c r="D4892" i="3" s="1"/>
  <c r="D4916" i="3" s="1"/>
  <c r="D4940" i="3" s="1"/>
  <c r="D4964" i="3" s="1"/>
  <c r="D4988" i="3" s="1"/>
  <c r="D5012" i="3" s="1"/>
  <c r="D5036" i="3" s="1"/>
  <c r="D5060" i="3" s="1"/>
  <c r="D5084" i="3" s="1"/>
  <c r="D5108" i="3" s="1"/>
  <c r="D5132" i="3" s="1"/>
  <c r="D5156" i="3" s="1"/>
  <c r="D5180" i="3" s="1"/>
  <c r="D5204" i="3" s="1"/>
  <c r="D5228" i="3" s="1"/>
  <c r="D5252" i="3" s="1"/>
  <c r="D5276" i="3" s="1"/>
  <c r="D5300" i="3" s="1"/>
  <c r="D5324" i="3" s="1"/>
  <c r="D5348" i="3" s="1"/>
  <c r="D5372" i="3" s="1"/>
  <c r="D5396" i="3" s="1"/>
  <c r="D5420" i="3" s="1"/>
  <c r="D5444" i="3" s="1"/>
  <c r="D5468" i="3" s="1"/>
  <c r="D5492" i="3" s="1"/>
  <c r="D5516" i="3" s="1"/>
  <c r="D5540" i="3" s="1"/>
  <c r="D5564" i="3" s="1"/>
  <c r="D5588" i="3" s="1"/>
  <c r="D5612" i="3" s="1"/>
  <c r="D5636" i="3" s="1"/>
  <c r="D5660" i="3" s="1"/>
  <c r="D5684" i="3" s="1"/>
  <c r="D5708" i="3" s="1"/>
  <c r="D5732" i="3" s="1"/>
  <c r="D5756" i="3" s="1"/>
  <c r="D3909" i="3"/>
  <c r="D3933" i="3" s="1"/>
  <c r="D3957" i="3" s="1"/>
  <c r="D3981" i="3" s="1"/>
  <c r="D4005" i="3" s="1"/>
  <c r="D4029" i="3" s="1"/>
  <c r="D3910" i="3"/>
  <c r="D3934" i="3" s="1"/>
  <c r="D3958" i="3" s="1"/>
  <c r="D3982" i="3" s="1"/>
  <c r="D4006" i="3" s="1"/>
  <c r="D4030" i="3" s="1"/>
  <c r="D4054" i="3" s="1"/>
  <c r="D4078" i="3" s="1"/>
  <c r="D4102" i="3" s="1"/>
  <c r="D4126" i="3" s="1"/>
  <c r="D4150" i="3" s="1"/>
  <c r="D4174" i="3" s="1"/>
  <c r="D4198" i="3" s="1"/>
  <c r="D4222" i="3" s="1"/>
  <c r="D4246" i="3" s="1"/>
  <c r="D4270" i="3" s="1"/>
  <c r="D4294" i="3" s="1"/>
  <c r="D4318" i="3" s="1"/>
  <c r="D4342" i="3" s="1"/>
  <c r="D4366" i="3" s="1"/>
  <c r="D4390" i="3" s="1"/>
  <c r="D4414" i="3" s="1"/>
  <c r="D4438" i="3" s="1"/>
  <c r="D4462" i="3" s="1"/>
  <c r="D4486" i="3" s="1"/>
  <c r="D4510" i="3" s="1"/>
  <c r="D4534" i="3" s="1"/>
  <c r="D4558" i="3" s="1"/>
  <c r="D4582" i="3" s="1"/>
  <c r="D4606" i="3" s="1"/>
  <c r="D4630" i="3" s="1"/>
  <c r="D4654" i="3" s="1"/>
  <c r="D4678" i="3" s="1"/>
  <c r="D4702" i="3" s="1"/>
  <c r="D4726" i="3" s="1"/>
  <c r="D4750" i="3" s="1"/>
  <c r="D4774" i="3" s="1"/>
  <c r="D4798" i="3" s="1"/>
  <c r="D4822" i="3" s="1"/>
  <c r="D4846" i="3" s="1"/>
  <c r="D4870" i="3" s="1"/>
  <c r="D4894" i="3" s="1"/>
  <c r="D4918" i="3" s="1"/>
  <c r="D4942" i="3" s="1"/>
  <c r="D4966" i="3" s="1"/>
  <c r="D4990" i="3" s="1"/>
  <c r="D5014" i="3" s="1"/>
  <c r="D5038" i="3" s="1"/>
  <c r="D5062" i="3" s="1"/>
  <c r="D5086" i="3" s="1"/>
  <c r="D5110" i="3" s="1"/>
  <c r="D5134" i="3" s="1"/>
  <c r="D5158" i="3" s="1"/>
  <c r="D5182" i="3" s="1"/>
  <c r="D5206" i="3" s="1"/>
  <c r="D5230" i="3" s="1"/>
  <c r="D5254" i="3" s="1"/>
  <c r="D5278" i="3" s="1"/>
  <c r="D5302" i="3" s="1"/>
  <c r="D5326" i="3" s="1"/>
  <c r="D5350" i="3" s="1"/>
  <c r="D5374" i="3" s="1"/>
  <c r="D5398" i="3" s="1"/>
  <c r="D5422" i="3" s="1"/>
  <c r="D5446" i="3" s="1"/>
  <c r="D5470" i="3" s="1"/>
  <c r="D5494" i="3" s="1"/>
  <c r="D5518" i="3" s="1"/>
  <c r="D5542" i="3" s="1"/>
  <c r="D5566" i="3" s="1"/>
  <c r="D5590" i="3" s="1"/>
  <c r="D5614" i="3" s="1"/>
  <c r="D5638" i="3" s="1"/>
  <c r="D5662" i="3" s="1"/>
  <c r="D5686" i="3" s="1"/>
  <c r="D5710" i="3" s="1"/>
  <c r="D5734" i="3" s="1"/>
  <c r="D5758" i="3" s="1"/>
  <c r="D3911" i="3"/>
  <c r="D3935" i="3" s="1"/>
  <c r="D3959" i="3" s="1"/>
  <c r="D3983" i="3" s="1"/>
  <c r="D4007" i="3" s="1"/>
  <c r="D4031" i="3" s="1"/>
  <c r="D3912" i="3"/>
  <c r="D3936" i="3" s="1"/>
  <c r="D3960" i="3" s="1"/>
  <c r="D3984" i="3" s="1"/>
  <c r="D4008" i="3" s="1"/>
  <c r="D4032" i="3" s="1"/>
  <c r="D3913" i="3"/>
  <c r="D3937" i="3" s="1"/>
  <c r="D3961" i="3" s="1"/>
  <c r="D3985" i="3" s="1"/>
  <c r="D4009" i="3" s="1"/>
  <c r="D4033" i="3" s="1"/>
  <c r="D3896" i="3"/>
  <c r="D3920" i="3" s="1"/>
  <c r="D3944" i="3" s="1"/>
  <c r="D3968" i="3" s="1"/>
  <c r="D3992" i="3" s="1"/>
  <c r="D4016" i="3" s="1"/>
  <c r="D3897" i="3"/>
  <c r="D3921" i="3" s="1"/>
  <c r="D3945" i="3" s="1"/>
  <c r="D3969" i="3" s="1"/>
  <c r="D3993" i="3" s="1"/>
  <c r="D4017" i="3" s="1"/>
  <c r="D3898" i="3"/>
  <c r="D3922" i="3" s="1"/>
  <c r="D3946" i="3" s="1"/>
  <c r="D3970" i="3" s="1"/>
  <c r="D3994" i="3" s="1"/>
  <c r="D4018" i="3" s="1"/>
  <c r="D3899" i="3"/>
  <c r="D3923" i="3" s="1"/>
  <c r="D3947" i="3" s="1"/>
  <c r="D3971" i="3" s="1"/>
  <c r="D3995" i="3" s="1"/>
  <c r="D4019" i="3" s="1"/>
  <c r="D3900" i="3"/>
  <c r="D3924" i="3" s="1"/>
  <c r="D3948" i="3" s="1"/>
  <c r="D3972" i="3" s="1"/>
  <c r="D3996" i="3" s="1"/>
  <c r="D4020" i="3" s="1"/>
  <c r="D3901" i="3"/>
  <c r="D3925" i="3" s="1"/>
  <c r="D3949" i="3" s="1"/>
  <c r="D3973" i="3" s="1"/>
  <c r="D3997" i="3" s="1"/>
  <c r="D4021" i="3" s="1"/>
  <c r="D3902" i="3"/>
  <c r="D3926" i="3" s="1"/>
  <c r="D3950" i="3" s="1"/>
  <c r="D3974" i="3" s="1"/>
  <c r="D3998" i="3" s="1"/>
  <c r="D4022" i="3" s="1"/>
  <c r="D3903" i="3"/>
  <c r="D3927" i="3" s="1"/>
  <c r="D3951" i="3" s="1"/>
  <c r="D3975" i="3" s="1"/>
  <c r="D3999" i="3" s="1"/>
  <c r="D4023" i="3" s="1"/>
  <c r="D3904" i="3"/>
  <c r="D3928" i="3" s="1"/>
  <c r="D3952" i="3" s="1"/>
  <c r="D3976" i="3" s="1"/>
  <c r="D4000" i="3" s="1"/>
  <c r="D4024" i="3" s="1"/>
  <c r="D3905" i="3"/>
  <c r="D3929" i="3" s="1"/>
  <c r="D3953" i="3" s="1"/>
  <c r="D3977" i="3" s="1"/>
  <c r="D4001" i="3" s="1"/>
  <c r="D4025" i="3" s="1"/>
  <c r="D4049" i="3" s="1"/>
  <c r="D4073" i="3" s="1"/>
  <c r="D4097" i="3" s="1"/>
  <c r="D4121" i="3" s="1"/>
  <c r="D4145" i="3" s="1"/>
  <c r="D4169" i="3" s="1"/>
  <c r="D4193" i="3" s="1"/>
  <c r="D4217" i="3" s="1"/>
  <c r="D4241" i="3" s="1"/>
  <c r="D4265" i="3" s="1"/>
  <c r="D4289" i="3" s="1"/>
  <c r="D4313" i="3" s="1"/>
  <c r="D4337" i="3" s="1"/>
  <c r="D4361" i="3" s="1"/>
  <c r="D4385" i="3" s="1"/>
  <c r="D4409" i="3" s="1"/>
  <c r="D4433" i="3" s="1"/>
  <c r="D4457" i="3" s="1"/>
  <c r="D4481" i="3" s="1"/>
  <c r="D4505" i="3" s="1"/>
  <c r="D4529" i="3" s="1"/>
  <c r="D4553" i="3" s="1"/>
  <c r="D4577" i="3" s="1"/>
  <c r="D4601" i="3" s="1"/>
  <c r="D4625" i="3" s="1"/>
  <c r="D4649" i="3" s="1"/>
  <c r="D4673" i="3" s="1"/>
  <c r="D4697" i="3" s="1"/>
  <c r="D4721" i="3" s="1"/>
  <c r="D4745" i="3" s="1"/>
  <c r="D4769" i="3" s="1"/>
  <c r="D4793" i="3" s="1"/>
  <c r="D4817" i="3" s="1"/>
  <c r="D4841" i="3" s="1"/>
  <c r="D4865" i="3" s="1"/>
  <c r="D4889" i="3" s="1"/>
  <c r="D4913" i="3" s="1"/>
  <c r="D4937" i="3" s="1"/>
  <c r="D4961" i="3" s="1"/>
  <c r="D4985" i="3" s="1"/>
  <c r="D5009" i="3" s="1"/>
  <c r="D5033" i="3" s="1"/>
  <c r="D5057" i="3" s="1"/>
  <c r="D5081" i="3" s="1"/>
  <c r="D5105" i="3" s="1"/>
  <c r="D5129" i="3" s="1"/>
  <c r="D5153" i="3" s="1"/>
  <c r="D5177" i="3" s="1"/>
  <c r="D5201" i="3" s="1"/>
  <c r="D5225" i="3" s="1"/>
  <c r="D5249" i="3" s="1"/>
  <c r="D5273" i="3" s="1"/>
  <c r="D5297" i="3" s="1"/>
  <c r="D5321" i="3" s="1"/>
  <c r="D5345" i="3" s="1"/>
  <c r="D5369" i="3" s="1"/>
  <c r="D5393" i="3" s="1"/>
  <c r="D5417" i="3" s="1"/>
  <c r="D5441" i="3" s="1"/>
  <c r="D5465" i="3" s="1"/>
  <c r="D5489" i="3" s="1"/>
  <c r="D5513" i="3" s="1"/>
  <c r="D5537" i="3" s="1"/>
  <c r="D5561" i="3" s="1"/>
  <c r="D5585" i="3" s="1"/>
  <c r="D5609" i="3" s="1"/>
  <c r="D5633" i="3" s="1"/>
  <c r="D5657" i="3" s="1"/>
  <c r="D5681" i="3" s="1"/>
  <c r="D5705" i="3" s="1"/>
  <c r="D5729" i="3" s="1"/>
  <c r="D5753" i="3" s="1"/>
  <c r="D3891" i="3"/>
  <c r="D3915" i="3" s="1"/>
  <c r="D3939" i="3" s="1"/>
  <c r="D3963" i="3" s="1"/>
  <c r="D3987" i="3" s="1"/>
  <c r="D4011" i="3" s="1"/>
  <c r="D3892" i="3"/>
  <c r="D3916" i="3" s="1"/>
  <c r="D3940" i="3" s="1"/>
  <c r="D3964" i="3" s="1"/>
  <c r="D3988" i="3" s="1"/>
  <c r="D4012" i="3" s="1"/>
  <c r="D4036" i="3" s="1"/>
  <c r="D4060" i="3" s="1"/>
  <c r="D4084" i="3" s="1"/>
  <c r="D4108" i="3" s="1"/>
  <c r="D4132" i="3" s="1"/>
  <c r="D4156" i="3" s="1"/>
  <c r="D4180" i="3" s="1"/>
  <c r="D4204" i="3" s="1"/>
  <c r="D4228" i="3" s="1"/>
  <c r="D4252" i="3" s="1"/>
  <c r="D4276" i="3" s="1"/>
  <c r="D4300" i="3" s="1"/>
  <c r="D4324" i="3" s="1"/>
  <c r="D4348" i="3" s="1"/>
  <c r="D4372" i="3" s="1"/>
  <c r="D4396" i="3" s="1"/>
  <c r="D4420" i="3" s="1"/>
  <c r="D4444" i="3" s="1"/>
  <c r="D4468" i="3" s="1"/>
  <c r="D4492" i="3" s="1"/>
  <c r="D4516" i="3" s="1"/>
  <c r="D4540" i="3" s="1"/>
  <c r="D4564" i="3" s="1"/>
  <c r="D4588" i="3" s="1"/>
  <c r="D4612" i="3" s="1"/>
  <c r="D4636" i="3" s="1"/>
  <c r="D4660" i="3" s="1"/>
  <c r="D4684" i="3" s="1"/>
  <c r="D4708" i="3" s="1"/>
  <c r="D4732" i="3" s="1"/>
  <c r="D4756" i="3" s="1"/>
  <c r="D4780" i="3" s="1"/>
  <c r="D4804" i="3" s="1"/>
  <c r="D4828" i="3" s="1"/>
  <c r="D4852" i="3" s="1"/>
  <c r="D4876" i="3" s="1"/>
  <c r="D4900" i="3" s="1"/>
  <c r="D4924" i="3" s="1"/>
  <c r="D4948" i="3" s="1"/>
  <c r="D4972" i="3" s="1"/>
  <c r="D4996" i="3" s="1"/>
  <c r="D5020" i="3" s="1"/>
  <c r="D5044" i="3" s="1"/>
  <c r="D5068" i="3" s="1"/>
  <c r="D5092" i="3" s="1"/>
  <c r="D5116" i="3" s="1"/>
  <c r="D5140" i="3" s="1"/>
  <c r="D5164" i="3" s="1"/>
  <c r="D5188" i="3" s="1"/>
  <c r="D5212" i="3" s="1"/>
  <c r="D5236" i="3" s="1"/>
  <c r="D5260" i="3" s="1"/>
  <c r="D5284" i="3" s="1"/>
  <c r="D5308" i="3" s="1"/>
  <c r="D5332" i="3" s="1"/>
  <c r="D5356" i="3" s="1"/>
  <c r="D5380" i="3" s="1"/>
  <c r="D5404" i="3" s="1"/>
  <c r="D5428" i="3" s="1"/>
  <c r="D5452" i="3" s="1"/>
  <c r="D5476" i="3" s="1"/>
  <c r="D5500" i="3" s="1"/>
  <c r="D5524" i="3" s="1"/>
  <c r="D5548" i="3" s="1"/>
  <c r="D5572" i="3" s="1"/>
  <c r="D5596" i="3" s="1"/>
  <c r="D5620" i="3" s="1"/>
  <c r="D5644" i="3" s="1"/>
  <c r="D5668" i="3" s="1"/>
  <c r="D5692" i="3" s="1"/>
  <c r="D5716" i="3" s="1"/>
  <c r="D5740" i="3" s="1"/>
  <c r="D5764" i="3" s="1"/>
  <c r="D5788" i="3" s="1"/>
  <c r="D5812" i="3" s="1"/>
  <c r="D5836" i="3" s="1"/>
  <c r="D5860" i="3" s="1"/>
  <c r="D5884" i="3" s="1"/>
  <c r="D5908" i="3" s="1"/>
  <c r="D5932" i="3" s="1"/>
  <c r="D5956" i="3" s="1"/>
  <c r="D5980" i="3" s="1"/>
  <c r="D6004" i="3" s="1"/>
  <c r="D6028" i="3" s="1"/>
  <c r="D6052" i="3" s="1"/>
  <c r="D6076" i="3" s="1"/>
  <c r="D6100" i="3" s="1"/>
  <c r="D6124" i="3" s="1"/>
  <c r="D6148" i="3" s="1"/>
  <c r="D6172" i="3" s="1"/>
  <c r="D6196" i="3" s="1"/>
  <c r="D6220" i="3" s="1"/>
  <c r="D6244" i="3" s="1"/>
  <c r="D6268" i="3" s="1"/>
  <c r="D6292" i="3" s="1"/>
  <c r="D6316" i="3" s="1"/>
  <c r="D6340" i="3" s="1"/>
  <c r="D6364" i="3" s="1"/>
  <c r="D6388" i="3" s="1"/>
  <c r="D6412" i="3" s="1"/>
  <c r="D6436" i="3" s="1"/>
  <c r="D6460" i="3" s="1"/>
  <c r="D6484" i="3" s="1"/>
  <c r="D6508" i="3" s="1"/>
  <c r="D6532" i="3" s="1"/>
  <c r="D6556" i="3" s="1"/>
  <c r="D6580" i="3" s="1"/>
  <c r="D6604" i="3" s="1"/>
  <c r="D6628" i="3" s="1"/>
  <c r="D6652" i="3" s="1"/>
  <c r="D6676" i="3" s="1"/>
  <c r="D6700" i="3" s="1"/>
  <c r="D6724" i="3" s="1"/>
  <c r="D6748" i="3" s="1"/>
  <c r="D6772" i="3" s="1"/>
  <c r="D6796" i="3" s="1"/>
  <c r="D6820" i="3" s="1"/>
  <c r="D6844" i="3" s="1"/>
  <c r="D6868" i="3" s="1"/>
  <c r="D6892" i="3" s="1"/>
  <c r="D6916" i="3" s="1"/>
  <c r="D6940" i="3" s="1"/>
  <c r="D6964" i="3" s="1"/>
  <c r="D6988" i="3" s="1"/>
  <c r="D7012" i="3" s="1"/>
  <c r="D7036" i="3" s="1"/>
  <c r="D7060" i="3" s="1"/>
  <c r="D7084" i="3" s="1"/>
  <c r="D7108" i="3" s="1"/>
  <c r="D7132" i="3" s="1"/>
  <c r="D7156" i="3" s="1"/>
  <c r="D7180" i="3" s="1"/>
  <c r="D7204" i="3" s="1"/>
  <c r="D7228" i="3" s="1"/>
  <c r="D7252" i="3" s="1"/>
  <c r="D7276" i="3" s="1"/>
  <c r="D7300" i="3" s="1"/>
  <c r="D7324" i="3" s="1"/>
  <c r="D7348" i="3" s="1"/>
  <c r="D7372" i="3" s="1"/>
  <c r="D7396" i="3" s="1"/>
  <c r="D7420" i="3" s="1"/>
  <c r="D7444" i="3" s="1"/>
  <c r="D7468" i="3" s="1"/>
  <c r="D7492" i="3" s="1"/>
  <c r="D7516" i="3" s="1"/>
  <c r="D7540" i="3" s="1"/>
  <c r="D7564" i="3" s="1"/>
  <c r="D7588" i="3" s="1"/>
  <c r="D7612" i="3" s="1"/>
  <c r="D7636" i="3" s="1"/>
  <c r="D7660" i="3" s="1"/>
  <c r="D7684" i="3" s="1"/>
  <c r="D7708" i="3" s="1"/>
  <c r="D7732" i="3" s="1"/>
  <c r="D7756" i="3" s="1"/>
  <c r="D7780" i="3" s="1"/>
  <c r="D7804" i="3" s="1"/>
  <c r="D7828" i="3" s="1"/>
  <c r="D7852" i="3" s="1"/>
  <c r="D7876" i="3" s="1"/>
  <c r="D7900" i="3" s="1"/>
  <c r="D7924" i="3" s="1"/>
  <c r="D7948" i="3" s="1"/>
  <c r="D7972" i="3" s="1"/>
  <c r="D7996" i="3" s="1"/>
  <c r="D8020" i="3" s="1"/>
  <c r="D8044" i="3" s="1"/>
  <c r="D8068" i="3" s="1"/>
  <c r="D8092" i="3" s="1"/>
  <c r="D8116" i="3" s="1"/>
  <c r="D8140" i="3" s="1"/>
  <c r="D8164" i="3" s="1"/>
  <c r="D8188" i="3" s="1"/>
  <c r="D8212" i="3" s="1"/>
  <c r="D8236" i="3" s="1"/>
  <c r="D8260" i="3" s="1"/>
  <c r="D8284" i="3" s="1"/>
  <c r="D8308" i="3" s="1"/>
  <c r="D8332" i="3" s="1"/>
  <c r="D8356" i="3" s="1"/>
  <c r="D8380" i="3" s="1"/>
  <c r="D8404" i="3" s="1"/>
  <c r="D8428" i="3" s="1"/>
  <c r="D8452" i="3" s="1"/>
  <c r="D8476" i="3" s="1"/>
  <c r="D8500" i="3" s="1"/>
  <c r="D8524" i="3" s="1"/>
  <c r="D8548" i="3" s="1"/>
  <c r="D8572" i="3" s="1"/>
  <c r="D8596" i="3" s="1"/>
  <c r="D8620" i="3" s="1"/>
  <c r="D8644" i="3" s="1"/>
  <c r="D8668" i="3" s="1"/>
  <c r="D8692" i="3" s="1"/>
  <c r="D8716" i="3" s="1"/>
  <c r="D8740" i="3" s="1"/>
  <c r="D8764" i="3" s="1"/>
  <c r="D8788" i="3" s="1"/>
  <c r="D8812" i="3" s="1"/>
  <c r="D8836" i="3" s="1"/>
  <c r="D8860" i="3" s="1"/>
  <c r="D8884" i="3" s="1"/>
  <c r="D8908" i="3" s="1"/>
  <c r="D8932" i="3" s="1"/>
  <c r="D8956" i="3" s="1"/>
  <c r="D8980" i="3" s="1"/>
  <c r="D9004" i="3" s="1"/>
  <c r="D9028" i="3" s="1"/>
  <c r="D9052" i="3" s="1"/>
  <c r="D9076" i="3" s="1"/>
  <c r="D9100" i="3" s="1"/>
  <c r="D9124" i="3" s="1"/>
  <c r="D9148" i="3" s="1"/>
  <c r="D9172" i="3" s="1"/>
  <c r="D9196" i="3" s="1"/>
  <c r="D9220" i="3" s="1"/>
  <c r="D9244" i="3" s="1"/>
  <c r="D9268" i="3" s="1"/>
  <c r="D9292" i="3" s="1"/>
  <c r="D9316" i="3" s="1"/>
  <c r="D9340" i="3" s="1"/>
  <c r="D9364" i="3" s="1"/>
  <c r="D9388" i="3" s="1"/>
  <c r="D9412" i="3" s="1"/>
  <c r="D9436" i="3" s="1"/>
  <c r="D9460" i="3" s="1"/>
  <c r="D9484" i="3" s="1"/>
  <c r="D9508" i="3" s="1"/>
  <c r="D9532" i="3" s="1"/>
  <c r="D9556" i="3" s="1"/>
  <c r="D9580" i="3" s="1"/>
  <c r="D9604" i="3" s="1"/>
  <c r="D9628" i="3" s="1"/>
  <c r="D9652" i="3" s="1"/>
  <c r="D9676" i="3" s="1"/>
  <c r="D9700" i="3" s="1"/>
  <c r="D9724" i="3" s="1"/>
  <c r="D9748" i="3" s="1"/>
  <c r="D3893" i="3"/>
  <c r="D3917" i="3" s="1"/>
  <c r="D3941" i="3" s="1"/>
  <c r="D3965" i="3" s="1"/>
  <c r="D3989" i="3" s="1"/>
  <c r="D4013" i="3" s="1"/>
  <c r="D4037" i="3" s="1"/>
  <c r="D4061" i="3" s="1"/>
  <c r="D4085" i="3" s="1"/>
  <c r="D4109" i="3" s="1"/>
  <c r="D4133" i="3" s="1"/>
  <c r="D4157" i="3" s="1"/>
  <c r="D4181" i="3" s="1"/>
  <c r="D4205" i="3" s="1"/>
  <c r="D4229" i="3" s="1"/>
  <c r="D4253" i="3" s="1"/>
  <c r="D4277" i="3" s="1"/>
  <c r="D4301" i="3" s="1"/>
  <c r="D4325" i="3" s="1"/>
  <c r="D4349" i="3" s="1"/>
  <c r="D4373" i="3" s="1"/>
  <c r="D4397" i="3" s="1"/>
  <c r="D4421" i="3" s="1"/>
  <c r="D4445" i="3" s="1"/>
  <c r="D4469" i="3" s="1"/>
  <c r="D4493" i="3" s="1"/>
  <c r="D4517" i="3" s="1"/>
  <c r="D4541" i="3" s="1"/>
  <c r="D4565" i="3" s="1"/>
  <c r="D4589" i="3" s="1"/>
  <c r="D4613" i="3" s="1"/>
  <c r="D4637" i="3" s="1"/>
  <c r="D4661" i="3" s="1"/>
  <c r="D4685" i="3" s="1"/>
  <c r="D4709" i="3" s="1"/>
  <c r="D4733" i="3" s="1"/>
  <c r="D4757" i="3" s="1"/>
  <c r="D4781" i="3" s="1"/>
  <c r="D4805" i="3" s="1"/>
  <c r="D4829" i="3" s="1"/>
  <c r="D4853" i="3" s="1"/>
  <c r="D4877" i="3" s="1"/>
  <c r="D4901" i="3" s="1"/>
  <c r="D4925" i="3" s="1"/>
  <c r="D4949" i="3" s="1"/>
  <c r="D4973" i="3" s="1"/>
  <c r="D4997" i="3" s="1"/>
  <c r="D5021" i="3" s="1"/>
  <c r="D5045" i="3" s="1"/>
  <c r="D5069" i="3" s="1"/>
  <c r="D5093" i="3" s="1"/>
  <c r="D5117" i="3" s="1"/>
  <c r="D5141" i="3" s="1"/>
  <c r="D5165" i="3" s="1"/>
  <c r="D5189" i="3" s="1"/>
  <c r="D5213" i="3" s="1"/>
  <c r="D5237" i="3" s="1"/>
  <c r="D5261" i="3" s="1"/>
  <c r="D5285" i="3" s="1"/>
  <c r="D5309" i="3" s="1"/>
  <c r="D5333" i="3" s="1"/>
  <c r="D5357" i="3" s="1"/>
  <c r="D5381" i="3" s="1"/>
  <c r="D5405" i="3" s="1"/>
  <c r="D5429" i="3" s="1"/>
  <c r="D5453" i="3" s="1"/>
  <c r="D5477" i="3" s="1"/>
  <c r="D5501" i="3" s="1"/>
  <c r="D5525" i="3" s="1"/>
  <c r="D5549" i="3" s="1"/>
  <c r="D5573" i="3" s="1"/>
  <c r="D5597" i="3" s="1"/>
  <c r="D5621" i="3" s="1"/>
  <c r="D5645" i="3" s="1"/>
  <c r="D5669" i="3" s="1"/>
  <c r="D5693" i="3" s="1"/>
  <c r="D5717" i="3" s="1"/>
  <c r="D5741" i="3" s="1"/>
  <c r="D5765" i="3" s="1"/>
  <c r="D5789" i="3" s="1"/>
  <c r="D5813" i="3" s="1"/>
  <c r="D5837" i="3" s="1"/>
  <c r="D5861" i="3" s="1"/>
  <c r="D5885" i="3" s="1"/>
  <c r="D5909" i="3" s="1"/>
  <c r="D5933" i="3" s="1"/>
  <c r="D5957" i="3" s="1"/>
  <c r="D5981" i="3" s="1"/>
  <c r="D6005" i="3" s="1"/>
  <c r="D6029" i="3" s="1"/>
  <c r="D6053" i="3" s="1"/>
  <c r="D6077" i="3" s="1"/>
  <c r="D6101" i="3" s="1"/>
  <c r="D6125" i="3" s="1"/>
  <c r="D6149" i="3" s="1"/>
  <c r="D6173" i="3" s="1"/>
  <c r="D6197" i="3" s="1"/>
  <c r="D6221" i="3" s="1"/>
  <c r="D6245" i="3" s="1"/>
  <c r="D6269" i="3" s="1"/>
  <c r="D6293" i="3" s="1"/>
  <c r="D6317" i="3" s="1"/>
  <c r="D6341" i="3" s="1"/>
  <c r="D6365" i="3" s="1"/>
  <c r="D6389" i="3" s="1"/>
  <c r="D6413" i="3" s="1"/>
  <c r="D6437" i="3" s="1"/>
  <c r="D6461" i="3" s="1"/>
  <c r="D6485" i="3" s="1"/>
  <c r="D6509" i="3" s="1"/>
  <c r="D6533" i="3" s="1"/>
  <c r="D6557" i="3" s="1"/>
  <c r="D6581" i="3" s="1"/>
  <c r="D6605" i="3" s="1"/>
  <c r="D6629" i="3" s="1"/>
  <c r="D6653" i="3" s="1"/>
  <c r="D6677" i="3" s="1"/>
  <c r="D6701" i="3" s="1"/>
  <c r="D6725" i="3" s="1"/>
  <c r="D6749" i="3" s="1"/>
  <c r="D6773" i="3" s="1"/>
  <c r="D6797" i="3" s="1"/>
  <c r="D6821" i="3" s="1"/>
  <c r="D6845" i="3" s="1"/>
  <c r="D6869" i="3" s="1"/>
  <c r="D6893" i="3" s="1"/>
  <c r="D6917" i="3" s="1"/>
  <c r="D6941" i="3" s="1"/>
  <c r="D6965" i="3" s="1"/>
  <c r="D6989" i="3" s="1"/>
  <c r="D7013" i="3" s="1"/>
  <c r="D7037" i="3" s="1"/>
  <c r="D7061" i="3" s="1"/>
  <c r="D7085" i="3" s="1"/>
  <c r="D7109" i="3" s="1"/>
  <c r="D7133" i="3" s="1"/>
  <c r="D7157" i="3" s="1"/>
  <c r="D7181" i="3" s="1"/>
  <c r="D7205" i="3" s="1"/>
  <c r="D7229" i="3" s="1"/>
  <c r="D7253" i="3" s="1"/>
  <c r="D7277" i="3" s="1"/>
  <c r="D7301" i="3" s="1"/>
  <c r="D7325" i="3" s="1"/>
  <c r="D7349" i="3" s="1"/>
  <c r="D7373" i="3" s="1"/>
  <c r="D7397" i="3" s="1"/>
  <c r="D7421" i="3" s="1"/>
  <c r="D7445" i="3" s="1"/>
  <c r="D7469" i="3" s="1"/>
  <c r="D7493" i="3" s="1"/>
  <c r="D7517" i="3" s="1"/>
  <c r="D7541" i="3" s="1"/>
  <c r="D7565" i="3" s="1"/>
  <c r="D7589" i="3" s="1"/>
  <c r="D7613" i="3" s="1"/>
  <c r="D7637" i="3" s="1"/>
  <c r="D7661" i="3" s="1"/>
  <c r="D7685" i="3" s="1"/>
  <c r="D7709" i="3" s="1"/>
  <c r="D7733" i="3" s="1"/>
  <c r="D7757" i="3" s="1"/>
  <c r="D7781" i="3" s="1"/>
  <c r="D7805" i="3" s="1"/>
  <c r="D7829" i="3" s="1"/>
  <c r="D7853" i="3" s="1"/>
  <c r="D7877" i="3" s="1"/>
  <c r="D7901" i="3" s="1"/>
  <c r="D7925" i="3" s="1"/>
  <c r="D7949" i="3" s="1"/>
  <c r="D7973" i="3" s="1"/>
  <c r="D7997" i="3" s="1"/>
  <c r="D8021" i="3" s="1"/>
  <c r="D8045" i="3" s="1"/>
  <c r="D8069" i="3" s="1"/>
  <c r="D8093" i="3" s="1"/>
  <c r="D8117" i="3" s="1"/>
  <c r="D8141" i="3" s="1"/>
  <c r="D8165" i="3" s="1"/>
  <c r="D8189" i="3" s="1"/>
  <c r="D8213" i="3" s="1"/>
  <c r="D8237" i="3" s="1"/>
  <c r="D8261" i="3" s="1"/>
  <c r="D8285" i="3" s="1"/>
  <c r="D8309" i="3" s="1"/>
  <c r="D8333" i="3" s="1"/>
  <c r="D8357" i="3" s="1"/>
  <c r="D8381" i="3" s="1"/>
  <c r="D8405" i="3" s="1"/>
  <c r="D8429" i="3" s="1"/>
  <c r="D8453" i="3" s="1"/>
  <c r="D8477" i="3" s="1"/>
  <c r="D8501" i="3" s="1"/>
  <c r="D8525" i="3" s="1"/>
  <c r="D8549" i="3" s="1"/>
  <c r="D8573" i="3" s="1"/>
  <c r="D8597" i="3" s="1"/>
  <c r="D8621" i="3" s="1"/>
  <c r="D8645" i="3" s="1"/>
  <c r="D8669" i="3" s="1"/>
  <c r="D8693" i="3" s="1"/>
  <c r="D8717" i="3" s="1"/>
  <c r="D8741" i="3" s="1"/>
  <c r="D8765" i="3" s="1"/>
  <c r="D8789" i="3" s="1"/>
  <c r="D8813" i="3" s="1"/>
  <c r="D8837" i="3" s="1"/>
  <c r="D8861" i="3" s="1"/>
  <c r="D8885" i="3" s="1"/>
  <c r="D8909" i="3" s="1"/>
  <c r="D8933" i="3" s="1"/>
  <c r="D8957" i="3" s="1"/>
  <c r="D8981" i="3" s="1"/>
  <c r="D9005" i="3" s="1"/>
  <c r="D9029" i="3" s="1"/>
  <c r="D9053" i="3" s="1"/>
  <c r="D9077" i="3" s="1"/>
  <c r="D9101" i="3" s="1"/>
  <c r="D9125" i="3" s="1"/>
  <c r="D9149" i="3" s="1"/>
  <c r="D9173" i="3" s="1"/>
  <c r="D9197" i="3" s="1"/>
  <c r="D9221" i="3" s="1"/>
  <c r="D9245" i="3" s="1"/>
  <c r="D9269" i="3" s="1"/>
  <c r="D9293" i="3" s="1"/>
  <c r="D9317" i="3" s="1"/>
  <c r="D9341" i="3" s="1"/>
  <c r="D9365" i="3" s="1"/>
  <c r="D9389" i="3" s="1"/>
  <c r="D9413" i="3" s="1"/>
  <c r="D9437" i="3" s="1"/>
  <c r="D9461" i="3" s="1"/>
  <c r="D9485" i="3" s="1"/>
  <c r="D9509" i="3" s="1"/>
  <c r="D9533" i="3" s="1"/>
  <c r="D9557" i="3" s="1"/>
  <c r="D9581" i="3" s="1"/>
  <c r="D9605" i="3" s="1"/>
  <c r="D9629" i="3" s="1"/>
  <c r="D9653" i="3" s="1"/>
  <c r="D9677" i="3" s="1"/>
  <c r="D9701" i="3" s="1"/>
  <c r="D9725" i="3" s="1"/>
  <c r="D9749" i="3" s="1"/>
  <c r="D3894" i="3"/>
  <c r="D3918" i="3" s="1"/>
  <c r="D3942" i="3" s="1"/>
  <c r="D3966" i="3" s="1"/>
  <c r="D3990" i="3" s="1"/>
  <c r="D4014" i="3" s="1"/>
  <c r="D3895" i="3"/>
  <c r="D3919" i="3" s="1"/>
  <c r="D3943" i="3" s="1"/>
  <c r="D3967" i="3" s="1"/>
  <c r="D3991" i="3" s="1"/>
  <c r="D4015" i="3" s="1"/>
  <c r="D3890" i="3"/>
  <c r="D3914" i="3" s="1"/>
  <c r="D3938" i="3" s="1"/>
  <c r="D3962" i="3" s="1"/>
  <c r="D3986" i="3" s="1"/>
  <c r="D4010" i="3" s="1"/>
  <c r="L164" i="1"/>
  <c r="K164" i="1" s="1"/>
  <c r="V264" i="23" l="1"/>
  <c r="Y264" i="23" s="1"/>
  <c r="D265" i="23"/>
  <c r="U264" i="23"/>
  <c r="C233" i="1"/>
  <c r="F2625" i="3"/>
  <c r="F2626" i="3"/>
  <c r="F2651" i="3" s="1"/>
  <c r="F2676" i="3" s="1"/>
  <c r="F2701" i="3" s="1"/>
  <c r="F2726" i="3" s="1"/>
  <c r="F2751" i="3" s="1"/>
  <c r="F2776" i="3" s="1"/>
  <c r="F2801" i="3" s="1"/>
  <c r="F2826" i="3" s="1"/>
  <c r="F2876" i="3" s="1"/>
  <c r="F2901" i="3" s="1"/>
  <c r="Q164" i="1"/>
  <c r="D164" i="1"/>
  <c r="V265" i="23" l="1"/>
  <c r="Y265" i="23" s="1"/>
  <c r="D266" i="23"/>
  <c r="U265" i="23"/>
  <c r="Q233" i="1"/>
  <c r="C234" i="1"/>
  <c r="F2650" i="3"/>
  <c r="F2675" i="3" s="1"/>
  <c r="F2700" i="3" s="1"/>
  <c r="F2725" i="3" s="1"/>
  <c r="F2750" i="3" s="1"/>
  <c r="F2775" i="3" s="1"/>
  <c r="F2800" i="3" s="1"/>
  <c r="F2825" i="3" s="1"/>
  <c r="F2850" i="3" s="1"/>
  <c r="F2900" i="3" s="1"/>
  <c r="F2925" i="3" s="1"/>
  <c r="F2649" i="3"/>
  <c r="L163" i="1"/>
  <c r="K163" i="1" s="1"/>
  <c r="J163" i="1"/>
  <c r="V266" i="23" l="1"/>
  <c r="Y266" i="23" s="1"/>
  <c r="D267" i="23"/>
  <c r="U266" i="23"/>
  <c r="Q234" i="1"/>
  <c r="C235" i="1"/>
  <c r="F2674" i="3"/>
  <c r="F2699" i="3" s="1"/>
  <c r="F2724" i="3" s="1"/>
  <c r="F2749" i="3" s="1"/>
  <c r="F2774" i="3" s="1"/>
  <c r="F2799" i="3" s="1"/>
  <c r="F2824" i="3" s="1"/>
  <c r="F2849" i="3" s="1"/>
  <c r="F2874" i="3" s="1"/>
  <c r="F2924" i="3" s="1"/>
  <c r="F2949" i="3" s="1"/>
  <c r="F2673" i="3"/>
  <c r="E3867" i="3"/>
  <c r="E3866" i="3"/>
  <c r="Q163" i="1"/>
  <c r="D163" i="1"/>
  <c r="L162" i="1"/>
  <c r="K162" i="1" s="1"/>
  <c r="E3880" i="3"/>
  <c r="E3846" i="3"/>
  <c r="D162" i="1"/>
  <c r="Q162" i="1"/>
  <c r="V267" i="23" l="1"/>
  <c r="Y267" i="23" s="1"/>
  <c r="D268" i="23"/>
  <c r="U267" i="23"/>
  <c r="C236" i="1"/>
  <c r="Q235" i="1"/>
  <c r="F3894" i="3"/>
  <c r="F3918" i="3" s="1"/>
  <c r="F3942" i="3" s="1"/>
  <c r="F3966" i="3" s="1"/>
  <c r="F3990" i="3" s="1"/>
  <c r="F4014" i="3" s="1"/>
  <c r="F4038" i="3" s="1"/>
  <c r="F4062" i="3" s="1"/>
  <c r="F4086" i="3" s="1"/>
  <c r="F4110" i="3" s="1"/>
  <c r="F4134" i="3" s="1"/>
  <c r="F4158" i="3" s="1"/>
  <c r="F4182" i="3" s="1"/>
  <c r="F4206" i="3" s="1"/>
  <c r="F4230" i="3" s="1"/>
  <c r="F4254" i="3" s="1"/>
  <c r="F4278" i="3" s="1"/>
  <c r="F4302" i="3" s="1"/>
  <c r="F4326" i="3" s="1"/>
  <c r="F4350" i="3" s="1"/>
  <c r="F4374" i="3" s="1"/>
  <c r="F4398" i="3" s="1"/>
  <c r="F4422" i="3" s="1"/>
  <c r="F4446" i="3" s="1"/>
  <c r="F4470" i="3" s="1"/>
  <c r="F4494" i="3" s="1"/>
  <c r="F4518" i="3" s="1"/>
  <c r="F4542" i="3" s="1"/>
  <c r="F4566" i="3" s="1"/>
  <c r="F4590" i="3" s="1"/>
  <c r="F4614" i="3" s="1"/>
  <c r="F4638" i="3" s="1"/>
  <c r="F4662" i="3" s="1"/>
  <c r="F4686" i="3" s="1"/>
  <c r="F4710" i="3" s="1"/>
  <c r="F4734" i="3" s="1"/>
  <c r="F4758" i="3" s="1"/>
  <c r="F4782" i="3" s="1"/>
  <c r="F4806" i="3" s="1"/>
  <c r="F4830" i="3" s="1"/>
  <c r="F4854" i="3" s="1"/>
  <c r="F4878" i="3" s="1"/>
  <c r="F4902" i="3" s="1"/>
  <c r="F4926" i="3" s="1"/>
  <c r="F4950" i="3" s="1"/>
  <c r="F4974" i="3" s="1"/>
  <c r="F4998" i="3" s="1"/>
  <c r="F5022" i="3" s="1"/>
  <c r="F5046" i="3" s="1"/>
  <c r="F5070" i="3" s="1"/>
  <c r="F5094" i="3" s="1"/>
  <c r="F5118" i="3" s="1"/>
  <c r="F5142" i="3" s="1"/>
  <c r="F5166" i="3" s="1"/>
  <c r="F5190" i="3" s="1"/>
  <c r="F5214" i="3" s="1"/>
  <c r="F5238" i="3" s="1"/>
  <c r="F5262" i="3" s="1"/>
  <c r="F5286" i="3" s="1"/>
  <c r="F5310" i="3" s="1"/>
  <c r="F5334" i="3" s="1"/>
  <c r="F5358" i="3" s="1"/>
  <c r="F5382" i="3" s="1"/>
  <c r="F5406" i="3" s="1"/>
  <c r="F5430" i="3" s="1"/>
  <c r="F5454" i="3" s="1"/>
  <c r="F5478" i="3" s="1"/>
  <c r="F5502" i="3" s="1"/>
  <c r="F2697" i="3"/>
  <c r="F2698" i="3"/>
  <c r="F2723" i="3" s="1"/>
  <c r="F2748" i="3" s="1"/>
  <c r="F2773" i="3" s="1"/>
  <c r="F2798" i="3" s="1"/>
  <c r="F2823" i="3" s="1"/>
  <c r="F2848" i="3" s="1"/>
  <c r="F2873" i="3" s="1"/>
  <c r="F2898" i="3" s="1"/>
  <c r="F2948" i="3" s="1"/>
  <c r="F2973" i="3" s="1"/>
  <c r="L161" i="1"/>
  <c r="K161" i="1" s="1"/>
  <c r="Q161" i="1"/>
  <c r="V268" i="23" l="1"/>
  <c r="Y268" i="23" s="1"/>
  <c r="D269" i="23"/>
  <c r="U268" i="23"/>
  <c r="Q236" i="1"/>
  <c r="C237" i="1"/>
  <c r="F2721" i="3"/>
  <c r="F2722" i="3"/>
  <c r="F2747" i="3" s="1"/>
  <c r="F2772" i="3" s="1"/>
  <c r="F2797" i="3" s="1"/>
  <c r="F2822" i="3" s="1"/>
  <c r="F2847" i="3" s="1"/>
  <c r="F2872" i="3" s="1"/>
  <c r="F2897" i="3" s="1"/>
  <c r="F2922" i="3" s="1"/>
  <c r="F2972" i="3" s="1"/>
  <c r="F2997" i="3" s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5" i="1"/>
  <c r="T116" i="1"/>
  <c r="T117" i="1"/>
  <c r="T118" i="1"/>
  <c r="T121" i="1"/>
  <c r="T127" i="1"/>
  <c r="T128" i="1"/>
  <c r="T129" i="1"/>
  <c r="T130" i="1"/>
  <c r="T131" i="1"/>
  <c r="T132" i="1"/>
  <c r="T133" i="1"/>
  <c r="T134" i="1"/>
  <c r="T135" i="1"/>
  <c r="T137" i="1"/>
  <c r="T14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5" i="1"/>
  <c r="S116" i="1"/>
  <c r="S117" i="1"/>
  <c r="S118" i="1"/>
  <c r="S121" i="1"/>
  <c r="S127" i="1"/>
  <c r="S128" i="1"/>
  <c r="S129" i="1"/>
  <c r="S130" i="1"/>
  <c r="S131" i="1"/>
  <c r="S132" i="1"/>
  <c r="S133" i="1"/>
  <c r="S134" i="1"/>
  <c r="S135" i="1"/>
  <c r="S137" i="1"/>
  <c r="L160" i="1"/>
  <c r="K160" i="1" s="1"/>
  <c r="V269" i="23" l="1"/>
  <c r="Y269" i="23" s="1"/>
  <c r="D270" i="23"/>
  <c r="U269" i="23"/>
  <c r="Q237" i="1"/>
  <c r="C238" i="1"/>
  <c r="F2746" i="3"/>
  <c r="F2771" i="3" s="1"/>
  <c r="F2796" i="3" s="1"/>
  <c r="F2821" i="3" s="1"/>
  <c r="F2846" i="3" s="1"/>
  <c r="F2871" i="3" s="1"/>
  <c r="F2896" i="3" s="1"/>
  <c r="F2921" i="3" s="1"/>
  <c r="F2946" i="3" s="1"/>
  <c r="F2996" i="3" s="1"/>
  <c r="F3021" i="3" s="1"/>
  <c r="F2745" i="3"/>
  <c r="Q160" i="1"/>
  <c r="L159" i="1"/>
  <c r="K159" i="1" s="1"/>
  <c r="J159" i="1"/>
  <c r="V270" i="23" l="1"/>
  <c r="Y270" i="23" s="1"/>
  <c r="D271" i="23"/>
  <c r="U270" i="23"/>
  <c r="Q238" i="1"/>
  <c r="C239" i="1"/>
  <c r="F2770" i="3"/>
  <c r="F2795" i="3" s="1"/>
  <c r="F2820" i="3" s="1"/>
  <c r="F2845" i="3" s="1"/>
  <c r="F2870" i="3" s="1"/>
  <c r="F2895" i="3" s="1"/>
  <c r="F2920" i="3" s="1"/>
  <c r="F2945" i="3" s="1"/>
  <c r="F2970" i="3" s="1"/>
  <c r="F3020" i="3" s="1"/>
  <c r="F3045" i="3" s="1"/>
  <c r="F2769" i="3"/>
  <c r="E3775" i="3"/>
  <c r="F3775" i="3" s="1"/>
  <c r="F3799" i="3" s="1"/>
  <c r="F3823" i="3" s="1"/>
  <c r="F3847" i="3" s="1"/>
  <c r="F3871" i="3" s="1"/>
  <c r="F3895" i="3" s="1"/>
  <c r="F3919" i="3" s="1"/>
  <c r="F3943" i="3" s="1"/>
  <c r="F3967" i="3" s="1"/>
  <c r="F3991" i="3" s="1"/>
  <c r="F4015" i="3" s="1"/>
  <c r="F4039" i="3" s="1"/>
  <c r="F4063" i="3" s="1"/>
  <c r="F4087" i="3" s="1"/>
  <c r="F4111" i="3" s="1"/>
  <c r="F4135" i="3" s="1"/>
  <c r="F4159" i="3" s="1"/>
  <c r="F4183" i="3" s="1"/>
  <c r="F4207" i="3" s="1"/>
  <c r="F4231" i="3" s="1"/>
  <c r="F4255" i="3" s="1"/>
  <c r="F4279" i="3" s="1"/>
  <c r="F4303" i="3" s="1"/>
  <c r="F4327" i="3" s="1"/>
  <c r="F4351" i="3" s="1"/>
  <c r="F4375" i="3" s="1"/>
  <c r="F4399" i="3" s="1"/>
  <c r="F4423" i="3" s="1"/>
  <c r="F4447" i="3" s="1"/>
  <c r="F4471" i="3" s="1"/>
  <c r="F4495" i="3" s="1"/>
  <c r="F4519" i="3" s="1"/>
  <c r="F4543" i="3" s="1"/>
  <c r="F4567" i="3" s="1"/>
  <c r="F4591" i="3" s="1"/>
  <c r="F4615" i="3" s="1"/>
  <c r="F4639" i="3" s="1"/>
  <c r="F4663" i="3" s="1"/>
  <c r="F4687" i="3" s="1"/>
  <c r="F4711" i="3" s="1"/>
  <c r="F4735" i="3" s="1"/>
  <c r="F4759" i="3" s="1"/>
  <c r="F4783" i="3" s="1"/>
  <c r="F4807" i="3" s="1"/>
  <c r="F4831" i="3" s="1"/>
  <c r="F4855" i="3" s="1"/>
  <c r="F4879" i="3" s="1"/>
  <c r="F4903" i="3" s="1"/>
  <c r="F4927" i="3" s="1"/>
  <c r="F4951" i="3" s="1"/>
  <c r="F4975" i="3" s="1"/>
  <c r="F4999" i="3" s="1"/>
  <c r="F5023" i="3" s="1"/>
  <c r="F5047" i="3" s="1"/>
  <c r="F5071" i="3" s="1"/>
  <c r="F5095" i="3" s="1"/>
  <c r="F5119" i="3" s="1"/>
  <c r="F5143" i="3" s="1"/>
  <c r="F5167" i="3" s="1"/>
  <c r="F5191" i="3" s="1"/>
  <c r="F5215" i="3" s="1"/>
  <c r="F5239" i="3" s="1"/>
  <c r="F5263" i="3" s="1"/>
  <c r="F5287" i="3" s="1"/>
  <c r="F5311" i="3" s="1"/>
  <c r="F5335" i="3" s="1"/>
  <c r="F5359" i="3" s="1"/>
  <c r="F5383" i="3" s="1"/>
  <c r="F5407" i="3" s="1"/>
  <c r="F5431" i="3" s="1"/>
  <c r="F5455" i="3" s="1"/>
  <c r="F5479" i="3" s="1"/>
  <c r="F5503" i="3" s="1"/>
  <c r="E3786" i="3"/>
  <c r="Q159" i="1"/>
  <c r="V271" i="23" l="1"/>
  <c r="Y271" i="23" s="1"/>
  <c r="D272" i="23"/>
  <c r="U271" i="23"/>
  <c r="C240" i="1"/>
  <c r="Q239" i="1"/>
  <c r="F2793" i="3"/>
  <c r="F2794" i="3"/>
  <c r="F2819" i="3" s="1"/>
  <c r="F2844" i="3" s="1"/>
  <c r="F2869" i="3" s="1"/>
  <c r="F2894" i="3" s="1"/>
  <c r="F2919" i="3" s="1"/>
  <c r="F2944" i="3" s="1"/>
  <c r="F2969" i="3" s="1"/>
  <c r="F2994" i="3" s="1"/>
  <c r="F3044" i="3" s="1"/>
  <c r="F3069" i="3" s="1"/>
  <c r="E3790" i="3"/>
  <c r="E3781" i="3"/>
  <c r="L158" i="1"/>
  <c r="K158" i="1" s="1"/>
  <c r="V272" i="23" l="1"/>
  <c r="Y272" i="23" s="1"/>
  <c r="D273" i="23"/>
  <c r="U272" i="23"/>
  <c r="Q240" i="1"/>
  <c r="C241" i="1"/>
  <c r="F2817" i="3"/>
  <c r="F2818" i="3"/>
  <c r="F2843" i="3" s="1"/>
  <c r="F2868" i="3" s="1"/>
  <c r="F2893" i="3" s="1"/>
  <c r="F2918" i="3" s="1"/>
  <c r="F2943" i="3" s="1"/>
  <c r="F2968" i="3" s="1"/>
  <c r="F2993" i="3" s="1"/>
  <c r="F3018" i="3" s="1"/>
  <c r="F3068" i="3" s="1"/>
  <c r="F3093" i="3" s="1"/>
  <c r="E3746" i="3"/>
  <c r="E3748" i="3"/>
  <c r="Q158" i="1"/>
  <c r="V273" i="23" l="1"/>
  <c r="Y273" i="23" s="1"/>
  <c r="D274" i="23"/>
  <c r="U273" i="23"/>
  <c r="C242" i="1"/>
  <c r="Q241" i="1"/>
  <c r="F2842" i="3"/>
  <c r="F2867" i="3" s="1"/>
  <c r="F2892" i="3" s="1"/>
  <c r="F2917" i="3" s="1"/>
  <c r="F2942" i="3" s="1"/>
  <c r="F2967" i="3" s="1"/>
  <c r="F2992" i="3" s="1"/>
  <c r="F3017" i="3" s="1"/>
  <c r="F3042" i="3" s="1"/>
  <c r="F3092" i="3" s="1"/>
  <c r="F3117" i="3" s="1"/>
  <c r="F2841" i="3"/>
  <c r="L157" i="1"/>
  <c r="K157" i="1" s="1"/>
  <c r="E3768" i="3"/>
  <c r="F3768" i="3" s="1"/>
  <c r="F3792" i="3" s="1"/>
  <c r="F3816" i="3" s="1"/>
  <c r="F3840" i="3" s="1"/>
  <c r="F3864" i="3" s="1"/>
  <c r="F3888" i="3" s="1"/>
  <c r="F3912" i="3" s="1"/>
  <c r="F3936" i="3" s="1"/>
  <c r="F3960" i="3" s="1"/>
  <c r="F3984" i="3" s="1"/>
  <c r="F4008" i="3" s="1"/>
  <c r="F4032" i="3" s="1"/>
  <c r="F4056" i="3" s="1"/>
  <c r="F4080" i="3" s="1"/>
  <c r="F4104" i="3" s="1"/>
  <c r="F4128" i="3" s="1"/>
  <c r="F4152" i="3" s="1"/>
  <c r="F4176" i="3" s="1"/>
  <c r="F4200" i="3" s="1"/>
  <c r="F4224" i="3" s="1"/>
  <c r="F4248" i="3" s="1"/>
  <c r="F4272" i="3" s="1"/>
  <c r="F4296" i="3" s="1"/>
  <c r="F4320" i="3" s="1"/>
  <c r="F4344" i="3" s="1"/>
  <c r="F4368" i="3" s="1"/>
  <c r="F4392" i="3" s="1"/>
  <c r="F4416" i="3" s="1"/>
  <c r="F4440" i="3" s="1"/>
  <c r="F4464" i="3" s="1"/>
  <c r="F4488" i="3" s="1"/>
  <c r="F4512" i="3" s="1"/>
  <c r="F4536" i="3" s="1"/>
  <c r="F4560" i="3" s="1"/>
  <c r="F4584" i="3" s="1"/>
  <c r="F4608" i="3" s="1"/>
  <c r="F4632" i="3" s="1"/>
  <c r="F4656" i="3" s="1"/>
  <c r="F4680" i="3" s="1"/>
  <c r="F4704" i="3" s="1"/>
  <c r="F4728" i="3" s="1"/>
  <c r="F4752" i="3" s="1"/>
  <c r="F4776" i="3" s="1"/>
  <c r="F4800" i="3" s="1"/>
  <c r="F4824" i="3" s="1"/>
  <c r="F4848" i="3" s="1"/>
  <c r="F4872" i="3" s="1"/>
  <c r="F4896" i="3" s="1"/>
  <c r="F4920" i="3" s="1"/>
  <c r="F4944" i="3" s="1"/>
  <c r="F4968" i="3" s="1"/>
  <c r="F4992" i="3" s="1"/>
  <c r="F5016" i="3" s="1"/>
  <c r="F5040" i="3" s="1"/>
  <c r="F5064" i="3" s="1"/>
  <c r="F5088" i="3" s="1"/>
  <c r="F5112" i="3" s="1"/>
  <c r="F5136" i="3" s="1"/>
  <c r="F5160" i="3" s="1"/>
  <c r="F5184" i="3" s="1"/>
  <c r="F5208" i="3" s="1"/>
  <c r="F5232" i="3" s="1"/>
  <c r="F5256" i="3" s="1"/>
  <c r="F5280" i="3" s="1"/>
  <c r="F5304" i="3" s="1"/>
  <c r="F5328" i="3" s="1"/>
  <c r="F5352" i="3" s="1"/>
  <c r="F5376" i="3" s="1"/>
  <c r="F5400" i="3" s="1"/>
  <c r="F5424" i="3" s="1"/>
  <c r="F5448" i="3" s="1"/>
  <c r="F5472" i="3" s="1"/>
  <c r="F5496" i="3" s="1"/>
  <c r="F5520" i="3" s="1"/>
  <c r="F5544" i="3" s="1"/>
  <c r="F5568" i="3" s="1"/>
  <c r="F5592" i="3" s="1"/>
  <c r="F5616" i="3" s="1"/>
  <c r="F5640" i="3" s="1"/>
  <c r="F5664" i="3" s="1"/>
  <c r="F5688" i="3" s="1"/>
  <c r="F5712" i="3" s="1"/>
  <c r="F5736" i="3" s="1"/>
  <c r="F5760" i="3" s="1"/>
  <c r="F5784" i="3" s="1"/>
  <c r="F5808" i="3" s="1"/>
  <c r="F5832" i="3" s="1"/>
  <c r="F5856" i="3" s="1"/>
  <c r="F5880" i="3" s="1"/>
  <c r="F5904" i="3" s="1"/>
  <c r="F5928" i="3" s="1"/>
  <c r="F5952" i="3" s="1"/>
  <c r="F5976" i="3" s="1"/>
  <c r="F6000" i="3" s="1"/>
  <c r="F6024" i="3" s="1"/>
  <c r="F6048" i="3" s="1"/>
  <c r="F6072" i="3" s="1"/>
  <c r="F6096" i="3" s="1"/>
  <c r="F6120" i="3" s="1"/>
  <c r="F6144" i="3" s="1"/>
  <c r="F6168" i="3" s="1"/>
  <c r="F6192" i="3" s="1"/>
  <c r="F6216" i="3" s="1"/>
  <c r="F6240" i="3" s="1"/>
  <c r="F6264" i="3" s="1"/>
  <c r="F6288" i="3" s="1"/>
  <c r="F6312" i="3" s="1"/>
  <c r="F6336" i="3" s="1"/>
  <c r="F6360" i="3" s="1"/>
  <c r="F6384" i="3" s="1"/>
  <c r="F6408" i="3" s="1"/>
  <c r="F6432" i="3" s="1"/>
  <c r="F6456" i="3" s="1"/>
  <c r="F6480" i="3" s="1"/>
  <c r="F6504" i="3" s="1"/>
  <c r="F6528" i="3" s="1"/>
  <c r="F6552" i="3" s="1"/>
  <c r="F6576" i="3" s="1"/>
  <c r="F6600" i="3" s="1"/>
  <c r="F6624" i="3" s="1"/>
  <c r="F6648" i="3" s="1"/>
  <c r="F6672" i="3" s="1"/>
  <c r="F6696" i="3" s="1"/>
  <c r="F6720" i="3" s="1"/>
  <c r="F6744" i="3" s="1"/>
  <c r="F6768" i="3" s="1"/>
  <c r="F6792" i="3" s="1"/>
  <c r="F6816" i="3" s="1"/>
  <c r="F6840" i="3" s="1"/>
  <c r="F6864" i="3" s="1"/>
  <c r="F6888" i="3" s="1"/>
  <c r="F6912" i="3" s="1"/>
  <c r="F6936" i="3" s="1"/>
  <c r="F6960" i="3" s="1"/>
  <c r="F6984" i="3" s="1"/>
  <c r="F7008" i="3" s="1"/>
  <c r="F7032" i="3" s="1"/>
  <c r="F7056" i="3" s="1"/>
  <c r="F7080" i="3" s="1"/>
  <c r="F7104" i="3" s="1"/>
  <c r="F7128" i="3" s="1"/>
  <c r="F7152" i="3" s="1"/>
  <c r="F7176" i="3" s="1"/>
  <c r="F7200" i="3" s="1"/>
  <c r="F7224" i="3" s="1"/>
  <c r="F7248" i="3" s="1"/>
  <c r="F7272" i="3" s="1"/>
  <c r="F7296" i="3" s="1"/>
  <c r="F7320" i="3" s="1"/>
  <c r="F7344" i="3" s="1"/>
  <c r="F7368" i="3" s="1"/>
  <c r="F7392" i="3" s="1"/>
  <c r="F7416" i="3" s="1"/>
  <c r="F7440" i="3" s="1"/>
  <c r="F7464" i="3" s="1"/>
  <c r="F7488" i="3" s="1"/>
  <c r="F7512" i="3" s="1"/>
  <c r="F7536" i="3" s="1"/>
  <c r="F7560" i="3" s="1"/>
  <c r="F7584" i="3" s="1"/>
  <c r="F7608" i="3" s="1"/>
  <c r="F7632" i="3" s="1"/>
  <c r="F7656" i="3" s="1"/>
  <c r="F7680" i="3" s="1"/>
  <c r="F7704" i="3" s="1"/>
  <c r="F7728" i="3" s="1"/>
  <c r="F7752" i="3" s="1"/>
  <c r="F7776" i="3" s="1"/>
  <c r="F7800" i="3" s="1"/>
  <c r="F7824" i="3" s="1"/>
  <c r="F7848" i="3" s="1"/>
  <c r="F7872" i="3" s="1"/>
  <c r="F7896" i="3" s="1"/>
  <c r="F7920" i="3" s="1"/>
  <c r="F7944" i="3" s="1"/>
  <c r="F7968" i="3" s="1"/>
  <c r="F8016" i="3" s="1"/>
  <c r="E3769" i="3"/>
  <c r="F3769" i="3" s="1"/>
  <c r="F3793" i="3" s="1"/>
  <c r="F3817" i="3" s="1"/>
  <c r="F3841" i="3" s="1"/>
  <c r="F3865" i="3" s="1"/>
  <c r="F3889" i="3" s="1"/>
  <c r="F3913" i="3" s="1"/>
  <c r="F3937" i="3" s="1"/>
  <c r="F3961" i="3" s="1"/>
  <c r="F3985" i="3" s="1"/>
  <c r="F4009" i="3" s="1"/>
  <c r="F4033" i="3" s="1"/>
  <c r="F4057" i="3" s="1"/>
  <c r="F4081" i="3" s="1"/>
  <c r="F4105" i="3" s="1"/>
  <c r="F4129" i="3" s="1"/>
  <c r="F4153" i="3" s="1"/>
  <c r="F4177" i="3" s="1"/>
  <c r="F4201" i="3" s="1"/>
  <c r="F4225" i="3" s="1"/>
  <c r="F4249" i="3" s="1"/>
  <c r="F4273" i="3" s="1"/>
  <c r="F4297" i="3" s="1"/>
  <c r="F4321" i="3" s="1"/>
  <c r="F4345" i="3" s="1"/>
  <c r="F4369" i="3" s="1"/>
  <c r="F4393" i="3" s="1"/>
  <c r="F4417" i="3" s="1"/>
  <c r="F4441" i="3" s="1"/>
  <c r="F4465" i="3" s="1"/>
  <c r="F4489" i="3" s="1"/>
  <c r="F4513" i="3" s="1"/>
  <c r="F4537" i="3" s="1"/>
  <c r="F4561" i="3" s="1"/>
  <c r="F4585" i="3" s="1"/>
  <c r="F4609" i="3" s="1"/>
  <c r="F4633" i="3" s="1"/>
  <c r="F4657" i="3" s="1"/>
  <c r="F4681" i="3" s="1"/>
  <c r="F4705" i="3" s="1"/>
  <c r="F4729" i="3" s="1"/>
  <c r="F4753" i="3" s="1"/>
  <c r="F4777" i="3" s="1"/>
  <c r="F4801" i="3" s="1"/>
  <c r="F4825" i="3" s="1"/>
  <c r="F4849" i="3" s="1"/>
  <c r="F4873" i="3" s="1"/>
  <c r="F4897" i="3" s="1"/>
  <c r="F4921" i="3" s="1"/>
  <c r="F4945" i="3" s="1"/>
  <c r="F4969" i="3" s="1"/>
  <c r="F4993" i="3" s="1"/>
  <c r="F5017" i="3" s="1"/>
  <c r="F5041" i="3" s="1"/>
  <c r="F5065" i="3" s="1"/>
  <c r="F5089" i="3" s="1"/>
  <c r="F5113" i="3" s="1"/>
  <c r="F5137" i="3" s="1"/>
  <c r="F5161" i="3" s="1"/>
  <c r="F5185" i="3" s="1"/>
  <c r="F5209" i="3" s="1"/>
  <c r="F5233" i="3" s="1"/>
  <c r="F5257" i="3" s="1"/>
  <c r="F5281" i="3" s="1"/>
  <c r="F5305" i="3" s="1"/>
  <c r="F5329" i="3" s="1"/>
  <c r="F5353" i="3" s="1"/>
  <c r="F5377" i="3" s="1"/>
  <c r="F5401" i="3" s="1"/>
  <c r="F5425" i="3" s="1"/>
  <c r="F5449" i="3" s="1"/>
  <c r="F5473" i="3" s="1"/>
  <c r="F5497" i="3" s="1"/>
  <c r="F5521" i="3" s="1"/>
  <c r="V274" i="23" l="1"/>
  <c r="Y274" i="23" s="1"/>
  <c r="D275" i="23"/>
  <c r="U274" i="23"/>
  <c r="F8040" i="3"/>
  <c r="F8064" i="3" s="1"/>
  <c r="F8088" i="3" s="1"/>
  <c r="F8112" i="3" s="1"/>
  <c r="F8136" i="3" s="1"/>
  <c r="F8160" i="3" s="1"/>
  <c r="F8184" i="3" s="1"/>
  <c r="F8208" i="3" s="1"/>
  <c r="F8232" i="3" s="1"/>
  <c r="F8256" i="3" s="1"/>
  <c r="F8280" i="3" s="1"/>
  <c r="F8304" i="3" s="1"/>
  <c r="F8328" i="3" s="1"/>
  <c r="F8352" i="3" s="1"/>
  <c r="F8376" i="3" s="1"/>
  <c r="F8400" i="3" s="1"/>
  <c r="F8424" i="3" s="1"/>
  <c r="F8448" i="3" s="1"/>
  <c r="F8472" i="3" s="1"/>
  <c r="F8496" i="3" s="1"/>
  <c r="F8520" i="3" s="1"/>
  <c r="F8544" i="3" s="1"/>
  <c r="F8568" i="3" s="1"/>
  <c r="F8592" i="3" s="1"/>
  <c r="F8616" i="3" s="1"/>
  <c r="F8640" i="3" s="1"/>
  <c r="F8664" i="3" s="1"/>
  <c r="F8688" i="3" s="1"/>
  <c r="F8712" i="3" s="1"/>
  <c r="F8736" i="3" s="1"/>
  <c r="F8760" i="3" s="1"/>
  <c r="F8784" i="3" s="1"/>
  <c r="F8808" i="3" s="1"/>
  <c r="F8832" i="3" s="1"/>
  <c r="F8856" i="3" s="1"/>
  <c r="F8880" i="3" s="1"/>
  <c r="F8904" i="3" s="1"/>
  <c r="F8928" i="3" s="1"/>
  <c r="F8952" i="3" s="1"/>
  <c r="F8976" i="3" s="1"/>
  <c r="F9000" i="3" s="1"/>
  <c r="F9024" i="3" s="1"/>
  <c r="F9048" i="3" s="1"/>
  <c r="F9072" i="3" s="1"/>
  <c r="F9096" i="3" s="1"/>
  <c r="F9120" i="3" s="1"/>
  <c r="F9144" i="3" s="1"/>
  <c r="F9168" i="3" s="1"/>
  <c r="F9192" i="3" s="1"/>
  <c r="F9216" i="3" s="1"/>
  <c r="F9240" i="3" s="1"/>
  <c r="F9264" i="3" s="1"/>
  <c r="F9288" i="3" s="1"/>
  <c r="F9312" i="3" s="1"/>
  <c r="F9336" i="3" s="1"/>
  <c r="F9360" i="3" s="1"/>
  <c r="F9384" i="3" s="1"/>
  <c r="F9408" i="3" s="1"/>
  <c r="F9432" i="3" s="1"/>
  <c r="F9456" i="3" s="1"/>
  <c r="F9480" i="3" s="1"/>
  <c r="F9504" i="3" s="1"/>
  <c r="F9528" i="3" s="1"/>
  <c r="F9552" i="3" s="1"/>
  <c r="F9576" i="3" s="1"/>
  <c r="F9600" i="3" s="1"/>
  <c r="F9624" i="3" s="1"/>
  <c r="F9648" i="3" s="1"/>
  <c r="F9672" i="3" s="1"/>
  <c r="F9696" i="3" s="1"/>
  <c r="F9720" i="3" s="1"/>
  <c r="F9744" i="3" s="1"/>
  <c r="F9768" i="3" s="1"/>
  <c r="Q242" i="1"/>
  <c r="C243" i="1"/>
  <c r="F2865" i="3"/>
  <c r="F2866" i="3"/>
  <c r="F2891" i="3" s="1"/>
  <c r="F2916" i="3" s="1"/>
  <c r="F2941" i="3" s="1"/>
  <c r="F2966" i="3" s="1"/>
  <c r="F2991" i="3" s="1"/>
  <c r="F3016" i="3" s="1"/>
  <c r="F3041" i="3" s="1"/>
  <c r="F3066" i="3" s="1"/>
  <c r="F3116" i="3" s="1"/>
  <c r="F3141" i="3" s="1"/>
  <c r="E3726" i="3"/>
  <c r="E3722" i="3"/>
  <c r="E3742" i="3"/>
  <c r="F3742" i="3" s="1"/>
  <c r="F3766" i="3" s="1"/>
  <c r="F3790" i="3" s="1"/>
  <c r="F3814" i="3" s="1"/>
  <c r="F3838" i="3" s="1"/>
  <c r="F3862" i="3" s="1"/>
  <c r="F3886" i="3" s="1"/>
  <c r="F3910" i="3" s="1"/>
  <c r="F3934" i="3" s="1"/>
  <c r="F3958" i="3" s="1"/>
  <c r="F3982" i="3" s="1"/>
  <c r="F4006" i="3" s="1"/>
  <c r="F4030" i="3" s="1"/>
  <c r="F4054" i="3" s="1"/>
  <c r="F4078" i="3" s="1"/>
  <c r="F4102" i="3" s="1"/>
  <c r="F4126" i="3" s="1"/>
  <c r="F4150" i="3" s="1"/>
  <c r="F4174" i="3" s="1"/>
  <c r="F4198" i="3" s="1"/>
  <c r="F4222" i="3" s="1"/>
  <c r="F4246" i="3" s="1"/>
  <c r="F4270" i="3" s="1"/>
  <c r="F4294" i="3" s="1"/>
  <c r="F4318" i="3" s="1"/>
  <c r="F4342" i="3" s="1"/>
  <c r="F4366" i="3" s="1"/>
  <c r="F4390" i="3" s="1"/>
  <c r="F4414" i="3" s="1"/>
  <c r="F4438" i="3" s="1"/>
  <c r="F4462" i="3" s="1"/>
  <c r="F4486" i="3" s="1"/>
  <c r="F4510" i="3" s="1"/>
  <c r="F4534" i="3" s="1"/>
  <c r="F4558" i="3" s="1"/>
  <c r="F4582" i="3" s="1"/>
  <c r="F4606" i="3" s="1"/>
  <c r="F4630" i="3" s="1"/>
  <c r="F4654" i="3" s="1"/>
  <c r="F4678" i="3" s="1"/>
  <c r="F4702" i="3" s="1"/>
  <c r="F4726" i="3" s="1"/>
  <c r="F4750" i="3" s="1"/>
  <c r="F4774" i="3" s="1"/>
  <c r="F4798" i="3" s="1"/>
  <c r="F4822" i="3" s="1"/>
  <c r="F4846" i="3" s="1"/>
  <c r="F4870" i="3" s="1"/>
  <c r="F4894" i="3" s="1"/>
  <c r="F4918" i="3" s="1"/>
  <c r="F4942" i="3" s="1"/>
  <c r="F4966" i="3" s="1"/>
  <c r="F4990" i="3" s="1"/>
  <c r="F5014" i="3" s="1"/>
  <c r="F5038" i="3" s="1"/>
  <c r="F5062" i="3" s="1"/>
  <c r="F5086" i="3" s="1"/>
  <c r="F5110" i="3" s="1"/>
  <c r="F5134" i="3" s="1"/>
  <c r="F5158" i="3" s="1"/>
  <c r="F5182" i="3" s="1"/>
  <c r="F5206" i="3" s="1"/>
  <c r="F5230" i="3" s="1"/>
  <c r="F5254" i="3" s="1"/>
  <c r="F5278" i="3" s="1"/>
  <c r="F5302" i="3" s="1"/>
  <c r="F5326" i="3" s="1"/>
  <c r="F5350" i="3" s="1"/>
  <c r="F5374" i="3" s="1"/>
  <c r="F5398" i="3" s="1"/>
  <c r="F5422" i="3" s="1"/>
  <c r="F5446" i="3" s="1"/>
  <c r="F5470" i="3" s="1"/>
  <c r="F5494" i="3" s="1"/>
  <c r="F5518" i="3" s="1"/>
  <c r="Q157" i="1"/>
  <c r="D157" i="1"/>
  <c r="V275" i="23" l="1"/>
  <c r="Y275" i="23" s="1"/>
  <c r="D276" i="23"/>
  <c r="U275" i="23"/>
  <c r="Q243" i="1"/>
  <c r="C244" i="1"/>
  <c r="F2890" i="3"/>
  <c r="F2915" i="3" s="1"/>
  <c r="F2940" i="3" s="1"/>
  <c r="F2965" i="3" s="1"/>
  <c r="F2990" i="3" s="1"/>
  <c r="F3015" i="3" s="1"/>
  <c r="F3040" i="3" s="1"/>
  <c r="F3065" i="3" s="1"/>
  <c r="F3090" i="3" s="1"/>
  <c r="F3140" i="3" s="1"/>
  <c r="F3165" i="3" s="1"/>
  <c r="F2889" i="3"/>
  <c r="E3702" i="3"/>
  <c r="E3736" i="3"/>
  <c r="L156" i="1"/>
  <c r="K156" i="1" s="1"/>
  <c r="J156" i="1"/>
  <c r="J157" i="1" s="1"/>
  <c r="V276" i="23" l="1"/>
  <c r="Y276" i="23" s="1"/>
  <c r="D277" i="23"/>
  <c r="U276" i="23"/>
  <c r="Q244" i="1"/>
  <c r="C245" i="1"/>
  <c r="F2913" i="3"/>
  <c r="F2914" i="3"/>
  <c r="F2939" i="3" s="1"/>
  <c r="F2964" i="3" s="1"/>
  <c r="F2989" i="3" s="1"/>
  <c r="F3014" i="3" s="1"/>
  <c r="F3039" i="3" s="1"/>
  <c r="F3064" i="3" s="1"/>
  <c r="F3089" i="3" s="1"/>
  <c r="F3114" i="3" s="1"/>
  <c r="F3164" i="3" s="1"/>
  <c r="F3189" i="3" s="1"/>
  <c r="Q156" i="1"/>
  <c r="D156" i="1"/>
  <c r="L155" i="1"/>
  <c r="K155" i="1" s="1"/>
  <c r="V277" i="23" l="1"/>
  <c r="Y277" i="23" s="1"/>
  <c r="D278" i="23"/>
  <c r="U277" i="23"/>
  <c r="Q245" i="1"/>
  <c r="C246" i="1"/>
  <c r="F2938" i="3"/>
  <c r="F2963" i="3" s="1"/>
  <c r="F2988" i="3" s="1"/>
  <c r="F3013" i="3" s="1"/>
  <c r="F3038" i="3" s="1"/>
  <c r="F3063" i="3" s="1"/>
  <c r="F3088" i="3" s="1"/>
  <c r="F3113" i="3" s="1"/>
  <c r="F3138" i="3" s="1"/>
  <c r="F3188" i="3" s="1"/>
  <c r="F3213" i="3" s="1"/>
  <c r="F2937" i="3"/>
  <c r="E3676" i="3"/>
  <c r="E3686" i="3"/>
  <c r="E3688" i="3"/>
  <c r="Q155" i="1"/>
  <c r="D279" i="23" l="1"/>
  <c r="V278" i="23"/>
  <c r="Y278" i="23" s="1"/>
  <c r="U278" i="23"/>
  <c r="X278" i="23"/>
  <c r="Q246" i="1"/>
  <c r="C247" i="1"/>
  <c r="F2962" i="3"/>
  <c r="F2987" i="3" s="1"/>
  <c r="F3012" i="3" s="1"/>
  <c r="F3037" i="3" s="1"/>
  <c r="F3062" i="3" s="1"/>
  <c r="F3087" i="3" s="1"/>
  <c r="F3112" i="3" s="1"/>
  <c r="F3137" i="3" s="1"/>
  <c r="F3162" i="3" s="1"/>
  <c r="F3212" i="3" s="1"/>
  <c r="F3237" i="3" s="1"/>
  <c r="F2961" i="3"/>
  <c r="L154" i="1"/>
  <c r="K154" i="1" s="1"/>
  <c r="Q154" i="1"/>
  <c r="U279" i="23" l="1"/>
  <c r="V279" i="23"/>
  <c r="Y279" i="23" s="1"/>
  <c r="D280" i="23"/>
  <c r="X279" i="23"/>
  <c r="Q247" i="1"/>
  <c r="C248" i="1"/>
  <c r="F2985" i="3"/>
  <c r="F2986" i="3"/>
  <c r="F3011" i="3" s="1"/>
  <c r="F3036" i="3" s="1"/>
  <c r="F3061" i="3" s="1"/>
  <c r="F3086" i="3" s="1"/>
  <c r="F3111" i="3" s="1"/>
  <c r="F3136" i="3" s="1"/>
  <c r="F3161" i="3" s="1"/>
  <c r="F3186" i="3" s="1"/>
  <c r="F3236" i="3" s="1"/>
  <c r="F3261" i="3" s="1"/>
  <c r="D154" i="1"/>
  <c r="E154" i="1" s="1"/>
  <c r="X280" i="23" l="1"/>
  <c r="V280" i="23"/>
  <c r="Y280" i="23" s="1"/>
  <c r="D281" i="23"/>
  <c r="U280" i="23"/>
  <c r="Q248" i="1"/>
  <c r="C249" i="1"/>
  <c r="F3009" i="3"/>
  <c r="F3010" i="3"/>
  <c r="F3035" i="3" s="1"/>
  <c r="F3060" i="3" s="1"/>
  <c r="F3085" i="3" s="1"/>
  <c r="F3110" i="3" s="1"/>
  <c r="F3135" i="3" s="1"/>
  <c r="F3160" i="3" s="1"/>
  <c r="F3185" i="3" s="1"/>
  <c r="F3210" i="3" s="1"/>
  <c r="F3260" i="3" s="1"/>
  <c r="F3285" i="3" s="1"/>
  <c r="E155" i="1"/>
  <c r="L153" i="1"/>
  <c r="K153" i="1" s="1"/>
  <c r="Q153" i="1"/>
  <c r="D153" i="1"/>
  <c r="D282" i="23" l="1"/>
  <c r="U281" i="23"/>
  <c r="X281" i="23"/>
  <c r="V281" i="23"/>
  <c r="Y281" i="23" s="1"/>
  <c r="Q249" i="1"/>
  <c r="C250" i="1"/>
  <c r="F3033" i="3"/>
  <c r="F3034" i="3"/>
  <c r="F3059" i="3" s="1"/>
  <c r="F3084" i="3" s="1"/>
  <c r="F3109" i="3" s="1"/>
  <c r="F3134" i="3" s="1"/>
  <c r="F3159" i="3" s="1"/>
  <c r="F3184" i="3" s="1"/>
  <c r="F3209" i="3" s="1"/>
  <c r="F3234" i="3" s="1"/>
  <c r="F3284" i="3" s="1"/>
  <c r="F3309" i="3" s="1"/>
  <c r="E156" i="1"/>
  <c r="L152" i="1"/>
  <c r="K152" i="1" s="1"/>
  <c r="J152" i="1"/>
  <c r="E3606" i="3"/>
  <c r="D152" i="1"/>
  <c r="Q152" i="1"/>
  <c r="D283" i="23" l="1"/>
  <c r="V282" i="23"/>
  <c r="Y282" i="23" s="1"/>
  <c r="U282" i="23"/>
  <c r="X282" i="23"/>
  <c r="Q250" i="1"/>
  <c r="C251" i="1"/>
  <c r="F3057" i="3"/>
  <c r="F3058" i="3"/>
  <c r="F3083" i="3" s="1"/>
  <c r="F3108" i="3" s="1"/>
  <c r="F3133" i="3" s="1"/>
  <c r="F3158" i="3" s="1"/>
  <c r="F3183" i="3" s="1"/>
  <c r="F3208" i="3" s="1"/>
  <c r="F3233" i="3" s="1"/>
  <c r="F3258" i="3" s="1"/>
  <c r="F3308" i="3" s="1"/>
  <c r="F3333" i="3" s="1"/>
  <c r="E157" i="1"/>
  <c r="E3578" i="3"/>
  <c r="Q151" i="1"/>
  <c r="L151" i="1"/>
  <c r="K151" i="1" s="1"/>
  <c r="E3582" i="3"/>
  <c r="D151" i="1"/>
  <c r="L150" i="1"/>
  <c r="K150" i="1" s="1"/>
  <c r="Q150" i="1"/>
  <c r="E150" i="1"/>
  <c r="E3554" i="3"/>
  <c r="U283" i="23" l="1"/>
  <c r="X283" i="23"/>
  <c r="V283" i="23"/>
  <c r="Y283" i="23" s="1"/>
  <c r="D284" i="23"/>
  <c r="Q251" i="1"/>
  <c r="C252" i="1"/>
  <c r="F3081" i="3"/>
  <c r="F3082" i="3"/>
  <c r="F3107" i="3" s="1"/>
  <c r="F3132" i="3" s="1"/>
  <c r="F3157" i="3" s="1"/>
  <c r="F3182" i="3" s="1"/>
  <c r="F3207" i="3" s="1"/>
  <c r="F3232" i="3" s="1"/>
  <c r="F3257" i="3" s="1"/>
  <c r="F3282" i="3" s="1"/>
  <c r="F3332" i="3" s="1"/>
  <c r="F3357" i="3" s="1"/>
  <c r="E151" i="1"/>
  <c r="E158" i="1"/>
  <c r="R158" i="1" s="1"/>
  <c r="E3556" i="3"/>
  <c r="F3556" i="3" s="1"/>
  <c r="F3580" i="3" s="1"/>
  <c r="F3604" i="3" s="1"/>
  <c r="F3628" i="3" s="1"/>
  <c r="F3652" i="3" s="1"/>
  <c r="F3676" i="3" s="1"/>
  <c r="F3700" i="3" s="1"/>
  <c r="F3724" i="3" s="1"/>
  <c r="F3748" i="3" s="1"/>
  <c r="F3772" i="3" s="1"/>
  <c r="F3796" i="3" s="1"/>
  <c r="F3820" i="3" s="1"/>
  <c r="F3844" i="3" s="1"/>
  <c r="F3869" i="3" s="1"/>
  <c r="F3893" i="3" s="1"/>
  <c r="F3917" i="3" s="1"/>
  <c r="F3941" i="3" s="1"/>
  <c r="F3965" i="3" s="1"/>
  <c r="F3989" i="3" s="1"/>
  <c r="F4013" i="3" s="1"/>
  <c r="F4037" i="3" s="1"/>
  <c r="F4061" i="3" s="1"/>
  <c r="F4085" i="3" s="1"/>
  <c r="F4109" i="3" s="1"/>
  <c r="F4133" i="3" s="1"/>
  <c r="F4157" i="3" s="1"/>
  <c r="F4181" i="3" s="1"/>
  <c r="F4205" i="3" s="1"/>
  <c r="F4229" i="3" s="1"/>
  <c r="F4253" i="3" s="1"/>
  <c r="F4277" i="3" s="1"/>
  <c r="F4301" i="3" s="1"/>
  <c r="F4325" i="3" s="1"/>
  <c r="F4349" i="3" s="1"/>
  <c r="F4373" i="3" s="1"/>
  <c r="F4397" i="3" s="1"/>
  <c r="F4421" i="3" s="1"/>
  <c r="F4445" i="3" s="1"/>
  <c r="F4469" i="3" s="1"/>
  <c r="F4493" i="3" s="1"/>
  <c r="F4517" i="3" s="1"/>
  <c r="F4541" i="3" s="1"/>
  <c r="F4565" i="3" s="1"/>
  <c r="F4589" i="3" s="1"/>
  <c r="F4613" i="3" s="1"/>
  <c r="F4637" i="3" s="1"/>
  <c r="F4661" i="3" s="1"/>
  <c r="F4685" i="3" s="1"/>
  <c r="F4709" i="3" s="1"/>
  <c r="F4733" i="3" s="1"/>
  <c r="F4757" i="3" s="1"/>
  <c r="F4781" i="3" s="1"/>
  <c r="F4805" i="3" s="1"/>
  <c r="F4829" i="3" s="1"/>
  <c r="F4853" i="3" s="1"/>
  <c r="F4877" i="3" s="1"/>
  <c r="F4901" i="3" s="1"/>
  <c r="F4925" i="3" s="1"/>
  <c r="F4949" i="3" s="1"/>
  <c r="F4973" i="3" s="1"/>
  <c r="F4997" i="3" s="1"/>
  <c r="F5021" i="3" s="1"/>
  <c r="F5045" i="3" s="1"/>
  <c r="F5069" i="3" s="1"/>
  <c r="F5093" i="3" s="1"/>
  <c r="F5117" i="3" s="1"/>
  <c r="F5141" i="3" s="1"/>
  <c r="F5165" i="3" s="1"/>
  <c r="F5189" i="3" s="1"/>
  <c r="F5213" i="3" s="1"/>
  <c r="F5237" i="3" s="1"/>
  <c r="F5261" i="3" s="1"/>
  <c r="F5285" i="3" s="1"/>
  <c r="F5309" i="3" s="1"/>
  <c r="F5333" i="3" s="1"/>
  <c r="F5357" i="3" s="1"/>
  <c r="F5381" i="3" s="1"/>
  <c r="F5405" i="3" s="1"/>
  <c r="F5429" i="3" s="1"/>
  <c r="F5453" i="3" s="1"/>
  <c r="F5477" i="3" s="1"/>
  <c r="F5501" i="3" s="1"/>
  <c r="E3569" i="3"/>
  <c r="L149" i="1"/>
  <c r="K149" i="1" s="1"/>
  <c r="L148" i="1"/>
  <c r="E3534" i="3"/>
  <c r="E3530" i="3"/>
  <c r="Q149" i="1"/>
  <c r="D149" i="1"/>
  <c r="J148" i="1"/>
  <c r="E3506" i="3"/>
  <c r="Q148" i="1"/>
  <c r="D148" i="1"/>
  <c r="X284" i="23" l="1"/>
  <c r="V284" i="23"/>
  <c r="Y284" i="23" s="1"/>
  <c r="D285" i="23"/>
  <c r="U284" i="23"/>
  <c r="Q252" i="1"/>
  <c r="C253" i="1"/>
  <c r="F3105" i="3"/>
  <c r="F3106" i="3"/>
  <c r="F3131" i="3" s="1"/>
  <c r="F3156" i="3" s="1"/>
  <c r="F3181" i="3" s="1"/>
  <c r="F3206" i="3" s="1"/>
  <c r="F3231" i="3" s="1"/>
  <c r="F3256" i="3" s="1"/>
  <c r="F3281" i="3" s="1"/>
  <c r="F3306" i="3" s="1"/>
  <c r="F3356" i="3" s="1"/>
  <c r="F3381" i="3" s="1"/>
  <c r="E159" i="1"/>
  <c r="R159" i="1" s="1"/>
  <c r="E152" i="1"/>
  <c r="L147" i="1"/>
  <c r="K147" i="1" s="1"/>
  <c r="Q147" i="1"/>
  <c r="Q146" i="1"/>
  <c r="L146" i="1"/>
  <c r="K146" i="1" s="1"/>
  <c r="E3458" i="3"/>
  <c r="U285" i="23" l="1"/>
  <c r="V285" i="23"/>
  <c r="Y285" i="23" s="1"/>
  <c r="D286" i="23"/>
  <c r="X285" i="23"/>
  <c r="Q253" i="1"/>
  <c r="C254" i="1"/>
  <c r="F3129" i="3"/>
  <c r="F3130" i="3"/>
  <c r="F3155" i="3" s="1"/>
  <c r="F3180" i="3" s="1"/>
  <c r="F3205" i="3" s="1"/>
  <c r="F3230" i="3" s="1"/>
  <c r="F3255" i="3" s="1"/>
  <c r="F3280" i="3" s="1"/>
  <c r="F3305" i="3" s="1"/>
  <c r="F3330" i="3" s="1"/>
  <c r="F3380" i="3" s="1"/>
  <c r="F3405" i="3" s="1"/>
  <c r="E160" i="1"/>
  <c r="R160" i="1" s="1"/>
  <c r="J145" i="1"/>
  <c r="X286" i="23" l="1"/>
  <c r="D287" i="23"/>
  <c r="V286" i="23"/>
  <c r="Y286" i="23" s="1"/>
  <c r="U286" i="23"/>
  <c r="C255" i="1"/>
  <c r="Q254" i="1"/>
  <c r="F3153" i="3"/>
  <c r="F3154" i="3"/>
  <c r="F3179" i="3" s="1"/>
  <c r="F3204" i="3" s="1"/>
  <c r="F3229" i="3" s="1"/>
  <c r="F3254" i="3" s="1"/>
  <c r="F3279" i="3" s="1"/>
  <c r="F3304" i="3" s="1"/>
  <c r="F3329" i="3" s="1"/>
  <c r="F3354" i="3" s="1"/>
  <c r="F3404" i="3" s="1"/>
  <c r="F3429" i="3" s="1"/>
  <c r="E161" i="1"/>
  <c r="E3438" i="3"/>
  <c r="E3434" i="3"/>
  <c r="D145" i="1"/>
  <c r="Q145" i="1"/>
  <c r="U287" i="23" l="1"/>
  <c r="V287" i="23"/>
  <c r="Y287" i="23" s="1"/>
  <c r="D288" i="23"/>
  <c r="X287" i="23"/>
  <c r="S161" i="1"/>
  <c r="R161" i="1"/>
  <c r="C256" i="1"/>
  <c r="Q255" i="1"/>
  <c r="F3177" i="3"/>
  <c r="F3178" i="3"/>
  <c r="F3203" i="3" s="1"/>
  <c r="F3228" i="3" s="1"/>
  <c r="F3253" i="3" s="1"/>
  <c r="F3278" i="3" s="1"/>
  <c r="F3303" i="3" s="1"/>
  <c r="F3328" i="3" s="1"/>
  <c r="F3353" i="3" s="1"/>
  <c r="F3378" i="3" s="1"/>
  <c r="F3428" i="3" s="1"/>
  <c r="F3453" i="3" s="1"/>
  <c r="E162" i="1"/>
  <c r="R162" i="1" s="1"/>
  <c r="E3414" i="3"/>
  <c r="E3410" i="3"/>
  <c r="D289" i="23" l="1"/>
  <c r="V288" i="23"/>
  <c r="Y288" i="23" s="1"/>
  <c r="X288" i="23"/>
  <c r="U288" i="23"/>
  <c r="Q256" i="1"/>
  <c r="C257" i="1"/>
  <c r="T162" i="1"/>
  <c r="S162" i="1"/>
  <c r="F3201" i="3"/>
  <c r="F3202" i="3"/>
  <c r="F3227" i="3" s="1"/>
  <c r="F3252" i="3" s="1"/>
  <c r="F3277" i="3" s="1"/>
  <c r="F3302" i="3" s="1"/>
  <c r="F3327" i="3" s="1"/>
  <c r="F3352" i="3" s="1"/>
  <c r="F3377" i="3" s="1"/>
  <c r="F3402" i="3" s="1"/>
  <c r="F3452" i="3" s="1"/>
  <c r="F3477" i="3" s="1"/>
  <c r="E163" i="1"/>
  <c r="R163" i="1" s="1"/>
  <c r="Q144" i="1"/>
  <c r="D144" i="1"/>
  <c r="U289" i="23" l="1"/>
  <c r="D290" i="23"/>
  <c r="X289" i="23"/>
  <c r="V289" i="23"/>
  <c r="Y289" i="23" s="1"/>
  <c r="Q257" i="1"/>
  <c r="C258" i="1"/>
  <c r="S163" i="1"/>
  <c r="T163" i="1"/>
  <c r="F3225" i="3"/>
  <c r="F3226" i="3"/>
  <c r="E164" i="1"/>
  <c r="R164" i="1" s="1"/>
  <c r="J143" i="1"/>
  <c r="E3390" i="3"/>
  <c r="E3386" i="3"/>
  <c r="Q143" i="1"/>
  <c r="X290" i="23" l="1"/>
  <c r="D291" i="23"/>
  <c r="V290" i="23"/>
  <c r="Y290" i="23" s="1"/>
  <c r="U290" i="23"/>
  <c r="Q258" i="1"/>
  <c r="C259" i="1"/>
  <c r="S164" i="1"/>
  <c r="T164" i="1"/>
  <c r="F3251" i="3"/>
  <c r="F3276" i="3" s="1"/>
  <c r="F3301" i="3" s="1"/>
  <c r="F3326" i="3" s="1"/>
  <c r="F3351" i="3" s="1"/>
  <c r="F3376" i="3" s="1"/>
  <c r="F3401" i="3" s="1"/>
  <c r="F3426" i="3" s="1"/>
  <c r="F3476" i="3" s="1"/>
  <c r="F3501" i="3" s="1"/>
  <c r="F3250" i="3"/>
  <c r="F3274" i="3" s="1"/>
  <c r="F3298" i="3" s="1"/>
  <c r="F3322" i="3" s="1"/>
  <c r="F3346" i="3" s="1"/>
  <c r="F3370" i="3" s="1"/>
  <c r="F3394" i="3" s="1"/>
  <c r="F3418" i="3" s="1"/>
  <c r="F3442" i="3" s="1"/>
  <c r="F3466" i="3" s="1"/>
  <c r="F3490" i="3" s="1"/>
  <c r="F3514" i="3" s="1"/>
  <c r="F3538" i="3" s="1"/>
  <c r="F3562" i="3" s="1"/>
  <c r="F3586" i="3" s="1"/>
  <c r="F3610" i="3" s="1"/>
  <c r="F3634" i="3" s="1"/>
  <c r="F3658" i="3" s="1"/>
  <c r="F3682" i="3" s="1"/>
  <c r="F3706" i="3" s="1"/>
  <c r="F3730" i="3" s="1"/>
  <c r="F3754" i="3" s="1"/>
  <c r="F3778" i="3" s="1"/>
  <c r="F3802" i="3" s="1"/>
  <c r="F3826" i="3" s="1"/>
  <c r="F3850" i="3" s="1"/>
  <c r="F3874" i="3" s="1"/>
  <c r="F3898" i="3" s="1"/>
  <c r="F3922" i="3" s="1"/>
  <c r="F3946" i="3" s="1"/>
  <c r="F3970" i="3" s="1"/>
  <c r="F3994" i="3" s="1"/>
  <c r="F4018" i="3" s="1"/>
  <c r="F4042" i="3" s="1"/>
  <c r="F4066" i="3" s="1"/>
  <c r="F4090" i="3" s="1"/>
  <c r="F4114" i="3" s="1"/>
  <c r="F4138" i="3" s="1"/>
  <c r="F4162" i="3" s="1"/>
  <c r="F4186" i="3" s="1"/>
  <c r="F4210" i="3" s="1"/>
  <c r="F4234" i="3" s="1"/>
  <c r="F4258" i="3" s="1"/>
  <c r="F4282" i="3" s="1"/>
  <c r="F4306" i="3" s="1"/>
  <c r="F4330" i="3" s="1"/>
  <c r="F4354" i="3" s="1"/>
  <c r="F4378" i="3" s="1"/>
  <c r="F4402" i="3" s="1"/>
  <c r="F4426" i="3" s="1"/>
  <c r="F4450" i="3" s="1"/>
  <c r="F4474" i="3" s="1"/>
  <c r="F4498" i="3" s="1"/>
  <c r="F4522" i="3" s="1"/>
  <c r="F4546" i="3" s="1"/>
  <c r="F4570" i="3" s="1"/>
  <c r="F4594" i="3" s="1"/>
  <c r="F4618" i="3" s="1"/>
  <c r="F4642" i="3" s="1"/>
  <c r="F4666" i="3" s="1"/>
  <c r="F4690" i="3" s="1"/>
  <c r="F4714" i="3" s="1"/>
  <c r="F4738" i="3" s="1"/>
  <c r="F4762" i="3" s="1"/>
  <c r="F4786" i="3" s="1"/>
  <c r="F4810" i="3" s="1"/>
  <c r="F4834" i="3" s="1"/>
  <c r="F4858" i="3" s="1"/>
  <c r="F4882" i="3" s="1"/>
  <c r="F4906" i="3" s="1"/>
  <c r="F4930" i="3" s="1"/>
  <c r="F4954" i="3" s="1"/>
  <c r="F4978" i="3" s="1"/>
  <c r="F5002" i="3" s="1"/>
  <c r="F5026" i="3" s="1"/>
  <c r="F5050" i="3" s="1"/>
  <c r="F5074" i="3" s="1"/>
  <c r="F5098" i="3" s="1"/>
  <c r="F5122" i="3" s="1"/>
  <c r="F5146" i="3" s="1"/>
  <c r="F5170" i="3" s="1"/>
  <c r="F5194" i="3" s="1"/>
  <c r="F5218" i="3" s="1"/>
  <c r="F5242" i="3" s="1"/>
  <c r="F5266" i="3" s="1"/>
  <c r="F5290" i="3" s="1"/>
  <c r="F5314" i="3" s="1"/>
  <c r="F5338" i="3" s="1"/>
  <c r="F5362" i="3" s="1"/>
  <c r="F5386" i="3" s="1"/>
  <c r="F5410" i="3" s="1"/>
  <c r="F5434" i="3" s="1"/>
  <c r="F5458" i="3" s="1"/>
  <c r="F5482" i="3" s="1"/>
  <c r="F5506" i="3" s="1"/>
  <c r="F5530" i="3" s="1"/>
  <c r="F5554" i="3" s="1"/>
  <c r="F5578" i="3" s="1"/>
  <c r="F5602" i="3" s="1"/>
  <c r="F5626" i="3" s="1"/>
  <c r="F5650" i="3" s="1"/>
  <c r="F5674" i="3" s="1"/>
  <c r="F5698" i="3" s="1"/>
  <c r="F5722" i="3" s="1"/>
  <c r="F5746" i="3" s="1"/>
  <c r="F5770" i="3" s="1"/>
  <c r="F5794" i="3" s="1"/>
  <c r="F5818" i="3" s="1"/>
  <c r="F5842" i="3" s="1"/>
  <c r="F5866" i="3" s="1"/>
  <c r="F5890" i="3" s="1"/>
  <c r="F5914" i="3" s="1"/>
  <c r="F5938" i="3" s="1"/>
  <c r="F5962" i="3" s="1"/>
  <c r="F5986" i="3" s="1"/>
  <c r="F6010" i="3" s="1"/>
  <c r="F6034" i="3" s="1"/>
  <c r="F6058" i="3" s="1"/>
  <c r="F6082" i="3" s="1"/>
  <c r="F6106" i="3" s="1"/>
  <c r="F6130" i="3" s="1"/>
  <c r="F6154" i="3" s="1"/>
  <c r="F6178" i="3" s="1"/>
  <c r="F6202" i="3" s="1"/>
  <c r="F6226" i="3" s="1"/>
  <c r="F6250" i="3" s="1"/>
  <c r="F6274" i="3" s="1"/>
  <c r="F6298" i="3" s="1"/>
  <c r="F6322" i="3" s="1"/>
  <c r="F6346" i="3" s="1"/>
  <c r="F6370" i="3" s="1"/>
  <c r="F6394" i="3" s="1"/>
  <c r="F6418" i="3" s="1"/>
  <c r="F6442" i="3" s="1"/>
  <c r="F6466" i="3" s="1"/>
  <c r="F6490" i="3" s="1"/>
  <c r="F6514" i="3" s="1"/>
  <c r="F6538" i="3" s="1"/>
  <c r="F6562" i="3" s="1"/>
  <c r="F6586" i="3" s="1"/>
  <c r="F6610" i="3" s="1"/>
  <c r="F6634" i="3" s="1"/>
  <c r="F6658" i="3" s="1"/>
  <c r="F6682" i="3" s="1"/>
  <c r="F6706" i="3" s="1"/>
  <c r="F6730" i="3" s="1"/>
  <c r="F6754" i="3" s="1"/>
  <c r="F6778" i="3" s="1"/>
  <c r="F6802" i="3" s="1"/>
  <c r="F6826" i="3" s="1"/>
  <c r="F6850" i="3" s="1"/>
  <c r="F6874" i="3" s="1"/>
  <c r="F6898" i="3" s="1"/>
  <c r="F6922" i="3" s="1"/>
  <c r="F6946" i="3" s="1"/>
  <c r="F6970" i="3" s="1"/>
  <c r="F6994" i="3" s="1"/>
  <c r="F7018" i="3" s="1"/>
  <c r="F7042" i="3" s="1"/>
  <c r="F7066" i="3" s="1"/>
  <c r="F7090" i="3" s="1"/>
  <c r="F7114" i="3" s="1"/>
  <c r="F7138" i="3" s="1"/>
  <c r="F7162" i="3" s="1"/>
  <c r="F7186" i="3" s="1"/>
  <c r="F7210" i="3" s="1"/>
  <c r="F7234" i="3" s="1"/>
  <c r="F7258" i="3" s="1"/>
  <c r="F7282" i="3" s="1"/>
  <c r="F7306" i="3" s="1"/>
  <c r="F7330" i="3" s="1"/>
  <c r="F7354" i="3" s="1"/>
  <c r="F7378" i="3" s="1"/>
  <c r="F7402" i="3" s="1"/>
  <c r="F7426" i="3" s="1"/>
  <c r="F7450" i="3" s="1"/>
  <c r="F7474" i="3" s="1"/>
  <c r="F7498" i="3" s="1"/>
  <c r="F7522" i="3" s="1"/>
  <c r="F7546" i="3" s="1"/>
  <c r="F7570" i="3" s="1"/>
  <c r="F7594" i="3" s="1"/>
  <c r="F7618" i="3" s="1"/>
  <c r="F7642" i="3" s="1"/>
  <c r="F7666" i="3" s="1"/>
  <c r="F7690" i="3" s="1"/>
  <c r="F7714" i="3" s="1"/>
  <c r="F7738" i="3" s="1"/>
  <c r="F7762" i="3" s="1"/>
  <c r="F7786" i="3" s="1"/>
  <c r="F7810" i="3" s="1"/>
  <c r="F7834" i="3" s="1"/>
  <c r="F7858" i="3" s="1"/>
  <c r="F7882" i="3" s="1"/>
  <c r="F7906" i="3" s="1"/>
  <c r="F7930" i="3" s="1"/>
  <c r="F7954" i="3" s="1"/>
  <c r="F8002" i="3" s="1"/>
  <c r="F8026" i="3" s="1"/>
  <c r="F3249" i="3"/>
  <c r="E165" i="1"/>
  <c r="R165" i="1" s="1"/>
  <c r="U291" i="23" l="1"/>
  <c r="D292" i="23"/>
  <c r="X291" i="23"/>
  <c r="V291" i="23"/>
  <c r="Y291" i="23" s="1"/>
  <c r="F8050" i="3"/>
  <c r="F8074" i="3" s="1"/>
  <c r="F8098" i="3" s="1"/>
  <c r="F8122" i="3" s="1"/>
  <c r="F8146" i="3" s="1"/>
  <c r="F8170" i="3" s="1"/>
  <c r="F8194" i="3" s="1"/>
  <c r="F8218" i="3" s="1"/>
  <c r="F8242" i="3" s="1"/>
  <c r="F8266" i="3" s="1"/>
  <c r="F8290" i="3" s="1"/>
  <c r="F8314" i="3" s="1"/>
  <c r="F8338" i="3" s="1"/>
  <c r="F8362" i="3" s="1"/>
  <c r="F8386" i="3" s="1"/>
  <c r="F8410" i="3" s="1"/>
  <c r="F8434" i="3" s="1"/>
  <c r="F8458" i="3" s="1"/>
  <c r="F8482" i="3" s="1"/>
  <c r="F8506" i="3" s="1"/>
  <c r="F8530" i="3" s="1"/>
  <c r="F8554" i="3" s="1"/>
  <c r="F8578" i="3" s="1"/>
  <c r="F8602" i="3" s="1"/>
  <c r="F8626" i="3" s="1"/>
  <c r="F8650" i="3" s="1"/>
  <c r="F8674" i="3" s="1"/>
  <c r="F8698" i="3" s="1"/>
  <c r="F8722" i="3" s="1"/>
  <c r="F8746" i="3" s="1"/>
  <c r="F8770" i="3" s="1"/>
  <c r="F8794" i="3" s="1"/>
  <c r="F8818" i="3" s="1"/>
  <c r="F8842" i="3" s="1"/>
  <c r="F8866" i="3" s="1"/>
  <c r="F8890" i="3" s="1"/>
  <c r="F8914" i="3" s="1"/>
  <c r="F8938" i="3" s="1"/>
  <c r="F8962" i="3" s="1"/>
  <c r="F8986" i="3" s="1"/>
  <c r="F9010" i="3" s="1"/>
  <c r="F9034" i="3" s="1"/>
  <c r="F9058" i="3" s="1"/>
  <c r="F9082" i="3" s="1"/>
  <c r="F9106" i="3" s="1"/>
  <c r="F9130" i="3" s="1"/>
  <c r="F9154" i="3" s="1"/>
  <c r="F9178" i="3" s="1"/>
  <c r="F9202" i="3" s="1"/>
  <c r="F9226" i="3" s="1"/>
  <c r="F9250" i="3" s="1"/>
  <c r="F9274" i="3" s="1"/>
  <c r="F9298" i="3" s="1"/>
  <c r="F9322" i="3" s="1"/>
  <c r="F9346" i="3" s="1"/>
  <c r="F9370" i="3" s="1"/>
  <c r="F9394" i="3" s="1"/>
  <c r="F9418" i="3" s="1"/>
  <c r="F9442" i="3" s="1"/>
  <c r="F9466" i="3" s="1"/>
  <c r="F9490" i="3" s="1"/>
  <c r="F9514" i="3" s="1"/>
  <c r="F9538" i="3" s="1"/>
  <c r="F9562" i="3" s="1"/>
  <c r="F9586" i="3" s="1"/>
  <c r="F9610" i="3" s="1"/>
  <c r="F9634" i="3" s="1"/>
  <c r="F9658" i="3" s="1"/>
  <c r="F9682" i="3" s="1"/>
  <c r="F9706" i="3" s="1"/>
  <c r="F9730" i="3" s="1"/>
  <c r="F9754" i="3" s="1"/>
  <c r="C260" i="1"/>
  <c r="Q259" i="1"/>
  <c r="S165" i="1"/>
  <c r="T165" i="1"/>
  <c r="F3275" i="3"/>
  <c r="F3300" i="3" s="1"/>
  <c r="F3325" i="3" s="1"/>
  <c r="F3350" i="3" s="1"/>
  <c r="F3375" i="3" s="1"/>
  <c r="F3400" i="3" s="1"/>
  <c r="F3425" i="3" s="1"/>
  <c r="F3450" i="3" s="1"/>
  <c r="F3500" i="3" s="1"/>
  <c r="F3525" i="3" s="1"/>
  <c r="F3299" i="3"/>
  <c r="F3324" i="3" s="1"/>
  <c r="F3349" i="3" s="1"/>
  <c r="F3374" i="3" s="1"/>
  <c r="F3399" i="3" s="1"/>
  <c r="F3424" i="3" s="1"/>
  <c r="F3449" i="3" s="1"/>
  <c r="F3474" i="3" s="1"/>
  <c r="F3524" i="3" s="1"/>
  <c r="F3549" i="3" s="1"/>
  <c r="F3273" i="3"/>
  <c r="E166" i="1"/>
  <c r="R166" i="1" s="1"/>
  <c r="E3366" i="3"/>
  <c r="F3366" i="3" s="1"/>
  <c r="F3390" i="3" s="1"/>
  <c r="F3414" i="3" s="1"/>
  <c r="F3438" i="3" s="1"/>
  <c r="F3462" i="3" s="1"/>
  <c r="F3486" i="3" s="1"/>
  <c r="F3510" i="3" s="1"/>
  <c r="F3534" i="3" s="1"/>
  <c r="F3558" i="3" s="1"/>
  <c r="F3582" i="3" s="1"/>
  <c r="F3606" i="3" s="1"/>
  <c r="F3630" i="3" s="1"/>
  <c r="F3654" i="3" s="1"/>
  <c r="F3678" i="3" s="1"/>
  <c r="F3702" i="3" s="1"/>
  <c r="F3726" i="3" s="1"/>
  <c r="F3750" i="3" s="1"/>
  <c r="F3774" i="3" s="1"/>
  <c r="F3798" i="3" s="1"/>
  <c r="F3822" i="3" s="1"/>
  <c r="F3846" i="3" s="1"/>
  <c r="F3867" i="3" s="1"/>
  <c r="F3891" i="3" s="1"/>
  <c r="F3915" i="3" s="1"/>
  <c r="F3939" i="3" s="1"/>
  <c r="F3963" i="3" s="1"/>
  <c r="F3987" i="3" s="1"/>
  <c r="F4011" i="3" s="1"/>
  <c r="F4035" i="3" s="1"/>
  <c r="F4059" i="3" s="1"/>
  <c r="F4083" i="3" s="1"/>
  <c r="F4107" i="3" s="1"/>
  <c r="F4131" i="3" s="1"/>
  <c r="F4155" i="3" s="1"/>
  <c r="F4179" i="3" s="1"/>
  <c r="F4203" i="3" s="1"/>
  <c r="F4227" i="3" s="1"/>
  <c r="F4251" i="3" s="1"/>
  <c r="F4275" i="3" s="1"/>
  <c r="F4299" i="3" s="1"/>
  <c r="F4323" i="3" s="1"/>
  <c r="F4347" i="3" s="1"/>
  <c r="F4371" i="3" s="1"/>
  <c r="F4395" i="3" s="1"/>
  <c r="F4419" i="3" s="1"/>
  <c r="F4443" i="3" s="1"/>
  <c r="F4467" i="3" s="1"/>
  <c r="F4491" i="3" s="1"/>
  <c r="F4515" i="3" s="1"/>
  <c r="F4539" i="3" s="1"/>
  <c r="F4563" i="3" s="1"/>
  <c r="F4587" i="3" s="1"/>
  <c r="F4611" i="3" s="1"/>
  <c r="F4635" i="3" s="1"/>
  <c r="F4659" i="3" s="1"/>
  <c r="F4683" i="3" s="1"/>
  <c r="F4707" i="3" s="1"/>
  <c r="F4731" i="3" s="1"/>
  <c r="F4755" i="3" s="1"/>
  <c r="F4779" i="3" s="1"/>
  <c r="F4803" i="3" s="1"/>
  <c r="F4827" i="3" s="1"/>
  <c r="F4851" i="3" s="1"/>
  <c r="F4875" i="3" s="1"/>
  <c r="F4899" i="3" s="1"/>
  <c r="F4923" i="3" s="1"/>
  <c r="F4947" i="3" s="1"/>
  <c r="F4971" i="3" s="1"/>
  <c r="F4995" i="3" s="1"/>
  <c r="F5019" i="3" s="1"/>
  <c r="F5043" i="3" s="1"/>
  <c r="F5067" i="3" s="1"/>
  <c r="F5091" i="3" s="1"/>
  <c r="F5115" i="3" s="1"/>
  <c r="F5139" i="3" s="1"/>
  <c r="F5163" i="3" s="1"/>
  <c r="F5187" i="3" s="1"/>
  <c r="F5211" i="3" s="1"/>
  <c r="F5235" i="3" s="1"/>
  <c r="F5259" i="3" s="1"/>
  <c r="F5283" i="3" s="1"/>
  <c r="F5307" i="3" s="1"/>
  <c r="F5331" i="3" s="1"/>
  <c r="F5355" i="3" s="1"/>
  <c r="F5379" i="3" s="1"/>
  <c r="F5403" i="3" s="1"/>
  <c r="F5427" i="3" s="1"/>
  <c r="F5451" i="3" s="1"/>
  <c r="F5475" i="3" s="1"/>
  <c r="F5499" i="3" s="1"/>
  <c r="E3362" i="3"/>
  <c r="F3362" i="3" s="1"/>
  <c r="F3386" i="3" s="1"/>
  <c r="F3410" i="3" s="1"/>
  <c r="F3434" i="3" s="1"/>
  <c r="F3458" i="3" s="1"/>
  <c r="F3482" i="3" s="1"/>
  <c r="F3506" i="3" s="1"/>
  <c r="F3530" i="3" s="1"/>
  <c r="F3554" i="3" s="1"/>
  <c r="F3578" i="3" s="1"/>
  <c r="F3602" i="3" s="1"/>
  <c r="F3626" i="3" s="1"/>
  <c r="F3650" i="3" s="1"/>
  <c r="F3674" i="3" s="1"/>
  <c r="F3698" i="3" s="1"/>
  <c r="F3722" i="3" s="1"/>
  <c r="F3746" i="3" s="1"/>
  <c r="F3770" i="3" s="1"/>
  <c r="F3794" i="3" s="1"/>
  <c r="F3818" i="3" s="1"/>
  <c r="F3842" i="3" s="1"/>
  <c r="F3866" i="3" s="1"/>
  <c r="F3890" i="3" s="1"/>
  <c r="F3914" i="3" s="1"/>
  <c r="F3938" i="3" s="1"/>
  <c r="F3962" i="3" s="1"/>
  <c r="F3986" i="3" s="1"/>
  <c r="F4010" i="3" s="1"/>
  <c r="F4034" i="3" s="1"/>
  <c r="F4058" i="3" s="1"/>
  <c r="F4082" i="3" s="1"/>
  <c r="F4106" i="3" s="1"/>
  <c r="F4130" i="3" s="1"/>
  <c r="F4154" i="3" s="1"/>
  <c r="F4178" i="3" s="1"/>
  <c r="F4202" i="3" s="1"/>
  <c r="F4226" i="3" s="1"/>
  <c r="F4250" i="3" s="1"/>
  <c r="F4274" i="3" s="1"/>
  <c r="F4298" i="3" s="1"/>
  <c r="F4322" i="3" s="1"/>
  <c r="F4346" i="3" s="1"/>
  <c r="F4370" i="3" s="1"/>
  <c r="F4394" i="3" s="1"/>
  <c r="F4418" i="3" s="1"/>
  <c r="F4442" i="3" s="1"/>
  <c r="F4466" i="3" s="1"/>
  <c r="F4490" i="3" s="1"/>
  <c r="F4514" i="3" s="1"/>
  <c r="F4538" i="3" s="1"/>
  <c r="F4562" i="3" s="1"/>
  <c r="F4586" i="3" s="1"/>
  <c r="Q141" i="1"/>
  <c r="D293" i="23" l="1"/>
  <c r="V292" i="23"/>
  <c r="Y292" i="23" s="1"/>
  <c r="X292" i="23"/>
  <c r="U292" i="23"/>
  <c r="C261" i="1"/>
  <c r="Q260" i="1"/>
  <c r="T166" i="1"/>
  <c r="S166" i="1"/>
  <c r="F4610" i="3"/>
  <c r="F4634" i="3" s="1"/>
  <c r="F4658" i="3" s="1"/>
  <c r="F4682" i="3" s="1"/>
  <c r="F4706" i="3" s="1"/>
  <c r="F4730" i="3" s="1"/>
  <c r="F4754" i="3" s="1"/>
  <c r="F4778" i="3" s="1"/>
  <c r="F4802" i="3" s="1"/>
  <c r="F4826" i="3" s="1"/>
  <c r="F4850" i="3" s="1"/>
  <c r="F4874" i="3" s="1"/>
  <c r="F4898" i="3" s="1"/>
  <c r="F4922" i="3" s="1"/>
  <c r="F4946" i="3" s="1"/>
  <c r="F4970" i="3" s="1"/>
  <c r="F4994" i="3" s="1"/>
  <c r="F5018" i="3" s="1"/>
  <c r="F5042" i="3" s="1"/>
  <c r="F5066" i="3" s="1"/>
  <c r="F5090" i="3" s="1"/>
  <c r="F5114" i="3" s="1"/>
  <c r="F5138" i="3" s="1"/>
  <c r="F5162" i="3" s="1"/>
  <c r="F5186" i="3" s="1"/>
  <c r="F5210" i="3" s="1"/>
  <c r="F5234" i="3" s="1"/>
  <c r="F5258" i="3" s="1"/>
  <c r="F5282" i="3" s="1"/>
  <c r="F5306" i="3" s="1"/>
  <c r="F5330" i="3" s="1"/>
  <c r="F5354" i="3" s="1"/>
  <c r="F5378" i="3" s="1"/>
  <c r="F5402" i="3" s="1"/>
  <c r="F5426" i="3" s="1"/>
  <c r="F5450" i="3" s="1"/>
  <c r="F5474" i="3" s="1"/>
  <c r="F5498" i="3" s="1"/>
  <c r="F3323" i="3"/>
  <c r="F3348" i="3" s="1"/>
  <c r="F3373" i="3" s="1"/>
  <c r="F3398" i="3" s="1"/>
  <c r="F3423" i="3" s="1"/>
  <c r="F3448" i="3" s="1"/>
  <c r="F3473" i="3" s="1"/>
  <c r="F3498" i="3" s="1"/>
  <c r="F3548" i="3" s="1"/>
  <c r="F3573" i="3" s="1"/>
  <c r="F3297" i="3"/>
  <c r="E167" i="1"/>
  <c r="R167" i="1" s="1"/>
  <c r="B139" i="1"/>
  <c r="C139" i="1" s="1"/>
  <c r="C140" i="1" s="1"/>
  <c r="U293" i="23" l="1"/>
  <c r="V293" i="23"/>
  <c r="Y293" i="23" s="1"/>
  <c r="D294" i="23"/>
  <c r="X293" i="23"/>
  <c r="C262" i="1"/>
  <c r="Q261" i="1"/>
  <c r="S167" i="1"/>
  <c r="T167" i="1"/>
  <c r="F3597" i="3"/>
  <c r="F3621" i="3" s="1"/>
  <c r="F3645" i="3" s="1"/>
  <c r="F3669" i="3" s="1"/>
  <c r="F3693" i="3" s="1"/>
  <c r="F3717" i="3" s="1"/>
  <c r="F3741" i="3" s="1"/>
  <c r="F3765" i="3" s="1"/>
  <c r="F3789" i="3" s="1"/>
  <c r="F3813" i="3" s="1"/>
  <c r="F3837" i="3" s="1"/>
  <c r="F3861" i="3" s="1"/>
  <c r="F3885" i="3" s="1"/>
  <c r="F3909" i="3" s="1"/>
  <c r="F3933" i="3" s="1"/>
  <c r="F3957" i="3" s="1"/>
  <c r="F3981" i="3" s="1"/>
  <c r="F4005" i="3" s="1"/>
  <c r="F4029" i="3" s="1"/>
  <c r="F4053" i="3" s="1"/>
  <c r="F4077" i="3" s="1"/>
  <c r="F4101" i="3" s="1"/>
  <c r="F4125" i="3" s="1"/>
  <c r="F4149" i="3" s="1"/>
  <c r="F4173" i="3" s="1"/>
  <c r="F4197" i="3" s="1"/>
  <c r="F4221" i="3" s="1"/>
  <c r="F4245" i="3" s="1"/>
  <c r="F4269" i="3" s="1"/>
  <c r="F4293" i="3" s="1"/>
  <c r="F4317" i="3" s="1"/>
  <c r="F4341" i="3" s="1"/>
  <c r="F4365" i="3" s="1"/>
  <c r="F4389" i="3" s="1"/>
  <c r="F4413" i="3" s="1"/>
  <c r="F4437" i="3" s="1"/>
  <c r="F4461" i="3" s="1"/>
  <c r="F4485" i="3" s="1"/>
  <c r="F4509" i="3" s="1"/>
  <c r="F4533" i="3" s="1"/>
  <c r="F4557" i="3" s="1"/>
  <c r="F4581" i="3" s="1"/>
  <c r="F4605" i="3" s="1"/>
  <c r="F4629" i="3" s="1"/>
  <c r="F4653" i="3" s="1"/>
  <c r="F4677" i="3" s="1"/>
  <c r="F4701" i="3" s="1"/>
  <c r="F4725" i="3" s="1"/>
  <c r="F4749" i="3" s="1"/>
  <c r="F4773" i="3" s="1"/>
  <c r="F4797" i="3" s="1"/>
  <c r="F4821" i="3" s="1"/>
  <c r="F4845" i="3" s="1"/>
  <c r="F4869" i="3" s="1"/>
  <c r="F4893" i="3" s="1"/>
  <c r="F4917" i="3" s="1"/>
  <c r="F4941" i="3" s="1"/>
  <c r="F4965" i="3" s="1"/>
  <c r="F4989" i="3" s="1"/>
  <c r="F5013" i="3" s="1"/>
  <c r="F5037" i="3" s="1"/>
  <c r="F5061" i="3" s="1"/>
  <c r="F5085" i="3" s="1"/>
  <c r="F5109" i="3" s="1"/>
  <c r="F5133" i="3" s="1"/>
  <c r="F5157" i="3" s="1"/>
  <c r="F5181" i="3" s="1"/>
  <c r="F5205" i="3" s="1"/>
  <c r="F5229" i="3" s="1"/>
  <c r="F5253" i="3" s="1"/>
  <c r="F5277" i="3" s="1"/>
  <c r="F5301" i="3" s="1"/>
  <c r="F5325" i="3" s="1"/>
  <c r="F5349" i="3" s="1"/>
  <c r="F5373" i="3" s="1"/>
  <c r="F5397" i="3" s="1"/>
  <c r="F5421" i="3" s="1"/>
  <c r="F5445" i="3" s="1"/>
  <c r="F5469" i="3" s="1"/>
  <c r="F5493" i="3" s="1"/>
  <c r="F5517" i="3" s="1"/>
  <c r="F3321" i="3"/>
  <c r="F3347" i="3"/>
  <c r="F3372" i="3" s="1"/>
  <c r="F3397" i="3" s="1"/>
  <c r="F3422" i="3" s="1"/>
  <c r="F3447" i="3" s="1"/>
  <c r="F3472" i="3" s="1"/>
  <c r="F3497" i="3" s="1"/>
  <c r="F3522" i="3" s="1"/>
  <c r="F3572" i="3" s="1"/>
  <c r="E168" i="1"/>
  <c r="R168" i="1" s="1"/>
  <c r="E141" i="1"/>
  <c r="X294" i="23" l="1"/>
  <c r="D295" i="23"/>
  <c r="V294" i="23"/>
  <c r="Y294" i="23" s="1"/>
  <c r="U294" i="23"/>
  <c r="C263" i="1"/>
  <c r="Q262" i="1"/>
  <c r="S168" i="1"/>
  <c r="T168" i="1"/>
  <c r="F3345" i="3"/>
  <c r="F3371" i="3"/>
  <c r="F3396" i="3" s="1"/>
  <c r="F3421" i="3" s="1"/>
  <c r="F3446" i="3" s="1"/>
  <c r="F3471" i="3" s="1"/>
  <c r="F3496" i="3" s="1"/>
  <c r="F3521" i="3" s="1"/>
  <c r="F3546" i="3" s="1"/>
  <c r="F3596" i="3" s="1"/>
  <c r="E142" i="1"/>
  <c r="T141" i="1"/>
  <c r="S141" i="1"/>
  <c r="E169" i="1"/>
  <c r="R169" i="1" s="1"/>
  <c r="Q140" i="1"/>
  <c r="U295" i="23" l="1"/>
  <c r="V295" i="23"/>
  <c r="Y295" i="23" s="1"/>
  <c r="D296" i="23"/>
  <c r="X295" i="23"/>
  <c r="Q263" i="1"/>
  <c r="C264" i="1"/>
  <c r="E170" i="1"/>
  <c r="S169" i="1"/>
  <c r="T169" i="1"/>
  <c r="F3395" i="3"/>
  <c r="F3420" i="3" s="1"/>
  <c r="F3445" i="3" s="1"/>
  <c r="F3470" i="3" s="1"/>
  <c r="F3495" i="3" s="1"/>
  <c r="F3520" i="3" s="1"/>
  <c r="F3545" i="3" s="1"/>
  <c r="F3570" i="3" s="1"/>
  <c r="F3620" i="3" s="1"/>
  <c r="F3369" i="3"/>
  <c r="E143" i="1"/>
  <c r="T142" i="1"/>
  <c r="S142" i="1"/>
  <c r="L139" i="1"/>
  <c r="D297" i="23" l="1"/>
  <c r="V296" i="23"/>
  <c r="Y296" i="23" s="1"/>
  <c r="X296" i="23"/>
  <c r="U296" i="23"/>
  <c r="E171" i="1"/>
  <c r="R171" i="1" s="1"/>
  <c r="R170" i="1"/>
  <c r="C265" i="1"/>
  <c r="Q264" i="1"/>
  <c r="E172" i="1"/>
  <c r="R172" i="1" s="1"/>
  <c r="T171" i="1"/>
  <c r="T170" i="1"/>
  <c r="S170" i="1"/>
  <c r="F3419" i="3"/>
  <c r="F3444" i="3" s="1"/>
  <c r="F3469" i="3" s="1"/>
  <c r="F3494" i="3" s="1"/>
  <c r="F3519" i="3" s="1"/>
  <c r="F3544" i="3" s="1"/>
  <c r="F3569" i="3" s="1"/>
  <c r="F3594" i="3" s="1"/>
  <c r="F3644" i="3" s="1"/>
  <c r="F3393" i="3"/>
  <c r="E144" i="1"/>
  <c r="T143" i="1"/>
  <c r="S143" i="1"/>
  <c r="Q138" i="1"/>
  <c r="L137" i="1"/>
  <c r="K137" i="1" s="1"/>
  <c r="Q137" i="1"/>
  <c r="U297" i="23" l="1"/>
  <c r="D298" i="23"/>
  <c r="X297" i="23"/>
  <c r="V297" i="23"/>
  <c r="Y297" i="23" s="1"/>
  <c r="E173" i="1"/>
  <c r="R173" i="1" s="1"/>
  <c r="S171" i="1"/>
  <c r="Q265" i="1"/>
  <c r="C266" i="1"/>
  <c r="S173" i="1"/>
  <c r="S172" i="1"/>
  <c r="T172" i="1"/>
  <c r="F3443" i="3"/>
  <c r="F3468" i="3" s="1"/>
  <c r="F3493" i="3" s="1"/>
  <c r="F3518" i="3" s="1"/>
  <c r="F3543" i="3" s="1"/>
  <c r="F3568" i="3" s="1"/>
  <c r="F3593" i="3" s="1"/>
  <c r="F3618" i="3" s="1"/>
  <c r="F3668" i="3" s="1"/>
  <c r="F3417" i="3"/>
  <c r="E174" i="1"/>
  <c r="R174" i="1" s="1"/>
  <c r="S138" i="1"/>
  <c r="T138" i="1"/>
  <c r="E145" i="1"/>
  <c r="T144" i="1"/>
  <c r="S144" i="1"/>
  <c r="L136" i="1"/>
  <c r="X298" i="23" l="1"/>
  <c r="D299" i="23"/>
  <c r="V298" i="23"/>
  <c r="Y298" i="23" s="1"/>
  <c r="U298" i="23"/>
  <c r="T173" i="1"/>
  <c r="C267" i="1"/>
  <c r="Q266" i="1"/>
  <c r="T174" i="1"/>
  <c r="S174" i="1"/>
  <c r="F3467" i="3"/>
  <c r="F3492" i="3" s="1"/>
  <c r="F3517" i="3" s="1"/>
  <c r="F3542" i="3" s="1"/>
  <c r="F3567" i="3" s="1"/>
  <c r="F3592" i="3" s="1"/>
  <c r="F3617" i="3" s="1"/>
  <c r="F3642" i="3" s="1"/>
  <c r="F3692" i="3" s="1"/>
  <c r="F3441" i="3"/>
  <c r="E175" i="1"/>
  <c r="R175" i="1" s="1"/>
  <c r="E146" i="1"/>
  <c r="T145" i="1"/>
  <c r="S145" i="1"/>
  <c r="S139" i="1"/>
  <c r="T139" i="1"/>
  <c r="L135" i="1"/>
  <c r="U299" i="23" l="1"/>
  <c r="D300" i="23"/>
  <c r="X299" i="23"/>
  <c r="V299" i="23"/>
  <c r="Y299" i="23" s="1"/>
  <c r="C268" i="1"/>
  <c r="Q267" i="1"/>
  <c r="S175" i="1"/>
  <c r="T175" i="1"/>
  <c r="F3491" i="3"/>
  <c r="F3516" i="3" s="1"/>
  <c r="F3541" i="3" s="1"/>
  <c r="F3566" i="3" s="1"/>
  <c r="F3591" i="3" s="1"/>
  <c r="F3616" i="3" s="1"/>
  <c r="F3641" i="3" s="1"/>
  <c r="F3666" i="3" s="1"/>
  <c r="F3716" i="3" s="1"/>
  <c r="F3465" i="3"/>
  <c r="E176" i="1"/>
  <c r="R176" i="1" s="1"/>
  <c r="E147" i="1"/>
  <c r="T146" i="1"/>
  <c r="S146" i="1"/>
  <c r="T140" i="1"/>
  <c r="S140" i="1"/>
  <c r="S136" i="1"/>
  <c r="T136" i="1"/>
  <c r="T149" i="1"/>
  <c r="S149" i="1"/>
  <c r="Q135" i="1"/>
  <c r="L134" i="1"/>
  <c r="Q134" i="1"/>
  <c r="D301" i="23" l="1"/>
  <c r="V300" i="23"/>
  <c r="Y300" i="23" s="1"/>
  <c r="X300" i="23"/>
  <c r="U300" i="23"/>
  <c r="C269" i="1"/>
  <c r="Q268" i="1"/>
  <c r="S176" i="1"/>
  <c r="T176" i="1"/>
  <c r="F3515" i="3"/>
  <c r="F3540" i="3" s="1"/>
  <c r="F3565" i="3" s="1"/>
  <c r="F3590" i="3" s="1"/>
  <c r="F3615" i="3" s="1"/>
  <c r="F3640" i="3" s="1"/>
  <c r="F3665" i="3" s="1"/>
  <c r="F3690" i="3" s="1"/>
  <c r="F3740" i="3" s="1"/>
  <c r="F3489" i="3"/>
  <c r="E177" i="1"/>
  <c r="R177" i="1" s="1"/>
  <c r="S150" i="1"/>
  <c r="T150" i="1"/>
  <c r="E148" i="1"/>
  <c r="T147" i="1"/>
  <c r="S147" i="1"/>
  <c r="M133" i="1"/>
  <c r="U301" i="23" l="1"/>
  <c r="V301" i="23"/>
  <c r="Y301" i="23" s="1"/>
  <c r="D302" i="23"/>
  <c r="X301" i="23"/>
  <c r="C270" i="1"/>
  <c r="Q269" i="1"/>
  <c r="S177" i="1"/>
  <c r="T177" i="1"/>
  <c r="F3513" i="3"/>
  <c r="F3539" i="3"/>
  <c r="F3564" i="3" s="1"/>
  <c r="F3589" i="3" s="1"/>
  <c r="F3614" i="3" s="1"/>
  <c r="F3639" i="3" s="1"/>
  <c r="F3664" i="3" s="1"/>
  <c r="F3689" i="3" s="1"/>
  <c r="F3714" i="3" s="1"/>
  <c r="F3764" i="3" s="1"/>
  <c r="F4631" i="3" s="1"/>
  <c r="F4655" i="3" s="1"/>
  <c r="F4679" i="3" s="1"/>
  <c r="F4703" i="3" s="1"/>
  <c r="F4727" i="3" s="1"/>
  <c r="F4751" i="3" s="1"/>
  <c r="F4775" i="3" s="1"/>
  <c r="F4799" i="3" s="1"/>
  <c r="F4823" i="3" s="1"/>
  <c r="F4847" i="3" s="1"/>
  <c r="F4871" i="3" s="1"/>
  <c r="F4895" i="3" s="1"/>
  <c r="F4919" i="3" s="1"/>
  <c r="F4943" i="3" s="1"/>
  <c r="F4967" i="3" s="1"/>
  <c r="F4991" i="3" s="1"/>
  <c r="F5015" i="3" s="1"/>
  <c r="F5039" i="3" s="1"/>
  <c r="F5063" i="3" s="1"/>
  <c r="F5087" i="3" s="1"/>
  <c r="F5111" i="3" s="1"/>
  <c r="F5135" i="3" s="1"/>
  <c r="F5159" i="3" s="1"/>
  <c r="F5183" i="3" s="1"/>
  <c r="F5207" i="3" s="1"/>
  <c r="F5231" i="3" s="1"/>
  <c r="F5255" i="3" s="1"/>
  <c r="F5279" i="3" s="1"/>
  <c r="F5303" i="3" s="1"/>
  <c r="F5327" i="3" s="1"/>
  <c r="F5351" i="3" s="1"/>
  <c r="F5375" i="3" s="1"/>
  <c r="F5399" i="3" s="1"/>
  <c r="F5423" i="3" s="1"/>
  <c r="F5447" i="3" s="1"/>
  <c r="F5471" i="3" s="1"/>
  <c r="F5495" i="3" s="1"/>
  <c r="F5519" i="3" s="1"/>
  <c r="E178" i="1"/>
  <c r="R178" i="1" s="1"/>
  <c r="T148" i="1"/>
  <c r="S148" i="1"/>
  <c r="S151" i="1"/>
  <c r="T151" i="1"/>
  <c r="Q133" i="1"/>
  <c r="M132" i="1"/>
  <c r="X302" i="23" l="1"/>
  <c r="D303" i="23"/>
  <c r="V302" i="23"/>
  <c r="Y302" i="23" s="1"/>
  <c r="U302" i="23"/>
  <c r="C271" i="1"/>
  <c r="Q270" i="1"/>
  <c r="T178" i="1"/>
  <c r="S178" i="1"/>
  <c r="F3563" i="3"/>
  <c r="F3588" i="3" s="1"/>
  <c r="F3613" i="3" s="1"/>
  <c r="F3638" i="3" s="1"/>
  <c r="F3663" i="3" s="1"/>
  <c r="F3688" i="3" s="1"/>
  <c r="F3713" i="3" s="1"/>
  <c r="F3738" i="3" s="1"/>
  <c r="F3788" i="3" s="1"/>
  <c r="F3537" i="3"/>
  <c r="E179" i="1"/>
  <c r="R179" i="1" s="1"/>
  <c r="S152" i="1"/>
  <c r="T152" i="1"/>
  <c r="M131" i="1"/>
  <c r="U303" i="23" l="1"/>
  <c r="V303" i="23"/>
  <c r="Y303" i="23" s="1"/>
  <c r="D304" i="23"/>
  <c r="X303" i="23"/>
  <c r="C272" i="1"/>
  <c r="Q271" i="1"/>
  <c r="S179" i="1"/>
  <c r="T179" i="1"/>
  <c r="F3561" i="3"/>
  <c r="F3587" i="3"/>
  <c r="F3612" i="3" s="1"/>
  <c r="F3637" i="3" s="1"/>
  <c r="F3662" i="3" s="1"/>
  <c r="F3687" i="3" s="1"/>
  <c r="F3712" i="3" s="1"/>
  <c r="F3737" i="3" s="1"/>
  <c r="F3762" i="3" s="1"/>
  <c r="F3812" i="3" s="1"/>
  <c r="E180" i="1"/>
  <c r="R180" i="1" s="1"/>
  <c r="T153" i="1"/>
  <c r="S153" i="1"/>
  <c r="Q130" i="1"/>
  <c r="D305" i="23" l="1"/>
  <c r="V304" i="23"/>
  <c r="Y304" i="23" s="1"/>
  <c r="X304" i="23"/>
  <c r="U304" i="23"/>
  <c r="C273" i="1"/>
  <c r="Q272" i="1"/>
  <c r="S180" i="1"/>
  <c r="T180" i="1"/>
  <c r="F3585" i="3"/>
  <c r="F3611" i="3"/>
  <c r="F3636" i="3" s="1"/>
  <c r="F3661" i="3" s="1"/>
  <c r="F3686" i="3" s="1"/>
  <c r="F3711" i="3" s="1"/>
  <c r="F3736" i="3" s="1"/>
  <c r="F3761" i="3" s="1"/>
  <c r="F3786" i="3" s="1"/>
  <c r="F3836" i="3" s="1"/>
  <c r="F3860" i="3" s="1"/>
  <c r="F3884" i="3" s="1"/>
  <c r="F3908" i="3" s="1"/>
  <c r="F3932" i="3" s="1"/>
  <c r="F3956" i="3" s="1"/>
  <c r="F3980" i="3" s="1"/>
  <c r="F4004" i="3" s="1"/>
  <c r="F4028" i="3" s="1"/>
  <c r="F4052" i="3" s="1"/>
  <c r="F4076" i="3" s="1"/>
  <c r="F4100" i="3" s="1"/>
  <c r="F4124" i="3" s="1"/>
  <c r="F4148" i="3" s="1"/>
  <c r="F4172" i="3" s="1"/>
  <c r="F4196" i="3" s="1"/>
  <c r="F4220" i="3" s="1"/>
  <c r="F4244" i="3" s="1"/>
  <c r="F4268" i="3" s="1"/>
  <c r="F4292" i="3" s="1"/>
  <c r="F4316" i="3" s="1"/>
  <c r="F4340" i="3" s="1"/>
  <c r="F4364" i="3" s="1"/>
  <c r="F4388" i="3" s="1"/>
  <c r="F4412" i="3" s="1"/>
  <c r="F4436" i="3" s="1"/>
  <c r="F4460" i="3" s="1"/>
  <c r="F4484" i="3" s="1"/>
  <c r="F4508" i="3" s="1"/>
  <c r="F4532" i="3" s="1"/>
  <c r="F4556" i="3" s="1"/>
  <c r="F4580" i="3" s="1"/>
  <c r="F4604" i="3" s="1"/>
  <c r="F4628" i="3" s="1"/>
  <c r="F4652" i="3" s="1"/>
  <c r="F4676" i="3" s="1"/>
  <c r="F4700" i="3" s="1"/>
  <c r="F4724" i="3" s="1"/>
  <c r="F4748" i="3" s="1"/>
  <c r="F4772" i="3" s="1"/>
  <c r="F4796" i="3" s="1"/>
  <c r="F4820" i="3" s="1"/>
  <c r="F4844" i="3" s="1"/>
  <c r="F4868" i="3" s="1"/>
  <c r="F4892" i="3" s="1"/>
  <c r="F4916" i="3" s="1"/>
  <c r="F4940" i="3" s="1"/>
  <c r="F4964" i="3" s="1"/>
  <c r="F4988" i="3" s="1"/>
  <c r="F5012" i="3" s="1"/>
  <c r="F5036" i="3" s="1"/>
  <c r="F5060" i="3" s="1"/>
  <c r="F5084" i="3" s="1"/>
  <c r="F5108" i="3" s="1"/>
  <c r="F5132" i="3" s="1"/>
  <c r="F5156" i="3" s="1"/>
  <c r="F5180" i="3" s="1"/>
  <c r="F5204" i="3" s="1"/>
  <c r="F5228" i="3" s="1"/>
  <c r="F5252" i="3" s="1"/>
  <c r="F5276" i="3" s="1"/>
  <c r="F5300" i="3" s="1"/>
  <c r="F5324" i="3" s="1"/>
  <c r="F5348" i="3" s="1"/>
  <c r="F5372" i="3" s="1"/>
  <c r="F5396" i="3" s="1"/>
  <c r="F5420" i="3" s="1"/>
  <c r="F5444" i="3" s="1"/>
  <c r="F5468" i="3" s="1"/>
  <c r="F5492" i="3" s="1"/>
  <c r="F5516" i="3" s="1"/>
  <c r="E181" i="1"/>
  <c r="R181" i="1" s="1"/>
  <c r="S154" i="1"/>
  <c r="T154" i="1"/>
  <c r="Q129" i="1"/>
  <c r="U305" i="23" l="1"/>
  <c r="D306" i="23"/>
  <c r="X305" i="23"/>
  <c r="V305" i="23"/>
  <c r="Y305" i="23" s="1"/>
  <c r="C274" i="1"/>
  <c r="Q273" i="1"/>
  <c r="E182" i="1"/>
  <c r="R182" i="1" s="1"/>
  <c r="S181" i="1"/>
  <c r="T181" i="1"/>
  <c r="F3609" i="3"/>
  <c r="F3635" i="3"/>
  <c r="F3660" i="3" s="1"/>
  <c r="F3685" i="3" s="1"/>
  <c r="F3710" i="3" s="1"/>
  <c r="F3735" i="3" s="1"/>
  <c r="F3760" i="3" s="1"/>
  <c r="F3785" i="3" s="1"/>
  <c r="F3810" i="3" s="1"/>
  <c r="S155" i="1"/>
  <c r="T155" i="1"/>
  <c r="X306" i="23" l="1"/>
  <c r="D307" i="23"/>
  <c r="V306" i="23"/>
  <c r="Y306" i="23" s="1"/>
  <c r="U306" i="23"/>
  <c r="C275" i="1"/>
  <c r="Q274" i="1"/>
  <c r="E183" i="1"/>
  <c r="R183" i="1" s="1"/>
  <c r="T182" i="1"/>
  <c r="S182" i="1"/>
  <c r="F3659" i="3"/>
  <c r="F3684" i="3" s="1"/>
  <c r="F3709" i="3" s="1"/>
  <c r="F3734" i="3" s="1"/>
  <c r="F3759" i="3" s="1"/>
  <c r="F3784" i="3" s="1"/>
  <c r="F3809" i="3" s="1"/>
  <c r="F3834" i="3" s="1"/>
  <c r="F3858" i="3" s="1"/>
  <c r="F3882" i="3" s="1"/>
  <c r="F3906" i="3" s="1"/>
  <c r="F3930" i="3" s="1"/>
  <c r="F3954" i="3" s="1"/>
  <c r="F3978" i="3" s="1"/>
  <c r="F4002" i="3" s="1"/>
  <c r="F4026" i="3" s="1"/>
  <c r="F4050" i="3" s="1"/>
  <c r="F4074" i="3" s="1"/>
  <c r="F4098" i="3" s="1"/>
  <c r="F4122" i="3" s="1"/>
  <c r="F4146" i="3" s="1"/>
  <c r="F4170" i="3" s="1"/>
  <c r="F4194" i="3" s="1"/>
  <c r="F4218" i="3" s="1"/>
  <c r="F4242" i="3" s="1"/>
  <c r="F4266" i="3" s="1"/>
  <c r="F4290" i="3" s="1"/>
  <c r="F4314" i="3" s="1"/>
  <c r="F4338" i="3" s="1"/>
  <c r="F4362" i="3" s="1"/>
  <c r="F4386" i="3" s="1"/>
  <c r="F4410" i="3" s="1"/>
  <c r="F4434" i="3" s="1"/>
  <c r="F4458" i="3" s="1"/>
  <c r="F4482" i="3" s="1"/>
  <c r="F4506" i="3" s="1"/>
  <c r="F4530" i="3" s="1"/>
  <c r="F4554" i="3" s="1"/>
  <c r="F4578" i="3" s="1"/>
  <c r="F4602" i="3" s="1"/>
  <c r="F4626" i="3" s="1"/>
  <c r="F4650" i="3" s="1"/>
  <c r="F4674" i="3" s="1"/>
  <c r="F4698" i="3" s="1"/>
  <c r="F4722" i="3" s="1"/>
  <c r="F4746" i="3" s="1"/>
  <c r="F4770" i="3" s="1"/>
  <c r="F4794" i="3" s="1"/>
  <c r="F4818" i="3" s="1"/>
  <c r="F4842" i="3" s="1"/>
  <c r="F4866" i="3" s="1"/>
  <c r="F4890" i="3" s="1"/>
  <c r="F4914" i="3" s="1"/>
  <c r="F4938" i="3" s="1"/>
  <c r="F4962" i="3" s="1"/>
  <c r="F4986" i="3" s="1"/>
  <c r="F5010" i="3" s="1"/>
  <c r="F5034" i="3" s="1"/>
  <c r="F5058" i="3" s="1"/>
  <c r="F5082" i="3" s="1"/>
  <c r="F5106" i="3" s="1"/>
  <c r="F5130" i="3" s="1"/>
  <c r="F5154" i="3" s="1"/>
  <c r="F5178" i="3" s="1"/>
  <c r="F5202" i="3" s="1"/>
  <c r="F5226" i="3" s="1"/>
  <c r="F5250" i="3" s="1"/>
  <c r="F5274" i="3" s="1"/>
  <c r="F5298" i="3" s="1"/>
  <c r="F5322" i="3" s="1"/>
  <c r="F5346" i="3" s="1"/>
  <c r="F5370" i="3" s="1"/>
  <c r="F5394" i="3" s="1"/>
  <c r="F5418" i="3" s="1"/>
  <c r="F5442" i="3" s="1"/>
  <c r="F5466" i="3" s="1"/>
  <c r="F5490" i="3" s="1"/>
  <c r="F5514" i="3" s="1"/>
  <c r="F3633" i="3"/>
  <c r="S156" i="1"/>
  <c r="T156" i="1"/>
  <c r="L127" i="1"/>
  <c r="X307" i="23" l="1"/>
  <c r="D308" i="23"/>
  <c r="V307" i="23"/>
  <c r="Y307" i="23" s="1"/>
  <c r="U307" i="23"/>
  <c r="S183" i="1"/>
  <c r="E184" i="1"/>
  <c r="R184" i="1" s="1"/>
  <c r="T183" i="1"/>
  <c r="C276" i="1"/>
  <c r="Q275" i="1"/>
  <c r="F3657" i="3"/>
  <c r="F3683" i="3"/>
  <c r="F3708" i="3" s="1"/>
  <c r="F3733" i="3" s="1"/>
  <c r="F3758" i="3" s="1"/>
  <c r="F3783" i="3" s="1"/>
  <c r="F3808" i="3" s="1"/>
  <c r="F3833" i="3" s="1"/>
  <c r="F3857" i="3" s="1"/>
  <c r="F3881" i="3" s="1"/>
  <c r="F3905" i="3" s="1"/>
  <c r="F3929" i="3" s="1"/>
  <c r="F3953" i="3" s="1"/>
  <c r="F3977" i="3" s="1"/>
  <c r="F4001" i="3" s="1"/>
  <c r="F4025" i="3" s="1"/>
  <c r="F4049" i="3" s="1"/>
  <c r="F4073" i="3" s="1"/>
  <c r="F4097" i="3" s="1"/>
  <c r="F4121" i="3" s="1"/>
  <c r="F4145" i="3" s="1"/>
  <c r="F4169" i="3" s="1"/>
  <c r="F4193" i="3" s="1"/>
  <c r="F4217" i="3" s="1"/>
  <c r="F4241" i="3" s="1"/>
  <c r="F4265" i="3" s="1"/>
  <c r="F4289" i="3" s="1"/>
  <c r="F4313" i="3" s="1"/>
  <c r="F4337" i="3" s="1"/>
  <c r="F4361" i="3" s="1"/>
  <c r="F4385" i="3" s="1"/>
  <c r="F4409" i="3" s="1"/>
  <c r="F4433" i="3" s="1"/>
  <c r="F4457" i="3" s="1"/>
  <c r="F4481" i="3" s="1"/>
  <c r="F4505" i="3" s="1"/>
  <c r="F4529" i="3" s="1"/>
  <c r="F4553" i="3" s="1"/>
  <c r="F4577" i="3" s="1"/>
  <c r="F4601" i="3" s="1"/>
  <c r="F4625" i="3" s="1"/>
  <c r="F4649" i="3" s="1"/>
  <c r="F4673" i="3" s="1"/>
  <c r="F4697" i="3" s="1"/>
  <c r="F4721" i="3" s="1"/>
  <c r="F4745" i="3" s="1"/>
  <c r="F4769" i="3" s="1"/>
  <c r="F4793" i="3" s="1"/>
  <c r="F4817" i="3" s="1"/>
  <c r="F4841" i="3" s="1"/>
  <c r="F4865" i="3" s="1"/>
  <c r="F4889" i="3" s="1"/>
  <c r="F4913" i="3" s="1"/>
  <c r="F4937" i="3" s="1"/>
  <c r="F4961" i="3" s="1"/>
  <c r="F4985" i="3" s="1"/>
  <c r="F5009" i="3" s="1"/>
  <c r="F5033" i="3" s="1"/>
  <c r="F5057" i="3" s="1"/>
  <c r="F5081" i="3" s="1"/>
  <c r="F5105" i="3" s="1"/>
  <c r="F5129" i="3" s="1"/>
  <c r="F5153" i="3" s="1"/>
  <c r="F5177" i="3" s="1"/>
  <c r="F5201" i="3" s="1"/>
  <c r="F5225" i="3" s="1"/>
  <c r="F5249" i="3" s="1"/>
  <c r="F5273" i="3" s="1"/>
  <c r="F5297" i="3" s="1"/>
  <c r="F5321" i="3" s="1"/>
  <c r="F5345" i="3" s="1"/>
  <c r="F5369" i="3" s="1"/>
  <c r="F5393" i="3" s="1"/>
  <c r="F5417" i="3" s="1"/>
  <c r="F5441" i="3" s="1"/>
  <c r="F5465" i="3" s="1"/>
  <c r="F5489" i="3" s="1"/>
  <c r="F5513" i="3" s="1"/>
  <c r="S157" i="1"/>
  <c r="T157" i="1"/>
  <c r="X308" i="23" l="1"/>
  <c r="D309" i="23"/>
  <c r="V308" i="23"/>
  <c r="Y308" i="23" s="1"/>
  <c r="U308" i="23"/>
  <c r="Q276" i="1"/>
  <c r="C277" i="1"/>
  <c r="T184" i="1"/>
  <c r="E185" i="1"/>
  <c r="R185" i="1" s="1"/>
  <c r="S184" i="1"/>
  <c r="F3681" i="3"/>
  <c r="F3707" i="3"/>
  <c r="F3732" i="3" s="1"/>
  <c r="F3757" i="3" s="1"/>
  <c r="F3782" i="3" s="1"/>
  <c r="F3807" i="3" s="1"/>
  <c r="F3832" i="3" s="1"/>
  <c r="F3856" i="3" s="1"/>
  <c r="F3880" i="3" s="1"/>
  <c r="F3904" i="3" s="1"/>
  <c r="F3928" i="3" s="1"/>
  <c r="F3952" i="3" s="1"/>
  <c r="F3976" i="3" s="1"/>
  <c r="F4000" i="3" s="1"/>
  <c r="F4024" i="3" s="1"/>
  <c r="F4048" i="3" s="1"/>
  <c r="F4072" i="3" s="1"/>
  <c r="F4096" i="3" s="1"/>
  <c r="F4120" i="3" s="1"/>
  <c r="F4144" i="3" s="1"/>
  <c r="F4168" i="3" s="1"/>
  <c r="F4192" i="3" s="1"/>
  <c r="F4216" i="3" s="1"/>
  <c r="F4240" i="3" s="1"/>
  <c r="F4264" i="3" s="1"/>
  <c r="F4288" i="3" s="1"/>
  <c r="F4312" i="3" s="1"/>
  <c r="F4336" i="3" s="1"/>
  <c r="F4360" i="3" s="1"/>
  <c r="F4384" i="3" s="1"/>
  <c r="F4408" i="3" s="1"/>
  <c r="F4432" i="3" s="1"/>
  <c r="F4456" i="3" s="1"/>
  <c r="F4480" i="3" s="1"/>
  <c r="F4504" i="3" s="1"/>
  <c r="F4528" i="3" s="1"/>
  <c r="F4552" i="3" s="1"/>
  <c r="F4576" i="3" s="1"/>
  <c r="F4600" i="3" s="1"/>
  <c r="F4624" i="3" s="1"/>
  <c r="F4648" i="3" s="1"/>
  <c r="F4672" i="3" s="1"/>
  <c r="F4696" i="3" s="1"/>
  <c r="F4720" i="3" s="1"/>
  <c r="F4744" i="3" s="1"/>
  <c r="F4768" i="3" s="1"/>
  <c r="F4792" i="3" s="1"/>
  <c r="F4816" i="3" s="1"/>
  <c r="F4840" i="3" s="1"/>
  <c r="F4864" i="3" s="1"/>
  <c r="F4888" i="3" s="1"/>
  <c r="F4912" i="3" s="1"/>
  <c r="F4936" i="3" s="1"/>
  <c r="F4960" i="3" s="1"/>
  <c r="F4984" i="3" s="1"/>
  <c r="F5008" i="3" s="1"/>
  <c r="F5032" i="3" s="1"/>
  <c r="F5056" i="3" s="1"/>
  <c r="F5080" i="3" s="1"/>
  <c r="F5104" i="3" s="1"/>
  <c r="F5128" i="3" s="1"/>
  <c r="F5152" i="3" s="1"/>
  <c r="F5176" i="3" s="1"/>
  <c r="F5200" i="3" s="1"/>
  <c r="F5224" i="3" s="1"/>
  <c r="F5248" i="3" s="1"/>
  <c r="F5272" i="3" s="1"/>
  <c r="F5296" i="3" s="1"/>
  <c r="F5320" i="3" s="1"/>
  <c r="F5344" i="3" s="1"/>
  <c r="F5368" i="3" s="1"/>
  <c r="F5392" i="3" s="1"/>
  <c r="F5416" i="3" s="1"/>
  <c r="F5440" i="3" s="1"/>
  <c r="F5464" i="3" s="1"/>
  <c r="F5488" i="3" s="1"/>
  <c r="F5512" i="3" s="1"/>
  <c r="S158" i="1"/>
  <c r="T158" i="1"/>
  <c r="U309" i="23" l="1"/>
  <c r="D310" i="23"/>
  <c r="X309" i="23"/>
  <c r="V309" i="23"/>
  <c r="Y309" i="23" s="1"/>
  <c r="T185" i="1"/>
  <c r="E186" i="1"/>
  <c r="R186" i="1" s="1"/>
  <c r="S185" i="1"/>
  <c r="Q277" i="1"/>
  <c r="C278" i="1"/>
  <c r="T186" i="1"/>
  <c r="S186" i="1"/>
  <c r="F3705" i="3"/>
  <c r="F3731" i="3"/>
  <c r="F3756" i="3" s="1"/>
  <c r="F3781" i="3" s="1"/>
  <c r="F3806" i="3" s="1"/>
  <c r="F3831" i="3" s="1"/>
  <c r="F3855" i="3" s="1"/>
  <c r="F3879" i="3" s="1"/>
  <c r="F3903" i="3" s="1"/>
  <c r="F3927" i="3" s="1"/>
  <c r="F3951" i="3" s="1"/>
  <c r="F3975" i="3" s="1"/>
  <c r="F3999" i="3" s="1"/>
  <c r="F4023" i="3" s="1"/>
  <c r="F4047" i="3" s="1"/>
  <c r="F4071" i="3" s="1"/>
  <c r="F4095" i="3" s="1"/>
  <c r="F4119" i="3" s="1"/>
  <c r="F4143" i="3" s="1"/>
  <c r="F4167" i="3" s="1"/>
  <c r="F4191" i="3" s="1"/>
  <c r="F4215" i="3" s="1"/>
  <c r="F4239" i="3" s="1"/>
  <c r="F4263" i="3" s="1"/>
  <c r="F4287" i="3" s="1"/>
  <c r="F4311" i="3" s="1"/>
  <c r="F4335" i="3" s="1"/>
  <c r="F4359" i="3" s="1"/>
  <c r="F4383" i="3" s="1"/>
  <c r="F4407" i="3" s="1"/>
  <c r="F4431" i="3" s="1"/>
  <c r="F4455" i="3" s="1"/>
  <c r="F4479" i="3" s="1"/>
  <c r="F4503" i="3" s="1"/>
  <c r="F4527" i="3" s="1"/>
  <c r="F4551" i="3" s="1"/>
  <c r="F4575" i="3" s="1"/>
  <c r="F4599" i="3" s="1"/>
  <c r="F4623" i="3" s="1"/>
  <c r="F4647" i="3" s="1"/>
  <c r="F4671" i="3" s="1"/>
  <c r="F4695" i="3" s="1"/>
  <c r="F4719" i="3" s="1"/>
  <c r="F4743" i="3" s="1"/>
  <c r="F4767" i="3" s="1"/>
  <c r="F4791" i="3" s="1"/>
  <c r="F4815" i="3" s="1"/>
  <c r="F4839" i="3" s="1"/>
  <c r="F4863" i="3" s="1"/>
  <c r="F4887" i="3" s="1"/>
  <c r="F4911" i="3" s="1"/>
  <c r="F4935" i="3" s="1"/>
  <c r="F4959" i="3" s="1"/>
  <c r="F4983" i="3" s="1"/>
  <c r="F5007" i="3" s="1"/>
  <c r="F5031" i="3" s="1"/>
  <c r="F5055" i="3" s="1"/>
  <c r="F5079" i="3" s="1"/>
  <c r="F5103" i="3" s="1"/>
  <c r="F5127" i="3" s="1"/>
  <c r="F5151" i="3" s="1"/>
  <c r="F5175" i="3" s="1"/>
  <c r="F5199" i="3" s="1"/>
  <c r="F5223" i="3" s="1"/>
  <c r="F5247" i="3" s="1"/>
  <c r="F5271" i="3" s="1"/>
  <c r="F5295" i="3" s="1"/>
  <c r="F5319" i="3" s="1"/>
  <c r="F5343" i="3" s="1"/>
  <c r="F5367" i="3" s="1"/>
  <c r="F5391" i="3" s="1"/>
  <c r="F5415" i="3" s="1"/>
  <c r="F5439" i="3" s="1"/>
  <c r="F5463" i="3" s="1"/>
  <c r="F5487" i="3" s="1"/>
  <c r="F5511" i="3" s="1"/>
  <c r="F5535" i="3" s="1"/>
  <c r="F5559" i="3" s="1"/>
  <c r="F5583" i="3" s="1"/>
  <c r="F5607" i="3" s="1"/>
  <c r="F5631" i="3" s="1"/>
  <c r="F5655" i="3" s="1"/>
  <c r="F5679" i="3" s="1"/>
  <c r="F5703" i="3" s="1"/>
  <c r="F5727" i="3" s="1"/>
  <c r="F5751" i="3" s="1"/>
  <c r="F5775" i="3" s="1"/>
  <c r="F5799" i="3" s="1"/>
  <c r="F5823" i="3" s="1"/>
  <c r="F5847" i="3" s="1"/>
  <c r="F5871" i="3" s="1"/>
  <c r="F5895" i="3" s="1"/>
  <c r="F5919" i="3" s="1"/>
  <c r="F5943" i="3" s="1"/>
  <c r="F5967" i="3" s="1"/>
  <c r="F5991" i="3" s="1"/>
  <c r="F6015" i="3" s="1"/>
  <c r="F6039" i="3" s="1"/>
  <c r="F6063" i="3" s="1"/>
  <c r="F6087" i="3" s="1"/>
  <c r="F6111" i="3" s="1"/>
  <c r="F6135" i="3" s="1"/>
  <c r="F6159" i="3" s="1"/>
  <c r="F6183" i="3" s="1"/>
  <c r="F6207" i="3" s="1"/>
  <c r="F6231" i="3" s="1"/>
  <c r="F6255" i="3" s="1"/>
  <c r="F6279" i="3" s="1"/>
  <c r="F6303" i="3" s="1"/>
  <c r="F6327" i="3" s="1"/>
  <c r="F6351" i="3" s="1"/>
  <c r="F6375" i="3" s="1"/>
  <c r="F6399" i="3" s="1"/>
  <c r="F6423" i="3" s="1"/>
  <c r="F6447" i="3" s="1"/>
  <c r="F6471" i="3" s="1"/>
  <c r="F6495" i="3" s="1"/>
  <c r="F6519" i="3" s="1"/>
  <c r="F6543" i="3" s="1"/>
  <c r="F6567" i="3" s="1"/>
  <c r="F6591" i="3" s="1"/>
  <c r="F6615" i="3" s="1"/>
  <c r="F6639" i="3" s="1"/>
  <c r="F6663" i="3" s="1"/>
  <c r="F6687" i="3" s="1"/>
  <c r="F6711" i="3" s="1"/>
  <c r="F6735" i="3" s="1"/>
  <c r="F6759" i="3" s="1"/>
  <c r="F6783" i="3" s="1"/>
  <c r="F6807" i="3" s="1"/>
  <c r="F6831" i="3" s="1"/>
  <c r="F6855" i="3" s="1"/>
  <c r="F6879" i="3" s="1"/>
  <c r="F6903" i="3" s="1"/>
  <c r="F6927" i="3" s="1"/>
  <c r="F6951" i="3" s="1"/>
  <c r="F6975" i="3" s="1"/>
  <c r="F6999" i="3" s="1"/>
  <c r="F7023" i="3" s="1"/>
  <c r="F7047" i="3" s="1"/>
  <c r="F7071" i="3" s="1"/>
  <c r="F7095" i="3" s="1"/>
  <c r="F7119" i="3" s="1"/>
  <c r="F7143" i="3" s="1"/>
  <c r="F7167" i="3" s="1"/>
  <c r="F7191" i="3" s="1"/>
  <c r="F7215" i="3" s="1"/>
  <c r="F7239" i="3" s="1"/>
  <c r="F7263" i="3" s="1"/>
  <c r="F7287" i="3" s="1"/>
  <c r="F7311" i="3" s="1"/>
  <c r="F7335" i="3" s="1"/>
  <c r="F7359" i="3" s="1"/>
  <c r="F7383" i="3" s="1"/>
  <c r="F7407" i="3" s="1"/>
  <c r="F7431" i="3" s="1"/>
  <c r="F7455" i="3" s="1"/>
  <c r="F7479" i="3" s="1"/>
  <c r="F7503" i="3" s="1"/>
  <c r="F7527" i="3" s="1"/>
  <c r="F7551" i="3" s="1"/>
  <c r="F7575" i="3" s="1"/>
  <c r="F7599" i="3" s="1"/>
  <c r="F7623" i="3" s="1"/>
  <c r="F7647" i="3" s="1"/>
  <c r="F7671" i="3" s="1"/>
  <c r="F7695" i="3" s="1"/>
  <c r="F7719" i="3" s="1"/>
  <c r="F7743" i="3" s="1"/>
  <c r="F7767" i="3" s="1"/>
  <c r="F7791" i="3" s="1"/>
  <c r="F7815" i="3" s="1"/>
  <c r="F7839" i="3" s="1"/>
  <c r="F7863" i="3" s="1"/>
  <c r="F7887" i="3" s="1"/>
  <c r="F7911" i="3" s="1"/>
  <c r="F7935" i="3" s="1"/>
  <c r="F7959" i="3" s="1"/>
  <c r="F8007" i="3" s="1"/>
  <c r="E187" i="1"/>
  <c r="R187" i="1" s="1"/>
  <c r="S159" i="1"/>
  <c r="T159" i="1"/>
  <c r="M124" i="1"/>
  <c r="D311" i="23" l="1"/>
  <c r="V310" i="23"/>
  <c r="Y310" i="23" s="1"/>
  <c r="X310" i="23"/>
  <c r="U310" i="23"/>
  <c r="F8031" i="3"/>
  <c r="F8055" i="3" s="1"/>
  <c r="F8079" i="3" s="1"/>
  <c r="F8103" i="3" s="1"/>
  <c r="F8127" i="3" s="1"/>
  <c r="F8151" i="3" s="1"/>
  <c r="F8175" i="3" s="1"/>
  <c r="F8199" i="3" s="1"/>
  <c r="F8223" i="3" s="1"/>
  <c r="F8247" i="3" s="1"/>
  <c r="F8271" i="3" s="1"/>
  <c r="F8295" i="3" s="1"/>
  <c r="F8319" i="3" s="1"/>
  <c r="F8343" i="3" s="1"/>
  <c r="F8367" i="3" s="1"/>
  <c r="F8391" i="3" s="1"/>
  <c r="F8415" i="3" s="1"/>
  <c r="F8439" i="3" s="1"/>
  <c r="F8463" i="3" s="1"/>
  <c r="F8487" i="3" s="1"/>
  <c r="F8511" i="3" s="1"/>
  <c r="F8535" i="3" s="1"/>
  <c r="F8559" i="3" s="1"/>
  <c r="F8583" i="3" s="1"/>
  <c r="F8607" i="3" s="1"/>
  <c r="F8631" i="3" s="1"/>
  <c r="F8655" i="3" s="1"/>
  <c r="F8679" i="3" s="1"/>
  <c r="F8703" i="3" s="1"/>
  <c r="F8727" i="3" s="1"/>
  <c r="F8751" i="3" s="1"/>
  <c r="F8775" i="3" s="1"/>
  <c r="F8799" i="3" s="1"/>
  <c r="F8823" i="3" s="1"/>
  <c r="F8847" i="3" s="1"/>
  <c r="F8871" i="3" s="1"/>
  <c r="F8895" i="3" s="1"/>
  <c r="F8919" i="3" s="1"/>
  <c r="F8943" i="3" s="1"/>
  <c r="F8967" i="3" s="1"/>
  <c r="F8991" i="3" s="1"/>
  <c r="F9015" i="3" s="1"/>
  <c r="F9039" i="3" s="1"/>
  <c r="F9063" i="3" s="1"/>
  <c r="F9087" i="3" s="1"/>
  <c r="F9111" i="3" s="1"/>
  <c r="F9135" i="3" s="1"/>
  <c r="F9159" i="3" s="1"/>
  <c r="F9183" i="3" s="1"/>
  <c r="F9207" i="3" s="1"/>
  <c r="F9231" i="3" s="1"/>
  <c r="F9255" i="3" s="1"/>
  <c r="F9279" i="3" s="1"/>
  <c r="F9303" i="3" s="1"/>
  <c r="F9327" i="3" s="1"/>
  <c r="F9351" i="3" s="1"/>
  <c r="F9375" i="3" s="1"/>
  <c r="F9399" i="3" s="1"/>
  <c r="F9423" i="3" s="1"/>
  <c r="F9447" i="3" s="1"/>
  <c r="F9471" i="3" s="1"/>
  <c r="F9495" i="3" s="1"/>
  <c r="F9519" i="3" s="1"/>
  <c r="F9543" i="3" s="1"/>
  <c r="F9567" i="3" s="1"/>
  <c r="F9591" i="3" s="1"/>
  <c r="F9615" i="3" s="1"/>
  <c r="F9639" i="3" s="1"/>
  <c r="F9663" i="3" s="1"/>
  <c r="F9687" i="3" s="1"/>
  <c r="F9711" i="3" s="1"/>
  <c r="F9735" i="3" s="1"/>
  <c r="F9759" i="3" s="1"/>
  <c r="Q278" i="1"/>
  <c r="C279" i="1"/>
  <c r="S187" i="1"/>
  <c r="T187" i="1"/>
  <c r="F3729" i="3"/>
  <c r="F3755" i="3"/>
  <c r="F3780" i="3" s="1"/>
  <c r="F3805" i="3" s="1"/>
  <c r="F3830" i="3" s="1"/>
  <c r="F3854" i="3" s="1"/>
  <c r="F3878" i="3" s="1"/>
  <c r="F3902" i="3" s="1"/>
  <c r="F3926" i="3" s="1"/>
  <c r="F3950" i="3" s="1"/>
  <c r="F3974" i="3" s="1"/>
  <c r="F3998" i="3" s="1"/>
  <c r="F4022" i="3" s="1"/>
  <c r="F4046" i="3" s="1"/>
  <c r="F4070" i="3" s="1"/>
  <c r="F4094" i="3" s="1"/>
  <c r="F4118" i="3" s="1"/>
  <c r="F4142" i="3" s="1"/>
  <c r="F4166" i="3" s="1"/>
  <c r="F4190" i="3" s="1"/>
  <c r="F4214" i="3" s="1"/>
  <c r="F4238" i="3" s="1"/>
  <c r="F4262" i="3" s="1"/>
  <c r="F4286" i="3" s="1"/>
  <c r="F4310" i="3" s="1"/>
  <c r="F4334" i="3" s="1"/>
  <c r="F4358" i="3" s="1"/>
  <c r="F4382" i="3" s="1"/>
  <c r="F4406" i="3" s="1"/>
  <c r="F4430" i="3" s="1"/>
  <c r="F4454" i="3" s="1"/>
  <c r="F4478" i="3" s="1"/>
  <c r="F4502" i="3" s="1"/>
  <c r="F4526" i="3" s="1"/>
  <c r="F4550" i="3" s="1"/>
  <c r="F4574" i="3" s="1"/>
  <c r="F4598" i="3" s="1"/>
  <c r="F4622" i="3" s="1"/>
  <c r="F4646" i="3" s="1"/>
  <c r="F4670" i="3" s="1"/>
  <c r="F4694" i="3" s="1"/>
  <c r="F4718" i="3" s="1"/>
  <c r="F4742" i="3" s="1"/>
  <c r="F4766" i="3" s="1"/>
  <c r="F4790" i="3" s="1"/>
  <c r="F4814" i="3" s="1"/>
  <c r="F4838" i="3" s="1"/>
  <c r="F4862" i="3" s="1"/>
  <c r="F4886" i="3" s="1"/>
  <c r="F4910" i="3" s="1"/>
  <c r="F4934" i="3" s="1"/>
  <c r="F4958" i="3" s="1"/>
  <c r="F4982" i="3" s="1"/>
  <c r="F5006" i="3" s="1"/>
  <c r="F5030" i="3" s="1"/>
  <c r="F5054" i="3" s="1"/>
  <c r="F5078" i="3" s="1"/>
  <c r="F5102" i="3" s="1"/>
  <c r="F5126" i="3" s="1"/>
  <c r="F5150" i="3" s="1"/>
  <c r="F5174" i="3" s="1"/>
  <c r="F5198" i="3" s="1"/>
  <c r="F5222" i="3" s="1"/>
  <c r="F5246" i="3" s="1"/>
  <c r="F5270" i="3" s="1"/>
  <c r="F5294" i="3" s="1"/>
  <c r="F5318" i="3" s="1"/>
  <c r="F5342" i="3" s="1"/>
  <c r="F5366" i="3" s="1"/>
  <c r="F5390" i="3" s="1"/>
  <c r="F5414" i="3" s="1"/>
  <c r="F5438" i="3" s="1"/>
  <c r="F5462" i="3" s="1"/>
  <c r="F5486" i="3" s="1"/>
  <c r="F5510" i="3" s="1"/>
  <c r="E188" i="1"/>
  <c r="R188" i="1" s="1"/>
  <c r="S160" i="1"/>
  <c r="T160" i="1"/>
  <c r="L123" i="1"/>
  <c r="K123" i="1" s="1"/>
  <c r="U311" i="23" l="1"/>
  <c r="V311" i="23"/>
  <c r="Y311" i="23" s="1"/>
  <c r="D312" i="23"/>
  <c r="X311" i="23"/>
  <c r="Q279" i="1"/>
  <c r="C280" i="1"/>
  <c r="S188" i="1"/>
  <c r="T188" i="1"/>
  <c r="F3779" i="3"/>
  <c r="F3804" i="3" s="1"/>
  <c r="F3829" i="3" s="1"/>
  <c r="F3853" i="3" s="1"/>
  <c r="F3877" i="3" s="1"/>
  <c r="F3901" i="3" s="1"/>
  <c r="F3925" i="3" s="1"/>
  <c r="F3949" i="3" s="1"/>
  <c r="F3973" i="3" s="1"/>
  <c r="F3997" i="3" s="1"/>
  <c r="F4021" i="3" s="1"/>
  <c r="F4045" i="3" s="1"/>
  <c r="F4069" i="3" s="1"/>
  <c r="F4093" i="3" s="1"/>
  <c r="F4117" i="3" s="1"/>
  <c r="F4141" i="3" s="1"/>
  <c r="F4165" i="3" s="1"/>
  <c r="F4189" i="3" s="1"/>
  <c r="F4213" i="3" s="1"/>
  <c r="F4237" i="3" s="1"/>
  <c r="F4261" i="3" s="1"/>
  <c r="F4285" i="3" s="1"/>
  <c r="F4309" i="3" s="1"/>
  <c r="F4333" i="3" s="1"/>
  <c r="F4357" i="3" s="1"/>
  <c r="F4381" i="3" s="1"/>
  <c r="F4405" i="3" s="1"/>
  <c r="F4429" i="3" s="1"/>
  <c r="F4453" i="3" s="1"/>
  <c r="F4477" i="3" s="1"/>
  <c r="F4501" i="3" s="1"/>
  <c r="F4525" i="3" s="1"/>
  <c r="F4549" i="3" s="1"/>
  <c r="F4573" i="3" s="1"/>
  <c r="F4597" i="3" s="1"/>
  <c r="F4621" i="3" s="1"/>
  <c r="F4645" i="3" s="1"/>
  <c r="F4669" i="3" s="1"/>
  <c r="F4693" i="3" s="1"/>
  <c r="F4717" i="3" s="1"/>
  <c r="F4741" i="3" s="1"/>
  <c r="F4765" i="3" s="1"/>
  <c r="F4789" i="3" s="1"/>
  <c r="F4813" i="3" s="1"/>
  <c r="F4837" i="3" s="1"/>
  <c r="F4861" i="3" s="1"/>
  <c r="F4885" i="3" s="1"/>
  <c r="F4909" i="3" s="1"/>
  <c r="F4933" i="3" s="1"/>
  <c r="F4957" i="3" s="1"/>
  <c r="F4981" i="3" s="1"/>
  <c r="F5005" i="3" s="1"/>
  <c r="F5029" i="3" s="1"/>
  <c r="F5053" i="3" s="1"/>
  <c r="F5077" i="3" s="1"/>
  <c r="F5101" i="3" s="1"/>
  <c r="F5125" i="3" s="1"/>
  <c r="F5149" i="3" s="1"/>
  <c r="F5173" i="3" s="1"/>
  <c r="F5197" i="3" s="1"/>
  <c r="F5221" i="3" s="1"/>
  <c r="F5245" i="3" s="1"/>
  <c r="F5269" i="3" s="1"/>
  <c r="F5293" i="3" s="1"/>
  <c r="F5317" i="3" s="1"/>
  <c r="F5341" i="3" s="1"/>
  <c r="F5365" i="3" s="1"/>
  <c r="F5389" i="3" s="1"/>
  <c r="F5413" i="3" s="1"/>
  <c r="F5437" i="3" s="1"/>
  <c r="F5461" i="3" s="1"/>
  <c r="F5485" i="3" s="1"/>
  <c r="F5509" i="3" s="1"/>
  <c r="F3753" i="3"/>
  <c r="E189" i="1"/>
  <c r="R189" i="1" s="1"/>
  <c r="T161" i="1"/>
  <c r="E122" i="1"/>
  <c r="L121" i="1"/>
  <c r="L120" i="1"/>
  <c r="X312" i="23" l="1"/>
  <c r="D313" i="23"/>
  <c r="V312" i="23"/>
  <c r="Y312" i="23" s="1"/>
  <c r="U312" i="23"/>
  <c r="Q280" i="1"/>
  <c r="C281" i="1"/>
  <c r="S189" i="1"/>
  <c r="T189" i="1"/>
  <c r="F3777" i="3"/>
  <c r="F3803" i="3"/>
  <c r="F3828" i="3" s="1"/>
  <c r="F3852" i="3" s="1"/>
  <c r="F3876" i="3" s="1"/>
  <c r="F3900" i="3" s="1"/>
  <c r="F3924" i="3" s="1"/>
  <c r="F3948" i="3" s="1"/>
  <c r="F3972" i="3" s="1"/>
  <c r="F3996" i="3" s="1"/>
  <c r="F4020" i="3" s="1"/>
  <c r="F4044" i="3" s="1"/>
  <c r="F4068" i="3" s="1"/>
  <c r="F4092" i="3" s="1"/>
  <c r="F4116" i="3" s="1"/>
  <c r="F4140" i="3" s="1"/>
  <c r="F4164" i="3" s="1"/>
  <c r="F4188" i="3" s="1"/>
  <c r="F4212" i="3" s="1"/>
  <c r="F4236" i="3" s="1"/>
  <c r="F4260" i="3" s="1"/>
  <c r="F4284" i="3" s="1"/>
  <c r="F4308" i="3" s="1"/>
  <c r="F4332" i="3" s="1"/>
  <c r="F4356" i="3" s="1"/>
  <c r="F4380" i="3" s="1"/>
  <c r="F4404" i="3" s="1"/>
  <c r="F4428" i="3" s="1"/>
  <c r="F4452" i="3" s="1"/>
  <c r="F4476" i="3" s="1"/>
  <c r="F4500" i="3" s="1"/>
  <c r="F4524" i="3" s="1"/>
  <c r="F4548" i="3" s="1"/>
  <c r="F4572" i="3" s="1"/>
  <c r="F4596" i="3" s="1"/>
  <c r="F4620" i="3" s="1"/>
  <c r="F4644" i="3" s="1"/>
  <c r="F4668" i="3" s="1"/>
  <c r="F4692" i="3" s="1"/>
  <c r="F4716" i="3" s="1"/>
  <c r="F4740" i="3" s="1"/>
  <c r="F4764" i="3" s="1"/>
  <c r="F4788" i="3" s="1"/>
  <c r="F4812" i="3" s="1"/>
  <c r="F4836" i="3" s="1"/>
  <c r="F4860" i="3" s="1"/>
  <c r="F4884" i="3" s="1"/>
  <c r="F4908" i="3" s="1"/>
  <c r="F4932" i="3" s="1"/>
  <c r="F4956" i="3" s="1"/>
  <c r="F4980" i="3" s="1"/>
  <c r="F5004" i="3" s="1"/>
  <c r="F5028" i="3" s="1"/>
  <c r="F5052" i="3" s="1"/>
  <c r="F5076" i="3" s="1"/>
  <c r="F5100" i="3" s="1"/>
  <c r="F5124" i="3" s="1"/>
  <c r="F5148" i="3" s="1"/>
  <c r="F5172" i="3" s="1"/>
  <c r="F5196" i="3" s="1"/>
  <c r="F5220" i="3" s="1"/>
  <c r="F5244" i="3" s="1"/>
  <c r="F5268" i="3" s="1"/>
  <c r="F5292" i="3" s="1"/>
  <c r="F5316" i="3" s="1"/>
  <c r="F5340" i="3" s="1"/>
  <c r="F5364" i="3" s="1"/>
  <c r="F5388" i="3" s="1"/>
  <c r="F5412" i="3" s="1"/>
  <c r="F5436" i="3" s="1"/>
  <c r="F5460" i="3" s="1"/>
  <c r="F5484" i="3" s="1"/>
  <c r="F5508" i="3" s="1"/>
  <c r="E190" i="1"/>
  <c r="R190" i="1" s="1"/>
  <c r="S122" i="1"/>
  <c r="T122" i="1"/>
  <c r="E123" i="1"/>
  <c r="U313" i="23" l="1"/>
  <c r="V313" i="23"/>
  <c r="Y313" i="23" s="1"/>
  <c r="D314" i="23"/>
  <c r="X313" i="23"/>
  <c r="Q281" i="1"/>
  <c r="C282" i="1"/>
  <c r="T190" i="1"/>
  <c r="S190" i="1"/>
  <c r="F3801" i="3"/>
  <c r="F3827" i="3"/>
  <c r="F3851" i="3" s="1"/>
  <c r="F3875" i="3" s="1"/>
  <c r="E191" i="1"/>
  <c r="R191" i="1" s="1"/>
  <c r="T123" i="1"/>
  <c r="S123" i="1"/>
  <c r="E124" i="1"/>
  <c r="D315" i="23" l="1"/>
  <c r="V314" i="23"/>
  <c r="Y314" i="23" s="1"/>
  <c r="X314" i="23"/>
  <c r="U314" i="23"/>
  <c r="Q282" i="1"/>
  <c r="C283" i="1"/>
  <c r="E192" i="1"/>
  <c r="R192" i="1" s="1"/>
  <c r="S191" i="1"/>
  <c r="T191" i="1"/>
  <c r="F3899" i="3"/>
  <c r="F3923" i="3" s="1"/>
  <c r="F3947" i="3" s="1"/>
  <c r="F3971" i="3" s="1"/>
  <c r="F3995" i="3" s="1"/>
  <c r="F4019" i="3" s="1"/>
  <c r="F4043" i="3" s="1"/>
  <c r="F4067" i="3" s="1"/>
  <c r="F4091" i="3" s="1"/>
  <c r="F4115" i="3" s="1"/>
  <c r="F4139" i="3" s="1"/>
  <c r="F4163" i="3" s="1"/>
  <c r="F4187" i="3" s="1"/>
  <c r="F4211" i="3" s="1"/>
  <c r="F4235" i="3" s="1"/>
  <c r="F4259" i="3" s="1"/>
  <c r="F4283" i="3" s="1"/>
  <c r="F4307" i="3" s="1"/>
  <c r="F4331" i="3" s="1"/>
  <c r="F4355" i="3" s="1"/>
  <c r="F4379" i="3" s="1"/>
  <c r="F4403" i="3" s="1"/>
  <c r="F4427" i="3" s="1"/>
  <c r="F4451" i="3" s="1"/>
  <c r="F4475" i="3" s="1"/>
  <c r="F4499" i="3" s="1"/>
  <c r="F4523" i="3" s="1"/>
  <c r="F4547" i="3" s="1"/>
  <c r="F4571" i="3" s="1"/>
  <c r="F4595" i="3" s="1"/>
  <c r="F4619" i="3" s="1"/>
  <c r="F4643" i="3" s="1"/>
  <c r="F4667" i="3" s="1"/>
  <c r="F4691" i="3" s="1"/>
  <c r="F4715" i="3" s="1"/>
  <c r="F4739" i="3" s="1"/>
  <c r="F4763" i="3" s="1"/>
  <c r="F4787" i="3" s="1"/>
  <c r="F4811" i="3" s="1"/>
  <c r="F4835" i="3" s="1"/>
  <c r="F4859" i="3" s="1"/>
  <c r="F4883" i="3" s="1"/>
  <c r="F4907" i="3" s="1"/>
  <c r="F4931" i="3" s="1"/>
  <c r="F4955" i="3" s="1"/>
  <c r="F4979" i="3" s="1"/>
  <c r="F5003" i="3" s="1"/>
  <c r="F5027" i="3" s="1"/>
  <c r="F5051" i="3" s="1"/>
  <c r="F5075" i="3" s="1"/>
  <c r="F5099" i="3" s="1"/>
  <c r="F5123" i="3" s="1"/>
  <c r="F5147" i="3" s="1"/>
  <c r="F5171" i="3" s="1"/>
  <c r="F5195" i="3" s="1"/>
  <c r="F5219" i="3" s="1"/>
  <c r="F5243" i="3" s="1"/>
  <c r="F5267" i="3" s="1"/>
  <c r="F5291" i="3" s="1"/>
  <c r="F5315" i="3" s="1"/>
  <c r="F5339" i="3" s="1"/>
  <c r="F5363" i="3" s="1"/>
  <c r="F5387" i="3" s="1"/>
  <c r="F5411" i="3" s="1"/>
  <c r="F5435" i="3" s="1"/>
  <c r="F5459" i="3" s="1"/>
  <c r="F5483" i="3" s="1"/>
  <c r="F5507" i="3" s="1"/>
  <c r="F3825" i="3"/>
  <c r="F3849" i="3" s="1"/>
  <c r="F3873" i="3" s="1"/>
  <c r="F3897" i="3" s="1"/>
  <c r="F3921" i="3" s="1"/>
  <c r="F3945" i="3" s="1"/>
  <c r="F3969" i="3" s="1"/>
  <c r="F3993" i="3" s="1"/>
  <c r="F4017" i="3" s="1"/>
  <c r="F4041" i="3" s="1"/>
  <c r="F4065" i="3" s="1"/>
  <c r="F4089" i="3" s="1"/>
  <c r="F4113" i="3" s="1"/>
  <c r="F4137" i="3" s="1"/>
  <c r="F4161" i="3" s="1"/>
  <c r="F4185" i="3" s="1"/>
  <c r="F4209" i="3" s="1"/>
  <c r="F4233" i="3" s="1"/>
  <c r="F4257" i="3" s="1"/>
  <c r="F4281" i="3" s="1"/>
  <c r="F4305" i="3" s="1"/>
  <c r="F4329" i="3" s="1"/>
  <c r="F4353" i="3" s="1"/>
  <c r="F4377" i="3" s="1"/>
  <c r="F4401" i="3" s="1"/>
  <c r="F4425" i="3" s="1"/>
  <c r="F4449" i="3" s="1"/>
  <c r="F4473" i="3" s="1"/>
  <c r="F4497" i="3" s="1"/>
  <c r="F4521" i="3" s="1"/>
  <c r="F4545" i="3" s="1"/>
  <c r="F4569" i="3" s="1"/>
  <c r="F4593" i="3" s="1"/>
  <c r="F4617" i="3" s="1"/>
  <c r="F4641" i="3" s="1"/>
  <c r="F4665" i="3" s="1"/>
  <c r="F4689" i="3" s="1"/>
  <c r="F4713" i="3" s="1"/>
  <c r="F4737" i="3" s="1"/>
  <c r="F4761" i="3" s="1"/>
  <c r="F4785" i="3" s="1"/>
  <c r="F4809" i="3" s="1"/>
  <c r="F4833" i="3" s="1"/>
  <c r="F4857" i="3" s="1"/>
  <c r="F4881" i="3" s="1"/>
  <c r="F4905" i="3" s="1"/>
  <c r="F4929" i="3" s="1"/>
  <c r="F4953" i="3" s="1"/>
  <c r="F4977" i="3" s="1"/>
  <c r="F5001" i="3" s="1"/>
  <c r="F5025" i="3" s="1"/>
  <c r="F5049" i="3" s="1"/>
  <c r="F5073" i="3" s="1"/>
  <c r="F5097" i="3" s="1"/>
  <c r="F5121" i="3" s="1"/>
  <c r="F5145" i="3" s="1"/>
  <c r="F5169" i="3" s="1"/>
  <c r="F5193" i="3" s="1"/>
  <c r="F5217" i="3" s="1"/>
  <c r="F5241" i="3" s="1"/>
  <c r="F5265" i="3" s="1"/>
  <c r="F5289" i="3" s="1"/>
  <c r="F5313" i="3" s="1"/>
  <c r="F5337" i="3" s="1"/>
  <c r="F5361" i="3" s="1"/>
  <c r="F5385" i="3" s="1"/>
  <c r="F5409" i="3" s="1"/>
  <c r="F5433" i="3" s="1"/>
  <c r="F5457" i="3" s="1"/>
  <c r="F5481" i="3" s="1"/>
  <c r="F5505" i="3" s="1"/>
  <c r="S124" i="1"/>
  <c r="E125" i="1"/>
  <c r="T124" i="1"/>
  <c r="E119" i="1"/>
  <c r="U315" i="23" l="1"/>
  <c r="D316" i="23"/>
  <c r="X315" i="23"/>
  <c r="V315" i="23"/>
  <c r="Y315" i="23" s="1"/>
  <c r="Q283" i="1"/>
  <c r="C284" i="1"/>
  <c r="E193" i="1"/>
  <c r="R193" i="1" s="1"/>
  <c r="S192" i="1"/>
  <c r="T192" i="1"/>
  <c r="E120" i="1"/>
  <c r="S120" i="1" s="1"/>
  <c r="T119" i="1"/>
  <c r="E126" i="1"/>
  <c r="T125" i="1"/>
  <c r="S119" i="1"/>
  <c r="S125" i="1"/>
  <c r="X316" i="23" l="1"/>
  <c r="D317" i="23"/>
  <c r="V316" i="23"/>
  <c r="Y316" i="23" s="1"/>
  <c r="U316" i="23"/>
  <c r="S193" i="1"/>
  <c r="T193" i="1"/>
  <c r="E194" i="1"/>
  <c r="R194" i="1" s="1"/>
  <c r="Q284" i="1"/>
  <c r="C285" i="1"/>
  <c r="T126" i="1"/>
  <c r="S126" i="1"/>
  <c r="T120" i="1"/>
  <c r="U317" i="23" l="1"/>
  <c r="D318" i="23"/>
  <c r="X317" i="23"/>
  <c r="V317" i="23"/>
  <c r="Y317" i="23" s="1"/>
  <c r="E195" i="1"/>
  <c r="R195" i="1" s="1"/>
  <c r="S194" i="1"/>
  <c r="T194" i="1"/>
  <c r="Q285" i="1"/>
  <c r="C286" i="1"/>
  <c r="E113" i="1"/>
  <c r="D319" i="23" l="1"/>
  <c r="V318" i="23"/>
  <c r="Y318" i="23" s="1"/>
  <c r="X318" i="23"/>
  <c r="U318" i="23"/>
  <c r="T195" i="1"/>
  <c r="E196" i="1"/>
  <c r="R196" i="1" s="1"/>
  <c r="S195" i="1"/>
  <c r="C287" i="1"/>
  <c r="Q286" i="1"/>
  <c r="T196" i="1"/>
  <c r="T113" i="1"/>
  <c r="S113" i="1"/>
  <c r="E114" i="1"/>
  <c r="U319" i="23" l="1"/>
  <c r="V319" i="23"/>
  <c r="Y319" i="23" s="1"/>
  <c r="D320" i="23"/>
  <c r="X319" i="23"/>
  <c r="E197" i="1"/>
  <c r="R197" i="1" s="1"/>
  <c r="S196" i="1"/>
  <c r="Q287" i="1"/>
  <c r="C288" i="1"/>
  <c r="T197" i="1"/>
  <c r="S197" i="1"/>
  <c r="E198" i="1"/>
  <c r="R198" i="1" s="1"/>
  <c r="T114" i="1"/>
  <c r="S114" i="1"/>
  <c r="X320" i="23" l="1"/>
  <c r="D321" i="23"/>
  <c r="V320" i="23"/>
  <c r="Y320" i="23" s="1"/>
  <c r="U320" i="23"/>
  <c r="Q288" i="1"/>
  <c r="C289" i="1"/>
  <c r="T198" i="1"/>
  <c r="S198" i="1"/>
  <c r="E199" i="1"/>
  <c r="R199" i="1" s="1"/>
  <c r="Q171" i="1"/>
  <c r="U321" i="23" l="1"/>
  <c r="V321" i="23"/>
  <c r="Y321" i="23" s="1"/>
  <c r="D322" i="23"/>
  <c r="X321" i="23"/>
  <c r="Q289" i="1"/>
  <c r="C290" i="1"/>
  <c r="T199" i="1"/>
  <c r="S199" i="1"/>
  <c r="E200" i="1"/>
  <c r="R200" i="1" s="1"/>
  <c r="Q172" i="1"/>
  <c r="D323" i="23" l="1"/>
  <c r="V322" i="23"/>
  <c r="Y322" i="23" s="1"/>
  <c r="X322" i="23"/>
  <c r="U322" i="23"/>
  <c r="C291" i="1"/>
  <c r="Q290" i="1"/>
  <c r="T200" i="1"/>
  <c r="S200" i="1"/>
  <c r="E201" i="1"/>
  <c r="R201" i="1" s="1"/>
  <c r="Q173" i="1"/>
  <c r="U323" i="23" l="1"/>
  <c r="D324" i="23"/>
  <c r="X323" i="23"/>
  <c r="V323" i="23"/>
  <c r="Y323" i="23" s="1"/>
  <c r="C292" i="1"/>
  <c r="Q291" i="1"/>
  <c r="T201" i="1"/>
  <c r="S201" i="1"/>
  <c r="E202" i="1"/>
  <c r="R202" i="1" s="1"/>
  <c r="Q174" i="1"/>
  <c r="X324" i="23" l="1"/>
  <c r="D325" i="23"/>
  <c r="V324" i="23"/>
  <c r="Y324" i="23" s="1"/>
  <c r="U324" i="23"/>
  <c r="Q292" i="1"/>
  <c r="C293" i="1"/>
  <c r="T202" i="1"/>
  <c r="S202" i="1"/>
  <c r="E203" i="1"/>
  <c r="R203" i="1" s="1"/>
  <c r="Q175" i="1"/>
  <c r="X325" i="23" l="1"/>
  <c r="D326" i="23"/>
  <c r="V325" i="23"/>
  <c r="Y325" i="23" s="1"/>
  <c r="C294" i="1"/>
  <c r="Q293" i="1"/>
  <c r="T203" i="1"/>
  <c r="S203" i="1"/>
  <c r="E204" i="1"/>
  <c r="R204" i="1" s="1"/>
  <c r="Q176" i="1"/>
  <c r="X326" i="23" l="1"/>
  <c r="D327" i="23"/>
  <c r="V326" i="23"/>
  <c r="Y326" i="23" s="1"/>
  <c r="Q294" i="1"/>
  <c r="C295" i="1"/>
  <c r="T204" i="1"/>
  <c r="E205" i="1"/>
  <c r="R205" i="1" s="1"/>
  <c r="S204" i="1"/>
  <c r="Q177" i="1"/>
  <c r="X327" i="23" l="1"/>
  <c r="D328" i="23"/>
  <c r="V327" i="23"/>
  <c r="Y327" i="23" s="1"/>
  <c r="C296" i="1"/>
  <c r="Q295" i="1"/>
  <c r="T205" i="1"/>
  <c r="S205" i="1"/>
  <c r="E206" i="1"/>
  <c r="R206" i="1" s="1"/>
  <c r="Q178" i="1"/>
  <c r="X328" i="23" l="1"/>
  <c r="D329" i="23"/>
  <c r="V328" i="23"/>
  <c r="Y328" i="23" s="1"/>
  <c r="C297" i="1"/>
  <c r="Q296" i="1"/>
  <c r="T206" i="1"/>
  <c r="S206" i="1"/>
  <c r="E207" i="1"/>
  <c r="R207" i="1" s="1"/>
  <c r="Q179" i="1"/>
  <c r="X329" i="23" l="1"/>
  <c r="D330" i="23"/>
  <c r="V329" i="23"/>
  <c r="Y329" i="23" s="1"/>
  <c r="Q297" i="1"/>
  <c r="C298" i="1"/>
  <c r="T207" i="1"/>
  <c r="S207" i="1"/>
  <c r="E208" i="1"/>
  <c r="R208" i="1" s="1"/>
  <c r="Q180" i="1"/>
  <c r="X330" i="23" l="1"/>
  <c r="D331" i="23"/>
  <c r="V330" i="23"/>
  <c r="Y330" i="23" s="1"/>
  <c r="Q298" i="1"/>
  <c r="C299" i="1"/>
  <c r="E209" i="1"/>
  <c r="R209" i="1" s="1"/>
  <c r="S208" i="1"/>
  <c r="T208" i="1"/>
  <c r="Q181" i="1"/>
  <c r="X331" i="23" l="1"/>
  <c r="D332" i="23"/>
  <c r="V331" i="23"/>
  <c r="Y331" i="23" s="1"/>
  <c r="Q299" i="1"/>
  <c r="C300" i="1"/>
  <c r="E210" i="1"/>
  <c r="R210" i="1" s="1"/>
  <c r="S209" i="1"/>
  <c r="T209" i="1"/>
  <c r="Q182" i="1"/>
  <c r="X332" i="23" l="1"/>
  <c r="D333" i="23"/>
  <c r="V332" i="23"/>
  <c r="Y332" i="23" s="1"/>
  <c r="C301" i="1"/>
  <c r="Q300" i="1"/>
  <c r="T210" i="1"/>
  <c r="S210" i="1"/>
  <c r="E211" i="1"/>
  <c r="R211" i="1" s="1"/>
  <c r="Q183" i="1"/>
  <c r="X333" i="23" l="1"/>
  <c r="D334" i="23"/>
  <c r="V333" i="23"/>
  <c r="Y333" i="23" s="1"/>
  <c r="C302" i="1"/>
  <c r="Q301" i="1"/>
  <c r="T211" i="1"/>
  <c r="E212" i="1"/>
  <c r="R212" i="1" s="1"/>
  <c r="S211" i="1"/>
  <c r="Q184" i="1"/>
  <c r="X334" i="23" l="1"/>
  <c r="D335" i="23"/>
  <c r="V334" i="23"/>
  <c r="Y334" i="23" s="1"/>
  <c r="Q302" i="1"/>
  <c r="C303" i="1"/>
  <c r="T212" i="1"/>
  <c r="S212" i="1"/>
  <c r="E213" i="1"/>
  <c r="R213" i="1" s="1"/>
  <c r="Q185" i="1"/>
  <c r="D336" i="23" l="1"/>
  <c r="X335" i="23"/>
  <c r="V335" i="23"/>
  <c r="Y335" i="23" s="1"/>
  <c r="Q303" i="1"/>
  <c r="C304" i="1"/>
  <c r="T213" i="1"/>
  <c r="S213" i="1"/>
  <c r="E214" i="1"/>
  <c r="R214" i="1" s="1"/>
  <c r="Q186" i="1"/>
  <c r="X336" i="23" l="1"/>
  <c r="D337" i="23"/>
  <c r="V336" i="23"/>
  <c r="Y336" i="23" s="1"/>
  <c r="C305" i="1"/>
  <c r="Q304" i="1"/>
  <c r="T214" i="1"/>
  <c r="E215" i="1"/>
  <c r="R215" i="1" s="1"/>
  <c r="S214" i="1"/>
  <c r="Q187" i="1"/>
  <c r="X337" i="23" l="1"/>
  <c r="D338" i="23"/>
  <c r="V337" i="23"/>
  <c r="Y337" i="23" s="1"/>
  <c r="Q305" i="1"/>
  <c r="C306" i="1"/>
  <c r="E216" i="1"/>
  <c r="R216" i="1" s="1"/>
  <c r="T215" i="1"/>
  <c r="S215" i="1"/>
  <c r="Q188" i="1"/>
  <c r="X338" i="23" l="1"/>
  <c r="D339" i="23"/>
  <c r="V338" i="23"/>
  <c r="Y338" i="23" s="1"/>
  <c r="Q306" i="1"/>
  <c r="C307" i="1"/>
  <c r="T216" i="1"/>
  <c r="E217" i="1"/>
  <c r="R217" i="1" s="1"/>
  <c r="S216" i="1"/>
  <c r="Q189" i="1"/>
  <c r="X339" i="23" l="1"/>
  <c r="D340" i="23"/>
  <c r="V339" i="23"/>
  <c r="Y339" i="23" s="1"/>
  <c r="Q307" i="1"/>
  <c r="C308" i="1"/>
  <c r="T217" i="1"/>
  <c r="E218" i="1"/>
  <c r="R218" i="1" s="1"/>
  <c r="S217" i="1"/>
  <c r="Q190" i="1"/>
  <c r="X340" i="23" l="1"/>
  <c r="D341" i="23"/>
  <c r="V340" i="23"/>
  <c r="Y340" i="23" s="1"/>
  <c r="Q308" i="1"/>
  <c r="C309" i="1"/>
  <c r="T218" i="1"/>
  <c r="E219" i="1"/>
  <c r="R219" i="1" s="1"/>
  <c r="S218" i="1"/>
  <c r="X341" i="23" l="1"/>
  <c r="D342" i="23"/>
  <c r="V341" i="23"/>
  <c r="Y341" i="23" s="1"/>
  <c r="C310" i="1"/>
  <c r="Q309" i="1"/>
  <c r="T219" i="1"/>
  <c r="E220" i="1"/>
  <c r="R220" i="1" s="1"/>
  <c r="S219" i="1"/>
  <c r="X342" i="23" l="1"/>
  <c r="D343" i="23"/>
  <c r="V342" i="23"/>
  <c r="Y342" i="23" s="1"/>
  <c r="C311" i="1"/>
  <c r="Q310" i="1"/>
  <c r="T220" i="1"/>
  <c r="E221" i="1"/>
  <c r="R221" i="1" s="1"/>
  <c r="S220" i="1"/>
  <c r="X343" i="23" l="1"/>
  <c r="D344" i="23"/>
  <c r="V343" i="23"/>
  <c r="Y343" i="23" s="1"/>
  <c r="C312" i="1"/>
  <c r="Q311" i="1"/>
  <c r="T221" i="1"/>
  <c r="E222" i="1"/>
  <c r="R222" i="1" s="1"/>
  <c r="S221" i="1"/>
  <c r="X344" i="23" l="1"/>
  <c r="D345" i="23"/>
  <c r="V344" i="23"/>
  <c r="Y344" i="23" s="1"/>
  <c r="C313" i="1"/>
  <c r="Q312" i="1"/>
  <c r="S222" i="1"/>
  <c r="T222" i="1"/>
  <c r="E223" i="1"/>
  <c r="R223" i="1" s="1"/>
  <c r="X345" i="23" l="1"/>
  <c r="D346" i="23"/>
  <c r="V345" i="23"/>
  <c r="Y345" i="23" s="1"/>
  <c r="C314" i="1"/>
  <c r="Q313" i="1"/>
  <c r="T223" i="1"/>
  <c r="E224" i="1"/>
  <c r="R224" i="1" s="1"/>
  <c r="S223" i="1"/>
  <c r="X346" i="23" l="1"/>
  <c r="D347" i="23"/>
  <c r="V346" i="23"/>
  <c r="Y346" i="23" s="1"/>
  <c r="C315" i="1"/>
  <c r="Q314" i="1"/>
  <c r="T224" i="1"/>
  <c r="E225" i="1"/>
  <c r="R225" i="1" s="1"/>
  <c r="S224" i="1"/>
  <c r="X347" i="23" l="1"/>
  <c r="D348" i="23"/>
  <c r="V347" i="23"/>
  <c r="Y347" i="23" s="1"/>
  <c r="Q315" i="1"/>
  <c r="C316" i="1"/>
  <c r="T225" i="1"/>
  <c r="E226" i="1"/>
  <c r="R226" i="1" s="1"/>
  <c r="S225" i="1"/>
  <c r="X348" i="23" l="1"/>
  <c r="D349" i="23"/>
  <c r="V348" i="23"/>
  <c r="Y348" i="23" s="1"/>
  <c r="C317" i="1"/>
  <c r="Q316" i="1"/>
  <c r="E227" i="1"/>
  <c r="R227" i="1" s="1"/>
  <c r="T226" i="1"/>
  <c r="S226" i="1"/>
  <c r="D350" i="23" l="1"/>
  <c r="X349" i="23"/>
  <c r="V349" i="23"/>
  <c r="Y349" i="23" s="1"/>
  <c r="Q317" i="1"/>
  <c r="C318" i="1"/>
  <c r="T227" i="1"/>
  <c r="E228" i="1"/>
  <c r="R228" i="1" s="1"/>
  <c r="S227" i="1"/>
  <c r="V350" i="23" l="1"/>
  <c r="Y350" i="23" s="1"/>
  <c r="X350" i="23"/>
  <c r="D351" i="23"/>
  <c r="Q318" i="1"/>
  <c r="C319" i="1"/>
  <c r="E229" i="1"/>
  <c r="R229" i="1" s="1"/>
  <c r="T228" i="1"/>
  <c r="S228" i="1"/>
  <c r="D352" i="23" l="1"/>
  <c r="X351" i="23"/>
  <c r="V351" i="23"/>
  <c r="Y351" i="23" s="1"/>
  <c r="C320" i="1"/>
  <c r="Q319" i="1"/>
  <c r="T229" i="1"/>
  <c r="E230" i="1"/>
  <c r="R230" i="1" s="1"/>
  <c r="S229" i="1"/>
  <c r="V352" i="23" l="1"/>
  <c r="Y352" i="23" s="1"/>
  <c r="D353" i="23"/>
  <c r="X352" i="23"/>
  <c r="Q320" i="1"/>
  <c r="C321" i="1"/>
  <c r="E231" i="1"/>
  <c r="R231" i="1" s="1"/>
  <c r="T230" i="1"/>
  <c r="S230" i="1"/>
  <c r="D354" i="23" l="1"/>
  <c r="X353" i="23"/>
  <c r="V353" i="23"/>
  <c r="Y353" i="23" s="1"/>
  <c r="Q321" i="1"/>
  <c r="C322" i="1"/>
  <c r="T231" i="1"/>
  <c r="E232" i="1"/>
  <c r="R232" i="1" s="1"/>
  <c r="S231" i="1"/>
  <c r="V354" i="23" l="1"/>
  <c r="Y354" i="23" s="1"/>
  <c r="X354" i="23"/>
  <c r="D355" i="23"/>
  <c r="C323" i="1"/>
  <c r="Q322" i="1"/>
  <c r="E233" i="1"/>
  <c r="R233" i="1" s="1"/>
  <c r="T232" i="1"/>
  <c r="S232" i="1"/>
  <c r="D356" i="23" l="1"/>
  <c r="X355" i="23"/>
  <c r="V355" i="23"/>
  <c r="Y355" i="23" s="1"/>
  <c r="C324" i="1"/>
  <c r="Q323" i="1"/>
  <c r="T233" i="1"/>
  <c r="E234" i="1"/>
  <c r="R234" i="1" s="1"/>
  <c r="S233" i="1"/>
  <c r="V356" i="23" l="1"/>
  <c r="Y356" i="23" s="1"/>
  <c r="D357" i="23"/>
  <c r="X356" i="23"/>
  <c r="Q324" i="1"/>
  <c r="C325" i="1"/>
  <c r="C326" i="1" s="1"/>
  <c r="C327" i="1" s="1"/>
  <c r="C328" i="1" s="1"/>
  <c r="C329" i="1" s="1"/>
  <c r="C330" i="1" s="1"/>
  <c r="C331" i="1" s="1"/>
  <c r="T234" i="1"/>
  <c r="E235" i="1"/>
  <c r="R235" i="1" s="1"/>
  <c r="S234" i="1"/>
  <c r="D358" i="23" l="1"/>
  <c r="X357" i="23"/>
  <c r="V357" i="23"/>
  <c r="Y357" i="23" s="1"/>
  <c r="C332" i="1"/>
  <c r="E236" i="1"/>
  <c r="R236" i="1" s="1"/>
  <c r="T235" i="1"/>
  <c r="S235" i="1"/>
  <c r="D359" i="23" l="1"/>
  <c r="V358" i="23"/>
  <c r="Y358" i="23" s="1"/>
  <c r="X358" i="23"/>
  <c r="C333" i="1"/>
  <c r="T236" i="1"/>
  <c r="E237" i="1"/>
  <c r="R237" i="1" s="1"/>
  <c r="S236" i="1"/>
  <c r="D360" i="23" l="1"/>
  <c r="V359" i="23"/>
  <c r="Y359" i="23" s="1"/>
  <c r="X359" i="23"/>
  <c r="C334" i="1"/>
  <c r="E238" i="1"/>
  <c r="R238" i="1" s="1"/>
  <c r="T237" i="1"/>
  <c r="S237" i="1"/>
  <c r="D361" i="23" l="1"/>
  <c r="V360" i="23"/>
  <c r="Y360" i="23" s="1"/>
  <c r="X360" i="23"/>
  <c r="C335" i="1"/>
  <c r="C336" i="1" s="1"/>
  <c r="E239" i="1"/>
  <c r="R239" i="1" s="1"/>
  <c r="T238" i="1"/>
  <c r="S238" i="1"/>
  <c r="D362" i="23" l="1"/>
  <c r="V361" i="23"/>
  <c r="Y361" i="23" s="1"/>
  <c r="X361" i="23"/>
  <c r="C337" i="1"/>
  <c r="E240" i="1"/>
  <c r="R240" i="1" s="1"/>
  <c r="T239" i="1"/>
  <c r="S239" i="1"/>
  <c r="D363" i="23" l="1"/>
  <c r="V362" i="23"/>
  <c r="Y362" i="23" s="1"/>
  <c r="X362" i="23"/>
  <c r="C338" i="1"/>
  <c r="E241" i="1"/>
  <c r="R241" i="1" s="1"/>
  <c r="T240" i="1"/>
  <c r="S240" i="1"/>
  <c r="X363" i="23" l="1"/>
  <c r="D364" i="23"/>
  <c r="V363" i="23"/>
  <c r="Y363" i="23" s="1"/>
  <c r="C339" i="1"/>
  <c r="E242" i="1"/>
  <c r="R242" i="1" s="1"/>
  <c r="T241" i="1"/>
  <c r="S241" i="1"/>
  <c r="X364" i="23" l="1"/>
  <c r="D365" i="23"/>
  <c r="V364" i="23"/>
  <c r="Y364" i="23" s="1"/>
  <c r="C340" i="1"/>
  <c r="E243" i="1"/>
  <c r="R243" i="1" s="1"/>
  <c r="T242" i="1"/>
  <c r="S242" i="1"/>
  <c r="X365" i="23" l="1"/>
  <c r="D366" i="23"/>
  <c r="V365" i="23"/>
  <c r="Y365" i="23" s="1"/>
  <c r="C341" i="1"/>
  <c r="E244" i="1"/>
  <c r="R244" i="1" s="1"/>
  <c r="T243" i="1"/>
  <c r="S243" i="1"/>
  <c r="X366" i="23" l="1"/>
  <c r="D367" i="23"/>
  <c r="V366" i="23"/>
  <c r="Y366" i="23" s="1"/>
  <c r="C342" i="1"/>
  <c r="E245" i="1"/>
  <c r="R245" i="1" s="1"/>
  <c r="T244" i="1"/>
  <c r="S244" i="1"/>
  <c r="X367" i="23" l="1"/>
  <c r="D368" i="23"/>
  <c r="V367" i="23"/>
  <c r="Y367" i="23" s="1"/>
  <c r="C343" i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E246" i="1"/>
  <c r="T245" i="1"/>
  <c r="S245" i="1"/>
  <c r="X368" i="23" l="1"/>
  <c r="D369" i="23"/>
  <c r="V368" i="23"/>
  <c r="Y368" i="23" s="1"/>
  <c r="C362" i="1"/>
  <c r="E247" i="1"/>
  <c r="R246" i="1"/>
  <c r="X369" i="23" l="1"/>
  <c r="D370" i="23"/>
  <c r="V369" i="23"/>
  <c r="Y369" i="23" s="1"/>
  <c r="C363" i="1"/>
  <c r="E248" i="1"/>
  <c r="R247" i="1"/>
  <c r="D371" i="23" l="1"/>
  <c r="V370" i="23"/>
  <c r="Y370" i="23" s="1"/>
  <c r="X370" i="23"/>
  <c r="C364" i="1"/>
  <c r="E249" i="1"/>
  <c r="R248" i="1"/>
  <c r="X371" i="23" l="1"/>
  <c r="V371" i="23"/>
  <c r="Y371" i="23" s="1"/>
  <c r="D372" i="23"/>
  <c r="C365" i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E250" i="1"/>
  <c r="R249" i="1"/>
  <c r="D373" i="23" l="1"/>
  <c r="V372" i="23"/>
  <c r="Y372" i="23" s="1"/>
  <c r="X372" i="23"/>
  <c r="C382" i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E251" i="1"/>
  <c r="R250" i="1"/>
  <c r="V373" i="23" l="1"/>
  <c r="Y373" i="23" s="1"/>
  <c r="X373" i="23"/>
  <c r="D374" i="23"/>
  <c r="C397" i="1"/>
  <c r="E252" i="1"/>
  <c r="R251" i="1"/>
  <c r="D375" i="23" l="1"/>
  <c r="V374" i="23"/>
  <c r="Y374" i="23" s="1"/>
  <c r="X374" i="23"/>
  <c r="C398" i="1"/>
  <c r="E253" i="1"/>
  <c r="R252" i="1"/>
  <c r="X375" i="23" l="1"/>
  <c r="V375" i="23"/>
  <c r="Y375" i="23" s="1"/>
  <c r="D376" i="23"/>
  <c r="E254" i="1"/>
  <c r="R253" i="1"/>
  <c r="D377" i="23" l="1"/>
  <c r="X376" i="23"/>
  <c r="V376" i="23"/>
  <c r="Y376" i="23" s="1"/>
  <c r="E255" i="1"/>
  <c r="R254" i="1"/>
  <c r="V377" i="23" l="1"/>
  <c r="Y377" i="23" s="1"/>
  <c r="X377" i="23"/>
  <c r="D378" i="23"/>
  <c r="E256" i="1"/>
  <c r="R255" i="1"/>
  <c r="X378" i="23" l="1"/>
  <c r="D379" i="23"/>
  <c r="V378" i="23"/>
  <c r="Y378" i="23" s="1"/>
  <c r="E257" i="1"/>
  <c r="R256" i="1"/>
  <c r="D380" i="23" l="1"/>
  <c r="X379" i="23"/>
  <c r="V379" i="23"/>
  <c r="Y379" i="23" s="1"/>
  <c r="E258" i="1"/>
  <c r="R257" i="1"/>
  <c r="V380" i="23" l="1"/>
  <c r="Y380" i="23" s="1"/>
  <c r="X380" i="23"/>
  <c r="D381" i="23"/>
  <c r="E259" i="1"/>
  <c r="R258" i="1"/>
  <c r="D7063" i="3"/>
  <c r="D382" i="23" l="1"/>
  <c r="X381" i="23"/>
  <c r="V381" i="23"/>
  <c r="Y381" i="23" s="1"/>
  <c r="E260" i="1"/>
  <c r="R259" i="1"/>
  <c r="D7087" i="3"/>
  <c r="D7111" i="3" s="1"/>
  <c r="D7135" i="3" s="1"/>
  <c r="D7159" i="3" s="1"/>
  <c r="D7183" i="3" s="1"/>
  <c r="D7207" i="3" s="1"/>
  <c r="D7231" i="3" s="1"/>
  <c r="D7255" i="3" s="1"/>
  <c r="D7279" i="3" s="1"/>
  <c r="D7303" i="3" s="1"/>
  <c r="D7327" i="3" s="1"/>
  <c r="D7351" i="3" s="1"/>
  <c r="D7375" i="3" s="1"/>
  <c r="D7399" i="3" s="1"/>
  <c r="D7423" i="3" s="1"/>
  <c r="D7447" i="3" s="1"/>
  <c r="D7471" i="3" s="1"/>
  <c r="D7495" i="3" s="1"/>
  <c r="D7519" i="3" s="1"/>
  <c r="D7543" i="3" s="1"/>
  <c r="D7567" i="3" s="1"/>
  <c r="D7591" i="3" s="1"/>
  <c r="D7615" i="3" s="1"/>
  <c r="D7639" i="3" s="1"/>
  <c r="D7663" i="3" s="1"/>
  <c r="D7687" i="3" s="1"/>
  <c r="D7712" i="3" s="1"/>
  <c r="D7736" i="3" s="1"/>
  <c r="D7760" i="3" s="1"/>
  <c r="D7784" i="3" s="1"/>
  <c r="D7808" i="3" s="1"/>
  <c r="D7832" i="3" s="1"/>
  <c r="D7856" i="3" s="1"/>
  <c r="D7880" i="3" s="1"/>
  <c r="D7904" i="3" s="1"/>
  <c r="D7928" i="3" s="1"/>
  <c r="D7952" i="3" s="1"/>
  <c r="D7976" i="3" s="1"/>
  <c r="D8000" i="3" s="1"/>
  <c r="D8024" i="3" s="1"/>
  <c r="D8048" i="3" s="1"/>
  <c r="D8072" i="3" s="1"/>
  <c r="D8096" i="3" s="1"/>
  <c r="D8120" i="3" s="1"/>
  <c r="D8144" i="3" s="1"/>
  <c r="D8168" i="3" s="1"/>
  <c r="D8192" i="3" s="1"/>
  <c r="D8216" i="3" s="1"/>
  <c r="D8240" i="3" s="1"/>
  <c r="D8264" i="3" s="1"/>
  <c r="D8288" i="3" s="1"/>
  <c r="D8312" i="3" s="1"/>
  <c r="D8336" i="3" s="1"/>
  <c r="D8360" i="3" s="1"/>
  <c r="D8384" i="3" s="1"/>
  <c r="D8408" i="3" s="1"/>
  <c r="D8432" i="3" s="1"/>
  <c r="D8456" i="3" s="1"/>
  <c r="D8480" i="3" s="1"/>
  <c r="D8504" i="3" s="1"/>
  <c r="D8528" i="3" s="1"/>
  <c r="D8552" i="3" s="1"/>
  <c r="D8576" i="3" s="1"/>
  <c r="D8600" i="3" s="1"/>
  <c r="D8624" i="3" s="1"/>
  <c r="D8648" i="3" s="1"/>
  <c r="D8672" i="3" s="1"/>
  <c r="D8696" i="3" s="1"/>
  <c r="D8720" i="3" s="1"/>
  <c r="D8744" i="3" s="1"/>
  <c r="D8768" i="3" s="1"/>
  <c r="D8792" i="3" s="1"/>
  <c r="D8816" i="3" s="1"/>
  <c r="D8840" i="3" s="1"/>
  <c r="D8864" i="3" s="1"/>
  <c r="D8888" i="3" s="1"/>
  <c r="D8912" i="3" s="1"/>
  <c r="D8936" i="3" s="1"/>
  <c r="D8960" i="3" s="1"/>
  <c r="D8984" i="3" s="1"/>
  <c r="D9008" i="3" s="1"/>
  <c r="D9032" i="3" s="1"/>
  <c r="D9056" i="3" s="1"/>
  <c r="D9080" i="3" s="1"/>
  <c r="D9104" i="3" s="1"/>
  <c r="D9128" i="3" s="1"/>
  <c r="D9152" i="3" s="1"/>
  <c r="D9176" i="3" s="1"/>
  <c r="D9200" i="3" s="1"/>
  <c r="D9224" i="3" s="1"/>
  <c r="D9248" i="3" s="1"/>
  <c r="D9272" i="3" s="1"/>
  <c r="D9296" i="3" s="1"/>
  <c r="D9320" i="3" s="1"/>
  <c r="D9344" i="3" s="1"/>
  <c r="D9368" i="3" s="1"/>
  <c r="D9392" i="3" s="1"/>
  <c r="D9416" i="3" s="1"/>
  <c r="D9440" i="3" s="1"/>
  <c r="D9464" i="3" s="1"/>
  <c r="D9488" i="3" s="1"/>
  <c r="D9512" i="3" s="1"/>
  <c r="D9536" i="3" s="1"/>
  <c r="D9560" i="3" s="1"/>
  <c r="D9584" i="3" s="1"/>
  <c r="D9608" i="3" s="1"/>
  <c r="D9632" i="3" s="1"/>
  <c r="D9656" i="3" s="1"/>
  <c r="D9680" i="3" s="1"/>
  <c r="D9704" i="3" s="1"/>
  <c r="D9728" i="3" s="1"/>
  <c r="D9752" i="3" s="1"/>
  <c r="X382" i="23" l="1"/>
  <c r="D383" i="23"/>
  <c r="V382" i="23"/>
  <c r="Y382" i="23" s="1"/>
  <c r="E261" i="1"/>
  <c r="R260" i="1"/>
  <c r="D384" i="23" l="1"/>
  <c r="V383" i="23"/>
  <c r="Y383" i="23" s="1"/>
  <c r="X383" i="23"/>
  <c r="E262" i="1"/>
  <c r="R261" i="1"/>
  <c r="D385" i="23" l="1"/>
  <c r="V384" i="23"/>
  <c r="Y384" i="23" s="1"/>
  <c r="X384" i="23"/>
  <c r="E263" i="1"/>
  <c r="R262" i="1"/>
  <c r="V385" i="23" l="1"/>
  <c r="Y385" i="23" s="1"/>
  <c r="X385" i="23"/>
  <c r="D386" i="23"/>
  <c r="E264" i="1"/>
  <c r="R263" i="1"/>
  <c r="X386" i="23" l="1"/>
  <c r="D387" i="23"/>
  <c r="V386" i="23"/>
  <c r="Y386" i="23" s="1"/>
  <c r="E265" i="1"/>
  <c r="R264" i="1"/>
  <c r="X387" i="23" l="1"/>
  <c r="D388" i="23"/>
  <c r="V387" i="23"/>
  <c r="Y387" i="23" s="1"/>
  <c r="E266" i="1"/>
  <c r="R265" i="1"/>
  <c r="D389" i="23" l="1"/>
  <c r="V388" i="23"/>
  <c r="Y388" i="23" s="1"/>
  <c r="X388" i="23"/>
  <c r="E267" i="1"/>
  <c r="R266" i="1"/>
  <c r="D390" i="23" l="1"/>
  <c r="V389" i="23"/>
  <c r="Y389" i="23" s="1"/>
  <c r="X389" i="23"/>
  <c r="E268" i="1"/>
  <c r="R267" i="1"/>
  <c r="V390" i="23" l="1"/>
  <c r="Y390" i="23" s="1"/>
  <c r="D391" i="23"/>
  <c r="X390" i="23"/>
  <c r="E269" i="1"/>
  <c r="R268" i="1"/>
  <c r="X391" i="23" l="1"/>
  <c r="V391" i="23"/>
  <c r="Y391" i="23" s="1"/>
  <c r="D392" i="23"/>
  <c r="E270" i="1"/>
  <c r="R269" i="1"/>
  <c r="X392" i="23" l="1"/>
  <c r="D393" i="23"/>
  <c r="V392" i="23"/>
  <c r="Y392" i="23" s="1"/>
  <c r="E271" i="1"/>
  <c r="R270" i="1"/>
  <c r="D394" i="23" l="1"/>
  <c r="V393" i="23"/>
  <c r="Y393" i="23" s="1"/>
  <c r="X393" i="23"/>
  <c r="E272" i="1"/>
  <c r="R271" i="1"/>
  <c r="V394" i="23" l="1"/>
  <c r="Y394" i="23" s="1"/>
  <c r="X394" i="23"/>
  <c r="D395" i="23"/>
  <c r="E273" i="1"/>
  <c r="R272" i="1"/>
  <c r="V395" i="23" l="1"/>
  <c r="Y395" i="23" s="1"/>
  <c r="X395" i="23"/>
  <c r="D396" i="23"/>
  <c r="E274" i="1"/>
  <c r="R273" i="1"/>
  <c r="V396" i="23" l="1"/>
  <c r="Y396" i="23" s="1"/>
  <c r="X396" i="23"/>
  <c r="D397" i="23"/>
  <c r="E275" i="1"/>
  <c r="R274" i="1"/>
  <c r="V397" i="23" l="1"/>
  <c r="Y397" i="23" s="1"/>
  <c r="D398" i="23"/>
  <c r="X397" i="23"/>
  <c r="E276" i="1"/>
  <c r="R275" i="1"/>
  <c r="V398" i="23" l="1"/>
  <c r="Y398" i="23" s="1"/>
  <c r="X398" i="23"/>
  <c r="D399" i="23"/>
  <c r="E277" i="1"/>
  <c r="R276" i="1"/>
  <c r="X399" i="23" l="1"/>
  <c r="D400" i="23"/>
  <c r="V399" i="23"/>
  <c r="Y399" i="23" s="1"/>
  <c r="E278" i="1"/>
  <c r="R277" i="1"/>
  <c r="X400" i="23" l="1"/>
  <c r="D401" i="23"/>
  <c r="V400" i="23"/>
  <c r="Y400" i="23" s="1"/>
  <c r="T278" i="1"/>
  <c r="R278" i="1"/>
  <c r="E279" i="1"/>
  <c r="V401" i="23" l="1"/>
  <c r="X401" i="23"/>
  <c r="D402" i="23"/>
  <c r="T279" i="1"/>
  <c r="R279" i="1"/>
  <c r="E280" i="1"/>
  <c r="Y401" i="23" l="1"/>
  <c r="AD401" i="23"/>
  <c r="R402" i="23"/>
  <c r="V402" i="23"/>
  <c r="D403" i="23"/>
  <c r="X402" i="23"/>
  <c r="T402" i="23"/>
  <c r="R280" i="1"/>
  <c r="E281" i="1"/>
  <c r="T280" i="1"/>
  <c r="Y402" i="23" l="1"/>
  <c r="AD402" i="23"/>
  <c r="V403" i="23"/>
  <c r="D404" i="23"/>
  <c r="X403" i="23"/>
  <c r="R281" i="1"/>
  <c r="E282" i="1"/>
  <c r="T281" i="1"/>
  <c r="Y403" i="23" l="1"/>
  <c r="AD403" i="23"/>
  <c r="D405" i="23"/>
  <c r="D406" i="23" s="1"/>
  <c r="V404" i="23"/>
  <c r="X404" i="23"/>
  <c r="R282" i="1"/>
  <c r="T282" i="1"/>
  <c r="E283" i="1"/>
  <c r="Y404" i="23" l="1"/>
  <c r="AD404" i="23"/>
  <c r="X406" i="23"/>
  <c r="V406" i="23"/>
  <c r="D407" i="23"/>
  <c r="X405" i="23"/>
  <c r="V405" i="23"/>
  <c r="AD405" i="23" s="1"/>
  <c r="R283" i="1"/>
  <c r="E284" i="1"/>
  <c r="T283" i="1"/>
  <c r="AD406" i="23" l="1"/>
  <c r="Y406" i="23"/>
  <c r="D408" i="23"/>
  <c r="V407" i="23"/>
  <c r="X407" i="23"/>
  <c r="Y405" i="23"/>
  <c r="R284" i="1"/>
  <c r="T284" i="1"/>
  <c r="E285" i="1"/>
  <c r="AD407" i="23" l="1"/>
  <c r="Y407" i="23"/>
  <c r="X408" i="23"/>
  <c r="V408" i="23"/>
  <c r="R285" i="1"/>
  <c r="T285" i="1"/>
  <c r="E286" i="1"/>
  <c r="Y408" i="23" l="1"/>
  <c r="AD408" i="23"/>
  <c r="R286" i="1"/>
  <c r="T286" i="1"/>
  <c r="E287" i="1"/>
  <c r="R287" i="1" l="1"/>
  <c r="T287" i="1"/>
  <c r="E288" i="1"/>
  <c r="R288" i="1" l="1"/>
  <c r="E289" i="1"/>
  <c r="T288" i="1"/>
  <c r="R289" i="1" l="1"/>
  <c r="T289" i="1"/>
  <c r="E290" i="1"/>
  <c r="R290" i="1" l="1"/>
  <c r="T290" i="1"/>
  <c r="E291" i="1"/>
  <c r="R291" i="1" l="1"/>
  <c r="E292" i="1"/>
  <c r="T291" i="1"/>
  <c r="R292" i="1" l="1"/>
  <c r="T292" i="1"/>
  <c r="E293" i="1"/>
  <c r="R293" i="1" l="1"/>
  <c r="T293" i="1"/>
  <c r="E294" i="1"/>
  <c r="R294" i="1" l="1"/>
  <c r="T294" i="1"/>
  <c r="E295" i="1"/>
  <c r="R295" i="1" l="1"/>
  <c r="E296" i="1"/>
  <c r="T295" i="1"/>
  <c r="R296" i="1" l="1"/>
  <c r="E297" i="1"/>
  <c r="T296" i="1"/>
  <c r="R297" i="1" l="1"/>
  <c r="E298" i="1"/>
  <c r="T297" i="1"/>
  <c r="R298" i="1" l="1"/>
  <c r="E299" i="1"/>
  <c r="T298" i="1"/>
  <c r="R299" i="1" l="1"/>
  <c r="E300" i="1"/>
  <c r="T299" i="1"/>
  <c r="R300" i="1" l="1"/>
  <c r="E301" i="1"/>
  <c r="T300" i="1"/>
  <c r="R301" i="1" l="1"/>
  <c r="T301" i="1"/>
  <c r="E302" i="1"/>
  <c r="R302" i="1" l="1"/>
  <c r="T302" i="1"/>
  <c r="E303" i="1"/>
  <c r="R303" i="1" l="1"/>
  <c r="T303" i="1"/>
  <c r="E304" i="1"/>
  <c r="R304" i="1" l="1"/>
  <c r="E305" i="1"/>
  <c r="T304" i="1"/>
  <c r="R305" i="1" l="1"/>
  <c r="T305" i="1"/>
  <c r="E306" i="1"/>
  <c r="R306" i="1" l="1"/>
  <c r="E307" i="1"/>
  <c r="T306" i="1"/>
  <c r="R307" i="1" l="1"/>
  <c r="T307" i="1"/>
  <c r="E308" i="1"/>
  <c r="R308" i="1" l="1"/>
  <c r="E309" i="1"/>
  <c r="T308" i="1"/>
  <c r="R309" i="1" l="1"/>
  <c r="T309" i="1"/>
  <c r="E310" i="1"/>
  <c r="R310" i="1" l="1"/>
  <c r="T310" i="1"/>
  <c r="E311" i="1"/>
  <c r="R311" i="1" l="1"/>
  <c r="T311" i="1"/>
  <c r="E312" i="1"/>
  <c r="R312" i="1" l="1"/>
  <c r="T312" i="1"/>
  <c r="E313" i="1"/>
  <c r="R313" i="1" l="1"/>
  <c r="T313" i="1"/>
  <c r="E314" i="1"/>
  <c r="R314" i="1" l="1"/>
  <c r="E315" i="1"/>
  <c r="T314" i="1"/>
  <c r="R315" i="1" l="1"/>
  <c r="T315" i="1"/>
  <c r="E316" i="1"/>
  <c r="E317" i="1" l="1"/>
  <c r="T316" i="1"/>
  <c r="R316" i="1"/>
  <c r="T317" i="1" l="1"/>
  <c r="E318" i="1"/>
  <c r="R317" i="1"/>
  <c r="T318" i="1" l="1"/>
  <c r="R318" i="1"/>
  <c r="E319" i="1"/>
  <c r="R319" i="1" l="1"/>
  <c r="E320" i="1"/>
  <c r="T319" i="1"/>
  <c r="R320" i="1" l="1"/>
  <c r="T320" i="1"/>
  <c r="E321" i="1"/>
  <c r="R321" i="1" l="1"/>
  <c r="T321" i="1"/>
  <c r="E322" i="1"/>
  <c r="R322" i="1" l="1"/>
  <c r="T322" i="1"/>
  <c r="E323" i="1"/>
  <c r="R323" i="1" l="1"/>
  <c r="T323" i="1"/>
  <c r="E324" i="1"/>
  <c r="E325" i="1" l="1"/>
  <c r="T324" i="1"/>
  <c r="R324" i="1"/>
  <c r="R325" i="1" l="1"/>
  <c r="T325" i="1"/>
  <c r="E326" i="1"/>
  <c r="R326" i="1" l="1"/>
  <c r="E327" i="1"/>
  <c r="T326" i="1"/>
  <c r="R327" i="1" l="1"/>
  <c r="T327" i="1"/>
  <c r="E328" i="1"/>
  <c r="T328" i="1" l="1"/>
  <c r="R328" i="1"/>
  <c r="E329" i="1"/>
  <c r="R329" i="1" l="1"/>
  <c r="T329" i="1"/>
  <c r="E330" i="1"/>
  <c r="E331" i="1" l="1"/>
  <c r="R330" i="1"/>
  <c r="T330" i="1"/>
  <c r="E332" i="1" l="1"/>
  <c r="T331" i="1"/>
  <c r="R331" i="1"/>
  <c r="E333" i="1" l="1"/>
  <c r="T332" i="1"/>
  <c r="R332" i="1"/>
  <c r="E334" i="1" l="1"/>
  <c r="T333" i="1"/>
  <c r="R333" i="1"/>
  <c r="E335" i="1" l="1"/>
  <c r="E336" i="1" s="1"/>
  <c r="R334" i="1"/>
  <c r="T334" i="1"/>
  <c r="E337" i="1" l="1"/>
  <c r="R336" i="1"/>
  <c r="T336" i="1"/>
  <c r="T335" i="1"/>
  <c r="R335" i="1"/>
  <c r="E338" i="1" l="1"/>
  <c r="T337" i="1"/>
  <c r="R337" i="1"/>
  <c r="E339" i="1" l="1"/>
  <c r="T338" i="1"/>
  <c r="R338" i="1"/>
  <c r="E340" i="1" l="1"/>
  <c r="R339" i="1"/>
  <c r="T339" i="1"/>
  <c r="R340" i="1" l="1"/>
  <c r="E341" i="1"/>
  <c r="T340" i="1"/>
  <c r="E342" i="1" l="1"/>
  <c r="R341" i="1"/>
  <c r="T341" i="1"/>
  <c r="E343" i="1" l="1"/>
  <c r="E344" i="1" s="1"/>
  <c r="R342" i="1"/>
  <c r="T342" i="1"/>
  <c r="E345" i="1" l="1"/>
  <c r="T344" i="1"/>
  <c r="R344" i="1"/>
  <c r="R343" i="1"/>
  <c r="T343" i="1"/>
  <c r="E346" i="1" l="1"/>
  <c r="R345" i="1"/>
  <c r="T345" i="1"/>
  <c r="E347" i="1" l="1"/>
  <c r="E348" i="1" s="1"/>
  <c r="R346" i="1"/>
  <c r="T346" i="1"/>
  <c r="E349" i="1" l="1"/>
  <c r="T348" i="1"/>
  <c r="R348" i="1"/>
  <c r="R347" i="1"/>
  <c r="T347" i="1"/>
  <c r="R349" i="1" l="1"/>
  <c r="E350" i="1"/>
  <c r="T349" i="1"/>
  <c r="E351" i="1" l="1"/>
  <c r="R350" i="1"/>
  <c r="T350" i="1"/>
  <c r="E352" i="1" l="1"/>
  <c r="R351" i="1"/>
  <c r="T351" i="1"/>
  <c r="E353" i="1" l="1"/>
  <c r="T352" i="1"/>
  <c r="R352" i="1"/>
  <c r="E354" i="1" l="1"/>
  <c r="E355" i="1" s="1"/>
  <c r="R353" i="1"/>
  <c r="T353" i="1"/>
  <c r="R355" i="1" l="1"/>
  <c r="E356" i="1"/>
  <c r="T355" i="1"/>
  <c r="T354" i="1"/>
  <c r="R354" i="1"/>
  <c r="E357" i="1" l="1"/>
  <c r="E358" i="1" s="1"/>
  <c r="E359" i="1" s="1"/>
  <c r="E360" i="1" s="1"/>
  <c r="E361" i="1" s="1"/>
  <c r="R356" i="1"/>
  <c r="T356" i="1"/>
  <c r="E362" i="1" l="1"/>
  <c r="R361" i="1"/>
  <c r="T361" i="1"/>
  <c r="R360" i="1"/>
  <c r="T360" i="1"/>
  <c r="R359" i="1"/>
  <c r="T359" i="1"/>
  <c r="R358" i="1"/>
  <c r="T358" i="1"/>
  <c r="T357" i="1"/>
  <c r="R357" i="1"/>
  <c r="E363" i="1" l="1"/>
  <c r="R362" i="1"/>
  <c r="T362" i="1"/>
  <c r="E364" i="1" l="1"/>
  <c r="R363" i="1"/>
  <c r="T363" i="1"/>
  <c r="E365" i="1" l="1"/>
  <c r="E366" i="1" s="1"/>
  <c r="T364" i="1"/>
  <c r="R364" i="1"/>
  <c r="R366" i="1" l="1"/>
  <c r="T366" i="1"/>
  <c r="E367" i="1"/>
  <c r="E368" i="1" s="1"/>
  <c r="R365" i="1"/>
  <c r="T365" i="1"/>
  <c r="E369" i="1" l="1"/>
  <c r="R368" i="1"/>
  <c r="T368" i="1"/>
  <c r="R367" i="1"/>
  <c r="T367" i="1"/>
  <c r="E370" i="1" l="1"/>
  <c r="T369" i="1"/>
  <c r="R369" i="1"/>
  <c r="R370" i="1" l="1"/>
  <c r="E371" i="1"/>
  <c r="T370" i="1"/>
  <c r="R371" i="1" l="1"/>
  <c r="T371" i="1"/>
  <c r="E372" i="1"/>
  <c r="E373" i="1" l="1"/>
  <c r="T372" i="1"/>
  <c r="R372" i="1"/>
  <c r="E374" i="1" l="1"/>
  <c r="T373" i="1"/>
  <c r="R373" i="1"/>
  <c r="E375" i="1" l="1"/>
  <c r="T374" i="1"/>
  <c r="R374" i="1"/>
  <c r="R375" i="1" l="1"/>
  <c r="E376" i="1"/>
  <c r="T375" i="1"/>
  <c r="E377" i="1" l="1"/>
  <c r="T376" i="1"/>
  <c r="R376" i="1"/>
  <c r="E378" i="1" l="1"/>
  <c r="T378" i="1" s="1"/>
  <c r="T377" i="1"/>
  <c r="R377" i="1"/>
  <c r="E379" i="1" l="1"/>
  <c r="R378" i="1"/>
  <c r="E380" i="1" l="1"/>
  <c r="E381" i="1" s="1"/>
  <c r="T379" i="1"/>
  <c r="R379" i="1"/>
  <c r="E382" i="1" l="1"/>
  <c r="R381" i="1"/>
  <c r="T381" i="1"/>
  <c r="T380" i="1"/>
  <c r="R380" i="1"/>
  <c r="R382" i="1" l="1"/>
  <c r="E383" i="1"/>
  <c r="E384" i="1" s="1"/>
  <c r="E385" i="1" s="1"/>
  <c r="T382" i="1"/>
  <c r="T385" i="1" l="1"/>
  <c r="E386" i="1"/>
  <c r="R385" i="1"/>
  <c r="R384" i="1"/>
  <c r="T384" i="1"/>
  <c r="T383" i="1"/>
  <c r="R383" i="1"/>
  <c r="R386" i="1" l="1"/>
  <c r="E387" i="1"/>
  <c r="E388" i="1" s="1"/>
  <c r="T386" i="1"/>
  <c r="E389" i="1" l="1"/>
  <c r="R388" i="1"/>
  <c r="T388" i="1"/>
  <c r="R387" i="1"/>
  <c r="T387" i="1"/>
  <c r="E390" i="1" l="1"/>
  <c r="T389" i="1"/>
  <c r="R389" i="1"/>
  <c r="E391" i="1" l="1"/>
  <c r="E392" i="1" s="1"/>
  <c r="R390" i="1"/>
  <c r="T390" i="1"/>
  <c r="E393" i="1" l="1"/>
  <c r="E394" i="1" s="1"/>
  <c r="T392" i="1"/>
  <c r="R392" i="1"/>
  <c r="R391" i="1"/>
  <c r="T391" i="1"/>
  <c r="E395" i="1" l="1"/>
  <c r="E396" i="1" s="1"/>
  <c r="R394" i="1"/>
  <c r="T394" i="1"/>
  <c r="R393" i="1"/>
  <c r="T393" i="1"/>
  <c r="E397" i="1" l="1"/>
  <c r="R396" i="1"/>
  <c r="T396" i="1"/>
  <c r="T395" i="1"/>
  <c r="R395" i="1"/>
  <c r="E398" i="1" l="1"/>
  <c r="E399" i="1" s="1"/>
  <c r="R397" i="1"/>
  <c r="T397" i="1"/>
  <c r="E400" i="1" l="1"/>
  <c r="T399" i="1"/>
  <c r="R399" i="1"/>
  <c r="R398" i="1"/>
  <c r="T398" i="1"/>
  <c r="E401" i="1" l="1"/>
  <c r="T400" i="1"/>
  <c r="R400" i="1"/>
  <c r="E402" i="1" l="1"/>
  <c r="E403" i="1" s="1"/>
  <c r="R401" i="1"/>
  <c r="T401" i="1"/>
  <c r="E404" i="1" l="1"/>
  <c r="R403" i="1"/>
  <c r="T403" i="1"/>
  <c r="R402" i="1"/>
  <c r="T402" i="1"/>
  <c r="E405" i="1" l="1"/>
  <c r="R404" i="1"/>
  <c r="T404" i="1"/>
  <c r="R405" i="1" l="1"/>
  <c r="E406" i="1"/>
  <c r="T405" i="1"/>
  <c r="E407" i="1" l="1"/>
  <c r="R406" i="1"/>
  <c r="T406" i="1"/>
  <c r="R407" i="1" l="1"/>
  <c r="T407" i="1"/>
</calcChain>
</file>

<file path=xl/sharedStrings.xml><?xml version="1.0" encoding="utf-8"?>
<sst xmlns="http://schemas.openxmlformats.org/spreadsheetml/2006/main" count="14160" uniqueCount="349">
  <si>
    <t>Casos confirmados</t>
  </si>
  <si>
    <t>Casos acumulados</t>
  </si>
  <si>
    <t>Nuevas muertes</t>
  </si>
  <si>
    <t>Muertes Acumuladas</t>
  </si>
  <si>
    <t>Recuperaciones</t>
  </si>
  <si>
    <t>UTI</t>
  </si>
  <si>
    <t>nuevas_muestras</t>
  </si>
  <si>
    <t>total_pruebas</t>
  </si>
  <si>
    <t>DescEpidemiologia</t>
  </si>
  <si>
    <t>DescTest</t>
  </si>
  <si>
    <t>Descartados</t>
  </si>
  <si>
    <t>Importados</t>
  </si>
  <si>
    <t>Contacto Estrecho</t>
  </si>
  <si>
    <t>Circulacion Comunitaria</t>
  </si>
  <si>
    <t>Investigacion</t>
  </si>
  <si>
    <t>Chaco</t>
  </si>
  <si>
    <t>Buenos Aires</t>
  </si>
  <si>
    <t>Mendoza</t>
  </si>
  <si>
    <t>Río Negro</t>
  </si>
  <si>
    <t>Neuquén</t>
  </si>
  <si>
    <t>Córdoba</t>
  </si>
  <si>
    <t>La Rioja</t>
  </si>
  <si>
    <t>Santa Fe</t>
  </si>
  <si>
    <t>Misiones</t>
  </si>
  <si>
    <t>PROVINCIA</t>
  </si>
  <si>
    <t>FECHA</t>
  </si>
  <si>
    <t>CASOS</t>
  </si>
  <si>
    <t>ACUMULADOS</t>
  </si>
  <si>
    <t>Catamarca</t>
  </si>
  <si>
    <t>Chubut</t>
  </si>
  <si>
    <t>Corrientes</t>
  </si>
  <si>
    <t>Entre Ríos</t>
  </si>
  <si>
    <t>Jujuy</t>
  </si>
  <si>
    <t>La Pampa</t>
  </si>
  <si>
    <t>Salta</t>
  </si>
  <si>
    <t>San Juan</t>
  </si>
  <si>
    <t>San Luis</t>
  </si>
  <si>
    <t>Santa Cruz</t>
  </si>
  <si>
    <t>Santiago del Estero</t>
  </si>
  <si>
    <t>Tierra del Fuego</t>
  </si>
  <si>
    <t>Tucumán</t>
  </si>
  <si>
    <t>Formosa</t>
  </si>
  <si>
    <t>DÍa</t>
  </si>
  <si>
    <t>CABA</t>
  </si>
  <si>
    <t>Partido</t>
  </si>
  <si>
    <t>Almirante Brown</t>
  </si>
  <si>
    <t>Avellaneda</t>
  </si>
  <si>
    <t>Berazategui</t>
  </si>
  <si>
    <t>Escobar</t>
  </si>
  <si>
    <t>Esteban Echeverría</t>
  </si>
  <si>
    <t>Ezeiza</t>
  </si>
  <si>
    <t>Florencio Varela</t>
  </si>
  <si>
    <t>General Rodríguez</t>
  </si>
  <si>
    <t>General San Martín</t>
  </si>
  <si>
    <t>Hurlingham</t>
  </si>
  <si>
    <t>Ituzaingó</t>
  </si>
  <si>
    <t>José C. Paz</t>
  </si>
  <si>
    <t>La Matanza</t>
  </si>
  <si>
    <t>Lanús</t>
  </si>
  <si>
    <t>Malvinas Argentinas</t>
  </si>
  <si>
    <t>Marcos Paz</t>
  </si>
  <si>
    <t>Merlo</t>
  </si>
  <si>
    <t>Moreno</t>
  </si>
  <si>
    <t>Morón</t>
  </si>
  <si>
    <t>Pilar</t>
  </si>
  <si>
    <t>Presidente Perón</t>
  </si>
  <si>
    <t>Quilmes</t>
  </si>
  <si>
    <t>San Fernando</t>
  </si>
  <si>
    <t>San Isidro</t>
  </si>
  <si>
    <t>San Miguel</t>
  </si>
  <si>
    <t>San Vicente</t>
  </si>
  <si>
    <t>Tigre</t>
  </si>
  <si>
    <t>Vicente López</t>
  </si>
  <si>
    <t>AMBA</t>
  </si>
  <si>
    <t>ZONA</t>
  </si>
  <si>
    <t>CORDON</t>
  </si>
  <si>
    <t>supKm2</t>
  </si>
  <si>
    <t>POBLACION</t>
  </si>
  <si>
    <t>BS AS</t>
  </si>
  <si>
    <t>SI</t>
  </si>
  <si>
    <t>SUR</t>
  </si>
  <si>
    <t>2do</t>
  </si>
  <si>
    <t>1er</t>
  </si>
  <si>
    <t>3ro</t>
  </si>
  <si>
    <t>Berisso</t>
  </si>
  <si>
    <t>Brandsen</t>
  </si>
  <si>
    <t>Campana</t>
  </si>
  <si>
    <t>Canuelas</t>
  </si>
  <si>
    <t>Ensenada</t>
  </si>
  <si>
    <t>NORTE</t>
  </si>
  <si>
    <t>General Las Heras</t>
  </si>
  <si>
    <t>OESTE</t>
  </si>
  <si>
    <t>La Plata</t>
  </si>
  <si>
    <t>Luján</t>
  </si>
  <si>
    <t>Mercedes</t>
  </si>
  <si>
    <t>Zárate</t>
  </si>
  <si>
    <t>Tres de Febrero</t>
  </si>
  <si>
    <t>Exaltación de La Cruz</t>
  </si>
  <si>
    <t>Lomas de Zamora</t>
  </si>
  <si>
    <t>MUERTES</t>
  </si>
  <si>
    <t>CANTIDAD</t>
  </si>
  <si>
    <t>% OCUPACION</t>
  </si>
  <si>
    <t>M_acum</t>
  </si>
  <si>
    <t>Sgo. del Estero</t>
  </si>
  <si>
    <t xml:space="preserve"> 10/9/2020</t>
  </si>
  <si>
    <t>CRECIMIENTO (%)
AGOSTO-SEPTIEMBRE</t>
  </si>
  <si>
    <t>CRECIMIENTO (%) 
JULIO-
AGOSTO</t>
  </si>
  <si>
    <t>CRECIMIENTO MENSUAL DE CASOS TOTALES ACUMULADOS POR PROVINCIA</t>
  </si>
  <si>
    <t>CRECIMIENTO (%)
AGOSTO-
SEPTIEMBRE</t>
  </si>
  <si>
    <t>POSITIVIDAD</t>
  </si>
  <si>
    <t>REC_N</t>
  </si>
  <si>
    <t>Altas</t>
  </si>
  <si>
    <t>DIF_uti</t>
  </si>
  <si>
    <t>DIF ACTIVOS</t>
  </si>
  <si>
    <t>INCIDENCIA</t>
  </si>
  <si>
    <t>INDICADORES SANITARIOS POR PROVINCIA</t>
  </si>
  <si>
    <t>IA 7 días</t>
  </si>
  <si>
    <t>Incidencia diaria</t>
  </si>
  <si>
    <t>R² = 0,4065</t>
  </si>
  <si>
    <t>RAZÓN Crecimiento</t>
  </si>
  <si>
    <t>VACUNAS APLICADAS</t>
  </si>
  <si>
    <t>RAZON</t>
  </si>
  <si>
    <t>poblacion</t>
  </si>
  <si>
    <t>color</t>
  </si>
  <si>
    <t>AGRONOMIA</t>
  </si>
  <si>
    <t>13894.1518251863</t>
  </si>
  <si>
    <t>AMARILLO</t>
  </si>
  <si>
    <t>ALMAGRO</t>
  </si>
  <si>
    <t>132001.427042455</t>
  </si>
  <si>
    <t>BALVANERA</t>
  </si>
  <si>
    <t>139147.002326925</t>
  </si>
  <si>
    <t>BARRACAS</t>
  </si>
  <si>
    <t>89526.2626614223</t>
  </si>
  <si>
    <t>ROJO</t>
  </si>
  <si>
    <t>BELGRANO</t>
  </si>
  <si>
    <t>126828.725593814</t>
  </si>
  <si>
    <t>LA BOCA</t>
  </si>
  <si>
    <t>44893.3782267116</t>
  </si>
  <si>
    <t>BOEDO</t>
  </si>
  <si>
    <t>47365.620010644</t>
  </si>
  <si>
    <t>CABALLITO</t>
  </si>
  <si>
    <t>176606.318778843</t>
  </si>
  <si>
    <t>CHACARITA</t>
  </si>
  <si>
    <t>27538.2054773793</t>
  </si>
  <si>
    <t>COGHLAN</t>
  </si>
  <si>
    <t>18723.5428199284</t>
  </si>
  <si>
    <t>COLEGIALES</t>
  </si>
  <si>
    <t>52311.0264170683</t>
  </si>
  <si>
    <t>CONSTITUCION</t>
  </si>
  <si>
    <t>43967.7176623338</t>
  </si>
  <si>
    <t>FLORES</t>
  </si>
  <si>
    <t>164174.252275683</t>
  </si>
  <si>
    <t>FLORESTA</t>
  </si>
  <si>
    <t>37432.7911250255</t>
  </si>
  <si>
    <t>LINIERS</t>
  </si>
  <si>
    <t>44197.9374295866</t>
  </si>
  <si>
    <t>MATADEROS</t>
  </si>
  <si>
    <t>64254.1068072983</t>
  </si>
  <si>
    <t>MONSERRAT</t>
  </si>
  <si>
    <t>40367.7954698363</t>
  </si>
  <si>
    <t>MONTE CASTRO</t>
  </si>
  <si>
    <t>33746.4362599639</t>
  </si>
  <si>
    <t>NUEVA POMPEYA</t>
  </si>
  <si>
    <t>42232.8870927002</t>
  </si>
  <si>
    <t>NUÑEZ</t>
  </si>
  <si>
    <t>52495.9434952754</t>
  </si>
  <si>
    <t>PALERMO</t>
  </si>
  <si>
    <t>226069.246435845</t>
  </si>
  <si>
    <t>PARQUE AVELLANEDA</t>
  </si>
  <si>
    <t>53206.1739239553</t>
  </si>
  <si>
    <t>PARQUE CHACABUCO</t>
  </si>
  <si>
    <t>56258.1955078042</t>
  </si>
  <si>
    <t>PARQUE CHAS</t>
  </si>
  <si>
    <t>17581.2665993342</t>
  </si>
  <si>
    <t>PARQUE PATRICIOS</t>
  </si>
  <si>
    <t>PATERNAL</t>
  </si>
  <si>
    <t>PUERTO MADERO</t>
  </si>
  <si>
    <t>RECOLETA</t>
  </si>
  <si>
    <t>RETIRO</t>
  </si>
  <si>
    <t>SAAVEDRA</t>
  </si>
  <si>
    <t>SAN CRISTOBAL</t>
  </si>
  <si>
    <t>SAN NICOLAS</t>
  </si>
  <si>
    <t>SAN TELMO</t>
  </si>
  <si>
    <t>VELEZ SARSFIELD</t>
  </si>
  <si>
    <t>VERSALLES</t>
  </si>
  <si>
    <t>VILLA CRESPO</t>
  </si>
  <si>
    <t>VILLA DEL PARQUE</t>
  </si>
  <si>
    <t>VILLA DEVOTO</t>
  </si>
  <si>
    <t>VILLA GRAL. MITRE</t>
  </si>
  <si>
    <t>VILLA LUGANO</t>
  </si>
  <si>
    <t>VILLA LURO</t>
  </si>
  <si>
    <t>VILLA ORTUZAR</t>
  </si>
  <si>
    <t>VILLA PUEYRREDON</t>
  </si>
  <si>
    <t>VILLA REAL</t>
  </si>
  <si>
    <t>VILLA RIACHUELO</t>
  </si>
  <si>
    <t>VILLA SANTA RITA</t>
  </si>
  <si>
    <t>VILLA SOLDATI</t>
  </si>
  <si>
    <t>VILLA URQUIZA</t>
  </si>
  <si>
    <t>BARRIO</t>
  </si>
  <si>
    <t>RAZÓN</t>
  </si>
  <si>
    <t>Inc. Acum. 14 días</t>
  </si>
  <si>
    <t>Casos del 2/3 al 16/3</t>
  </si>
  <si>
    <t>Casos del 15/2 al 1/3</t>
  </si>
  <si>
    <t>18 a29</t>
  </si>
  <si>
    <t>30 a39</t>
  </si>
  <si>
    <t>40a49</t>
  </si>
  <si>
    <t>50a59</t>
  </si>
  <si>
    <t>60a69</t>
  </si>
  <si>
    <t>70a79</t>
  </si>
  <si>
    <t>80a89</t>
  </si>
  <si>
    <t>90-99</t>
  </si>
  <si>
    <t>mas de 100</t>
  </si>
  <si>
    <t>Total</t>
  </si>
  <si>
    <t>Neuquen</t>
  </si>
  <si>
    <t>Tierra del fuego</t>
  </si>
  <si>
    <t>Entre Ríos</t>
  </si>
  <si>
    <t>Río Negro</t>
  </si>
  <si>
    <t>Buenos Aires</t>
  </si>
  <si>
    <t>Tierra del Fuego</t>
  </si>
  <si>
    <t>San Juan</t>
  </si>
  <si>
    <t>Santiago del Estero</t>
  </si>
  <si>
    <t>La Pampa</t>
  </si>
  <si>
    <t>Santa Fe</t>
  </si>
  <si>
    <t>San Luis</t>
  </si>
  <si>
    <t>Santa Cruz</t>
  </si>
  <si>
    <t>La Rioja</t>
  </si>
  <si>
    <t>Mayores de 61</t>
  </si>
  <si>
    <t>Mayores de 60 Vacunados</t>
  </si>
  <si>
    <t>Población Mayores de 60</t>
  </si>
  <si>
    <t>% Mayores de 60</t>
  </si>
  <si>
    <t>CASOS TOTALES</t>
  </si>
  <si>
    <t>FALL. TOTALES</t>
  </si>
  <si>
    <t>TOTAL PAIS</t>
  </si>
  <si>
    <t>Letalidad en Mayores de 60</t>
  </si>
  <si>
    <t>% de población &gt; 60 que falleció</t>
  </si>
  <si>
    <t>MAXIMO</t>
  </si>
  <si>
    <t>HOY</t>
  </si>
  <si>
    <t>prom CASOS</t>
  </si>
  <si>
    <t>prom MUERTES</t>
  </si>
  <si>
    <t>prom UTI</t>
  </si>
  <si>
    <t>ACTIVOS</t>
  </si>
  <si>
    <t>ACTIVOS EN UTI</t>
  </si>
  <si>
    <t>CRECIMIENTO SEMANAL</t>
  </si>
  <si>
    <t>OCUP_GRAL</t>
  </si>
  <si>
    <t>OCUP_AMBA</t>
  </si>
  <si>
    <t>CRECIM DE ACTIVOS</t>
  </si>
  <si>
    <t>% MUERTES CASOS 15 DIAS</t>
  </si>
  <si>
    <t>OCUP AMBA</t>
  </si>
  <si>
    <t>CRECIM. MISMO DIA SEM. ANT</t>
  </si>
  <si>
    <t>MAX</t>
  </si>
  <si>
    <t>Dirección de correo electrónico</t>
  </si>
  <si>
    <t>Lugar de Trabajo</t>
  </si>
  <si>
    <t>Apellido y Nombre</t>
  </si>
  <si>
    <t>Pagó</t>
  </si>
  <si>
    <t>Descuento FRCU</t>
  </si>
  <si>
    <t>rodrigobenito33@gmail.com</t>
  </si>
  <si>
    <t>Vestacare Inc.</t>
  </si>
  <si>
    <t>Benito, Rodrigo</t>
  </si>
  <si>
    <t>NO</t>
  </si>
  <si>
    <t>sebacohen@gmail.com</t>
  </si>
  <si>
    <t>Universidad Nacional de Lanús</t>
  </si>
  <si>
    <t>Cohen, Juan Sebastián</t>
  </si>
  <si>
    <t>diazclara@gmail.com</t>
  </si>
  <si>
    <t>Universidad Nacional de Entre Ríos</t>
  </si>
  <si>
    <t>Diaz, Clara Mercedes</t>
  </si>
  <si>
    <t>flo.fernandez@outlook.com</t>
  </si>
  <si>
    <t>Fundacion protagonizar</t>
  </si>
  <si>
    <t>Fernandez, Florencia</t>
  </si>
  <si>
    <t>carolinafigueroavicario@hotmail.com</t>
  </si>
  <si>
    <t>ministerio de hacienda</t>
  </si>
  <si>
    <t xml:space="preserve">Figueroa Vicario, Ana Carolina </t>
  </si>
  <si>
    <t>silvinalaurent@gmail.com</t>
  </si>
  <si>
    <t>Municipalidad de San José</t>
  </si>
  <si>
    <t>Laurent, Silvina</t>
  </si>
  <si>
    <t>sergiolescano@gmail.com</t>
  </si>
  <si>
    <t>Swiss Medical Group</t>
  </si>
  <si>
    <t>Lescano, Sergio José</t>
  </si>
  <si>
    <t>guidoomuchiutti@gmail.com</t>
  </si>
  <si>
    <t>Consultora propia/ Gobierno de Chajarí</t>
  </si>
  <si>
    <t>Muchiutti, Guido Orlando</t>
  </si>
  <si>
    <t>pivasv@gmail.com</t>
  </si>
  <si>
    <t>Learning House</t>
  </si>
  <si>
    <t>Pivas Stockli, Verónica María</t>
  </si>
  <si>
    <t>vechettiariel@gmail.com</t>
  </si>
  <si>
    <t>Lemiro Pablo Pietroboni</t>
  </si>
  <si>
    <t>Vechetti, Ariel Matias</t>
  </si>
  <si>
    <t>nicolas.s.vidal@gmail.com</t>
  </si>
  <si>
    <t>Remoto</t>
  </si>
  <si>
    <t>Vidal, Nicolas Sebastian</t>
  </si>
  <si>
    <t>rebecayuan@gmail.com</t>
  </si>
  <si>
    <t>UTN San Francisco</t>
  </si>
  <si>
    <t>Yuan, Rebeca</t>
  </si>
  <si>
    <t>lelapietra@gmail.com</t>
  </si>
  <si>
    <t>Becario de investigacion UTN FRCU, FullStack Developer ITSynch</t>
  </si>
  <si>
    <t>La Pietra, Lucas Ezequiel</t>
  </si>
  <si>
    <t>mrobertazzi@gmail.com</t>
  </si>
  <si>
    <t>Universidad de Flores</t>
  </si>
  <si>
    <t>Robertazzi, Mario Alberto</t>
  </si>
  <si>
    <t>benitezmartin@gmail.com</t>
  </si>
  <si>
    <t>Granja Tres Arroyos</t>
  </si>
  <si>
    <t>Martín Benítez</t>
  </si>
  <si>
    <t>fecha_toma_muestra</t>
  </si>
  <si>
    <t>grupo</t>
  </si>
  <si>
    <t>cantidad</t>
  </si>
  <si>
    <t>20 a 29</t>
  </si>
  <si>
    <t>10 a 19</t>
  </si>
  <si>
    <t>30 a 39</t>
  </si>
  <si>
    <t>40 a 49</t>
  </si>
  <si>
    <t>70 a 79</t>
  </si>
  <si>
    <t>0 a 9</t>
  </si>
  <si>
    <t>50 a 59</t>
  </si>
  <si>
    <t>60 a 69</t>
  </si>
  <si>
    <t>80 o mas</t>
  </si>
  <si>
    <t>Etiquetas de columna</t>
  </si>
  <si>
    <t>Total general</t>
  </si>
  <si>
    <t>Etiquetas de fila</t>
  </si>
  <si>
    <t>Suma de cantidad</t>
  </si>
  <si>
    <t>1/3/2020 - 14/3/2020</t>
  </si>
  <si>
    <t>15/3/2020 - 28/3/2020</t>
  </si>
  <si>
    <t>29/3/2020 - 11/4/2020</t>
  </si>
  <si>
    <t>12/4/2020 - 25/4/2020</t>
  </si>
  <si>
    <t>26/4/2020 - 9/5/2020</t>
  </si>
  <si>
    <t>10/5/2020 - 23/5/2020</t>
  </si>
  <si>
    <t>24/5/2020 - 6/6/2020</t>
  </si>
  <si>
    <t>7/6/2020 - 20/6/2020</t>
  </si>
  <si>
    <t>21/6/2020 - 4/7/2020</t>
  </si>
  <si>
    <t>5/7/2020 - 18/7/2020</t>
  </si>
  <si>
    <t>19/7/2020 - 1/8/2020</t>
  </si>
  <si>
    <t>2/8/2020 - 15/8/2020</t>
  </si>
  <si>
    <t>16/8/2020 - 29/8/2020</t>
  </si>
  <si>
    <t>30/8/2020 - 12/9/2020</t>
  </si>
  <si>
    <t>13/9/2020 - 26/9/2020</t>
  </si>
  <si>
    <t>27/9/2020 - 10/10/2020</t>
  </si>
  <si>
    <t>11/10/2020 - 24/10/2020</t>
  </si>
  <si>
    <t>25/10/2020 - 7/11/2020</t>
  </si>
  <si>
    <t>8/11/2020 - 21/11/2020</t>
  </si>
  <si>
    <t>22/11/2020 - 5/12/2020</t>
  </si>
  <si>
    <t>6/12/2020 - 19/12/2020</t>
  </si>
  <si>
    <t>20/12/2020 - 2/1/2021</t>
  </si>
  <si>
    <t>3/1/2021 - 16/1/2021</t>
  </si>
  <si>
    <t>17/1/2021 - 30/1/2021</t>
  </si>
  <si>
    <t>31/1/2021 - 13/2/2021</t>
  </si>
  <si>
    <t>14/2/2021 - 27/2/2021</t>
  </si>
  <si>
    <t>28/2/2021 - 13/3/2021</t>
  </si>
  <si>
    <t>14/3/2021 - 27/3/2021</t>
  </si>
  <si>
    <t>28/3/2021 - 10/4/2021</t>
  </si>
  <si>
    <t>grupos</t>
  </si>
  <si>
    <t>CRECIM</t>
  </si>
  <si>
    <t>Promedio de 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</si>
</sst>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\ #,##0;[Red]\-&quot;$&quot;\ #,##0"/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0.0"/>
    <numFmt numFmtId="167" formatCode="0.00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14171A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rgb="FF314C59"/>
      <name val="Arial"/>
      <family val="2"/>
    </font>
    <font>
      <sz val="8"/>
      <color rgb="FF333333"/>
      <name val="Arial"/>
      <family val="2"/>
    </font>
    <font>
      <sz val="8"/>
      <color rgb="FFE02F44"/>
      <name val="Arial"/>
      <family val="2"/>
    </font>
    <font>
      <sz val="8"/>
      <color rgb="FFF2CC0C"/>
      <name val="Arial"/>
      <family val="2"/>
    </font>
    <font>
      <sz val="8"/>
      <color rgb="FFFF780A"/>
      <name val="Arial"/>
      <family val="2"/>
    </font>
    <font>
      <b/>
      <sz val="12"/>
      <color rgb="FF314C59"/>
      <name val="Arial"/>
      <family val="2"/>
    </font>
    <font>
      <sz val="9"/>
      <color rgb="FF59595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E02F44"/>
      <name val="Arial"/>
      <family val="2"/>
    </font>
    <font>
      <sz val="9"/>
      <color rgb="FFFF780A"/>
      <name val="Arial"/>
      <family val="2"/>
    </font>
    <font>
      <sz val="9"/>
      <color rgb="FFF2CC0C"/>
      <name val="Arial"/>
      <family val="2"/>
    </font>
    <font>
      <sz val="10"/>
      <color rgb="FFE02F44"/>
      <name val="Arial"/>
      <family val="2"/>
    </font>
    <font>
      <sz val="10"/>
      <color rgb="FFF2CC0C"/>
      <name val="Arial"/>
      <family val="2"/>
    </font>
    <font>
      <sz val="10"/>
      <color rgb="FFFF780A"/>
      <name val="Arial"/>
      <family val="2"/>
    </font>
    <font>
      <sz val="6"/>
      <color rgb="FF333333"/>
      <name val="Arial"/>
      <family val="2"/>
    </font>
    <font>
      <sz val="6"/>
      <color rgb="FFE02F44"/>
      <name val="Arial"/>
      <family val="2"/>
    </font>
    <font>
      <sz val="6"/>
      <color rgb="FFF2CC0C"/>
      <name val="Arial"/>
      <family val="2"/>
    </font>
    <font>
      <sz val="6"/>
      <color rgb="FFFF780A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6"/>
      <color rgb="FF0083B3"/>
      <name val="Arial"/>
      <family val="2"/>
    </font>
    <font>
      <sz val="9"/>
      <color rgb="FF333333"/>
      <name val="Arial"/>
      <family val="2"/>
    </font>
    <font>
      <b/>
      <sz val="12"/>
      <color rgb="FF222222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medium">
        <color theme="2" tint="-0.499984740745262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/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/>
      <right style="medium">
        <color theme="2" tint="-0.499984740745262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rgb="FFF7F8FA"/>
      </right>
      <top/>
      <bottom style="thick">
        <color rgb="FFF7F8FA"/>
      </bottom>
      <diagonal/>
    </border>
    <border>
      <left/>
      <right/>
      <top/>
      <bottom style="thick">
        <color rgb="FFF7F8FA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rgb="FFF7F8FA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theme="0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6" applyNumberFormat="0" applyFill="0" applyAlignment="0" applyProtection="0"/>
    <xf numFmtId="0" fontId="8" fillId="0" borderId="17" applyNumberFormat="0" applyFill="0" applyAlignment="0" applyProtection="0"/>
    <xf numFmtId="0" fontId="9" fillId="0" borderId="18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3" fillId="10" borderId="19" applyNumberFormat="0" applyAlignment="0" applyProtection="0"/>
    <xf numFmtId="0" fontId="14" fillId="11" borderId="20" applyNumberFormat="0" applyAlignment="0" applyProtection="0"/>
    <xf numFmtId="0" fontId="15" fillId="11" borderId="19" applyNumberFormat="0" applyAlignment="0" applyProtection="0"/>
    <xf numFmtId="0" fontId="16" fillId="0" borderId="21" applyNumberFormat="0" applyFill="0" applyAlignment="0" applyProtection="0"/>
    <xf numFmtId="0" fontId="17" fillId="12" borderId="22" applyNumberFormat="0" applyAlignment="0" applyProtection="0"/>
    <xf numFmtId="0" fontId="18" fillId="0" borderId="0" applyNumberFormat="0" applyFill="0" applyBorder="0" applyAlignment="0" applyProtection="0"/>
    <xf numFmtId="0" fontId="1" fillId="13" borderId="23" applyNumberFormat="0" applyFont="0" applyAlignment="0" applyProtection="0"/>
    <xf numFmtId="0" fontId="19" fillId="0" borderId="0" applyNumberFormat="0" applyFill="0" applyBorder="0" applyAlignment="0" applyProtection="0"/>
    <xf numFmtId="0" fontId="3" fillId="0" borderId="24" applyNumberFormat="0" applyFill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2" fillId="0" borderId="0"/>
    <xf numFmtId="0" fontId="53" fillId="0" borderId="0"/>
  </cellStyleXfs>
  <cellXfs count="390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4" fontId="0" fillId="0" borderId="1" xfId="0" applyNumberFormat="1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1" xfId="0" applyNumberFormat="1" applyFont="1" applyBorder="1" applyAlignment="1">
      <alignment horizontal="center" wrapText="1"/>
    </xf>
    <xf numFmtId="0" fontId="0" fillId="2" borderId="1" xfId="0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0" xfId="0" applyFill="1" applyBorder="1"/>
    <xf numFmtId="0" fontId="3" fillId="0" borderId="1" xfId="0" applyFont="1" applyBorder="1"/>
    <xf numFmtId="164" fontId="0" fillId="0" borderId="1" xfId="1" applyNumberFormat="1" applyFont="1" applyBorder="1" applyAlignment="1">
      <alignment horizontal="center"/>
    </xf>
    <xf numFmtId="0" fontId="3" fillId="0" borderId="7" xfId="0" applyFont="1" applyBorder="1"/>
    <xf numFmtId="14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14" fontId="0" fillId="0" borderId="5" xfId="0" applyNumberForma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/>
    <xf numFmtId="1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25" xfId="0" applyBorder="1"/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9" fontId="26" fillId="0" borderId="1" xfId="1" applyFont="1" applyBorder="1" applyAlignment="1">
      <alignment horizontal="center" vertical="center"/>
    </xf>
    <xf numFmtId="16" fontId="24" fillId="5" borderId="26" xfId="0" applyNumberFormat="1" applyFont="1" applyFill="1" applyBorder="1" applyAlignment="1">
      <alignment horizontal="center" vertical="center"/>
    </xf>
    <xf numFmtId="14" fontId="24" fillId="5" borderId="27" xfId="0" applyNumberFormat="1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24" fillId="5" borderId="27" xfId="0" applyFont="1" applyFill="1" applyBorder="1" applyAlignment="1">
      <alignment horizontal="center" vertical="center" wrapText="1"/>
    </xf>
    <xf numFmtId="0" fontId="17" fillId="5" borderId="28" xfId="0" applyFont="1" applyFill="1" applyBorder="1" applyAlignment="1">
      <alignment horizontal="center" vertical="center" wrapText="1"/>
    </xf>
    <xf numFmtId="0" fontId="25" fillId="5" borderId="29" xfId="0" applyFont="1" applyFill="1" applyBorder="1" applyAlignment="1">
      <alignment horizontal="left" vertical="center"/>
    </xf>
    <xf numFmtId="9" fontId="26" fillId="0" borderId="11" xfId="1" applyFont="1" applyBorder="1" applyAlignment="1">
      <alignment horizontal="center" vertical="center"/>
    </xf>
    <xf numFmtId="0" fontId="25" fillId="5" borderId="30" xfId="0" applyFont="1" applyFill="1" applyBorder="1" applyAlignment="1">
      <alignment horizontal="left" vertical="center"/>
    </xf>
    <xf numFmtId="0" fontId="25" fillId="5" borderId="31" xfId="0" applyFont="1" applyFill="1" applyBorder="1" applyAlignment="1">
      <alignment horizontal="left" vertical="center"/>
    </xf>
    <xf numFmtId="9" fontId="26" fillId="0" borderId="13" xfId="1" applyFont="1" applyBorder="1" applyAlignment="1">
      <alignment horizontal="center" vertical="center"/>
    </xf>
    <xf numFmtId="9" fontId="26" fillId="0" borderId="14" xfId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4" borderId="0" xfId="0" applyFont="1" applyFill="1"/>
    <xf numFmtId="0" fontId="23" fillId="4" borderId="0" xfId="0" applyFont="1" applyFill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9" fontId="28" fillId="0" borderId="11" xfId="1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9" fontId="28" fillId="0" borderId="14" xfId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10" xfId="0" applyFont="1" applyBorder="1"/>
    <xf numFmtId="0" fontId="3" fillId="0" borderId="12" xfId="0" applyFont="1" applyBorder="1"/>
    <xf numFmtId="0" fontId="3" fillId="0" borderId="25" xfId="0" applyFont="1" applyBorder="1"/>
    <xf numFmtId="9" fontId="0" fillId="0" borderId="0" xfId="1" applyFont="1" applyAlignment="1">
      <alignment horizontal="center"/>
    </xf>
    <xf numFmtId="0" fontId="0" fillId="0" borderId="1" xfId="0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/>
    </xf>
    <xf numFmtId="0" fontId="32" fillId="0" borderId="34" xfId="0" applyFont="1" applyBorder="1" applyAlignment="1">
      <alignment horizontal="center" vertical="center" wrapText="1"/>
    </xf>
    <xf numFmtId="14" fontId="33" fillId="0" borderId="1" xfId="0" applyNumberFormat="1" applyFont="1" applyFill="1" applyBorder="1" applyAlignment="1">
      <alignment horizontal="center" vertical="center"/>
    </xf>
    <xf numFmtId="14" fontId="33" fillId="0" borderId="5" xfId="0" applyNumberFormat="1" applyFont="1" applyFill="1" applyBorder="1" applyAlignment="1">
      <alignment horizontal="center" vertical="center"/>
    </xf>
    <xf numFmtId="14" fontId="33" fillId="0" borderId="35" xfId="0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3" fillId="0" borderId="36" xfId="0" applyFont="1" applyBorder="1"/>
    <xf numFmtId="0" fontId="3" fillId="0" borderId="38" xfId="0" applyFont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/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64" fontId="0" fillId="0" borderId="35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/>
    </xf>
    <xf numFmtId="0" fontId="0" fillId="41" borderId="35" xfId="0" applyFill="1" applyBorder="1" applyAlignment="1">
      <alignment horizontal="center"/>
    </xf>
    <xf numFmtId="0" fontId="2" fillId="0" borderId="35" xfId="0" applyFont="1" applyBorder="1" applyAlignment="1">
      <alignment horizontal="center" wrapText="1"/>
    </xf>
    <xf numFmtId="0" fontId="3" fillId="0" borderId="50" xfId="0" applyFont="1" applyBorder="1"/>
    <xf numFmtId="14" fontId="33" fillId="0" borderId="51" xfId="0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/>
    </xf>
    <xf numFmtId="1" fontId="0" fillId="0" borderId="51" xfId="0" applyNumberFormat="1" applyBorder="1" applyAlignment="1">
      <alignment horizontal="center"/>
    </xf>
    <xf numFmtId="0" fontId="2" fillId="0" borderId="51" xfId="0" applyFont="1" applyBorder="1" applyAlignment="1">
      <alignment horizontal="center" wrapText="1"/>
    </xf>
    <xf numFmtId="164" fontId="0" fillId="0" borderId="51" xfId="1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3" fillId="0" borderId="54" xfId="0" applyFont="1" applyBorder="1"/>
    <xf numFmtId="0" fontId="2" fillId="0" borderId="35" xfId="0" applyFont="1" applyBorder="1" applyAlignment="1">
      <alignment horizontal="center"/>
    </xf>
    <xf numFmtId="3" fontId="0" fillId="0" borderId="1" xfId="43" applyNumberFormat="1" applyFont="1" applyBorder="1" applyAlignment="1">
      <alignment horizontal="center" vertical="center"/>
    </xf>
    <xf numFmtId="3" fontId="3" fillId="0" borderId="1" xfId="43" applyNumberFormat="1" applyFont="1" applyBorder="1" applyAlignment="1">
      <alignment horizontal="center" vertical="center"/>
    </xf>
    <xf numFmtId="3" fontId="2" fillId="0" borderId="1" xfId="43" applyNumberFormat="1" applyFont="1" applyBorder="1" applyAlignment="1">
      <alignment horizontal="center" vertical="center" wrapText="1"/>
    </xf>
    <xf numFmtId="3" fontId="2" fillId="0" borderId="2" xfId="43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3" fontId="0" fillId="0" borderId="5" xfId="43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" fontId="0" fillId="0" borderId="1" xfId="0" applyNumberFormat="1" applyFont="1" applyBorder="1" applyAlignment="1">
      <alignment horizontal="center"/>
    </xf>
    <xf numFmtId="3" fontId="1" fillId="0" borderId="1" xfId="43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4" fontId="33" fillId="42" borderId="1" xfId="0" applyNumberFormat="1" applyFont="1" applyFill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14" fontId="33" fillId="43" borderId="1" xfId="0" applyNumberFormat="1" applyFont="1" applyFill="1" applyBorder="1" applyAlignment="1">
      <alignment horizontal="center" vertical="center"/>
    </xf>
    <xf numFmtId="14" fontId="33" fillId="4" borderId="1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33" fillId="4" borderId="5" xfId="0" applyNumberFormat="1" applyFont="1" applyFill="1" applyBorder="1" applyAlignment="1">
      <alignment horizontal="center" vertical="center"/>
    </xf>
    <xf numFmtId="3" fontId="1" fillId="0" borderId="5" xfId="43" applyNumberFormat="1" applyFont="1" applyBorder="1" applyAlignment="1">
      <alignment horizontal="center" vertical="center"/>
    </xf>
    <xf numFmtId="0" fontId="0" fillId="0" borderId="56" xfId="0" applyBorder="1" applyAlignment="1">
      <alignment horizontal="center"/>
    </xf>
    <xf numFmtId="1" fontId="0" fillId="0" borderId="56" xfId="0" applyNumberFormat="1" applyBorder="1" applyAlignment="1">
      <alignment horizontal="center"/>
    </xf>
    <xf numFmtId="3" fontId="1" fillId="0" borderId="56" xfId="43" applyNumberFormat="1" applyFont="1" applyBorder="1" applyAlignment="1">
      <alignment horizontal="center" vertical="center"/>
    </xf>
    <xf numFmtId="14" fontId="33" fillId="42" borderId="57" xfId="0" applyNumberFormat="1" applyFont="1" applyFill="1" applyBorder="1" applyAlignment="1">
      <alignment horizontal="center" vertical="center"/>
    </xf>
    <xf numFmtId="0" fontId="0" fillId="0" borderId="57" xfId="0" applyBorder="1" applyAlignment="1">
      <alignment horizontal="center"/>
    </xf>
    <xf numFmtId="14" fontId="33" fillId="42" borderId="5" xfId="0" applyNumberFormat="1" applyFont="1" applyFill="1" applyBorder="1" applyAlignment="1">
      <alignment horizontal="center" vertical="center"/>
    </xf>
    <xf numFmtId="1" fontId="0" fillId="0" borderId="58" xfId="0" applyNumberFormat="1" applyBorder="1" applyAlignment="1">
      <alignment horizontal="center"/>
    </xf>
    <xf numFmtId="1" fontId="0" fillId="0" borderId="57" xfId="0" applyNumberFormat="1" applyBorder="1" applyAlignment="1">
      <alignment horizontal="center"/>
    </xf>
    <xf numFmtId="3" fontId="1" fillId="0" borderId="57" xfId="43" applyNumberFormat="1" applyFont="1" applyBorder="1" applyAlignment="1">
      <alignment horizontal="center" vertical="center"/>
    </xf>
    <xf numFmtId="0" fontId="0" fillId="0" borderId="59" xfId="0" applyFont="1" applyBorder="1" applyAlignment="1">
      <alignment horizontal="center" vertical="center"/>
    </xf>
    <xf numFmtId="3" fontId="3" fillId="0" borderId="5" xfId="0" applyNumberFormat="1" applyFont="1" applyBorder="1" applyAlignment="1">
      <alignment horizontal="center"/>
    </xf>
    <xf numFmtId="14" fontId="33" fillId="4" borderId="60" xfId="0" applyNumberFormat="1" applyFont="1" applyFill="1" applyBorder="1" applyAlignment="1">
      <alignment horizontal="center" vertical="center"/>
    </xf>
    <xf numFmtId="14" fontId="33" fillId="4" borderId="61" xfId="0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 vertical="center"/>
    </xf>
    <xf numFmtId="165" fontId="0" fillId="40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/>
    </xf>
    <xf numFmtId="165" fontId="0" fillId="0" borderId="1" xfId="43" applyNumberFormat="1" applyFont="1" applyFill="1" applyBorder="1" applyAlignment="1">
      <alignment horizontal="center" vertical="center"/>
    </xf>
    <xf numFmtId="165" fontId="0" fillId="2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Fill="1" applyBorder="1" applyAlignment="1">
      <alignment horizontal="center"/>
    </xf>
    <xf numFmtId="165" fontId="0" fillId="0" borderId="4" xfId="43" applyNumberFormat="1" applyFont="1" applyBorder="1" applyAlignment="1">
      <alignment horizontal="center"/>
    </xf>
    <xf numFmtId="165" fontId="0" fillId="38" borderId="1" xfId="43" applyNumberFormat="1" applyFont="1" applyFill="1" applyBorder="1" applyAlignment="1">
      <alignment horizontal="center"/>
    </xf>
    <xf numFmtId="165" fontId="0" fillId="39" borderId="5" xfId="43" applyNumberFormat="1" applyFont="1" applyFill="1" applyBorder="1" applyAlignment="1">
      <alignment horizontal="center"/>
    </xf>
    <xf numFmtId="165" fontId="0" fillId="0" borderId="5" xfId="43" applyNumberFormat="1" applyFont="1" applyBorder="1" applyAlignment="1">
      <alignment horizontal="center"/>
    </xf>
    <xf numFmtId="165" fontId="0" fillId="39" borderId="1" xfId="43" applyNumberFormat="1" applyFont="1" applyFill="1" applyBorder="1" applyAlignment="1">
      <alignment horizontal="center"/>
    </xf>
    <xf numFmtId="165" fontId="30" fillId="0" borderId="1" xfId="43" applyNumberFormat="1" applyFont="1" applyBorder="1" applyAlignment="1">
      <alignment horizontal="center"/>
    </xf>
    <xf numFmtId="165" fontId="31" fillId="0" borderId="1" xfId="43" applyNumberFormat="1" applyFont="1" applyBorder="1" applyAlignment="1">
      <alignment horizontal="center"/>
    </xf>
    <xf numFmtId="165" fontId="0" fillId="0" borderId="35" xfId="43" applyNumberFormat="1" applyFont="1" applyBorder="1" applyAlignment="1">
      <alignment horizontal="center"/>
    </xf>
    <xf numFmtId="165" fontId="0" fillId="0" borderId="51" xfId="43" applyNumberFormat="1" applyFont="1" applyBorder="1" applyAlignment="1">
      <alignment horizontal="center"/>
    </xf>
    <xf numFmtId="165" fontId="29" fillId="0" borderId="1" xfId="43" applyNumberFormat="1" applyFont="1" applyBorder="1" applyAlignment="1">
      <alignment horizontal="center"/>
    </xf>
    <xf numFmtId="165" fontId="0" fillId="0" borderId="57" xfId="43" applyNumberFormat="1" applyFont="1" applyBorder="1" applyAlignment="1">
      <alignment horizontal="center"/>
    </xf>
    <xf numFmtId="165" fontId="0" fillId="0" borderId="60" xfId="43" applyNumberFormat="1" applyFont="1" applyBorder="1" applyAlignment="1">
      <alignment horizontal="center"/>
    </xf>
    <xf numFmtId="165" fontId="0" fillId="0" borderId="61" xfId="43" applyNumberFormat="1" applyFont="1" applyBorder="1" applyAlignment="1">
      <alignment horizontal="center"/>
    </xf>
    <xf numFmtId="165" fontId="0" fillId="0" borderId="0" xfId="43" applyNumberFormat="1" applyFont="1" applyAlignment="1">
      <alignment horizontal="center"/>
    </xf>
    <xf numFmtId="165" fontId="0" fillId="4" borderId="1" xfId="43" applyNumberFormat="1" applyFont="1" applyFill="1" applyBorder="1" applyAlignment="1">
      <alignment horizontal="center"/>
    </xf>
    <xf numFmtId="165" fontId="0" fillId="6" borderId="1" xfId="43" applyNumberFormat="1" applyFont="1" applyFill="1" applyBorder="1" applyAlignment="1">
      <alignment horizontal="center"/>
    </xf>
    <xf numFmtId="165" fontId="22" fillId="0" borderId="1" xfId="43" applyNumberFormat="1" applyFont="1" applyBorder="1" applyAlignment="1">
      <alignment horizontal="center" vertical="center"/>
    </xf>
    <xf numFmtId="165" fontId="29" fillId="0" borderId="5" xfId="43" applyNumberFormat="1" applyFont="1" applyBorder="1" applyAlignment="1">
      <alignment horizontal="center"/>
    </xf>
    <xf numFmtId="165" fontId="0" fillId="2" borderId="1" xfId="43" applyNumberFormat="1" applyFont="1" applyFill="1" applyBorder="1" applyAlignment="1">
      <alignment horizontal="center"/>
    </xf>
    <xf numFmtId="165" fontId="3" fillId="0" borderId="1" xfId="43" applyNumberFormat="1" applyFont="1" applyBorder="1" applyAlignment="1">
      <alignment horizontal="center" vertical="center"/>
    </xf>
    <xf numFmtId="165" fontId="4" fillId="0" borderId="1" xfId="43" applyNumberFormat="1" applyFont="1" applyBorder="1" applyAlignment="1">
      <alignment horizontal="center" wrapText="1"/>
    </xf>
    <xf numFmtId="165" fontId="2" fillId="0" borderId="1" xfId="43" applyNumberFormat="1" applyFont="1" applyBorder="1" applyAlignment="1">
      <alignment horizontal="center" wrapText="1"/>
    </xf>
    <xf numFmtId="165" fontId="2" fillId="2" borderId="1" xfId="43" applyNumberFormat="1" applyFont="1" applyFill="1" applyBorder="1" applyAlignment="1">
      <alignment horizontal="center" wrapText="1"/>
    </xf>
    <xf numFmtId="165" fontId="2" fillId="0" borderId="1" xfId="43" applyNumberFormat="1" applyFont="1" applyFill="1" applyBorder="1" applyAlignment="1">
      <alignment horizontal="center" wrapText="1"/>
    </xf>
    <xf numFmtId="165" fontId="3" fillId="0" borderId="51" xfId="43" applyNumberFormat="1" applyFont="1" applyBorder="1" applyAlignment="1">
      <alignment horizontal="center"/>
    </xf>
    <xf numFmtId="165" fontId="3" fillId="0" borderId="1" xfId="43" applyNumberFormat="1" applyFont="1" applyBorder="1" applyAlignment="1">
      <alignment horizontal="center"/>
    </xf>
    <xf numFmtId="165" fontId="3" fillId="0" borderId="5" xfId="43" applyNumberFormat="1" applyFont="1" applyBorder="1" applyAlignment="1">
      <alignment horizontal="center"/>
    </xf>
    <xf numFmtId="165" fontId="3" fillId="0" borderId="60" xfId="43" applyNumberFormat="1" applyFont="1" applyBorder="1" applyAlignment="1">
      <alignment horizontal="center"/>
    </xf>
    <xf numFmtId="165" fontId="3" fillId="0" borderId="61" xfId="43" applyNumberFormat="1" applyFont="1" applyBorder="1" applyAlignment="1">
      <alignment horizontal="center"/>
    </xf>
    <xf numFmtId="165" fontId="3" fillId="0" borderId="0" xfId="43" applyNumberFormat="1" applyFont="1" applyAlignment="1">
      <alignment horizontal="center"/>
    </xf>
    <xf numFmtId="14" fontId="20" fillId="5" borderId="1" xfId="0" applyNumberFormat="1" applyFont="1" applyFill="1" applyBorder="1" applyAlignment="1">
      <alignment horizontal="center" vertical="center" wrapText="1"/>
    </xf>
    <xf numFmtId="165" fontId="20" fillId="5" borderId="1" xfId="43" applyNumberFormat="1" applyFont="1" applyFill="1" applyBorder="1" applyAlignment="1">
      <alignment horizontal="center" vertical="center" wrapText="1"/>
    </xf>
    <xf numFmtId="165" fontId="17" fillId="5" borderId="1" xfId="43" applyNumberFormat="1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1" fontId="20" fillId="5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6" fontId="34" fillId="0" borderId="9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3" fontId="3" fillId="0" borderId="2" xfId="43" applyNumberFormat="1" applyFont="1" applyBorder="1" applyAlignment="1">
      <alignment horizontal="center" vertical="center"/>
    </xf>
    <xf numFmtId="0" fontId="36" fillId="3" borderId="63" xfId="0" applyFont="1" applyFill="1" applyBorder="1" applyAlignment="1">
      <alignment horizontal="center" vertical="center" wrapText="1"/>
    </xf>
    <xf numFmtId="0" fontId="36" fillId="3" borderId="64" xfId="0" applyFont="1" applyFill="1" applyBorder="1" applyAlignment="1">
      <alignment horizontal="center" vertical="center" wrapText="1"/>
    </xf>
    <xf numFmtId="0" fontId="37" fillId="3" borderId="64" xfId="0" applyFont="1" applyFill="1" applyBorder="1" applyAlignment="1">
      <alignment horizontal="center" vertical="center" wrapText="1"/>
    </xf>
    <xf numFmtId="0" fontId="38" fillId="3" borderId="64" xfId="0" applyFont="1" applyFill="1" applyBorder="1" applyAlignment="1">
      <alignment horizontal="center" vertical="center" wrapText="1"/>
    </xf>
    <xf numFmtId="1" fontId="34" fillId="0" borderId="1" xfId="0" applyNumberFormat="1" applyFont="1" applyBorder="1" applyAlignment="1">
      <alignment horizontal="center" vertical="center"/>
    </xf>
    <xf numFmtId="166" fontId="34" fillId="0" borderId="1" xfId="0" applyNumberFormat="1" applyFont="1" applyBorder="1" applyAlignment="1">
      <alignment horizontal="center" vertical="center"/>
    </xf>
    <xf numFmtId="0" fontId="28" fillId="4" borderId="0" xfId="0" applyFont="1" applyFill="1" applyBorder="1" applyAlignment="1">
      <alignment vertical="center"/>
    </xf>
    <xf numFmtId="9" fontId="28" fillId="0" borderId="2" xfId="1" applyFont="1" applyBorder="1" applyAlignment="1">
      <alignment horizontal="center" vertical="center"/>
    </xf>
    <xf numFmtId="9" fontId="28" fillId="0" borderId="66" xfId="1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65" fontId="31" fillId="4" borderId="1" xfId="43" applyNumberFormat="1" applyFont="1" applyFill="1" applyBorder="1" applyAlignment="1">
      <alignment horizontal="center"/>
    </xf>
    <xf numFmtId="166" fontId="34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" fontId="34" fillId="0" borderId="8" xfId="0" applyNumberFormat="1" applyFont="1" applyBorder="1" applyAlignment="1">
      <alignment horizontal="center" vertical="center"/>
    </xf>
    <xf numFmtId="166" fontId="34" fillId="0" borderId="11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66" fontId="34" fillId="0" borderId="14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40" fillId="0" borderId="0" xfId="0" applyFont="1" applyAlignment="1">
      <alignment horizontal="center" vertical="center" readingOrder="1"/>
    </xf>
    <xf numFmtId="14" fontId="41" fillId="4" borderId="1" xfId="0" applyNumberFormat="1" applyFont="1" applyFill="1" applyBorder="1" applyAlignment="1">
      <alignment horizontal="center" vertical="center"/>
    </xf>
    <xf numFmtId="165" fontId="1" fillId="0" borderId="1" xfId="43" applyNumberFormat="1" applyFont="1" applyBorder="1" applyAlignment="1">
      <alignment horizontal="center"/>
    </xf>
    <xf numFmtId="165" fontId="3" fillId="2" borderId="1" xfId="43" applyNumberFormat="1" applyFont="1" applyFill="1" applyBorder="1" applyAlignment="1">
      <alignment horizontal="center"/>
    </xf>
    <xf numFmtId="166" fontId="34" fillId="0" borderId="32" xfId="0" applyNumberFormat="1" applyFont="1" applyBorder="1" applyAlignment="1">
      <alignment horizontal="center" vertical="center"/>
    </xf>
    <xf numFmtId="166" fontId="34" fillId="0" borderId="4" xfId="0" applyNumberFormat="1" applyFont="1" applyBorder="1" applyAlignment="1">
      <alignment horizontal="center" vertical="center"/>
    </xf>
    <xf numFmtId="166" fontId="34" fillId="0" borderId="48" xfId="0" applyNumberFormat="1" applyFont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wrapText="1" indent="1"/>
    </xf>
    <xf numFmtId="0" fontId="42" fillId="3" borderId="63" xfId="0" applyFont="1" applyFill="1" applyBorder="1" applyAlignment="1">
      <alignment horizontal="center" vertical="center" wrapText="1"/>
    </xf>
    <xf numFmtId="0" fontId="42" fillId="3" borderId="64" xfId="0" applyFont="1" applyFill="1" applyBorder="1" applyAlignment="1">
      <alignment horizontal="center" vertical="center" wrapText="1"/>
    </xf>
    <xf numFmtId="0" fontId="43" fillId="3" borderId="63" xfId="0" applyFont="1" applyFill="1" applyBorder="1" applyAlignment="1">
      <alignment horizontal="center" vertical="center" wrapText="1"/>
    </xf>
    <xf numFmtId="0" fontId="44" fillId="3" borderId="64" xfId="0" applyFont="1" applyFill="1" applyBorder="1" applyAlignment="1">
      <alignment horizontal="center" vertical="center" wrapText="1"/>
    </xf>
    <xf numFmtId="0" fontId="43" fillId="3" borderId="64" xfId="0" applyFont="1" applyFill="1" applyBorder="1" applyAlignment="1">
      <alignment horizontal="center" vertical="center" wrapText="1"/>
    </xf>
    <xf numFmtId="0" fontId="44" fillId="3" borderId="63" xfId="0" applyFont="1" applyFill="1" applyBorder="1" applyAlignment="1">
      <alignment horizontal="center" vertical="center" wrapText="1"/>
    </xf>
    <xf numFmtId="0" fontId="45" fillId="3" borderId="63" xfId="0" applyFont="1" applyFill="1" applyBorder="1" applyAlignment="1">
      <alignment horizontal="center" vertical="center" wrapText="1"/>
    </xf>
    <xf numFmtId="0" fontId="45" fillId="3" borderId="64" xfId="0" applyFont="1" applyFill="1" applyBorder="1" applyAlignment="1">
      <alignment horizontal="center" vertical="center" wrapText="1"/>
    </xf>
    <xf numFmtId="0" fontId="46" fillId="3" borderId="64" xfId="0" applyFont="1" applyFill="1" applyBorder="1" applyAlignment="1">
      <alignment horizontal="center" vertical="center" wrapText="1"/>
    </xf>
    <xf numFmtId="0" fontId="47" fillId="3" borderId="63" xfId="0" applyFont="1" applyFill="1" applyBorder="1" applyAlignment="1">
      <alignment horizontal="center" vertical="center" wrapText="1"/>
    </xf>
    <xf numFmtId="0" fontId="47" fillId="3" borderId="64" xfId="0" applyFont="1" applyFill="1" applyBorder="1" applyAlignment="1">
      <alignment horizontal="center" vertical="center" wrapText="1"/>
    </xf>
    <xf numFmtId="0" fontId="46" fillId="3" borderId="63" xfId="0" applyFont="1" applyFill="1" applyBorder="1" applyAlignment="1">
      <alignment horizontal="center" vertical="center" wrapText="1"/>
    </xf>
    <xf numFmtId="0" fontId="46" fillId="3" borderId="69" xfId="0" applyFont="1" applyFill="1" applyBorder="1" applyAlignment="1">
      <alignment horizontal="center" vertical="center" wrapText="1"/>
    </xf>
    <xf numFmtId="0" fontId="47" fillId="3" borderId="0" xfId="0" applyFont="1" applyFill="1" applyBorder="1" applyAlignment="1">
      <alignment horizontal="center" vertical="center" wrapText="1"/>
    </xf>
    <xf numFmtId="0" fontId="47" fillId="0" borderId="0" xfId="0" applyFont="1" applyFill="1" applyBorder="1" applyAlignment="1">
      <alignment horizontal="center" vertical="center" wrapText="1"/>
    </xf>
    <xf numFmtId="0" fontId="45" fillId="0" borderId="0" xfId="0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 wrapText="1"/>
    </xf>
    <xf numFmtId="1" fontId="34" fillId="0" borderId="53" xfId="0" applyNumberFormat="1" applyFont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 wrapText="1"/>
    </xf>
    <xf numFmtId="166" fontId="39" fillId="0" borderId="2" xfId="0" applyNumberFormat="1" applyFont="1" applyBorder="1" applyAlignment="1">
      <alignment horizontal="center" vertical="center"/>
    </xf>
    <xf numFmtId="166" fontId="39" fillId="0" borderId="59" xfId="0" applyNumberFormat="1" applyFont="1" applyBorder="1" applyAlignment="1">
      <alignment horizontal="center" vertical="center"/>
    </xf>
    <xf numFmtId="14" fontId="0" fillId="0" borderId="0" xfId="0" applyNumberFormat="1"/>
    <xf numFmtId="0" fontId="20" fillId="5" borderId="0" xfId="0" applyFont="1" applyFill="1" applyAlignment="1">
      <alignment horizontal="center"/>
    </xf>
    <xf numFmtId="14" fontId="20" fillId="5" borderId="0" xfId="0" applyNumberFormat="1" applyFont="1" applyFill="1" applyAlignment="1">
      <alignment horizontal="center"/>
    </xf>
    <xf numFmtId="0" fontId="20" fillId="5" borderId="0" xfId="0" applyFont="1" applyFill="1"/>
    <xf numFmtId="166" fontId="34" fillId="0" borderId="0" xfId="0" applyNumberFormat="1" applyFont="1" applyAlignment="1">
      <alignment horizontal="center" vertical="center"/>
    </xf>
    <xf numFmtId="2" fontId="34" fillId="0" borderId="9" xfId="0" applyNumberFormat="1" applyFont="1" applyBorder="1" applyAlignment="1">
      <alignment horizontal="center" vertical="center"/>
    </xf>
    <xf numFmtId="2" fontId="34" fillId="0" borderId="11" xfId="0" applyNumberFormat="1" applyFont="1" applyBorder="1" applyAlignment="1">
      <alignment horizontal="center" vertical="center"/>
    </xf>
    <xf numFmtId="2" fontId="34" fillId="0" borderId="14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165" fontId="0" fillId="0" borderId="2" xfId="43" applyNumberFormat="1" applyFont="1" applyBorder="1" applyAlignment="1">
      <alignment horizontal="center"/>
    </xf>
    <xf numFmtId="165" fontId="18" fillId="0" borderId="1" xfId="43" applyNumberFormat="1" applyFont="1" applyBorder="1" applyAlignment="1">
      <alignment horizontal="center"/>
    </xf>
    <xf numFmtId="165" fontId="0" fillId="0" borderId="59" xfId="43" applyNumberFormat="1" applyFont="1" applyBorder="1" applyAlignment="1">
      <alignment horizontal="center"/>
    </xf>
    <xf numFmtId="165" fontId="0" fillId="40" borderId="1" xfId="43" applyNumberFormat="1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65" fontId="0" fillId="44" borderId="1" xfId="43" applyNumberFormat="1" applyFont="1" applyFill="1" applyBorder="1" applyAlignment="1">
      <alignment horizontal="center"/>
    </xf>
    <xf numFmtId="0" fontId="0" fillId="0" borderId="0" xfId="0" applyAlignment="1"/>
    <xf numFmtId="0" fontId="24" fillId="44" borderId="0" xfId="0" applyFont="1" applyFill="1" applyAlignment="1">
      <alignment horizontal="center"/>
    </xf>
    <xf numFmtId="9" fontId="0" fillId="0" borderId="1" xfId="1" applyFont="1" applyBorder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25" fillId="5" borderId="29" xfId="0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16" fontId="24" fillId="5" borderId="27" xfId="0" applyNumberFormat="1" applyFont="1" applyFill="1" applyBorder="1" applyAlignment="1">
      <alignment horizontal="center" vertical="center" wrapText="1"/>
    </xf>
    <xf numFmtId="16" fontId="24" fillId="5" borderId="27" xfId="0" applyNumberFormat="1" applyFont="1" applyFill="1" applyBorder="1" applyAlignment="1">
      <alignment horizontal="center" vertical="center"/>
    </xf>
    <xf numFmtId="49" fontId="0" fillId="0" borderId="27" xfId="0" applyNumberFormat="1" applyBorder="1" applyAlignment="1">
      <alignment horizontal="center"/>
    </xf>
    <xf numFmtId="16" fontId="24" fillId="5" borderId="28" xfId="0" applyNumberFormat="1" applyFont="1" applyFill="1" applyBorder="1" applyAlignment="1">
      <alignment horizontal="center" vertical="center" wrapText="1"/>
    </xf>
    <xf numFmtId="1" fontId="34" fillId="0" borderId="9" xfId="0" applyNumberFormat="1" applyFont="1" applyBorder="1" applyAlignment="1">
      <alignment horizontal="center" vertical="center"/>
    </xf>
    <xf numFmtId="0" fontId="25" fillId="5" borderId="70" xfId="0" applyFont="1" applyFill="1" applyBorder="1" applyAlignment="1">
      <alignment vertical="center"/>
    </xf>
    <xf numFmtId="2" fontId="34" fillId="0" borderId="71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/>
    </xf>
    <xf numFmtId="1" fontId="34" fillId="0" borderId="71" xfId="0" applyNumberFormat="1" applyFont="1" applyBorder="1" applyAlignment="1">
      <alignment horizontal="center" vertical="center"/>
    </xf>
    <xf numFmtId="0" fontId="0" fillId="4" borderId="0" xfId="0" applyFill="1" applyAlignment="1"/>
    <xf numFmtId="49" fontId="0" fillId="4" borderId="0" xfId="0" applyNumberFormat="1" applyFill="1"/>
    <xf numFmtId="0" fontId="26" fillId="0" borderId="1" xfId="0" applyNumberFormat="1" applyFont="1" applyBorder="1" applyAlignment="1">
      <alignment horizontal="center"/>
    </xf>
    <xf numFmtId="0" fontId="26" fillId="0" borderId="13" xfId="0" applyNumberFormat="1" applyFont="1" applyBorder="1" applyAlignment="1">
      <alignment horizontal="center"/>
    </xf>
    <xf numFmtId="167" fontId="34" fillId="0" borderId="11" xfId="0" applyNumberFormat="1" applyFont="1" applyBorder="1" applyAlignment="1">
      <alignment horizontal="center" vertical="center"/>
    </xf>
    <xf numFmtId="167" fontId="34" fillId="0" borderId="9" xfId="0" applyNumberFormat="1" applyFont="1" applyBorder="1" applyAlignment="1">
      <alignment horizontal="center" vertical="center"/>
    </xf>
    <xf numFmtId="0" fontId="20" fillId="5" borderId="1" xfId="0" applyFont="1" applyFill="1" applyBorder="1" applyAlignment="1">
      <alignment horizontal="center"/>
    </xf>
    <xf numFmtId="9" fontId="3" fillId="0" borderId="1" xfId="1" applyFont="1" applyBorder="1" applyAlignment="1">
      <alignment horizontal="center" vertical="center"/>
    </xf>
    <xf numFmtId="1" fontId="0" fillId="0" borderId="10" xfId="1" applyNumberFormat="1" applyFont="1" applyBorder="1" applyAlignment="1">
      <alignment horizontal="center" vertical="center"/>
    </xf>
    <xf numFmtId="9" fontId="3" fillId="0" borderId="11" xfId="1" applyNumberFormat="1" applyFont="1" applyBorder="1" applyAlignment="1">
      <alignment horizontal="center" vertical="center"/>
    </xf>
    <xf numFmtId="1" fontId="0" fillId="0" borderId="54" xfId="1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3" fillId="0" borderId="6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9" fontId="3" fillId="0" borderId="55" xfId="1" applyNumberFormat="1" applyFont="1" applyBorder="1" applyAlignment="1">
      <alignment horizontal="center" vertical="center"/>
    </xf>
    <xf numFmtId="164" fontId="26" fillId="0" borderId="75" xfId="1" applyNumberFormat="1" applyFont="1" applyBorder="1" applyAlignment="1">
      <alignment horizontal="center" vertical="center"/>
    </xf>
    <xf numFmtId="164" fontId="26" fillId="0" borderId="73" xfId="1" applyNumberFormat="1" applyFont="1" applyBorder="1" applyAlignment="1">
      <alignment horizontal="center" vertical="center"/>
    </xf>
    <xf numFmtId="1" fontId="0" fillId="0" borderId="25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3" fillId="0" borderId="5" xfId="1" applyFont="1" applyBorder="1" applyAlignment="1">
      <alignment horizontal="center" vertical="center"/>
    </xf>
    <xf numFmtId="9" fontId="3" fillId="0" borderId="32" xfId="1" applyNumberFormat="1" applyFont="1" applyBorder="1" applyAlignment="1">
      <alignment horizontal="center" vertical="center"/>
    </xf>
    <xf numFmtId="164" fontId="26" fillId="0" borderId="76" xfId="1" applyNumberFormat="1" applyFont="1" applyBorder="1" applyAlignment="1">
      <alignment horizontal="center" vertical="center"/>
    </xf>
    <xf numFmtId="1" fontId="3" fillId="0" borderId="77" xfId="1" applyNumberFormat="1" applyFont="1" applyBorder="1" applyAlignment="1">
      <alignment horizontal="center" vertical="center"/>
    </xf>
    <xf numFmtId="0" fontId="3" fillId="0" borderId="78" xfId="0" applyFont="1" applyBorder="1" applyAlignment="1">
      <alignment horizontal="center" vertical="center"/>
    </xf>
    <xf numFmtId="9" fontId="3" fillId="0" borderId="78" xfId="1" applyFont="1" applyBorder="1" applyAlignment="1">
      <alignment horizontal="center" vertical="center"/>
    </xf>
    <xf numFmtId="1" fontId="54" fillId="0" borderId="78" xfId="45" applyNumberFormat="1" applyFont="1" applyBorder="1" applyAlignment="1">
      <alignment horizontal="center"/>
    </xf>
    <xf numFmtId="9" fontId="3" fillId="0" borderId="71" xfId="1" applyNumberFormat="1" applyFont="1" applyBorder="1" applyAlignment="1">
      <alignment horizontal="center" vertical="center"/>
    </xf>
    <xf numFmtId="164" fontId="26" fillId="0" borderId="72" xfId="1" applyNumberFormat="1" applyFont="1" applyBorder="1" applyAlignment="1">
      <alignment horizontal="center" vertical="center"/>
    </xf>
    <xf numFmtId="0" fontId="20" fillId="5" borderId="26" xfId="0" applyFon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9" fontId="20" fillId="5" borderId="80" xfId="1" applyFont="1" applyFill="1" applyBorder="1" applyAlignment="1">
      <alignment horizontal="center" vertical="center" wrapText="1"/>
    </xf>
    <xf numFmtId="0" fontId="20" fillId="5" borderId="80" xfId="0" applyFont="1" applyFill="1" applyBorder="1" applyAlignment="1">
      <alignment horizontal="center" vertical="center" wrapText="1"/>
    </xf>
    <xf numFmtId="0" fontId="20" fillId="5" borderId="81" xfId="0" applyFont="1" applyFill="1" applyBorder="1" applyAlignment="1">
      <alignment horizontal="center" vertical="center" wrapText="1"/>
    </xf>
    <xf numFmtId="0" fontId="20" fillId="5" borderId="82" xfId="0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5" borderId="83" xfId="0" applyFont="1" applyFill="1" applyBorder="1" applyAlignment="1">
      <alignment horizontal="center" vertical="center"/>
    </xf>
    <xf numFmtId="0" fontId="17" fillId="5" borderId="84" xfId="0" applyFont="1" applyFill="1" applyBorder="1" applyAlignment="1">
      <alignment horizontal="center" vertical="center"/>
    </xf>
    <xf numFmtId="0" fontId="3" fillId="0" borderId="85" xfId="0" applyFont="1" applyBorder="1" applyAlignment="1">
      <alignment horizontal="center" vertical="center"/>
    </xf>
    <xf numFmtId="165" fontId="20" fillId="5" borderId="1" xfId="43" applyNumberFormat="1" applyFont="1" applyFill="1" applyBorder="1" applyAlignment="1">
      <alignment horizontal="center"/>
    </xf>
    <xf numFmtId="1" fontId="34" fillId="0" borderId="5" xfId="0" applyNumberFormat="1" applyFont="1" applyBorder="1" applyAlignment="1">
      <alignment horizontal="center" vertical="center"/>
    </xf>
    <xf numFmtId="2" fontId="34" fillId="0" borderId="32" xfId="0" applyNumberFormat="1" applyFont="1" applyBorder="1" applyAlignment="1">
      <alignment horizontal="center" vertical="center"/>
    </xf>
    <xf numFmtId="0" fontId="55" fillId="3" borderId="0" xfId="0" applyFont="1" applyFill="1" applyAlignment="1">
      <alignment horizontal="left" vertical="center" wrapText="1" indent="1"/>
    </xf>
    <xf numFmtId="0" fontId="48" fillId="3" borderId="63" xfId="0" applyFont="1" applyFill="1" applyBorder="1" applyAlignment="1">
      <alignment horizontal="center" vertical="center" wrapText="1"/>
    </xf>
    <xf numFmtId="0" fontId="49" fillId="3" borderId="63" xfId="0" applyFont="1" applyFill="1" applyBorder="1" applyAlignment="1">
      <alignment horizontal="center" vertical="center" wrapText="1"/>
    </xf>
    <xf numFmtId="0" fontId="49" fillId="3" borderId="64" xfId="0" applyFont="1" applyFill="1" applyBorder="1" applyAlignment="1">
      <alignment horizontal="center" vertical="center" wrapText="1"/>
    </xf>
    <xf numFmtId="0" fontId="51" fillId="3" borderId="63" xfId="0" applyFont="1" applyFill="1" applyBorder="1" applyAlignment="1">
      <alignment horizontal="center" vertical="center" wrapText="1"/>
    </xf>
    <xf numFmtId="0" fontId="51" fillId="3" borderId="64" xfId="0" applyFont="1" applyFill="1" applyBorder="1" applyAlignment="1">
      <alignment horizontal="center" vertical="center" wrapText="1"/>
    </xf>
    <xf numFmtId="0" fontId="50" fillId="3" borderId="63" xfId="0" applyFont="1" applyFill="1" applyBorder="1" applyAlignment="1">
      <alignment horizontal="center" vertical="center" wrapText="1"/>
    </xf>
    <xf numFmtId="0" fontId="50" fillId="3" borderId="64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2" fontId="34" fillId="0" borderId="1" xfId="0" applyNumberFormat="1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/>
    </xf>
    <xf numFmtId="0" fontId="56" fillId="3" borderId="63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14" fontId="33" fillId="0" borderId="5" xfId="0" applyNumberFormat="1" applyFont="1" applyBorder="1" applyAlignment="1">
      <alignment horizontal="center" vertical="center"/>
    </xf>
    <xf numFmtId="14" fontId="33" fillId="0" borderId="35" xfId="0" applyNumberFormat="1" applyFont="1" applyBorder="1" applyAlignment="1">
      <alignment horizontal="center" vertical="center"/>
    </xf>
    <xf numFmtId="14" fontId="33" fillId="0" borderId="51" xfId="0" applyNumberFormat="1" applyFont="1" applyBorder="1" applyAlignment="1">
      <alignment horizontal="center" vertical="center"/>
    </xf>
    <xf numFmtId="14" fontId="33" fillId="0" borderId="1" xfId="0" applyNumberFormat="1" applyFont="1" applyBorder="1" applyAlignment="1">
      <alignment horizontal="center" vertical="center"/>
    </xf>
    <xf numFmtId="9" fontId="3" fillId="38" borderId="0" xfId="1" applyFont="1" applyFill="1" applyAlignment="1">
      <alignment horizontal="center"/>
    </xf>
    <xf numFmtId="1" fontId="0" fillId="38" borderId="0" xfId="0" applyNumberFormat="1" applyFill="1" applyAlignment="1">
      <alignment horizontal="center"/>
    </xf>
    <xf numFmtId="0" fontId="0" fillId="0" borderId="59" xfId="0" applyBorder="1" applyAlignment="1">
      <alignment horizontal="center" vertical="center"/>
    </xf>
    <xf numFmtId="0" fontId="2" fillId="0" borderId="5" xfId="0" applyFont="1" applyBorder="1" applyAlignment="1">
      <alignment horizontal="center" wrapText="1"/>
    </xf>
    <xf numFmtId="9" fontId="0" fillId="0" borderId="5" xfId="1" applyFont="1" applyBorder="1" applyAlignment="1">
      <alignment horizontal="center"/>
    </xf>
    <xf numFmtId="0" fontId="0" fillId="0" borderId="0" xfId="0"/>
    <xf numFmtId="0" fontId="3" fillId="0" borderId="6" xfId="0" applyFont="1" applyBorder="1" applyAlignment="1">
      <alignment horizontal="center" vertical="center"/>
    </xf>
    <xf numFmtId="1" fontId="34" fillId="0" borderId="6" xfId="0" applyNumberFormat="1" applyFont="1" applyBorder="1" applyAlignment="1">
      <alignment horizontal="center" vertical="center"/>
    </xf>
    <xf numFmtId="2" fontId="34" fillId="0" borderId="55" xfId="0" applyNumberFormat="1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33" xfId="0" applyNumberFormat="1" applyBorder="1" applyAlignment="1">
      <alignment horizontal="center" vertical="center"/>
    </xf>
    <xf numFmtId="14" fontId="0" fillId="0" borderId="37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4" fontId="0" fillId="0" borderId="53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48" xfId="0" applyNumberForma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14" fontId="0" fillId="0" borderId="67" xfId="0" applyNumberForma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14" fontId="0" fillId="0" borderId="68" xfId="0" applyNumberForma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6" fillId="4" borderId="0" xfId="0" applyFont="1" applyFill="1" applyBorder="1" applyAlignment="1">
      <alignment horizontal="center" vertical="center"/>
    </xf>
    <xf numFmtId="0" fontId="28" fillId="4" borderId="65" xfId="0" applyFont="1" applyFill="1" applyBorder="1" applyAlignment="1">
      <alignment horizontal="center" vertical="center" wrapText="1"/>
    </xf>
    <xf numFmtId="6" fontId="0" fillId="0" borderId="0" xfId="0" applyNumberFormat="1"/>
    <xf numFmtId="3" fontId="5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center"/>
    </xf>
  </cellXfs>
  <cellStyles count="47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3" builtinId="3"/>
    <cellStyle name="Neutral" xfId="9" builtinId="28" customBuiltin="1"/>
    <cellStyle name="Normal" xfId="0" builtinId="0"/>
    <cellStyle name="Normal 2" xfId="44" xr:uid="{BD8374EA-58CE-4B0D-AE31-D259419460DB}"/>
    <cellStyle name="Normal 2 2" xfId="46" xr:uid="{06C535D4-AD6A-4CE9-A4D2-B1DA926D9A54}"/>
    <cellStyle name="Normal 3" xfId="45" xr:uid="{36E35D61-9097-4B3E-B3C6-3DE54C4DFFDA}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63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Hoja7!$K$26:$AE$26</c:f>
              <c:numCache>
                <c:formatCode>0.0</c:formatCode>
                <c:ptCount val="21"/>
                <c:pt idx="0">
                  <c:v>1.2355072463768115</c:v>
                </c:pt>
                <c:pt idx="1">
                  <c:v>1.0547409579667644</c:v>
                </c:pt>
                <c:pt idx="2">
                  <c:v>1.0759962928637627</c:v>
                </c:pt>
                <c:pt idx="3">
                  <c:v>0.96899224806201545</c:v>
                </c:pt>
                <c:pt idx="4">
                  <c:v>0.97866666666666668</c:v>
                </c:pt>
                <c:pt idx="5">
                  <c:v>0.81198910081743869</c:v>
                </c:pt>
                <c:pt idx="6">
                  <c:v>0.8970917225950783</c:v>
                </c:pt>
                <c:pt idx="7">
                  <c:v>0.92643391521197005</c:v>
                </c:pt>
                <c:pt idx="8">
                  <c:v>0.79004037685060569</c:v>
                </c:pt>
                <c:pt idx="9">
                  <c:v>0.66269165247018735</c:v>
                </c:pt>
                <c:pt idx="10">
                  <c:v>0.84061696658097684</c:v>
                </c:pt>
                <c:pt idx="11">
                  <c:v>0.75229357798165142</c:v>
                </c:pt>
                <c:pt idx="12">
                  <c:v>1.0813008130081301</c:v>
                </c:pt>
                <c:pt idx="13">
                  <c:v>1.4285714285714286</c:v>
                </c:pt>
                <c:pt idx="14">
                  <c:v>1.3447368421052632</c:v>
                </c:pt>
                <c:pt idx="15">
                  <c:v>0.86497064579256355</c:v>
                </c:pt>
                <c:pt idx="16">
                  <c:v>0.91402714932126694</c:v>
                </c:pt>
                <c:pt idx="17">
                  <c:v>0.76980198019801982</c:v>
                </c:pt>
                <c:pt idx="18">
                  <c:v>1.5659163987138263</c:v>
                </c:pt>
                <c:pt idx="19">
                  <c:v>1.3100616016427105</c:v>
                </c:pt>
                <c:pt idx="20">
                  <c:v>1.7993730407523512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E-460B-9D45-8C451B8B76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Hoja7!$K$27:$AE$27</c:f>
              <c:numCache>
                <c:formatCode>0.0</c:formatCode>
                <c:ptCount val="21"/>
                <c:pt idx="0">
                  <c:v>1.3385416666666667</c:v>
                </c:pt>
                <c:pt idx="1">
                  <c:v>1</c:v>
                </c:pt>
                <c:pt idx="2">
                  <c:v>1.2474708171206226</c:v>
                </c:pt>
                <c:pt idx="3">
                  <c:v>1.0923268870867124</c:v>
                </c:pt>
                <c:pt idx="4">
                  <c:v>1.001713306681896</c:v>
                </c:pt>
                <c:pt idx="5">
                  <c:v>0.93785632839224631</c:v>
                </c:pt>
                <c:pt idx="6">
                  <c:v>0.86869300911854108</c:v>
                </c:pt>
                <c:pt idx="7">
                  <c:v>0.92442267319804061</c:v>
                </c:pt>
                <c:pt idx="8">
                  <c:v>0.81604844814534439</c:v>
                </c:pt>
                <c:pt idx="9">
                  <c:v>0.71799628942486082</c:v>
                </c:pt>
                <c:pt idx="10">
                  <c:v>0.87596899224806202</c:v>
                </c:pt>
                <c:pt idx="11">
                  <c:v>0.77433628318584069</c:v>
                </c:pt>
                <c:pt idx="12">
                  <c:v>1.3714285714285714</c:v>
                </c:pt>
                <c:pt idx="13">
                  <c:v>1.7833333333333334</c:v>
                </c:pt>
                <c:pt idx="14">
                  <c:v>1.4976635514018692</c:v>
                </c:pt>
                <c:pt idx="15">
                  <c:v>1.3489339573582944</c:v>
                </c:pt>
                <c:pt idx="16">
                  <c:v>0.7760215882806476</c:v>
                </c:pt>
                <c:pt idx="17">
                  <c:v>0.56681569796323894</c:v>
                </c:pt>
                <c:pt idx="18">
                  <c:v>1.5836985100788781</c:v>
                </c:pt>
                <c:pt idx="19">
                  <c:v>1.3087991145545101</c:v>
                </c:pt>
                <c:pt idx="20">
                  <c:v>2.2245243128964058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E-460B-9D45-8C451B8B76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Hoja7!$K$28:$AE$28</c:f>
              <c:numCache>
                <c:formatCode>0.0</c:formatCode>
                <c:ptCount val="21"/>
                <c:pt idx="0">
                  <c:v>1.4135434412265757</c:v>
                </c:pt>
                <c:pt idx="1">
                  <c:v>1.1660138595962639</c:v>
                </c:pt>
                <c:pt idx="2">
                  <c:v>1.3842377260981913</c:v>
                </c:pt>
                <c:pt idx="3">
                  <c:v>1.0884823595295874</c:v>
                </c:pt>
                <c:pt idx="4">
                  <c:v>1.0466472303206997</c:v>
                </c:pt>
                <c:pt idx="5">
                  <c:v>0.94215959364247093</c:v>
                </c:pt>
                <c:pt idx="6">
                  <c:v>0.80765217391304345</c:v>
                </c:pt>
                <c:pt idx="7">
                  <c:v>0.94401378122308355</c:v>
                </c:pt>
                <c:pt idx="8">
                  <c:v>0.77121350364963503</c:v>
                </c:pt>
                <c:pt idx="9">
                  <c:v>0.65897663413191365</c:v>
                </c:pt>
                <c:pt idx="10">
                  <c:v>0.8451526032315978</c:v>
                </c:pt>
                <c:pt idx="11">
                  <c:v>0.82049920339883164</c:v>
                </c:pt>
                <c:pt idx="12">
                  <c:v>1.4776699029126215</c:v>
                </c:pt>
                <c:pt idx="13">
                  <c:v>1.9553219448094612</c:v>
                </c:pt>
                <c:pt idx="14">
                  <c:v>1.7504480286738351</c:v>
                </c:pt>
                <c:pt idx="15">
                  <c:v>0.86831328384950091</c:v>
                </c:pt>
                <c:pt idx="16">
                  <c:v>0.59896831245394255</c:v>
                </c:pt>
                <c:pt idx="17">
                  <c:v>0.81151574803149606</c:v>
                </c:pt>
                <c:pt idx="18">
                  <c:v>1.0382049727107339</c:v>
                </c:pt>
                <c:pt idx="19">
                  <c:v>1.5735981308411215</c:v>
                </c:pt>
                <c:pt idx="20">
                  <c:v>2.2054565701559019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E-460B-9D45-8C451B8B76E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Hoja7!$K$29:$AE$29</c:f>
              <c:numCache>
                <c:formatCode>0.0</c:formatCode>
                <c:ptCount val="21"/>
                <c:pt idx="0">
                  <c:v>1.4670329670329669</c:v>
                </c:pt>
                <c:pt idx="1">
                  <c:v>1.3023720349563046</c:v>
                </c:pt>
                <c:pt idx="2">
                  <c:v>1.3297546012269938</c:v>
                </c:pt>
                <c:pt idx="3">
                  <c:v>1.0901095732410611</c:v>
                </c:pt>
                <c:pt idx="4">
                  <c:v>1.0781642639862452</c:v>
                </c:pt>
                <c:pt idx="5">
                  <c:v>0.9235770363101079</c:v>
                </c:pt>
                <c:pt idx="6">
                  <c:v>0.7678310532607252</c:v>
                </c:pt>
                <c:pt idx="7">
                  <c:v>0.91593149974052934</c:v>
                </c:pt>
                <c:pt idx="8">
                  <c:v>0.72181303116147311</c:v>
                </c:pt>
                <c:pt idx="9">
                  <c:v>0.70303506017791728</c:v>
                </c:pt>
                <c:pt idx="10">
                  <c:v>0.83029400818756982</c:v>
                </c:pt>
                <c:pt idx="11">
                  <c:v>0.77185118780815776</c:v>
                </c:pt>
                <c:pt idx="12">
                  <c:v>1.3013937282229966</c:v>
                </c:pt>
                <c:pt idx="13">
                  <c:v>1.8304328424810352</c:v>
                </c:pt>
                <c:pt idx="14">
                  <c:v>1.5572891272549976</c:v>
                </c:pt>
                <c:pt idx="15">
                  <c:v>0.77473387601753285</c:v>
                </c:pt>
                <c:pt idx="16">
                  <c:v>0.80905233380480901</c:v>
                </c:pt>
                <c:pt idx="17">
                  <c:v>0.89835164835164838</c:v>
                </c:pt>
                <c:pt idx="18">
                  <c:v>1.0622741173199888</c:v>
                </c:pt>
                <c:pt idx="19">
                  <c:v>1.4310389950274798</c:v>
                </c:pt>
                <c:pt idx="20">
                  <c:v>2.0442574981711776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DE-460B-9D45-8C451B8B76E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Hoja7!$K$30:$AE$30</c:f>
              <c:numCache>
                <c:formatCode>0.0</c:formatCode>
                <c:ptCount val="21"/>
                <c:pt idx="0">
                  <c:v>1.4959810874704491</c:v>
                </c:pt>
                <c:pt idx="1">
                  <c:v>1.3094184576485461</c:v>
                </c:pt>
                <c:pt idx="2">
                  <c:v>1.3053342988172822</c:v>
                </c:pt>
                <c:pt idx="3">
                  <c:v>1.1188979289940828</c:v>
                </c:pt>
                <c:pt idx="4">
                  <c:v>1.0704015865146257</c:v>
                </c:pt>
                <c:pt idx="5">
                  <c:v>0.99258916164891153</c:v>
                </c:pt>
                <c:pt idx="6">
                  <c:v>0.74303935293202672</c:v>
                </c:pt>
                <c:pt idx="7">
                  <c:v>0.88863303328448817</c:v>
                </c:pt>
                <c:pt idx="8">
                  <c:v>0.76654888103651353</c:v>
                </c:pt>
                <c:pt idx="9">
                  <c:v>0.68838352796558078</c:v>
                </c:pt>
                <c:pt idx="10">
                  <c:v>0.79642857142857137</c:v>
                </c:pt>
                <c:pt idx="11">
                  <c:v>0.7785874439461884</c:v>
                </c:pt>
                <c:pt idx="12">
                  <c:v>1.2519798416126711</c:v>
                </c:pt>
                <c:pt idx="13">
                  <c:v>1.9114433582518688</c:v>
                </c:pt>
                <c:pt idx="14">
                  <c:v>1.3980144404332131</c:v>
                </c:pt>
                <c:pt idx="15">
                  <c:v>0.8338713148267699</c:v>
                </c:pt>
                <c:pt idx="16">
                  <c:v>0.85909677419354835</c:v>
                </c:pt>
                <c:pt idx="17">
                  <c:v>0.85941724241513973</c:v>
                </c:pt>
                <c:pt idx="18">
                  <c:v>1.0912268437609227</c:v>
                </c:pt>
                <c:pt idx="19">
                  <c:v>1.5083279948750801</c:v>
                </c:pt>
                <c:pt idx="20">
                  <c:v>1.9498832023784243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DE-460B-9D45-8C451B8B76E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Hoja7!$K$31:$AE$31</c:f>
              <c:numCache>
                <c:formatCode>0.0</c:formatCode>
                <c:ptCount val="21"/>
                <c:pt idx="0">
                  <c:v>1.5229924502402197</c:v>
                </c:pt>
                <c:pt idx="1">
                  <c:v>1.3208652546191979</c:v>
                </c:pt>
                <c:pt idx="2">
                  <c:v>1.3009211873080859</c:v>
                </c:pt>
                <c:pt idx="3">
                  <c:v>1.0844479412536061</c:v>
                </c:pt>
                <c:pt idx="4">
                  <c:v>1.0996372430471584</c:v>
                </c:pt>
                <c:pt idx="5">
                  <c:v>0.93446228282383992</c:v>
                </c:pt>
                <c:pt idx="6">
                  <c:v>0.76159096257943049</c:v>
                </c:pt>
                <c:pt idx="7">
                  <c:v>0.97496909765142148</c:v>
                </c:pt>
                <c:pt idx="8">
                  <c:v>0.74041204437400954</c:v>
                </c:pt>
                <c:pt idx="9">
                  <c:v>0.65154109589041098</c:v>
                </c:pt>
                <c:pt idx="10">
                  <c:v>0.83311432325886992</c:v>
                </c:pt>
                <c:pt idx="11">
                  <c:v>0.77208201892744477</c:v>
                </c:pt>
                <c:pt idx="12">
                  <c:v>1.2614913176710929</c:v>
                </c:pt>
                <c:pt idx="13">
                  <c:v>2.0048582995951416</c:v>
                </c:pt>
                <c:pt idx="14">
                  <c:v>1.4394184168012925</c:v>
                </c:pt>
                <c:pt idx="15">
                  <c:v>0.84483726150392813</c:v>
                </c:pt>
                <c:pt idx="16">
                  <c:v>0.83228163400863497</c:v>
                </c:pt>
                <c:pt idx="17">
                  <c:v>0.80766161213088583</c:v>
                </c:pt>
                <c:pt idx="18">
                  <c:v>1.1457509881422925</c:v>
                </c:pt>
                <c:pt idx="19">
                  <c:v>1.4294954721862871</c:v>
                </c:pt>
                <c:pt idx="20">
                  <c:v>1.9423831070889894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DE-460B-9D45-8C451B8B76E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Hoja7!$K$32:$AE$32</c:f>
              <c:numCache>
                <c:formatCode>0.0</c:formatCode>
                <c:ptCount val="21"/>
                <c:pt idx="0">
                  <c:v>1.4973333333333334</c:v>
                </c:pt>
                <c:pt idx="1">
                  <c:v>1.4407836153161175</c:v>
                </c:pt>
                <c:pt idx="2">
                  <c:v>1.1755253399258343</c:v>
                </c:pt>
                <c:pt idx="3">
                  <c:v>1.1924290220820188</c:v>
                </c:pt>
                <c:pt idx="4">
                  <c:v>1.0418871252204585</c:v>
                </c:pt>
                <c:pt idx="5">
                  <c:v>0.98307236563690226</c:v>
                </c:pt>
                <c:pt idx="6">
                  <c:v>0.82178217821782173</c:v>
                </c:pt>
                <c:pt idx="7">
                  <c:v>0.90361445783132532</c:v>
                </c:pt>
                <c:pt idx="8">
                  <c:v>0.71304347826086956</c:v>
                </c:pt>
                <c:pt idx="9">
                  <c:v>0.70975609756097557</c:v>
                </c:pt>
                <c:pt idx="10">
                  <c:v>0.92783505154639179</c:v>
                </c:pt>
                <c:pt idx="11">
                  <c:v>0.74444444444444446</c:v>
                </c:pt>
                <c:pt idx="12">
                  <c:v>1.285240464344942</c:v>
                </c:pt>
                <c:pt idx="13">
                  <c:v>1.9316129032258065</c:v>
                </c:pt>
                <c:pt idx="14">
                  <c:v>1.4148296593186374</c:v>
                </c:pt>
                <c:pt idx="15">
                  <c:v>0.81161473087818692</c:v>
                </c:pt>
                <c:pt idx="16">
                  <c:v>0.92670157068062831</c:v>
                </c:pt>
                <c:pt idx="17">
                  <c:v>0.80853735091023227</c:v>
                </c:pt>
                <c:pt idx="18">
                  <c:v>1.1281055900621118</c:v>
                </c:pt>
                <c:pt idx="19">
                  <c:v>1.3654507914659326</c:v>
                </c:pt>
                <c:pt idx="20">
                  <c:v>1.78125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DE-460B-9D45-8C451B8B76E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Hoja7!$K$33:$AE$33</c:f>
              <c:numCache>
                <c:formatCode>0.0</c:formatCode>
                <c:ptCount val="21"/>
                <c:pt idx="0">
                  <c:v>1.4625550660792952</c:v>
                </c:pt>
                <c:pt idx="1">
                  <c:v>1.4487951807228916</c:v>
                </c:pt>
                <c:pt idx="2">
                  <c:v>1.1018711018711018</c:v>
                </c:pt>
                <c:pt idx="3">
                  <c:v>1.1424528301886792</c:v>
                </c:pt>
                <c:pt idx="4">
                  <c:v>1.0214698596201486</c:v>
                </c:pt>
                <c:pt idx="5">
                  <c:v>1.0210185933710589</c:v>
                </c:pt>
                <c:pt idx="6">
                  <c:v>0.82422802850356292</c:v>
                </c:pt>
                <c:pt idx="7">
                  <c:v>0.82132564841498557</c:v>
                </c:pt>
                <c:pt idx="8">
                  <c:v>0.83157894736842108</c:v>
                </c:pt>
                <c:pt idx="9">
                  <c:v>0.64556962025316456</c:v>
                </c:pt>
                <c:pt idx="10">
                  <c:v>0.90849673202614378</c:v>
                </c:pt>
                <c:pt idx="11">
                  <c:v>0.74340527577937654</c:v>
                </c:pt>
                <c:pt idx="12">
                  <c:v>1.3516129032258064</c:v>
                </c:pt>
                <c:pt idx="13">
                  <c:v>1.9570405727923628</c:v>
                </c:pt>
                <c:pt idx="14">
                  <c:v>1.3646341463414635</c:v>
                </c:pt>
                <c:pt idx="15">
                  <c:v>0.80607685433422693</c:v>
                </c:pt>
                <c:pt idx="16">
                  <c:v>0.95454545454545459</c:v>
                </c:pt>
                <c:pt idx="17">
                  <c:v>0.81300813008130079</c:v>
                </c:pt>
                <c:pt idx="18">
                  <c:v>1.1014285714285714</c:v>
                </c:pt>
                <c:pt idx="19">
                  <c:v>1.4383916990920882</c:v>
                </c:pt>
                <c:pt idx="20">
                  <c:v>1.4526600541027954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DE-460B-9D45-8C451B8B76E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Hoja7!$K$25:$AE$25</c:f>
              <c:strCache>
                <c:ptCount val="21"/>
                <c:pt idx="0">
                  <c:v>21/6/2020 - 4/7/2020</c:v>
                </c:pt>
                <c:pt idx="1">
                  <c:v>5/7/2020 - 18/7/2020</c:v>
                </c:pt>
                <c:pt idx="2">
                  <c:v>19/7/2020 - 1/8/2020</c:v>
                </c:pt>
                <c:pt idx="3">
                  <c:v>2/8/2020 - 15/8/2020</c:v>
                </c:pt>
                <c:pt idx="4">
                  <c:v>16/8/2020 - 29/8/2020</c:v>
                </c:pt>
                <c:pt idx="5">
                  <c:v>30/8/2020 - 12/9/2020</c:v>
                </c:pt>
                <c:pt idx="6">
                  <c:v>13/9/2020 - 26/9/2020</c:v>
                </c:pt>
                <c:pt idx="7">
                  <c:v>27/9/2020 - 10/10/2020</c:v>
                </c:pt>
                <c:pt idx="8">
                  <c:v>11/10/2020 - 24/10/2020</c:v>
                </c:pt>
                <c:pt idx="9">
                  <c:v>25/10/2020 - 7/11/2020</c:v>
                </c:pt>
                <c:pt idx="10">
                  <c:v>8/11/2020 - 21/11/2020</c:v>
                </c:pt>
                <c:pt idx="11">
                  <c:v>22/11/2020 - 5/12/2020</c:v>
                </c:pt>
                <c:pt idx="12">
                  <c:v>6/12/2020 - 19/12/2020</c:v>
                </c:pt>
                <c:pt idx="13">
                  <c:v>20/12/2020 - 2/1/2021</c:v>
                </c:pt>
                <c:pt idx="14">
                  <c:v>3/1/2021 - 16/1/2021</c:v>
                </c:pt>
                <c:pt idx="15">
                  <c:v>17/1/2021 - 30/1/2021</c:v>
                </c:pt>
                <c:pt idx="16">
                  <c:v>31/1/2021 - 13/2/2021</c:v>
                </c:pt>
                <c:pt idx="17">
                  <c:v>14/2/2021 - 27/2/2021</c:v>
                </c:pt>
                <c:pt idx="18">
                  <c:v>28/2/2021 - 13/3/2021</c:v>
                </c:pt>
                <c:pt idx="19">
                  <c:v>14/3/2021 - 27/3/2021</c:v>
                </c:pt>
                <c:pt idx="20">
                  <c:v>28/3/2021 - 10/4/2021</c:v>
                </c:pt>
              </c:strCache>
            </c:strRef>
          </c:cat>
          <c:val>
            <c:numRef>
              <c:f>Hoja7!$K$34:$AE$34</c:f>
              <c:numCache>
                <c:formatCode>0.0</c:formatCode>
                <c:ptCount val="21"/>
                <c:pt idx="0">
                  <c:v>1.5692307692307692</c:v>
                </c:pt>
                <c:pt idx="1">
                  <c:v>1.593681917211329</c:v>
                </c:pt>
                <c:pt idx="2">
                  <c:v>0.97470950102529053</c:v>
                </c:pt>
                <c:pt idx="3">
                  <c:v>1.1872370266479664</c:v>
                </c:pt>
                <c:pt idx="4">
                  <c:v>0.76727702303603074</c:v>
                </c:pt>
                <c:pt idx="5">
                  <c:v>0.94226327944572752</c:v>
                </c:pt>
                <c:pt idx="6">
                  <c:v>0.73039215686274506</c:v>
                </c:pt>
                <c:pt idx="7">
                  <c:v>0.95078299776286357</c:v>
                </c:pt>
                <c:pt idx="8">
                  <c:v>0.66588235294117648</c:v>
                </c:pt>
                <c:pt idx="9">
                  <c:v>0.59363957597173145</c:v>
                </c:pt>
                <c:pt idx="10">
                  <c:v>0.9464285714285714</c:v>
                </c:pt>
                <c:pt idx="11">
                  <c:v>0.67924528301886788</c:v>
                </c:pt>
                <c:pt idx="12">
                  <c:v>1.2361111111111112</c:v>
                </c:pt>
                <c:pt idx="13">
                  <c:v>1.404494382022472</c:v>
                </c:pt>
                <c:pt idx="14">
                  <c:v>1.5866666666666667</c:v>
                </c:pt>
                <c:pt idx="15">
                  <c:v>0.94621848739495795</c:v>
                </c:pt>
                <c:pt idx="16">
                  <c:v>0.85612788632326819</c:v>
                </c:pt>
                <c:pt idx="17">
                  <c:v>0.79875518672199175</c:v>
                </c:pt>
                <c:pt idx="18">
                  <c:v>1.0935064935064935</c:v>
                </c:pt>
                <c:pt idx="19">
                  <c:v>1.2470308788598574</c:v>
                </c:pt>
                <c:pt idx="20">
                  <c:v>1.3333333333333333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DE-460B-9D45-8C451B8B7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475944"/>
        <c:axId val="635411120"/>
      </c:lineChart>
      <c:catAx>
        <c:axId val="61647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5411120"/>
        <c:crosses val="autoZero"/>
        <c:auto val="1"/>
        <c:lblAlgn val="ctr"/>
        <c:lblOffset val="100"/>
        <c:noMultiLvlLbl val="0"/>
      </c:catAx>
      <c:valAx>
        <c:axId val="6354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7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Hoja7!$F$26</c:f>
              <c:strCache>
                <c:ptCount val="1"/>
                <c:pt idx="0">
                  <c:v>0 a 9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Hoja7!$Z$26:$AE$26</c15:sqref>
                  </c15:fullRef>
                </c:ext>
              </c:extLst>
              <c:f>Hoja7!$AA$26:$AE$26</c:f>
              <c:numCache>
                <c:formatCode>0.0</c:formatCode>
                <c:ptCount val="5"/>
                <c:pt idx="0">
                  <c:v>0.91402714932126694</c:v>
                </c:pt>
                <c:pt idx="1">
                  <c:v>0.76980198019801982</c:v>
                </c:pt>
                <c:pt idx="2">
                  <c:v>1.5659163987138263</c:v>
                </c:pt>
                <c:pt idx="3">
                  <c:v>1.3100616016427105</c:v>
                </c:pt>
                <c:pt idx="4">
                  <c:v>1.7993730407523512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4-4991-A6B9-282F1F64888E}"/>
            </c:ext>
          </c:extLst>
        </c:ser>
        <c:ser>
          <c:idx val="1"/>
          <c:order val="1"/>
          <c:tx>
            <c:strRef>
              <c:f>Hoja7!$F$27</c:f>
              <c:strCache>
                <c:ptCount val="1"/>
                <c:pt idx="0">
                  <c:v>10 a 19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Hoja7!$Z$27:$AE$27</c15:sqref>
                  </c15:fullRef>
                </c:ext>
              </c:extLst>
              <c:f>Hoja7!$AA$27:$AE$27</c:f>
              <c:numCache>
                <c:formatCode>0.0</c:formatCode>
                <c:ptCount val="5"/>
                <c:pt idx="0">
                  <c:v>0.7760215882806476</c:v>
                </c:pt>
                <c:pt idx="1">
                  <c:v>0.56681569796323894</c:v>
                </c:pt>
                <c:pt idx="2">
                  <c:v>1.5836985100788781</c:v>
                </c:pt>
                <c:pt idx="3">
                  <c:v>1.3087991145545101</c:v>
                </c:pt>
                <c:pt idx="4">
                  <c:v>2.2245243128964058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4-4991-A6B9-282F1F64888E}"/>
            </c:ext>
          </c:extLst>
        </c:ser>
        <c:ser>
          <c:idx val="2"/>
          <c:order val="2"/>
          <c:tx>
            <c:strRef>
              <c:f>Hoja7!$F$28</c:f>
              <c:strCache>
                <c:ptCount val="1"/>
                <c:pt idx="0">
                  <c:v>20 a 29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Hoja7!$Z$28:$AE$28</c15:sqref>
                  </c15:fullRef>
                </c:ext>
              </c:extLst>
              <c:f>Hoja7!$AA$28:$AE$28</c:f>
              <c:numCache>
                <c:formatCode>0.0</c:formatCode>
                <c:ptCount val="5"/>
                <c:pt idx="0">
                  <c:v>0.59896831245394255</c:v>
                </c:pt>
                <c:pt idx="1">
                  <c:v>0.81151574803149606</c:v>
                </c:pt>
                <c:pt idx="2">
                  <c:v>1.0382049727107339</c:v>
                </c:pt>
                <c:pt idx="3">
                  <c:v>1.5735981308411215</c:v>
                </c:pt>
                <c:pt idx="4">
                  <c:v>2.2054565701559019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4-4991-A6B9-282F1F64888E}"/>
            </c:ext>
          </c:extLst>
        </c:ser>
        <c:ser>
          <c:idx val="3"/>
          <c:order val="3"/>
          <c:tx>
            <c:strRef>
              <c:f>Hoja7!$F$29</c:f>
              <c:strCache>
                <c:ptCount val="1"/>
                <c:pt idx="0">
                  <c:v>30 a 39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Hoja7!$Z$29:$AE$29</c15:sqref>
                  </c15:fullRef>
                </c:ext>
              </c:extLst>
              <c:f>Hoja7!$AA$29:$AE$29</c:f>
              <c:numCache>
                <c:formatCode>0.0</c:formatCode>
                <c:ptCount val="5"/>
                <c:pt idx="0">
                  <c:v>0.80905233380480901</c:v>
                </c:pt>
                <c:pt idx="1">
                  <c:v>0.89835164835164838</c:v>
                </c:pt>
                <c:pt idx="2">
                  <c:v>1.0622741173199888</c:v>
                </c:pt>
                <c:pt idx="3">
                  <c:v>1.4310389950274798</c:v>
                </c:pt>
                <c:pt idx="4">
                  <c:v>2.0442574981711776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14-4991-A6B9-282F1F64888E}"/>
            </c:ext>
          </c:extLst>
        </c:ser>
        <c:ser>
          <c:idx val="4"/>
          <c:order val="4"/>
          <c:tx>
            <c:strRef>
              <c:f>Hoja7!$F$30</c:f>
              <c:strCache>
                <c:ptCount val="1"/>
                <c:pt idx="0">
                  <c:v>40 a 49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Hoja7!$Z$30:$AE$30</c15:sqref>
                  </c15:fullRef>
                </c:ext>
              </c:extLst>
              <c:f>Hoja7!$AA$30:$AE$30</c:f>
              <c:numCache>
                <c:formatCode>0.0</c:formatCode>
                <c:ptCount val="5"/>
                <c:pt idx="0">
                  <c:v>0.85909677419354835</c:v>
                </c:pt>
                <c:pt idx="1">
                  <c:v>0.85941724241513973</c:v>
                </c:pt>
                <c:pt idx="2">
                  <c:v>1.0912268437609227</c:v>
                </c:pt>
                <c:pt idx="3">
                  <c:v>1.5083279948750801</c:v>
                </c:pt>
                <c:pt idx="4">
                  <c:v>1.9498832023784243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14-4991-A6B9-282F1F64888E}"/>
            </c:ext>
          </c:extLst>
        </c:ser>
        <c:ser>
          <c:idx val="5"/>
          <c:order val="5"/>
          <c:tx>
            <c:strRef>
              <c:f>Hoja7!$F$31</c:f>
              <c:strCache>
                <c:ptCount val="1"/>
                <c:pt idx="0">
                  <c:v>50 a 59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Hoja7!$Z$31:$AE$31</c15:sqref>
                  </c15:fullRef>
                </c:ext>
              </c:extLst>
              <c:f>Hoja7!$AA$31:$AE$31</c:f>
              <c:numCache>
                <c:formatCode>0.0</c:formatCode>
                <c:ptCount val="5"/>
                <c:pt idx="0">
                  <c:v>0.83228163400863497</c:v>
                </c:pt>
                <c:pt idx="1">
                  <c:v>0.80766161213088583</c:v>
                </c:pt>
                <c:pt idx="2">
                  <c:v>1.1457509881422925</c:v>
                </c:pt>
                <c:pt idx="3">
                  <c:v>1.4294954721862871</c:v>
                </c:pt>
                <c:pt idx="4">
                  <c:v>1.9423831070889894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14-4991-A6B9-282F1F64888E}"/>
            </c:ext>
          </c:extLst>
        </c:ser>
        <c:ser>
          <c:idx val="6"/>
          <c:order val="6"/>
          <c:tx>
            <c:strRef>
              <c:f>Hoja7!$F$32</c:f>
              <c:strCache>
                <c:ptCount val="1"/>
                <c:pt idx="0">
                  <c:v>60 a 69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Hoja7!$Z$32:$AE$32</c15:sqref>
                  </c15:fullRef>
                </c:ext>
              </c:extLst>
              <c:f>Hoja7!$AA$32:$AE$32</c:f>
              <c:numCache>
                <c:formatCode>0.0</c:formatCode>
                <c:ptCount val="5"/>
                <c:pt idx="0">
                  <c:v>0.92670157068062831</c:v>
                </c:pt>
                <c:pt idx="1">
                  <c:v>0.80853735091023227</c:v>
                </c:pt>
                <c:pt idx="2">
                  <c:v>1.1281055900621118</c:v>
                </c:pt>
                <c:pt idx="3">
                  <c:v>1.3654507914659326</c:v>
                </c:pt>
                <c:pt idx="4">
                  <c:v>1.78125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14-4991-A6B9-282F1F64888E}"/>
            </c:ext>
          </c:extLst>
        </c:ser>
        <c:ser>
          <c:idx val="7"/>
          <c:order val="7"/>
          <c:tx>
            <c:strRef>
              <c:f>Hoja7!$F$33</c:f>
              <c:strCache>
                <c:ptCount val="1"/>
                <c:pt idx="0">
                  <c:v>70 a 79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Hoja7!$Z$33:$AE$33</c15:sqref>
                  </c15:fullRef>
                </c:ext>
              </c:extLst>
              <c:f>Hoja7!$AA$33:$AE$33</c:f>
              <c:numCache>
                <c:formatCode>0.0</c:formatCode>
                <c:ptCount val="5"/>
                <c:pt idx="0">
                  <c:v>0.95454545454545459</c:v>
                </c:pt>
                <c:pt idx="1">
                  <c:v>0.81300813008130079</c:v>
                </c:pt>
                <c:pt idx="2">
                  <c:v>1.1014285714285714</c:v>
                </c:pt>
                <c:pt idx="3">
                  <c:v>1.4383916990920882</c:v>
                </c:pt>
                <c:pt idx="4">
                  <c:v>1.4526600541027954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14-4991-A6B9-282F1F64888E}"/>
            </c:ext>
          </c:extLst>
        </c:ser>
        <c:ser>
          <c:idx val="8"/>
          <c:order val="8"/>
          <c:tx>
            <c:strRef>
              <c:f>Hoja7!$F$34</c:f>
              <c:strCache>
                <c:ptCount val="1"/>
                <c:pt idx="0">
                  <c:v>80 o mas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Hoja7!$Z$25:$AE$25</c15:sqref>
                  </c15:fullRef>
                </c:ext>
              </c:extLst>
              <c:f>Hoja7!$AA$25:$AE$25</c:f>
              <c:strCache>
                <c:ptCount val="5"/>
                <c:pt idx="0">
                  <c:v>31/1/2021 - 13/2/2021</c:v>
                </c:pt>
                <c:pt idx="1">
                  <c:v>14/2/2021 - 27/2/2021</c:v>
                </c:pt>
                <c:pt idx="2">
                  <c:v>28/2/2021 - 13/3/2021</c:v>
                </c:pt>
                <c:pt idx="3">
                  <c:v>14/3/2021 - 27/3/2021</c:v>
                </c:pt>
                <c:pt idx="4">
                  <c:v>28/3/2021 - 10/4/2021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Hoja7!$Z$34:$AE$34</c15:sqref>
                  </c15:fullRef>
                </c:ext>
              </c:extLst>
              <c:f>Hoja7!$AA$34:$AE$34</c:f>
              <c:numCache>
                <c:formatCode>0.0</c:formatCode>
                <c:ptCount val="5"/>
                <c:pt idx="0">
                  <c:v>0.85612788632326819</c:v>
                </c:pt>
                <c:pt idx="1">
                  <c:v>0.79875518672199175</c:v>
                </c:pt>
                <c:pt idx="2">
                  <c:v>1.0935064935064935</c:v>
                </c:pt>
                <c:pt idx="3">
                  <c:v>1.2470308788598574</c:v>
                </c:pt>
                <c:pt idx="4">
                  <c:v>1.3333333333333333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14-4991-A6B9-282F1F648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68928"/>
        <c:axId val="771971552"/>
      </c:lineChart>
      <c:catAx>
        <c:axId val="771968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1971552"/>
        <c:crosses val="autoZero"/>
        <c:auto val="1"/>
        <c:lblAlgn val="ctr"/>
        <c:lblOffset val="100"/>
        <c:noMultiLvlLbl val="0"/>
      </c:catAx>
      <c:valAx>
        <c:axId val="7719715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19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s-AR" sz="2000" b="1"/>
              <a:t>Crecimiento</a:t>
            </a:r>
          </a:p>
          <a:p>
            <a:pPr>
              <a:defRPr/>
            </a:pPr>
            <a:r>
              <a:rPr lang="es-AR" sz="1400"/>
              <a:t>casos prom. vs casos prom. 7 días antes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8531801547624429E-2"/>
          <c:y val="5.0206791891707903E-2"/>
          <c:w val="0.95775843333795507"/>
          <c:h val="0.9039507054840328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'argentina_gral (2)'!$A$373:$A$405</c:f>
              <c:numCache>
                <c:formatCode>m/d/yyyy</c:formatCode>
                <c:ptCount val="33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44268</c:v>
                </c:pt>
                <c:pt idx="5">
                  <c:v>44269</c:v>
                </c:pt>
                <c:pt idx="6">
                  <c:v>44270</c:v>
                </c:pt>
                <c:pt idx="7">
                  <c:v>44271</c:v>
                </c:pt>
                <c:pt idx="8">
                  <c:v>44272</c:v>
                </c:pt>
                <c:pt idx="9">
                  <c:v>44273</c:v>
                </c:pt>
                <c:pt idx="10">
                  <c:v>44274</c:v>
                </c:pt>
                <c:pt idx="11">
                  <c:v>44275</c:v>
                </c:pt>
                <c:pt idx="12">
                  <c:v>44276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44282</c:v>
                </c:pt>
                <c:pt idx="19">
                  <c:v>44283</c:v>
                </c:pt>
                <c:pt idx="20">
                  <c:v>44284</c:v>
                </c:pt>
                <c:pt idx="21">
                  <c:v>44285</c:v>
                </c:pt>
                <c:pt idx="22">
                  <c:v>44286</c:v>
                </c:pt>
                <c:pt idx="23">
                  <c:v>44287</c:v>
                </c:pt>
                <c:pt idx="24">
                  <c:v>44288</c:v>
                </c:pt>
                <c:pt idx="25">
                  <c:v>44289</c:v>
                </c:pt>
                <c:pt idx="26">
                  <c:v>44290</c:v>
                </c:pt>
                <c:pt idx="27">
                  <c:v>44291</c:v>
                </c:pt>
                <c:pt idx="28">
                  <c:v>44292</c:v>
                </c:pt>
                <c:pt idx="29">
                  <c:v>44293</c:v>
                </c:pt>
                <c:pt idx="30">
                  <c:v>44294</c:v>
                </c:pt>
                <c:pt idx="31">
                  <c:v>44295</c:v>
                </c:pt>
                <c:pt idx="32">
                  <c:v>44296</c:v>
                </c:pt>
              </c:numCache>
            </c:numRef>
          </c:cat>
          <c:val>
            <c:numRef>
              <c:f>'argentina_gral (2)'!$Z$373:$Z$405</c:f>
              <c:numCache>
                <c:formatCode>0%</c:formatCode>
                <c:ptCount val="33"/>
                <c:pt idx="0">
                  <c:v>5.3623540856031049E-2</c:v>
                </c:pt>
                <c:pt idx="1">
                  <c:v>7.0564016072225844E-2</c:v>
                </c:pt>
                <c:pt idx="2">
                  <c:v>1.8758985298891639E-2</c:v>
                </c:pt>
                <c:pt idx="3">
                  <c:v>3.2363525178163988E-2</c:v>
                </c:pt>
                <c:pt idx="4">
                  <c:v>7.1916917035319772E-2</c:v>
                </c:pt>
                <c:pt idx="5">
                  <c:v>8.0030934358229056E-2</c:v>
                </c:pt>
                <c:pt idx="6">
                  <c:v>8.9255626081938599E-2</c:v>
                </c:pt>
                <c:pt idx="7">
                  <c:v>0.11484373190000707</c:v>
                </c:pt>
                <c:pt idx="8">
                  <c:v>0.10916126095368162</c:v>
                </c:pt>
                <c:pt idx="9">
                  <c:v>0.11304763857562716</c:v>
                </c:pt>
                <c:pt idx="10">
                  <c:v>8.5078678466597557E-2</c:v>
                </c:pt>
                <c:pt idx="11">
                  <c:v>7.8722388577876279E-2</c:v>
                </c:pt>
                <c:pt idx="12">
                  <c:v>6.053992202068148E-2</c:v>
                </c:pt>
                <c:pt idx="13">
                  <c:v>4.5012468827930086E-2</c:v>
                </c:pt>
                <c:pt idx="14">
                  <c:v>5.5919230058894875E-2</c:v>
                </c:pt>
                <c:pt idx="15">
                  <c:v>5.3157302220857572E-2</c:v>
                </c:pt>
                <c:pt idx="16">
                  <c:v>4.4665012406947868E-2</c:v>
                </c:pt>
                <c:pt idx="17">
                  <c:v>0.1292191334432955</c:v>
                </c:pt>
                <c:pt idx="18">
                  <c:v>0.19183200463545713</c:v>
                </c:pt>
                <c:pt idx="19">
                  <c:v>0.24937358310464153</c:v>
                </c:pt>
                <c:pt idx="20">
                  <c:v>0.36891713308457708</c:v>
                </c:pt>
                <c:pt idx="21">
                  <c:v>0.38358081318510462</c:v>
                </c:pt>
                <c:pt idx="22">
                  <c:v>0.53701179860597326</c:v>
                </c:pt>
                <c:pt idx="23">
                  <c:v>0.51654850546866649</c:v>
                </c:pt>
                <c:pt idx="24">
                  <c:v>0.37639564124057023</c:v>
                </c:pt>
                <c:pt idx="25">
                  <c:v>0.30754783051602841</c:v>
                </c:pt>
                <c:pt idx="26">
                  <c:v>0.35127176646611291</c:v>
                </c:pt>
                <c:pt idx="27">
                  <c:v>0.20030096963329957</c:v>
                </c:pt>
                <c:pt idx="28">
                  <c:v>0.33820306793279764</c:v>
                </c:pt>
                <c:pt idx="29">
                  <c:v>0.28251672071341716</c:v>
                </c:pt>
                <c:pt idx="30">
                  <c:v>0.29792332268370614</c:v>
                </c:pt>
                <c:pt idx="31">
                  <c:v>0.51918345472704686</c:v>
                </c:pt>
                <c:pt idx="32">
                  <c:v>0.62831718361980826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F-4338-944E-8F59F04C24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51525976"/>
        <c:axId val="551530568"/>
      </c:barChart>
      <c:dateAx>
        <c:axId val="551525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1530568"/>
        <c:crosses val="autoZero"/>
        <c:auto val="1"/>
        <c:lblOffset val="100"/>
        <c:baseTimeUnit val="days"/>
      </c:dateAx>
      <c:valAx>
        <c:axId val="5515305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5152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042" name="AutoShape 18" descr="Bandera triangular en poste">
          <a:extLst>
            <a:ext uri="{FF2B5EF4-FFF2-40B4-BE49-F238E27FC236}">
              <a16:creationId xmlns:a16="http://schemas.microsoft.com/office/drawing/2014/main" id="{938FEF52-C04F-4B7C-8D0E-DBCBAF925501}"/>
            </a:ext>
          </a:extLst>
        </xdr:cNvPr>
        <xdr:cNvSpPr>
          <a:spLocks noChangeAspect="1" noChangeArrowheads="1"/>
        </xdr:cNvSpPr>
      </xdr:nvSpPr>
      <xdr:spPr bwMode="auto">
        <a:xfrm>
          <a:off x="1419225" y="369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E82823FD-CCA1-4152-8164-BA6525D9E126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69794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AEE1B9BB-7A72-49B5-97DF-E1854B0EC8D4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71699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215468</xdr:colOff>
      <xdr:row>0</xdr:row>
      <xdr:rowOff>101974</xdr:rowOff>
    </xdr:from>
    <xdr:to>
      <xdr:col>12</xdr:col>
      <xdr:colOff>1136838</xdr:colOff>
      <xdr:row>0</xdr:row>
      <xdr:rowOff>557256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83E939-7382-4FA0-A198-8B0B3F2D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7439" y="101974"/>
          <a:ext cx="921370" cy="45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50426</xdr:colOff>
      <xdr:row>10</xdr:row>
      <xdr:rowOff>78442</xdr:rowOff>
    </xdr:from>
    <xdr:to>
      <xdr:col>23</xdr:col>
      <xdr:colOff>717176</xdr:colOff>
      <xdr:row>27</xdr:row>
      <xdr:rowOff>54909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2FE7CD7-9833-4F88-9225-7659755FF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521073</xdr:colOff>
      <xdr:row>7</xdr:row>
      <xdr:rowOff>168088</xdr:rowOff>
    </xdr:from>
    <xdr:to>
      <xdr:col>16</xdr:col>
      <xdr:colOff>324971</xdr:colOff>
      <xdr:row>34</xdr:row>
      <xdr:rowOff>134471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D3462D-ACAA-4D41-A152-D2F17619C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194</xdr:row>
      <xdr:rowOff>0</xdr:rowOff>
    </xdr:from>
    <xdr:to>
      <xdr:col>3</xdr:col>
      <xdr:colOff>304800</xdr:colOff>
      <xdr:row>195</xdr:row>
      <xdr:rowOff>114300</xdr:rowOff>
    </xdr:to>
    <xdr:sp macro="" textlink="">
      <xdr:nvSpPr>
        <xdr:cNvPr id="2" name="AutoShape 18" descr="Bandera triangular en poste">
          <a:extLst>
            <a:ext uri="{FF2B5EF4-FFF2-40B4-BE49-F238E27FC236}">
              <a16:creationId xmlns:a16="http://schemas.microsoft.com/office/drawing/2014/main" id="{C510C5C9-88FF-4C2A-8976-1B4A31AAEC7D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3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3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0DF0B58C-65DD-4DA8-BC1F-1CCCB0229AD5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5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8854D321-1E47-4EAF-844D-EBC42D693D5F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7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36</xdr:col>
      <xdr:colOff>128867</xdr:colOff>
      <xdr:row>381</xdr:row>
      <xdr:rowOff>11207</xdr:rowOff>
    </xdr:from>
    <xdr:to>
      <xdr:col>49</xdr:col>
      <xdr:colOff>493059</xdr:colOff>
      <xdr:row>401</xdr:row>
      <xdr:rowOff>100855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8F8FFC5-E473-48FF-8C54-A73F6033A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0.563275578701" createdVersion="7" refreshedVersion="7" minRefreshableVersion="3" recordCount="3513" xr:uid="{1A26D657-AFE7-4EAE-80E3-3D1B173CD998}">
  <cacheSource type="worksheet">
    <worksheetSource ref="C1:E3514" sheet="Hoja2"/>
  </cacheSource>
  <cacheFields count="3">
    <cacheField name="fecha_toma_muestra" numFmtId="14">
      <sharedItems containsSemiMixedTypes="0" containsNonDate="0" containsDate="1" containsString="0" minDate="2020-03-01T00:00:00" maxDate="2021-04-13T00:00:00" count="407">
        <d v="2021-03-16T00:00:00"/>
        <d v="2021-03-17T00:00:00"/>
        <d v="2021-03-24T00:00:00"/>
        <d v="2021-03-15T00:00:00"/>
        <d v="2021-03-12T00:00:00"/>
        <d v="2021-03-10T00:00:00"/>
        <d v="2021-03-13T00:00:00"/>
        <d v="2021-03-20T00:00:00"/>
        <d v="2021-03-08T00:00:00"/>
        <d v="2021-03-19T00:00:00"/>
        <d v="2021-03-18T00:00:00"/>
        <d v="2021-03-31T00:00:00"/>
        <d v="2021-03-30T00:00:00"/>
        <d v="2021-03-22T00:00:00"/>
        <d v="2021-03-28T00:00:00"/>
        <d v="2021-03-29T00:00:00"/>
        <d v="2021-04-01T00:00:00"/>
        <d v="2021-03-23T00:00:00"/>
        <d v="2021-03-14T00:00:00"/>
        <d v="2021-03-02T00:00:00"/>
        <d v="2021-03-03T00:00:00"/>
        <d v="2021-03-11T00:00:00"/>
        <d v="2021-04-02T00:00:00"/>
        <d v="2021-04-08T00:00:00"/>
        <d v="2021-04-06T00:00:00"/>
        <d v="2021-02-23T00:00:00"/>
        <d v="2021-01-23T00:00:00"/>
        <d v="2021-03-26T00:00:00"/>
        <d v="2021-03-25T00:00:00"/>
        <d v="2021-04-07T00:00:00"/>
        <d v="2021-03-21T00:00:00"/>
        <d v="2021-01-06T00:00:00"/>
        <d v="2021-04-09T00:00:00"/>
        <d v="2021-04-04T00:00:00"/>
        <d v="2021-01-04T00:00:00"/>
        <d v="2020-11-26T00:00:00"/>
        <d v="2020-11-28T00:00:00"/>
        <d v="2020-12-10T00:00:00"/>
        <d v="2020-11-27T00:00:00"/>
        <d v="2021-03-09T00:00:00"/>
        <d v="2020-12-08T00:00:00"/>
        <d v="2020-12-17T00:00:00"/>
        <d v="2021-04-05T00:00:00"/>
        <d v="2021-04-03T00:00:00"/>
        <d v="2020-11-29T00:00:00"/>
        <d v="2020-11-30T00:00:00"/>
        <d v="2020-12-03T00:00:00"/>
        <d v="2020-11-20T00:00:00"/>
        <d v="2020-12-18T00:00:00"/>
        <d v="2020-12-05T00:00:00"/>
        <d v="2021-02-26T00:00:00"/>
        <d v="2021-03-01T00:00:00"/>
        <d v="2020-12-25T00:00:00"/>
        <d v="2021-03-27T00:00:00"/>
        <d v="2020-09-22T00:00:00"/>
        <d v="2020-09-01T00:00:00"/>
        <d v="2020-09-24T00:00:00"/>
        <d v="2020-09-25T00:00:00"/>
        <d v="2020-09-21T00:00:00"/>
        <d v="2020-10-03T00:00:00"/>
        <d v="2020-09-30T00:00:00"/>
        <d v="2020-09-23T00:00:00"/>
        <d v="2020-08-31T00:00:00"/>
        <d v="2020-10-01T00:00:00"/>
        <d v="2020-10-13T00:00:00"/>
        <d v="2021-01-17T00:00:00"/>
        <d v="2020-10-05T00:00:00"/>
        <d v="2020-10-06T00:00:00"/>
        <d v="2020-10-02T00:00:00"/>
        <d v="2020-09-27T00:00:00"/>
        <d v="2020-10-17T00:00:00"/>
        <d v="2020-10-23T00:00:00"/>
        <d v="2020-10-07T00:00:00"/>
        <d v="2021-02-03T00:00:00"/>
        <d v="2020-10-09T00:00:00"/>
        <d v="2020-10-28T00:00:00"/>
        <d v="2020-10-16T00:00:00"/>
        <d v="2020-10-25T00:00:00"/>
        <d v="2020-10-24T00:00:00"/>
        <d v="2020-10-22T00:00:00"/>
        <d v="2020-10-26T00:00:00"/>
        <d v="2020-08-10T00:00:00"/>
        <d v="2020-11-10T00:00:00"/>
        <d v="2021-03-04T00:00:00"/>
        <d v="2020-11-06T00:00:00"/>
        <d v="2021-02-09T00:00:00"/>
        <d v="2021-02-08T00:00:00"/>
        <d v="2021-02-10T00:00:00"/>
        <d v="2021-03-07T00:00:00"/>
        <d v="2021-02-20T00:00:00"/>
        <d v="2021-02-17T00:00:00"/>
        <d v="2021-02-13T00:00:00"/>
        <d v="2021-02-15T00:00:00"/>
        <d v="2021-02-16T00:00:00"/>
        <d v="2021-02-27T00:00:00"/>
        <d v="2021-02-25T00:00:00"/>
        <d v="2021-02-28T00:00:00"/>
        <d v="2021-02-21T00:00:00"/>
        <d v="2021-02-18T00:00:00"/>
        <d v="2020-12-26T00:00:00"/>
        <d v="2020-12-27T00:00:00"/>
        <d v="2021-03-05T00:00:00"/>
        <d v="2020-12-28T00:00:00"/>
        <d v="2021-01-07T00:00:00"/>
        <d v="2020-12-24T00:00:00"/>
        <d v="2021-01-03T00:00:00"/>
        <d v="2021-01-05T00:00:00"/>
        <d v="2021-01-01T00:00:00"/>
        <d v="2021-01-28T00:00:00"/>
        <d v="2020-12-29T00:00:00"/>
        <d v="2021-01-16T00:00:00"/>
        <d v="2021-01-18T00:00:00"/>
        <d v="2021-01-14T00:00:00"/>
        <d v="2021-03-06T00:00:00"/>
        <d v="2021-01-21T00:00:00"/>
        <d v="2021-01-27T00:00:00"/>
        <d v="2021-01-13T00:00:00"/>
        <d v="2021-01-15T00:00:00"/>
        <d v="2021-01-26T00:00:00"/>
        <d v="2021-01-22T00:00:00"/>
        <d v="2021-02-01T00:00:00"/>
        <d v="2021-02-12T00:00:00"/>
        <d v="2021-01-30T00:00:00"/>
        <d v="2021-02-02T00:00:00"/>
        <d v="2021-02-04T00:00:00"/>
        <d v="2021-02-22T00:00:00"/>
        <d v="2021-02-24T00:00:00"/>
        <d v="2021-02-19T00:00:00"/>
        <d v="2021-04-11T00:00:00"/>
        <d v="2021-01-25T00:00:00"/>
        <d v="2021-02-14T00:00:00"/>
        <d v="2021-01-19T00:00:00"/>
        <d v="2021-04-10T00:00:00"/>
        <d v="2021-01-11T00:00:00"/>
        <d v="2021-01-08T00:00:00"/>
        <d v="2021-01-20T00:00:00"/>
        <d v="2020-12-21T00:00:00"/>
        <d v="2020-09-07T00:00:00"/>
        <d v="2020-09-06T00:00:00"/>
        <d v="2020-09-19T00:00:00"/>
        <d v="2020-09-28T00:00:00"/>
        <d v="2020-09-11T00:00:00"/>
        <d v="2020-11-04T00:00:00"/>
        <d v="2020-10-15T00:00:00"/>
        <d v="2020-10-20T00:00:00"/>
        <d v="2020-10-18T00:00:00"/>
        <d v="2020-10-08T00:00:00"/>
        <d v="2020-10-27T00:00:00"/>
        <d v="2020-11-05T00:00:00"/>
        <d v="2020-11-22T00:00:00"/>
        <d v="2020-11-08T00:00:00"/>
        <d v="2020-12-01T00:00:00"/>
        <d v="2020-12-15T00:00:00"/>
        <d v="2020-11-24T00:00:00"/>
        <d v="2020-12-02T00:00:00"/>
        <d v="2020-11-02T00:00:00"/>
        <d v="2021-02-07T00:00:00"/>
        <d v="2021-01-29T00:00:00"/>
        <d v="2021-01-24T00:00:00"/>
        <d v="2020-09-10T00:00:00"/>
        <d v="2020-09-16T00:00:00"/>
        <d v="2020-09-08T00:00:00"/>
        <d v="2020-09-09T00:00:00"/>
        <d v="2020-09-26T00:00:00"/>
        <d v="2020-10-12T00:00:00"/>
        <d v="2020-10-29T00:00:00"/>
        <d v="2020-11-09T00:00:00"/>
        <d v="2020-10-30T00:00:00"/>
        <d v="2020-10-31T00:00:00"/>
        <d v="2020-11-01T00:00:00"/>
        <d v="2020-11-18T00:00:00"/>
        <d v="2020-12-16T00:00:00"/>
        <d v="2020-12-04T00:00:00"/>
        <d v="2020-12-09T00:00:00"/>
        <d v="2020-11-11T00:00:00"/>
        <d v="2020-12-06T00:00:00"/>
        <d v="2020-12-07T00:00:00"/>
        <d v="2020-12-12T00:00:00"/>
        <d v="2020-12-30T00:00:00"/>
        <d v="2021-01-09T00:00:00"/>
        <d v="2021-01-10T00:00:00"/>
        <d v="2021-01-12T00:00:00"/>
        <d v="2021-02-05T00:00:00"/>
        <d v="2021-02-11T00:00:00"/>
        <d v="2020-10-21T00:00:00"/>
        <d v="2020-08-15T00:00:00"/>
        <d v="2020-09-12T00:00:00"/>
        <d v="2020-11-25T00:00:00"/>
        <d v="2020-07-24T00:00:00"/>
        <d v="2020-12-11T00:00:00"/>
        <d v="2021-02-06T00:00:00"/>
        <d v="2021-01-31T00:00:00"/>
        <d v="2020-12-20T00:00:00"/>
        <d v="2020-09-02T00:00:00"/>
        <d v="2020-09-05T00:00:00"/>
        <d v="2020-09-17T00:00:00"/>
        <d v="2020-12-22T00:00:00"/>
        <d v="2020-09-14T00:00:00"/>
        <d v="2020-09-13T00:00:00"/>
        <d v="2020-11-21T00:00:00"/>
        <d v="2020-09-29T00:00:00"/>
        <d v="2020-10-10T00:00:00"/>
        <d v="2020-10-19T00:00:00"/>
        <d v="2020-10-11T00:00:00"/>
        <d v="2020-11-03T00:00:00"/>
        <d v="2020-12-14T00:00:00"/>
        <d v="2020-12-13T00:00:00"/>
        <d v="2020-10-14T00:00:00"/>
        <d v="2020-03-27T00:00:00"/>
        <d v="2020-12-19T00:00:00"/>
        <d v="2020-12-31T00:00:00"/>
        <d v="2020-08-27T00:00:00"/>
        <d v="2020-09-15T00:00:00"/>
        <d v="2020-11-16T00:00:00"/>
        <d v="2020-11-07T00:00:00"/>
        <d v="2020-11-17T00:00:00"/>
        <d v="2021-01-02T00:00:00"/>
        <d v="2020-08-20T00:00:00"/>
        <d v="2020-08-22T00:00:00"/>
        <d v="2020-11-14T00:00:00"/>
        <d v="2020-11-12T00:00:00"/>
        <d v="2020-11-15T00:00:00"/>
        <d v="2020-06-20T00:00:00"/>
        <d v="2020-12-23T00:00:00"/>
        <d v="2020-09-04T00:00:00"/>
        <d v="2020-11-13T00:00:00"/>
        <d v="2020-08-18T00:00:00"/>
        <d v="2020-09-20T00:00:00"/>
        <d v="2020-03-10T00:00:00"/>
        <d v="2020-09-18T00:00:00"/>
        <d v="2020-10-04T00:00:00"/>
        <d v="2020-08-23T00:00:00"/>
        <d v="2020-11-23T00:00:00"/>
        <d v="2020-09-03T00:00:00"/>
        <d v="2020-08-08T00:00:00"/>
        <d v="2020-08-12T00:00:00"/>
        <d v="2020-08-21T00:00:00"/>
        <d v="2020-11-19T00:00:00"/>
        <d v="2020-08-04T00:00:00"/>
        <d v="2020-08-11T00:00:00"/>
        <d v="2020-08-16T00:00:00"/>
        <d v="2020-08-19T00:00:00"/>
        <d v="2020-06-05T00:00:00"/>
        <d v="2020-07-21T00:00:00"/>
        <d v="2020-07-26T00:00:00"/>
        <d v="2020-08-25T00:00:00"/>
        <d v="2020-08-17T00:00:00"/>
        <d v="2020-08-26T00:00:00"/>
        <d v="2020-08-28T00:00:00"/>
        <d v="2020-08-30T00:00:00"/>
        <d v="2020-08-14T00:00:00"/>
        <d v="2020-07-28T00:00:00"/>
        <d v="2020-08-02T00:00:00"/>
        <d v="2020-08-07T00:00:00"/>
        <d v="2020-08-13T00:00:00"/>
        <d v="2020-08-29T00:00:00"/>
        <d v="2020-06-16T00:00:00"/>
        <d v="2020-07-31T00:00:00"/>
        <d v="2020-07-05T00:00:00"/>
        <d v="2020-08-03T00:00:00"/>
        <d v="2020-08-24T00:00:00"/>
        <d v="2020-08-06T00:00:00"/>
        <d v="2020-07-02T00:00:00"/>
        <d v="2020-07-15T00:00:00"/>
        <d v="2020-07-12T00:00:00"/>
        <d v="2020-05-10T00:00:00"/>
        <d v="2020-07-29T00:00:00"/>
        <d v="2020-04-23T00:00:00"/>
        <d v="2020-07-22T00:00:00"/>
        <d v="2020-06-19T00:00:00"/>
        <d v="2020-08-09T00:00:00"/>
        <d v="2020-08-01T00:00:00"/>
        <d v="2020-07-17T00:00:00"/>
        <d v="2020-07-23T00:00:00"/>
        <d v="2020-07-27T00:00:00"/>
        <d v="2020-06-28T00:00:00"/>
        <d v="2020-06-25T00:00:00"/>
        <d v="2020-07-07T00:00:00"/>
        <d v="2020-07-11T00:00:00"/>
        <d v="2020-08-05T00:00:00"/>
        <d v="2020-05-29T00:00:00"/>
        <d v="2020-07-25T00:00:00"/>
        <d v="2020-07-08T00:00:00"/>
        <d v="2020-06-27T00:00:00"/>
        <d v="2020-06-30T00:00:00"/>
        <d v="2020-07-13T00:00:00"/>
        <d v="2020-07-16T00:00:00"/>
        <d v="2020-07-18T00:00:00"/>
        <d v="2020-06-17T00:00:00"/>
        <d v="2020-07-09T00:00:00"/>
        <d v="2020-07-14T00:00:00"/>
        <d v="2020-07-06T00:00:00"/>
        <d v="2020-07-19T00:00:00"/>
        <d v="2020-07-20T00:00:00"/>
        <d v="2020-06-11T00:00:00"/>
        <d v="2020-06-26T00:00:00"/>
        <d v="2020-05-11T00:00:00"/>
        <d v="2020-05-27T00:00:00"/>
        <d v="2020-06-21T00:00:00"/>
        <d v="2020-07-30T00:00:00"/>
        <d v="2020-05-28T00:00:00"/>
        <d v="2020-06-01T00:00:00"/>
        <d v="2020-06-29T00:00:00"/>
        <d v="2020-06-12T00:00:00"/>
        <d v="2020-07-04T00:00:00"/>
        <d v="2020-05-22T00:00:00"/>
        <d v="2020-07-03T00:00:00"/>
        <d v="2020-06-13T00:00:00"/>
        <d v="2020-06-15T00:00:00"/>
        <d v="2020-06-22T00:00:00"/>
        <d v="2020-06-23T00:00:00"/>
        <d v="2020-05-30T00:00:00"/>
        <d v="2020-05-25T00:00:00"/>
        <d v="2020-05-19T00:00:00"/>
        <d v="2020-06-02T00:00:00"/>
        <d v="2020-05-17T00:00:00"/>
        <d v="2020-06-08T00:00:00"/>
        <d v="2020-05-18T00:00:00"/>
        <d v="2020-05-14T00:00:00"/>
        <d v="2020-06-07T00:00:00"/>
        <d v="2020-07-01T00:00:00"/>
        <d v="2020-06-10T00:00:00"/>
        <d v="2020-07-10T00:00:00"/>
        <d v="2020-06-09T00:00:00"/>
        <d v="2020-05-08T00:00:00"/>
        <d v="2020-05-15T00:00:00"/>
        <d v="2020-06-24T00:00:00"/>
        <d v="2020-06-06T00:00:00"/>
        <d v="2020-06-14T00:00:00"/>
        <d v="2020-06-03T00:00:00"/>
        <d v="2020-06-18T00:00:00"/>
        <d v="2020-04-19T00:00:00"/>
        <d v="2020-05-20T00:00:00"/>
        <d v="2020-05-23T00:00:00"/>
        <d v="2020-05-31T00:00:00"/>
        <d v="2020-06-04T00:00:00"/>
        <d v="2020-05-21T00:00:00"/>
        <d v="2020-05-24T00:00:00"/>
        <d v="2020-05-26T00:00:00"/>
        <d v="2020-05-07T00:00:00"/>
        <d v="2020-03-11T00:00:00"/>
        <d v="2020-05-16T00:00:00"/>
        <d v="2020-04-28T00:00:00"/>
        <d v="2020-05-13T00:00:00"/>
        <d v="2020-03-23T00:00:00"/>
        <d v="2020-04-08T00:00:00"/>
        <d v="2020-05-05T00:00:00"/>
        <d v="2020-04-20T00:00:00"/>
        <d v="2020-05-12T00:00:00"/>
        <d v="2020-05-09T00:00:00"/>
        <d v="2020-04-27T00:00:00"/>
        <d v="2020-04-25T00:00:00"/>
        <d v="2020-04-24T00:00:00"/>
        <d v="2020-05-04T00:00:00"/>
        <d v="2020-04-02T00:00:00"/>
        <d v="2020-05-01T00:00:00"/>
        <d v="2020-04-22T00:00:00"/>
        <d v="2020-04-30T00:00:00"/>
        <d v="2020-03-22T00:00:00"/>
        <d v="2020-04-04T00:00:00"/>
        <d v="2020-03-25T00:00:00"/>
        <d v="2020-04-12T00:00:00"/>
        <d v="2020-03-30T00:00:00"/>
        <d v="2020-04-05T00:00:00"/>
        <d v="2020-04-09T00:00:00"/>
        <d v="2020-04-13T00:00:00"/>
        <d v="2020-03-29T00:00:00"/>
        <d v="2020-03-21T00:00:00"/>
        <d v="2020-03-18T00:00:00"/>
        <d v="2020-03-17T00:00:00"/>
        <d v="2020-03-19T00:00:00"/>
        <d v="2020-03-20T00:00:00"/>
        <d v="2020-03-16T00:00:00"/>
        <d v="2020-03-13T00:00:00"/>
        <d v="2020-03-09T00:00:00"/>
        <d v="2020-05-06T00:00:00"/>
        <d v="2020-04-14T00:00:00"/>
        <d v="2020-04-21T00:00:00"/>
        <d v="2020-04-26T00:00:00"/>
        <d v="2020-05-02T00:00:00"/>
        <d v="2020-04-29T00:00:00"/>
        <d v="2020-04-01T00:00:00"/>
        <d v="2020-04-17T00:00:00"/>
        <d v="2020-03-31T00:00:00"/>
        <d v="2020-04-10T00:00:00"/>
        <d v="2020-03-28T00:00:00"/>
        <d v="2020-04-06T00:00:00"/>
        <d v="2020-04-16T00:00:00"/>
        <d v="2020-05-03T00:00:00"/>
        <d v="2020-04-07T00:00:00"/>
        <d v="2020-03-04T00:00:00"/>
        <d v="2020-04-18T00:00:00"/>
        <d v="2020-03-26T00:00:00"/>
        <d v="2020-03-14T00:00:00"/>
        <d v="2020-03-08T00:00:00"/>
        <d v="2020-03-15T00:00:00"/>
        <d v="2020-03-06T00:00:00"/>
        <d v="2020-03-12T00:00:00"/>
        <d v="2020-03-24T00:00:00"/>
        <d v="2020-04-11T00:00:00"/>
        <d v="2020-04-03T00:00:00"/>
        <d v="2020-04-15T00:00:00"/>
        <d v="2020-03-05T00:00:00"/>
        <d v="2020-03-01T00:00:00"/>
        <d v="2020-03-03T00:00:00"/>
        <d v="2020-03-02T00:00:00"/>
        <d v="2021-04-12T00:00:00"/>
      </sharedItems>
    </cacheField>
    <cacheField name="grupo" numFmtId="0">
      <sharedItems count="9">
        <s v="20 a 29"/>
        <s v="10 a 19"/>
        <s v="30 a 39"/>
        <s v="40 a 49"/>
        <s v="70 a 79"/>
        <s v="0 a 9"/>
        <s v="50 a 59"/>
        <s v="60 a 69"/>
        <s v="80 o mas"/>
      </sharedItems>
    </cacheField>
    <cacheField name="cantidad" numFmtId="0">
      <sharedItems containsSemiMixedTypes="0" containsString="0" containsNumber="1" containsInteger="1" minValue="1" maxValue="12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13">
  <r>
    <x v="0"/>
    <x v="0"/>
    <n v="337"/>
  </r>
  <r>
    <x v="1"/>
    <x v="1"/>
    <n v="168"/>
  </r>
  <r>
    <x v="2"/>
    <x v="2"/>
    <n v="423"/>
  </r>
  <r>
    <x v="1"/>
    <x v="3"/>
    <n v="283"/>
  </r>
  <r>
    <x v="0"/>
    <x v="1"/>
    <n v="154"/>
  </r>
  <r>
    <x v="1"/>
    <x v="4"/>
    <n v="84"/>
  </r>
  <r>
    <x v="0"/>
    <x v="3"/>
    <n v="287"/>
  </r>
  <r>
    <x v="3"/>
    <x v="1"/>
    <n v="132"/>
  </r>
  <r>
    <x v="1"/>
    <x v="2"/>
    <n v="358"/>
  </r>
  <r>
    <x v="1"/>
    <x v="0"/>
    <n v="351"/>
  </r>
  <r>
    <x v="3"/>
    <x v="5"/>
    <n v="49"/>
  </r>
  <r>
    <x v="4"/>
    <x v="3"/>
    <n v="265"/>
  </r>
  <r>
    <x v="0"/>
    <x v="2"/>
    <n v="312"/>
  </r>
  <r>
    <x v="0"/>
    <x v="6"/>
    <n v="208"/>
  </r>
  <r>
    <x v="1"/>
    <x v="5"/>
    <n v="34"/>
  </r>
  <r>
    <x v="5"/>
    <x v="2"/>
    <n v="348"/>
  </r>
  <r>
    <x v="6"/>
    <x v="0"/>
    <n v="252"/>
  </r>
  <r>
    <x v="1"/>
    <x v="7"/>
    <n v="117"/>
  </r>
  <r>
    <x v="7"/>
    <x v="7"/>
    <n v="87"/>
  </r>
  <r>
    <x v="8"/>
    <x v="7"/>
    <n v="130"/>
  </r>
  <r>
    <x v="9"/>
    <x v="6"/>
    <n v="205"/>
  </r>
  <r>
    <x v="10"/>
    <x v="2"/>
    <n v="328"/>
  </r>
  <r>
    <x v="1"/>
    <x v="6"/>
    <n v="195"/>
  </r>
  <r>
    <x v="0"/>
    <x v="4"/>
    <n v="55"/>
  </r>
  <r>
    <x v="7"/>
    <x v="2"/>
    <n v="261"/>
  </r>
  <r>
    <x v="11"/>
    <x v="0"/>
    <n v="923"/>
  </r>
  <r>
    <x v="12"/>
    <x v="3"/>
    <n v="644"/>
  </r>
  <r>
    <x v="13"/>
    <x v="3"/>
    <n v="395"/>
  </r>
  <r>
    <x v="14"/>
    <x v="2"/>
    <n v="443"/>
  </r>
  <r>
    <x v="2"/>
    <x v="7"/>
    <n v="173"/>
  </r>
  <r>
    <x v="15"/>
    <x v="2"/>
    <n v="727"/>
  </r>
  <r>
    <x v="16"/>
    <x v="6"/>
    <n v="458"/>
  </r>
  <r>
    <x v="7"/>
    <x v="6"/>
    <n v="164"/>
  </r>
  <r>
    <x v="12"/>
    <x v="2"/>
    <n v="773"/>
  </r>
  <r>
    <x v="0"/>
    <x v="7"/>
    <n v="110"/>
  </r>
  <r>
    <x v="10"/>
    <x v="6"/>
    <n v="197"/>
  </r>
  <r>
    <x v="10"/>
    <x v="7"/>
    <n v="128"/>
  </r>
  <r>
    <x v="10"/>
    <x v="3"/>
    <n v="252"/>
  </r>
  <r>
    <x v="10"/>
    <x v="0"/>
    <n v="342"/>
  </r>
  <r>
    <x v="10"/>
    <x v="1"/>
    <n v="143"/>
  </r>
  <r>
    <x v="17"/>
    <x v="2"/>
    <n v="498"/>
  </r>
  <r>
    <x v="10"/>
    <x v="5"/>
    <n v="44"/>
  </r>
  <r>
    <x v="18"/>
    <x v="1"/>
    <n v="103"/>
  </r>
  <r>
    <x v="18"/>
    <x v="2"/>
    <n v="198"/>
  </r>
  <r>
    <x v="4"/>
    <x v="2"/>
    <n v="273"/>
  </r>
  <r>
    <x v="4"/>
    <x v="1"/>
    <n v="191"/>
  </r>
  <r>
    <x v="19"/>
    <x v="2"/>
    <n v="284"/>
  </r>
  <r>
    <x v="4"/>
    <x v="6"/>
    <n v="199"/>
  </r>
  <r>
    <x v="6"/>
    <x v="4"/>
    <n v="42"/>
  </r>
  <r>
    <x v="18"/>
    <x v="6"/>
    <n v="152"/>
  </r>
  <r>
    <x v="4"/>
    <x v="0"/>
    <n v="277"/>
  </r>
  <r>
    <x v="19"/>
    <x v="3"/>
    <n v="203"/>
  </r>
  <r>
    <x v="6"/>
    <x v="2"/>
    <n v="254"/>
  </r>
  <r>
    <x v="19"/>
    <x v="1"/>
    <n v="104"/>
  </r>
  <r>
    <x v="18"/>
    <x v="3"/>
    <n v="186"/>
  </r>
  <r>
    <x v="18"/>
    <x v="0"/>
    <n v="183"/>
  </r>
  <r>
    <x v="4"/>
    <x v="5"/>
    <n v="38"/>
  </r>
  <r>
    <x v="20"/>
    <x v="3"/>
    <n v="216"/>
  </r>
  <r>
    <x v="6"/>
    <x v="6"/>
    <n v="163"/>
  </r>
  <r>
    <x v="6"/>
    <x v="3"/>
    <n v="218"/>
  </r>
  <r>
    <x v="18"/>
    <x v="7"/>
    <n v="84"/>
  </r>
  <r>
    <x v="21"/>
    <x v="7"/>
    <n v="103"/>
  </r>
  <r>
    <x v="6"/>
    <x v="8"/>
    <n v="15"/>
  </r>
  <r>
    <x v="14"/>
    <x v="6"/>
    <n v="296"/>
  </r>
  <r>
    <x v="2"/>
    <x v="3"/>
    <n v="390"/>
  </r>
  <r>
    <x v="22"/>
    <x v="0"/>
    <n v="681"/>
  </r>
  <r>
    <x v="23"/>
    <x v="0"/>
    <n v="1065"/>
  </r>
  <r>
    <x v="24"/>
    <x v="3"/>
    <n v="938"/>
  </r>
  <r>
    <x v="2"/>
    <x v="0"/>
    <n v="456"/>
  </r>
  <r>
    <x v="6"/>
    <x v="7"/>
    <n v="88"/>
  </r>
  <r>
    <x v="18"/>
    <x v="5"/>
    <n v="23"/>
  </r>
  <r>
    <x v="9"/>
    <x v="4"/>
    <n v="74"/>
  </r>
  <r>
    <x v="3"/>
    <x v="3"/>
    <n v="304"/>
  </r>
  <r>
    <x v="3"/>
    <x v="6"/>
    <n v="242"/>
  </r>
  <r>
    <x v="3"/>
    <x v="4"/>
    <n v="78"/>
  </r>
  <r>
    <x v="4"/>
    <x v="4"/>
    <n v="80"/>
  </r>
  <r>
    <x v="21"/>
    <x v="3"/>
    <n v="240"/>
  </r>
  <r>
    <x v="21"/>
    <x v="0"/>
    <n v="285"/>
  </r>
  <r>
    <x v="4"/>
    <x v="8"/>
    <n v="49"/>
  </r>
  <r>
    <x v="6"/>
    <x v="1"/>
    <n v="169"/>
  </r>
  <r>
    <x v="21"/>
    <x v="1"/>
    <n v="181"/>
  </r>
  <r>
    <x v="3"/>
    <x v="2"/>
    <n v="333"/>
  </r>
  <r>
    <x v="3"/>
    <x v="0"/>
    <n v="283"/>
  </r>
  <r>
    <x v="21"/>
    <x v="2"/>
    <n v="286"/>
  </r>
  <r>
    <x v="25"/>
    <x v="3"/>
    <n v="220"/>
  </r>
  <r>
    <x v="3"/>
    <x v="7"/>
    <n v="138"/>
  </r>
  <r>
    <x v="7"/>
    <x v="0"/>
    <n v="255"/>
  </r>
  <r>
    <x v="15"/>
    <x v="7"/>
    <n v="236"/>
  </r>
  <r>
    <x v="21"/>
    <x v="8"/>
    <n v="39"/>
  </r>
  <r>
    <x v="7"/>
    <x v="3"/>
    <n v="235"/>
  </r>
  <r>
    <x v="26"/>
    <x v="2"/>
    <n v="277"/>
  </r>
  <r>
    <x v="27"/>
    <x v="7"/>
    <n v="210"/>
  </r>
  <r>
    <x v="13"/>
    <x v="0"/>
    <n v="409"/>
  </r>
  <r>
    <x v="8"/>
    <x v="2"/>
    <n v="321"/>
  </r>
  <r>
    <x v="21"/>
    <x v="4"/>
    <n v="53"/>
  </r>
  <r>
    <x v="28"/>
    <x v="1"/>
    <n v="215"/>
  </r>
  <r>
    <x v="12"/>
    <x v="0"/>
    <n v="815"/>
  </r>
  <r>
    <x v="28"/>
    <x v="4"/>
    <n v="118"/>
  </r>
  <r>
    <x v="0"/>
    <x v="8"/>
    <n v="49"/>
  </r>
  <r>
    <x v="29"/>
    <x v="6"/>
    <n v="591"/>
  </r>
  <r>
    <x v="9"/>
    <x v="7"/>
    <n v="128"/>
  </r>
  <r>
    <x v="9"/>
    <x v="3"/>
    <n v="328"/>
  </r>
  <r>
    <x v="9"/>
    <x v="0"/>
    <n v="302"/>
  </r>
  <r>
    <x v="6"/>
    <x v="5"/>
    <n v="30"/>
  </r>
  <r>
    <x v="30"/>
    <x v="6"/>
    <n v="143"/>
  </r>
  <r>
    <x v="15"/>
    <x v="0"/>
    <n v="725"/>
  </r>
  <r>
    <x v="10"/>
    <x v="8"/>
    <n v="33"/>
  </r>
  <r>
    <x v="9"/>
    <x v="2"/>
    <n v="350"/>
  </r>
  <r>
    <x v="19"/>
    <x v="8"/>
    <n v="33"/>
  </r>
  <r>
    <x v="27"/>
    <x v="0"/>
    <n v="687"/>
  </r>
  <r>
    <x v="9"/>
    <x v="1"/>
    <n v="183"/>
  </r>
  <r>
    <x v="27"/>
    <x v="2"/>
    <n v="607"/>
  </r>
  <r>
    <x v="17"/>
    <x v="3"/>
    <n v="429"/>
  </r>
  <r>
    <x v="24"/>
    <x v="0"/>
    <n v="1213"/>
  </r>
  <r>
    <x v="31"/>
    <x v="3"/>
    <n v="379"/>
  </r>
  <r>
    <x v="10"/>
    <x v="4"/>
    <n v="70"/>
  </r>
  <r>
    <x v="12"/>
    <x v="6"/>
    <n v="454"/>
  </r>
  <r>
    <x v="17"/>
    <x v="6"/>
    <n v="292"/>
  </r>
  <r>
    <x v="16"/>
    <x v="2"/>
    <n v="822"/>
  </r>
  <r>
    <x v="31"/>
    <x v="7"/>
    <n v="164"/>
  </r>
  <r>
    <x v="17"/>
    <x v="1"/>
    <n v="195"/>
  </r>
  <r>
    <x v="32"/>
    <x v="2"/>
    <n v="822"/>
  </r>
  <r>
    <x v="33"/>
    <x v="0"/>
    <n v="684"/>
  </r>
  <r>
    <x v="20"/>
    <x v="6"/>
    <n v="159"/>
  </r>
  <r>
    <x v="11"/>
    <x v="2"/>
    <n v="818"/>
  </r>
  <r>
    <x v="34"/>
    <x v="3"/>
    <n v="396"/>
  </r>
  <r>
    <x v="19"/>
    <x v="6"/>
    <n v="163"/>
  </r>
  <r>
    <x v="9"/>
    <x v="5"/>
    <n v="54"/>
  </r>
  <r>
    <x v="1"/>
    <x v="8"/>
    <n v="26"/>
  </r>
  <r>
    <x v="35"/>
    <x v="8"/>
    <n v="18"/>
  </r>
  <r>
    <x v="36"/>
    <x v="4"/>
    <n v="15"/>
  </r>
  <r>
    <x v="37"/>
    <x v="8"/>
    <n v="17"/>
  </r>
  <r>
    <x v="38"/>
    <x v="4"/>
    <n v="21"/>
  </r>
  <r>
    <x v="38"/>
    <x v="8"/>
    <n v="18"/>
  </r>
  <r>
    <x v="16"/>
    <x v="0"/>
    <n v="967"/>
  </r>
  <r>
    <x v="17"/>
    <x v="0"/>
    <n v="463"/>
  </r>
  <r>
    <x v="39"/>
    <x v="6"/>
    <n v="192"/>
  </r>
  <r>
    <x v="38"/>
    <x v="6"/>
    <n v="81"/>
  </r>
  <r>
    <x v="40"/>
    <x v="8"/>
    <n v="23"/>
  </r>
  <r>
    <x v="41"/>
    <x v="8"/>
    <n v="17"/>
  </r>
  <r>
    <x v="36"/>
    <x v="7"/>
    <n v="37"/>
  </r>
  <r>
    <x v="42"/>
    <x v="2"/>
    <n v="1129"/>
  </r>
  <r>
    <x v="43"/>
    <x v="0"/>
    <n v="737"/>
  </r>
  <r>
    <x v="44"/>
    <x v="4"/>
    <n v="19"/>
  </r>
  <r>
    <x v="42"/>
    <x v="0"/>
    <n v="1108"/>
  </r>
  <r>
    <x v="45"/>
    <x v="8"/>
    <n v="21"/>
  </r>
  <r>
    <x v="46"/>
    <x v="7"/>
    <n v="41"/>
  </r>
  <r>
    <x v="47"/>
    <x v="8"/>
    <n v="17"/>
  </r>
  <r>
    <x v="48"/>
    <x v="4"/>
    <n v="42"/>
  </r>
  <r>
    <x v="49"/>
    <x v="8"/>
    <n v="14"/>
  </r>
  <r>
    <x v="50"/>
    <x v="7"/>
    <n v="101"/>
  </r>
  <r>
    <x v="44"/>
    <x v="1"/>
    <n v="33"/>
  </r>
  <r>
    <x v="51"/>
    <x v="3"/>
    <n v="259"/>
  </r>
  <r>
    <x v="45"/>
    <x v="7"/>
    <n v="50"/>
  </r>
  <r>
    <x v="52"/>
    <x v="3"/>
    <n v="92"/>
  </r>
  <r>
    <x v="27"/>
    <x v="3"/>
    <n v="511"/>
  </r>
  <r>
    <x v="53"/>
    <x v="0"/>
    <n v="521"/>
  </r>
  <r>
    <x v="32"/>
    <x v="7"/>
    <n v="218"/>
  </r>
  <r>
    <x v="2"/>
    <x v="6"/>
    <n v="262"/>
  </r>
  <r>
    <x v="32"/>
    <x v="3"/>
    <n v="677"/>
  </r>
  <r>
    <x v="33"/>
    <x v="2"/>
    <n v="674"/>
  </r>
  <r>
    <x v="13"/>
    <x v="1"/>
    <n v="192"/>
  </r>
  <r>
    <x v="32"/>
    <x v="1"/>
    <n v="426"/>
  </r>
  <r>
    <x v="15"/>
    <x v="6"/>
    <n v="447"/>
  </r>
  <r>
    <x v="53"/>
    <x v="1"/>
    <n v="202"/>
  </r>
  <r>
    <x v="14"/>
    <x v="7"/>
    <n v="155"/>
  </r>
  <r>
    <x v="28"/>
    <x v="3"/>
    <n v="470"/>
  </r>
  <r>
    <x v="15"/>
    <x v="3"/>
    <n v="586"/>
  </r>
  <r>
    <x v="33"/>
    <x v="3"/>
    <n v="584"/>
  </r>
  <r>
    <x v="53"/>
    <x v="7"/>
    <n v="179"/>
  </r>
  <r>
    <x v="23"/>
    <x v="6"/>
    <n v="543"/>
  </r>
  <r>
    <x v="2"/>
    <x v="1"/>
    <n v="212"/>
  </r>
  <r>
    <x v="28"/>
    <x v="0"/>
    <n v="597"/>
  </r>
  <r>
    <x v="30"/>
    <x v="0"/>
    <n v="202"/>
  </r>
  <r>
    <x v="53"/>
    <x v="2"/>
    <n v="522"/>
  </r>
  <r>
    <x v="11"/>
    <x v="8"/>
    <n v="60"/>
  </r>
  <r>
    <x v="23"/>
    <x v="7"/>
    <n v="240"/>
  </r>
  <r>
    <x v="7"/>
    <x v="5"/>
    <n v="38"/>
  </r>
  <r>
    <x v="8"/>
    <x v="0"/>
    <n v="265"/>
  </r>
  <r>
    <x v="7"/>
    <x v="1"/>
    <n v="96"/>
  </r>
  <r>
    <x v="7"/>
    <x v="8"/>
    <n v="17"/>
  </r>
  <r>
    <x v="11"/>
    <x v="6"/>
    <n v="424"/>
  </r>
  <r>
    <x v="7"/>
    <x v="4"/>
    <n v="41"/>
  </r>
  <r>
    <x v="15"/>
    <x v="8"/>
    <n v="49"/>
  </r>
  <r>
    <x v="30"/>
    <x v="3"/>
    <n v="211"/>
  </r>
  <r>
    <x v="42"/>
    <x v="8"/>
    <n v="76"/>
  </r>
  <r>
    <x v="13"/>
    <x v="4"/>
    <n v="82"/>
  </r>
  <r>
    <x v="30"/>
    <x v="2"/>
    <n v="265"/>
  </r>
  <r>
    <x v="30"/>
    <x v="1"/>
    <n v="110"/>
  </r>
  <r>
    <x v="21"/>
    <x v="6"/>
    <n v="169"/>
  </r>
  <r>
    <x v="30"/>
    <x v="7"/>
    <n v="110"/>
  </r>
  <r>
    <x v="11"/>
    <x v="3"/>
    <n v="681"/>
  </r>
  <r>
    <x v="43"/>
    <x v="3"/>
    <n v="678"/>
  </r>
  <r>
    <x v="30"/>
    <x v="4"/>
    <n v="84"/>
  </r>
  <r>
    <x v="12"/>
    <x v="4"/>
    <n v="129"/>
  </r>
  <r>
    <x v="14"/>
    <x v="3"/>
    <n v="393"/>
  </r>
  <r>
    <x v="54"/>
    <x v="8"/>
    <n v="88"/>
  </r>
  <r>
    <x v="55"/>
    <x v="4"/>
    <n v="92"/>
  </r>
  <r>
    <x v="56"/>
    <x v="8"/>
    <n v="71"/>
  </r>
  <r>
    <x v="54"/>
    <x v="4"/>
    <n v="69"/>
  </r>
  <r>
    <x v="57"/>
    <x v="8"/>
    <n v="79"/>
  </r>
  <r>
    <x v="58"/>
    <x v="8"/>
    <n v="66"/>
  </r>
  <r>
    <x v="54"/>
    <x v="2"/>
    <n v="469"/>
  </r>
  <r>
    <x v="59"/>
    <x v="8"/>
    <n v="40"/>
  </r>
  <r>
    <x v="60"/>
    <x v="4"/>
    <n v="68"/>
  </r>
  <r>
    <x v="60"/>
    <x v="8"/>
    <n v="61"/>
  </r>
  <r>
    <x v="61"/>
    <x v="4"/>
    <n v="79"/>
  </r>
  <r>
    <x v="62"/>
    <x v="4"/>
    <n v="110"/>
  </r>
  <r>
    <x v="58"/>
    <x v="4"/>
    <n v="74"/>
  </r>
  <r>
    <x v="54"/>
    <x v="6"/>
    <n v="223"/>
  </r>
  <r>
    <x v="61"/>
    <x v="8"/>
    <n v="51"/>
  </r>
  <r>
    <x v="63"/>
    <x v="8"/>
    <n v="57"/>
  </r>
  <r>
    <x v="59"/>
    <x v="3"/>
    <n v="243"/>
  </r>
  <r>
    <x v="64"/>
    <x v="7"/>
    <n v="111"/>
  </r>
  <r>
    <x v="65"/>
    <x v="0"/>
    <n v="407"/>
  </r>
  <r>
    <x v="66"/>
    <x v="8"/>
    <n v="54"/>
  </r>
  <r>
    <x v="67"/>
    <x v="2"/>
    <n v="435"/>
  </r>
  <r>
    <x v="67"/>
    <x v="8"/>
    <n v="57"/>
  </r>
  <r>
    <x v="67"/>
    <x v="4"/>
    <n v="52"/>
  </r>
  <r>
    <x v="68"/>
    <x v="7"/>
    <n v="165"/>
  </r>
  <r>
    <x v="69"/>
    <x v="8"/>
    <n v="35"/>
  </r>
  <r>
    <x v="70"/>
    <x v="8"/>
    <n v="29"/>
  </r>
  <r>
    <x v="67"/>
    <x v="7"/>
    <n v="141"/>
  </r>
  <r>
    <x v="71"/>
    <x v="6"/>
    <n v="150"/>
  </r>
  <r>
    <x v="64"/>
    <x v="8"/>
    <n v="61"/>
  </r>
  <r>
    <x v="72"/>
    <x v="8"/>
    <n v="60"/>
  </r>
  <r>
    <x v="67"/>
    <x v="5"/>
    <n v="55"/>
  </r>
  <r>
    <x v="73"/>
    <x v="0"/>
    <n v="391"/>
  </r>
  <r>
    <x v="74"/>
    <x v="4"/>
    <n v="60"/>
  </r>
  <r>
    <x v="75"/>
    <x v="4"/>
    <n v="38"/>
  </r>
  <r>
    <x v="76"/>
    <x v="7"/>
    <n v="107"/>
  </r>
  <r>
    <x v="71"/>
    <x v="4"/>
    <n v="42"/>
  </r>
  <r>
    <x v="77"/>
    <x v="8"/>
    <n v="16"/>
  </r>
  <r>
    <x v="78"/>
    <x v="8"/>
    <n v="22"/>
  </r>
  <r>
    <x v="78"/>
    <x v="4"/>
    <n v="36"/>
  </r>
  <r>
    <x v="79"/>
    <x v="4"/>
    <n v="41"/>
  </r>
  <r>
    <x v="78"/>
    <x v="7"/>
    <n v="60"/>
  </r>
  <r>
    <x v="77"/>
    <x v="4"/>
    <n v="21"/>
  </r>
  <r>
    <x v="78"/>
    <x v="6"/>
    <n v="111"/>
  </r>
  <r>
    <x v="37"/>
    <x v="4"/>
    <n v="29"/>
  </r>
  <r>
    <x v="80"/>
    <x v="8"/>
    <n v="42"/>
  </r>
  <r>
    <x v="81"/>
    <x v="3"/>
    <n v="539"/>
  </r>
  <r>
    <x v="77"/>
    <x v="7"/>
    <n v="38"/>
  </r>
  <r>
    <x v="82"/>
    <x v="8"/>
    <n v="32"/>
  </r>
  <r>
    <x v="83"/>
    <x v="3"/>
    <n v="222"/>
  </r>
  <r>
    <x v="84"/>
    <x v="7"/>
    <n v="69"/>
  </r>
  <r>
    <x v="80"/>
    <x v="4"/>
    <n v="29"/>
  </r>
  <r>
    <x v="77"/>
    <x v="2"/>
    <n v="113"/>
  </r>
  <r>
    <x v="80"/>
    <x v="6"/>
    <n v="154"/>
  </r>
  <r>
    <x v="78"/>
    <x v="3"/>
    <n v="182"/>
  </r>
  <r>
    <x v="85"/>
    <x v="6"/>
    <n v="166"/>
  </r>
  <r>
    <x v="12"/>
    <x v="1"/>
    <n v="323"/>
  </r>
  <r>
    <x v="85"/>
    <x v="7"/>
    <n v="110"/>
  </r>
  <r>
    <x v="85"/>
    <x v="2"/>
    <n v="300"/>
  </r>
  <r>
    <x v="85"/>
    <x v="3"/>
    <n v="251"/>
  </r>
  <r>
    <x v="85"/>
    <x v="8"/>
    <n v="32"/>
  </r>
  <r>
    <x v="85"/>
    <x v="0"/>
    <n v="258"/>
  </r>
  <r>
    <x v="51"/>
    <x v="7"/>
    <n v="122"/>
  </r>
  <r>
    <x v="86"/>
    <x v="4"/>
    <n v="86"/>
  </r>
  <r>
    <x v="87"/>
    <x v="2"/>
    <n v="314"/>
  </r>
  <r>
    <x v="87"/>
    <x v="8"/>
    <n v="34"/>
  </r>
  <r>
    <x v="83"/>
    <x v="4"/>
    <n v="47"/>
  </r>
  <r>
    <x v="28"/>
    <x v="2"/>
    <n v="551"/>
  </r>
  <r>
    <x v="87"/>
    <x v="3"/>
    <n v="219"/>
  </r>
  <r>
    <x v="87"/>
    <x v="4"/>
    <n v="54"/>
  </r>
  <r>
    <x v="16"/>
    <x v="1"/>
    <n v="432"/>
  </r>
  <r>
    <x v="88"/>
    <x v="2"/>
    <n v="176"/>
  </r>
  <r>
    <x v="27"/>
    <x v="6"/>
    <n v="346"/>
  </r>
  <r>
    <x v="86"/>
    <x v="2"/>
    <n v="315"/>
  </r>
  <r>
    <x v="2"/>
    <x v="8"/>
    <n v="44"/>
  </r>
  <r>
    <x v="89"/>
    <x v="0"/>
    <n v="221"/>
  </r>
  <r>
    <x v="87"/>
    <x v="0"/>
    <n v="267"/>
  </r>
  <r>
    <x v="90"/>
    <x v="6"/>
    <n v="194"/>
  </r>
  <r>
    <x v="91"/>
    <x v="3"/>
    <n v="184"/>
  </r>
  <r>
    <x v="90"/>
    <x v="8"/>
    <n v="39"/>
  </r>
  <r>
    <x v="91"/>
    <x v="0"/>
    <n v="186"/>
  </r>
  <r>
    <x v="90"/>
    <x v="7"/>
    <n v="134"/>
  </r>
  <r>
    <x v="50"/>
    <x v="1"/>
    <n v="88"/>
  </r>
  <r>
    <x v="90"/>
    <x v="2"/>
    <n v="307"/>
  </r>
  <r>
    <x v="92"/>
    <x v="2"/>
    <n v="240"/>
  </r>
  <r>
    <x v="91"/>
    <x v="6"/>
    <n v="147"/>
  </r>
  <r>
    <x v="92"/>
    <x v="3"/>
    <n v="196"/>
  </r>
  <r>
    <x v="92"/>
    <x v="0"/>
    <n v="185"/>
  </r>
  <r>
    <x v="92"/>
    <x v="6"/>
    <n v="112"/>
  </r>
  <r>
    <x v="93"/>
    <x v="6"/>
    <n v="113"/>
  </r>
  <r>
    <x v="93"/>
    <x v="8"/>
    <n v="29"/>
  </r>
  <r>
    <x v="90"/>
    <x v="3"/>
    <n v="256"/>
  </r>
  <r>
    <x v="94"/>
    <x v="3"/>
    <n v="164"/>
  </r>
  <r>
    <x v="19"/>
    <x v="0"/>
    <n v="247"/>
  </r>
  <r>
    <x v="53"/>
    <x v="3"/>
    <n v="428"/>
  </r>
  <r>
    <x v="51"/>
    <x v="2"/>
    <n v="308"/>
  </r>
  <r>
    <x v="22"/>
    <x v="6"/>
    <n v="371"/>
  </r>
  <r>
    <x v="33"/>
    <x v="1"/>
    <n v="279"/>
  </r>
  <r>
    <x v="5"/>
    <x v="6"/>
    <n v="182"/>
  </r>
  <r>
    <x v="94"/>
    <x v="0"/>
    <n v="193"/>
  </r>
  <r>
    <x v="5"/>
    <x v="3"/>
    <n v="228"/>
  </r>
  <r>
    <x v="50"/>
    <x v="2"/>
    <n v="232"/>
  </r>
  <r>
    <x v="95"/>
    <x v="0"/>
    <n v="319"/>
  </r>
  <r>
    <x v="96"/>
    <x v="6"/>
    <n v="90"/>
  </r>
  <r>
    <x v="97"/>
    <x v="2"/>
    <n v="221"/>
  </r>
  <r>
    <x v="89"/>
    <x v="6"/>
    <n v="146"/>
  </r>
  <r>
    <x v="98"/>
    <x v="2"/>
    <n v="326"/>
  </r>
  <r>
    <x v="99"/>
    <x v="4"/>
    <n v="58"/>
  </r>
  <r>
    <x v="99"/>
    <x v="7"/>
    <n v="139"/>
  </r>
  <r>
    <x v="99"/>
    <x v="8"/>
    <n v="21"/>
  </r>
  <r>
    <x v="43"/>
    <x v="6"/>
    <n v="439"/>
  </r>
  <r>
    <x v="99"/>
    <x v="6"/>
    <n v="220"/>
  </r>
  <r>
    <x v="100"/>
    <x v="4"/>
    <n v="57"/>
  </r>
  <r>
    <x v="100"/>
    <x v="7"/>
    <n v="91"/>
  </r>
  <r>
    <x v="13"/>
    <x v="7"/>
    <n v="136"/>
  </r>
  <r>
    <x v="101"/>
    <x v="7"/>
    <n v="100"/>
  </r>
  <r>
    <x v="100"/>
    <x v="2"/>
    <n v="265"/>
  </r>
  <r>
    <x v="100"/>
    <x v="0"/>
    <n v="268"/>
  </r>
  <r>
    <x v="100"/>
    <x v="1"/>
    <n v="85"/>
  </r>
  <r>
    <x v="100"/>
    <x v="8"/>
    <n v="16"/>
  </r>
  <r>
    <x v="11"/>
    <x v="5"/>
    <n v="80"/>
  </r>
  <r>
    <x v="102"/>
    <x v="8"/>
    <n v="52"/>
  </r>
  <r>
    <x v="88"/>
    <x v="0"/>
    <n v="155"/>
  </r>
  <r>
    <x v="100"/>
    <x v="3"/>
    <n v="204"/>
  </r>
  <r>
    <x v="103"/>
    <x v="8"/>
    <n v="46"/>
  </r>
  <r>
    <x v="104"/>
    <x v="0"/>
    <n v="202"/>
  </r>
  <r>
    <x v="103"/>
    <x v="2"/>
    <n v="530"/>
  </r>
  <r>
    <x v="105"/>
    <x v="6"/>
    <n v="205"/>
  </r>
  <r>
    <x v="34"/>
    <x v="8"/>
    <n v="70"/>
  </r>
  <r>
    <x v="34"/>
    <x v="2"/>
    <n v="550"/>
  </r>
  <r>
    <x v="106"/>
    <x v="0"/>
    <n v="708"/>
  </r>
  <r>
    <x v="103"/>
    <x v="6"/>
    <n v="312"/>
  </r>
  <r>
    <x v="106"/>
    <x v="6"/>
    <n v="307"/>
  </r>
  <r>
    <x v="106"/>
    <x v="2"/>
    <n v="569"/>
  </r>
  <r>
    <x v="101"/>
    <x v="2"/>
    <n v="293"/>
  </r>
  <r>
    <x v="31"/>
    <x v="6"/>
    <n v="295"/>
  </r>
  <r>
    <x v="31"/>
    <x v="8"/>
    <n v="40"/>
  </r>
  <r>
    <x v="31"/>
    <x v="0"/>
    <n v="710"/>
  </r>
  <r>
    <x v="107"/>
    <x v="3"/>
    <n v="115"/>
  </r>
  <r>
    <x v="108"/>
    <x v="8"/>
    <n v="38"/>
  </r>
  <r>
    <x v="5"/>
    <x v="1"/>
    <n v="147"/>
  </r>
  <r>
    <x v="103"/>
    <x v="4"/>
    <n v="83"/>
  </r>
  <r>
    <x v="96"/>
    <x v="3"/>
    <n v="119"/>
  </r>
  <r>
    <x v="83"/>
    <x v="6"/>
    <n v="177"/>
  </r>
  <r>
    <x v="31"/>
    <x v="4"/>
    <n v="103"/>
  </r>
  <r>
    <x v="103"/>
    <x v="1"/>
    <n v="157"/>
  </r>
  <r>
    <x v="109"/>
    <x v="0"/>
    <n v="572"/>
  </r>
  <r>
    <x v="110"/>
    <x v="0"/>
    <n v="420"/>
  </r>
  <r>
    <x v="110"/>
    <x v="4"/>
    <n v="50"/>
  </r>
  <r>
    <x v="111"/>
    <x v="8"/>
    <n v="45"/>
  </r>
  <r>
    <x v="112"/>
    <x v="4"/>
    <n v="75"/>
  </r>
  <r>
    <x v="112"/>
    <x v="6"/>
    <n v="242"/>
  </r>
  <r>
    <x v="113"/>
    <x v="0"/>
    <n v="169"/>
  </r>
  <r>
    <x v="39"/>
    <x v="3"/>
    <n v="277"/>
  </r>
  <r>
    <x v="114"/>
    <x v="7"/>
    <n v="158"/>
  </r>
  <r>
    <x v="65"/>
    <x v="4"/>
    <n v="36"/>
  </r>
  <r>
    <x v="65"/>
    <x v="8"/>
    <n v="23"/>
  </r>
  <r>
    <x v="112"/>
    <x v="8"/>
    <n v="44"/>
  </r>
  <r>
    <x v="115"/>
    <x v="8"/>
    <n v="32"/>
  </r>
  <r>
    <x v="116"/>
    <x v="8"/>
    <n v="38"/>
  </r>
  <r>
    <x v="116"/>
    <x v="6"/>
    <n v="266"/>
  </r>
  <r>
    <x v="111"/>
    <x v="0"/>
    <n v="667"/>
  </r>
  <r>
    <x v="110"/>
    <x v="8"/>
    <n v="38"/>
  </r>
  <r>
    <x v="117"/>
    <x v="8"/>
    <n v="46"/>
  </r>
  <r>
    <x v="117"/>
    <x v="3"/>
    <n v="318"/>
  </r>
  <r>
    <x v="118"/>
    <x v="8"/>
    <n v="60"/>
  </r>
  <r>
    <x v="13"/>
    <x v="6"/>
    <n v="286"/>
  </r>
  <r>
    <x v="108"/>
    <x v="6"/>
    <n v="221"/>
  </r>
  <r>
    <x v="42"/>
    <x v="6"/>
    <n v="689"/>
  </r>
  <r>
    <x v="119"/>
    <x v="4"/>
    <n v="69"/>
  </r>
  <r>
    <x v="73"/>
    <x v="2"/>
    <n v="350"/>
  </r>
  <r>
    <x v="114"/>
    <x v="3"/>
    <n v="322"/>
  </r>
  <r>
    <x v="115"/>
    <x v="7"/>
    <n v="130"/>
  </r>
  <r>
    <x v="115"/>
    <x v="1"/>
    <n v="247"/>
  </r>
  <r>
    <x v="118"/>
    <x v="4"/>
    <n v="62"/>
  </r>
  <r>
    <x v="118"/>
    <x v="2"/>
    <n v="351"/>
  </r>
  <r>
    <x v="115"/>
    <x v="3"/>
    <n v="255"/>
  </r>
  <r>
    <x v="73"/>
    <x v="7"/>
    <n v="134"/>
  </r>
  <r>
    <x v="118"/>
    <x v="6"/>
    <n v="229"/>
  </r>
  <r>
    <x v="20"/>
    <x v="4"/>
    <n v="68"/>
  </r>
  <r>
    <x v="22"/>
    <x v="3"/>
    <n v="540"/>
  </r>
  <r>
    <x v="115"/>
    <x v="0"/>
    <n v="493"/>
  </r>
  <r>
    <x v="98"/>
    <x v="7"/>
    <n v="104"/>
  </r>
  <r>
    <x v="20"/>
    <x v="0"/>
    <n v="282"/>
  </r>
  <r>
    <x v="120"/>
    <x v="1"/>
    <n v="291"/>
  </r>
  <r>
    <x v="121"/>
    <x v="4"/>
    <n v="55"/>
  </r>
  <r>
    <x v="122"/>
    <x v="4"/>
    <n v="49"/>
  </r>
  <r>
    <x v="123"/>
    <x v="0"/>
    <n v="407"/>
  </r>
  <r>
    <x v="123"/>
    <x v="7"/>
    <n v="106"/>
  </r>
  <r>
    <x v="124"/>
    <x v="6"/>
    <n v="218"/>
  </r>
  <r>
    <x v="73"/>
    <x v="8"/>
    <n v="44"/>
  </r>
  <r>
    <x v="123"/>
    <x v="8"/>
    <n v="44"/>
  </r>
  <r>
    <x v="123"/>
    <x v="2"/>
    <n v="333"/>
  </r>
  <r>
    <x v="123"/>
    <x v="4"/>
    <n v="60"/>
  </r>
  <r>
    <x v="39"/>
    <x v="0"/>
    <n v="282"/>
  </r>
  <r>
    <x v="124"/>
    <x v="2"/>
    <n v="316"/>
  </r>
  <r>
    <x v="22"/>
    <x v="2"/>
    <n v="696"/>
  </r>
  <r>
    <x v="124"/>
    <x v="4"/>
    <n v="68"/>
  </r>
  <r>
    <x v="28"/>
    <x v="7"/>
    <n v="213"/>
  </r>
  <r>
    <x v="124"/>
    <x v="0"/>
    <n v="346"/>
  </r>
  <r>
    <x v="111"/>
    <x v="3"/>
    <n v="349"/>
  </r>
  <r>
    <x v="113"/>
    <x v="2"/>
    <n v="207"/>
  </r>
  <r>
    <x v="85"/>
    <x v="1"/>
    <n v="102"/>
  </r>
  <r>
    <x v="96"/>
    <x v="0"/>
    <n v="136"/>
  </r>
  <r>
    <x v="96"/>
    <x v="8"/>
    <n v="20"/>
  </r>
  <r>
    <x v="94"/>
    <x v="2"/>
    <n v="211"/>
  </r>
  <r>
    <x v="50"/>
    <x v="0"/>
    <n v="223"/>
  </r>
  <r>
    <x v="50"/>
    <x v="3"/>
    <n v="199"/>
  </r>
  <r>
    <x v="94"/>
    <x v="1"/>
    <n v="67"/>
  </r>
  <r>
    <x v="51"/>
    <x v="5"/>
    <n v="45"/>
  </r>
  <r>
    <x v="97"/>
    <x v="4"/>
    <n v="33"/>
  </r>
  <r>
    <x v="51"/>
    <x v="0"/>
    <n v="255"/>
  </r>
  <r>
    <x v="51"/>
    <x v="6"/>
    <n v="179"/>
  </r>
  <r>
    <x v="51"/>
    <x v="1"/>
    <n v="99"/>
  </r>
  <r>
    <x v="51"/>
    <x v="4"/>
    <n v="71"/>
  </r>
  <r>
    <x v="19"/>
    <x v="4"/>
    <n v="54"/>
  </r>
  <r>
    <x v="97"/>
    <x v="3"/>
    <n v="158"/>
  </r>
  <r>
    <x v="101"/>
    <x v="4"/>
    <n v="50"/>
  </r>
  <r>
    <x v="125"/>
    <x v="3"/>
    <n v="212"/>
  </r>
  <r>
    <x v="125"/>
    <x v="2"/>
    <n v="270"/>
  </r>
  <r>
    <x v="126"/>
    <x v="8"/>
    <n v="24"/>
  </r>
  <r>
    <x v="97"/>
    <x v="0"/>
    <n v="206"/>
  </r>
  <r>
    <x v="89"/>
    <x v="2"/>
    <n v="239"/>
  </r>
  <r>
    <x v="89"/>
    <x v="3"/>
    <n v="170"/>
  </r>
  <r>
    <x v="89"/>
    <x v="4"/>
    <n v="49"/>
  </r>
  <r>
    <x v="97"/>
    <x v="6"/>
    <n v="119"/>
  </r>
  <r>
    <x v="89"/>
    <x v="7"/>
    <n v="90"/>
  </r>
  <r>
    <x v="127"/>
    <x v="4"/>
    <n v="51"/>
  </r>
  <r>
    <x v="97"/>
    <x v="8"/>
    <n v="17"/>
  </r>
  <r>
    <x v="97"/>
    <x v="7"/>
    <n v="78"/>
  </r>
  <r>
    <x v="113"/>
    <x v="7"/>
    <n v="85"/>
  </r>
  <r>
    <x v="25"/>
    <x v="4"/>
    <n v="51"/>
  </r>
  <r>
    <x v="126"/>
    <x v="4"/>
    <n v="44"/>
  </r>
  <r>
    <x v="25"/>
    <x v="1"/>
    <n v="94"/>
  </r>
  <r>
    <x v="25"/>
    <x v="2"/>
    <n v="309"/>
  </r>
  <r>
    <x v="50"/>
    <x v="6"/>
    <n v="177"/>
  </r>
  <r>
    <x v="25"/>
    <x v="6"/>
    <n v="158"/>
  </r>
  <r>
    <x v="86"/>
    <x v="3"/>
    <n v="303"/>
  </r>
  <r>
    <x v="90"/>
    <x v="0"/>
    <n v="295"/>
  </r>
  <r>
    <x v="25"/>
    <x v="0"/>
    <n v="280"/>
  </r>
  <r>
    <x v="95"/>
    <x v="6"/>
    <n v="145"/>
  </r>
  <r>
    <x v="86"/>
    <x v="5"/>
    <n v="40"/>
  </r>
  <r>
    <x v="25"/>
    <x v="8"/>
    <n v="30"/>
  </r>
  <r>
    <x v="25"/>
    <x v="7"/>
    <n v="112"/>
  </r>
  <r>
    <x v="95"/>
    <x v="7"/>
    <n v="100"/>
  </r>
  <r>
    <x v="95"/>
    <x v="8"/>
    <n v="38"/>
  </r>
  <r>
    <x v="95"/>
    <x v="2"/>
    <n v="307"/>
  </r>
  <r>
    <x v="95"/>
    <x v="3"/>
    <n v="245"/>
  </r>
  <r>
    <x v="128"/>
    <x v="2"/>
    <n v="255"/>
  </r>
  <r>
    <x v="28"/>
    <x v="6"/>
    <n v="348"/>
  </r>
  <r>
    <x v="88"/>
    <x v="3"/>
    <n v="162"/>
  </r>
  <r>
    <x v="126"/>
    <x v="6"/>
    <n v="158"/>
  </r>
  <r>
    <x v="113"/>
    <x v="3"/>
    <n v="183"/>
  </r>
  <r>
    <x v="126"/>
    <x v="7"/>
    <n v="82"/>
  </r>
  <r>
    <x v="95"/>
    <x v="5"/>
    <n v="30"/>
  </r>
  <r>
    <x v="50"/>
    <x v="4"/>
    <n v="60"/>
  </r>
  <r>
    <x v="50"/>
    <x v="5"/>
    <n v="32"/>
  </r>
  <r>
    <x v="94"/>
    <x v="8"/>
    <n v="20"/>
  </r>
  <r>
    <x v="94"/>
    <x v="6"/>
    <n v="122"/>
  </r>
  <r>
    <x v="94"/>
    <x v="5"/>
    <n v="21"/>
  </r>
  <r>
    <x v="94"/>
    <x v="7"/>
    <n v="79"/>
  </r>
  <r>
    <x v="39"/>
    <x v="1"/>
    <n v="157"/>
  </r>
  <r>
    <x v="94"/>
    <x v="4"/>
    <n v="41"/>
  </r>
  <r>
    <x v="83"/>
    <x v="2"/>
    <n v="256"/>
  </r>
  <r>
    <x v="101"/>
    <x v="6"/>
    <n v="177"/>
  </r>
  <r>
    <x v="101"/>
    <x v="1"/>
    <n v="143"/>
  </r>
  <r>
    <x v="96"/>
    <x v="2"/>
    <n v="182"/>
  </r>
  <r>
    <x v="96"/>
    <x v="7"/>
    <n v="74"/>
  </r>
  <r>
    <x v="96"/>
    <x v="1"/>
    <n v="54"/>
  </r>
  <r>
    <x v="51"/>
    <x v="8"/>
    <n v="32"/>
  </r>
  <r>
    <x v="129"/>
    <x v="6"/>
    <n v="236"/>
  </r>
  <r>
    <x v="96"/>
    <x v="5"/>
    <n v="15"/>
  </r>
  <r>
    <x v="93"/>
    <x v="7"/>
    <n v="75"/>
  </r>
  <r>
    <x v="83"/>
    <x v="0"/>
    <n v="258"/>
  </r>
  <r>
    <x v="83"/>
    <x v="7"/>
    <n v="113"/>
  </r>
  <r>
    <x v="83"/>
    <x v="1"/>
    <n v="115"/>
  </r>
  <r>
    <x v="101"/>
    <x v="8"/>
    <n v="27"/>
  </r>
  <r>
    <x v="101"/>
    <x v="0"/>
    <n v="290"/>
  </r>
  <r>
    <x v="20"/>
    <x v="2"/>
    <n v="311"/>
  </r>
  <r>
    <x v="101"/>
    <x v="3"/>
    <n v="260"/>
  </r>
  <r>
    <x v="24"/>
    <x v="2"/>
    <n v="1113"/>
  </r>
  <r>
    <x v="23"/>
    <x v="1"/>
    <n v="470"/>
  </r>
  <r>
    <x v="127"/>
    <x v="7"/>
    <n v="87"/>
  </r>
  <r>
    <x v="127"/>
    <x v="2"/>
    <n v="327"/>
  </r>
  <r>
    <x v="127"/>
    <x v="0"/>
    <n v="262"/>
  </r>
  <r>
    <x v="127"/>
    <x v="6"/>
    <n v="162"/>
  </r>
  <r>
    <x v="19"/>
    <x v="7"/>
    <n v="94"/>
  </r>
  <r>
    <x v="5"/>
    <x v="0"/>
    <n v="271"/>
  </r>
  <r>
    <x v="20"/>
    <x v="7"/>
    <n v="109"/>
  </r>
  <r>
    <x v="20"/>
    <x v="1"/>
    <n v="128"/>
  </r>
  <r>
    <x v="8"/>
    <x v="6"/>
    <n v="221"/>
  </r>
  <r>
    <x v="16"/>
    <x v="3"/>
    <n v="605"/>
  </r>
  <r>
    <x v="29"/>
    <x v="0"/>
    <n v="1153"/>
  </r>
  <r>
    <x v="130"/>
    <x v="7"/>
    <n v="77"/>
  </r>
  <r>
    <x v="83"/>
    <x v="8"/>
    <n v="21"/>
  </r>
  <r>
    <x v="20"/>
    <x v="5"/>
    <n v="33"/>
  </r>
  <r>
    <x v="73"/>
    <x v="3"/>
    <n v="274"/>
  </r>
  <r>
    <x v="126"/>
    <x v="3"/>
    <n v="212"/>
  </r>
  <r>
    <x v="39"/>
    <x v="2"/>
    <n v="322"/>
  </r>
  <r>
    <x v="5"/>
    <x v="7"/>
    <n v="109"/>
  </r>
  <r>
    <x v="39"/>
    <x v="4"/>
    <n v="67"/>
  </r>
  <r>
    <x v="8"/>
    <x v="3"/>
    <n v="270"/>
  </r>
  <r>
    <x v="39"/>
    <x v="7"/>
    <n v="121"/>
  </r>
  <r>
    <x v="113"/>
    <x v="1"/>
    <n v="117"/>
  </r>
  <r>
    <x v="113"/>
    <x v="6"/>
    <n v="128"/>
  </r>
  <r>
    <x v="113"/>
    <x v="8"/>
    <n v="26"/>
  </r>
  <r>
    <x v="111"/>
    <x v="6"/>
    <n v="277"/>
  </r>
  <r>
    <x v="29"/>
    <x v="1"/>
    <n v="497"/>
  </r>
  <r>
    <x v="88"/>
    <x v="6"/>
    <n v="120"/>
  </r>
  <r>
    <x v="113"/>
    <x v="5"/>
    <n v="19"/>
  </r>
  <r>
    <x v="88"/>
    <x v="1"/>
    <n v="89"/>
  </r>
  <r>
    <x v="101"/>
    <x v="5"/>
    <n v="37"/>
  </r>
  <r>
    <x v="88"/>
    <x v="8"/>
    <n v="17"/>
  </r>
  <r>
    <x v="88"/>
    <x v="7"/>
    <n v="89"/>
  </r>
  <r>
    <x v="131"/>
    <x v="7"/>
    <n v="153"/>
  </r>
  <r>
    <x v="8"/>
    <x v="1"/>
    <n v="113"/>
  </r>
  <r>
    <x v="8"/>
    <x v="4"/>
    <n v="61"/>
  </r>
  <r>
    <x v="8"/>
    <x v="8"/>
    <n v="45"/>
  </r>
  <r>
    <x v="8"/>
    <x v="5"/>
    <n v="49"/>
  </r>
  <r>
    <x v="39"/>
    <x v="5"/>
    <n v="39"/>
  </r>
  <r>
    <x v="95"/>
    <x v="1"/>
    <n v="87"/>
  </r>
  <r>
    <x v="20"/>
    <x v="8"/>
    <n v="33"/>
  </r>
  <r>
    <x v="39"/>
    <x v="8"/>
    <n v="33"/>
  </r>
  <r>
    <x v="5"/>
    <x v="5"/>
    <n v="49"/>
  </r>
  <r>
    <x v="5"/>
    <x v="4"/>
    <n v="66"/>
  </r>
  <r>
    <x v="23"/>
    <x v="2"/>
    <n v="932"/>
  </r>
  <r>
    <x v="18"/>
    <x v="4"/>
    <n v="60"/>
  </r>
  <r>
    <x v="18"/>
    <x v="8"/>
    <n v="15"/>
  </r>
  <r>
    <x v="13"/>
    <x v="2"/>
    <n v="462"/>
  </r>
  <r>
    <x v="5"/>
    <x v="8"/>
    <n v="31"/>
  </r>
  <r>
    <x v="14"/>
    <x v="0"/>
    <n v="410"/>
  </r>
  <r>
    <x v="128"/>
    <x v="6"/>
    <n v="172"/>
  </r>
  <r>
    <x v="53"/>
    <x v="6"/>
    <n v="275"/>
  </r>
  <r>
    <x v="4"/>
    <x v="7"/>
    <n v="116"/>
  </r>
  <r>
    <x v="21"/>
    <x v="5"/>
    <n v="35"/>
  </r>
  <r>
    <x v="132"/>
    <x v="0"/>
    <n v="529"/>
  </r>
  <r>
    <x v="15"/>
    <x v="1"/>
    <n v="312"/>
  </r>
  <r>
    <x v="26"/>
    <x v="7"/>
    <n v="94"/>
  </r>
  <r>
    <x v="26"/>
    <x v="6"/>
    <n v="200"/>
  </r>
  <r>
    <x v="26"/>
    <x v="0"/>
    <n v="397"/>
  </r>
  <r>
    <x v="28"/>
    <x v="8"/>
    <n v="52"/>
  </r>
  <r>
    <x v="12"/>
    <x v="8"/>
    <n v="60"/>
  </r>
  <r>
    <x v="42"/>
    <x v="3"/>
    <n v="876"/>
  </r>
  <r>
    <x v="24"/>
    <x v="1"/>
    <n v="470"/>
  </r>
  <r>
    <x v="0"/>
    <x v="5"/>
    <n v="37"/>
  </r>
  <r>
    <x v="27"/>
    <x v="4"/>
    <n v="98"/>
  </r>
  <r>
    <x v="22"/>
    <x v="1"/>
    <n v="391"/>
  </r>
  <r>
    <x v="24"/>
    <x v="8"/>
    <n v="64"/>
  </r>
  <r>
    <x v="27"/>
    <x v="5"/>
    <n v="70"/>
  </r>
  <r>
    <x v="13"/>
    <x v="8"/>
    <n v="51"/>
  </r>
  <r>
    <x v="128"/>
    <x v="0"/>
    <n v="229"/>
  </r>
  <r>
    <x v="9"/>
    <x v="8"/>
    <n v="35"/>
  </r>
  <r>
    <x v="30"/>
    <x v="5"/>
    <n v="35"/>
  </r>
  <r>
    <x v="17"/>
    <x v="4"/>
    <n v="92"/>
  </r>
  <r>
    <x v="31"/>
    <x v="2"/>
    <n v="571"/>
  </r>
  <r>
    <x v="106"/>
    <x v="8"/>
    <n v="48"/>
  </r>
  <r>
    <x v="133"/>
    <x v="2"/>
    <n v="456"/>
  </r>
  <r>
    <x v="134"/>
    <x v="0"/>
    <n v="590"/>
  </r>
  <r>
    <x v="112"/>
    <x v="3"/>
    <n v="309"/>
  </r>
  <r>
    <x v="106"/>
    <x v="1"/>
    <n v="161"/>
  </r>
  <r>
    <x v="135"/>
    <x v="8"/>
    <n v="55"/>
  </r>
  <r>
    <x v="103"/>
    <x v="0"/>
    <n v="616"/>
  </r>
  <r>
    <x v="34"/>
    <x v="4"/>
    <n v="102"/>
  </r>
  <r>
    <x v="134"/>
    <x v="7"/>
    <n v="185"/>
  </r>
  <r>
    <x v="109"/>
    <x v="8"/>
    <n v="44"/>
  </r>
  <r>
    <x v="134"/>
    <x v="8"/>
    <n v="48"/>
  </r>
  <r>
    <x v="117"/>
    <x v="0"/>
    <n v="562"/>
  </r>
  <r>
    <x v="117"/>
    <x v="1"/>
    <n v="162"/>
  </r>
  <r>
    <x v="65"/>
    <x v="1"/>
    <n v="109"/>
  </r>
  <r>
    <x v="112"/>
    <x v="7"/>
    <n v="141"/>
  </r>
  <r>
    <x v="111"/>
    <x v="7"/>
    <n v="142"/>
  </r>
  <r>
    <x v="114"/>
    <x v="0"/>
    <n v="487"/>
  </r>
  <r>
    <x v="43"/>
    <x v="4"/>
    <n v="116"/>
  </r>
  <r>
    <x v="120"/>
    <x v="6"/>
    <n v="245"/>
  </r>
  <r>
    <x v="116"/>
    <x v="2"/>
    <n v="482"/>
  </r>
  <r>
    <x v="111"/>
    <x v="4"/>
    <n v="95"/>
  </r>
  <r>
    <x v="136"/>
    <x v="0"/>
    <n v="291"/>
  </r>
  <r>
    <x v="54"/>
    <x v="7"/>
    <n v="162"/>
  </r>
  <r>
    <x v="137"/>
    <x v="8"/>
    <n v="120"/>
  </r>
  <r>
    <x v="138"/>
    <x v="8"/>
    <n v="58"/>
  </r>
  <r>
    <x v="139"/>
    <x v="4"/>
    <n v="59"/>
  </r>
  <r>
    <x v="61"/>
    <x v="6"/>
    <n v="243"/>
  </r>
  <r>
    <x v="137"/>
    <x v="6"/>
    <n v="353"/>
  </r>
  <r>
    <x v="140"/>
    <x v="8"/>
    <n v="86"/>
  </r>
  <r>
    <x v="56"/>
    <x v="4"/>
    <n v="81"/>
  </r>
  <r>
    <x v="61"/>
    <x v="3"/>
    <n v="392"/>
  </r>
  <r>
    <x v="86"/>
    <x v="7"/>
    <n v="144"/>
  </r>
  <r>
    <x v="141"/>
    <x v="4"/>
    <n v="107"/>
  </r>
  <r>
    <x v="56"/>
    <x v="6"/>
    <n v="244"/>
  </r>
  <r>
    <x v="75"/>
    <x v="7"/>
    <n v="69"/>
  </r>
  <r>
    <x v="142"/>
    <x v="8"/>
    <n v="17"/>
  </r>
  <r>
    <x v="76"/>
    <x v="8"/>
    <n v="81"/>
  </r>
  <r>
    <x v="74"/>
    <x v="7"/>
    <n v="116"/>
  </r>
  <r>
    <x v="72"/>
    <x v="7"/>
    <n v="118"/>
  </r>
  <r>
    <x v="74"/>
    <x v="8"/>
    <n v="83"/>
  </r>
  <r>
    <x v="143"/>
    <x v="7"/>
    <n v="113"/>
  </r>
  <r>
    <x v="144"/>
    <x v="2"/>
    <n v="296"/>
  </r>
  <r>
    <x v="144"/>
    <x v="8"/>
    <n v="46"/>
  </r>
  <r>
    <x v="145"/>
    <x v="8"/>
    <n v="21"/>
  </r>
  <r>
    <x v="72"/>
    <x v="4"/>
    <n v="59"/>
  </r>
  <r>
    <x v="146"/>
    <x v="7"/>
    <n v="112"/>
  </r>
  <r>
    <x v="66"/>
    <x v="7"/>
    <n v="138"/>
  </r>
  <r>
    <x v="68"/>
    <x v="3"/>
    <n v="330"/>
  </r>
  <r>
    <x v="146"/>
    <x v="8"/>
    <n v="106"/>
  </r>
  <r>
    <x v="72"/>
    <x v="3"/>
    <n v="319"/>
  </r>
  <r>
    <x v="80"/>
    <x v="7"/>
    <n v="91"/>
  </r>
  <r>
    <x v="147"/>
    <x v="8"/>
    <n v="36"/>
  </r>
  <r>
    <x v="148"/>
    <x v="8"/>
    <n v="30"/>
  </r>
  <r>
    <x v="147"/>
    <x v="4"/>
    <n v="51"/>
  </r>
  <r>
    <x v="147"/>
    <x v="7"/>
    <n v="87"/>
  </r>
  <r>
    <x v="147"/>
    <x v="3"/>
    <n v="212"/>
  </r>
  <r>
    <x v="149"/>
    <x v="8"/>
    <n v="10"/>
  </r>
  <r>
    <x v="147"/>
    <x v="6"/>
    <n v="152"/>
  </r>
  <r>
    <x v="150"/>
    <x v="8"/>
    <n v="16"/>
  </r>
  <r>
    <x v="151"/>
    <x v="6"/>
    <n v="76"/>
  </r>
  <r>
    <x v="45"/>
    <x v="2"/>
    <n v="151"/>
  </r>
  <r>
    <x v="44"/>
    <x v="8"/>
    <n v="14"/>
  </r>
  <r>
    <x v="152"/>
    <x v="4"/>
    <n v="32"/>
  </r>
  <r>
    <x v="153"/>
    <x v="4"/>
    <n v="25"/>
  </r>
  <r>
    <x v="36"/>
    <x v="8"/>
    <n v="6"/>
  </r>
  <r>
    <x v="151"/>
    <x v="7"/>
    <n v="39"/>
  </r>
  <r>
    <x v="105"/>
    <x v="8"/>
    <n v="29"/>
  </r>
  <r>
    <x v="151"/>
    <x v="4"/>
    <n v="21"/>
  </r>
  <r>
    <x v="38"/>
    <x v="7"/>
    <n v="49"/>
  </r>
  <r>
    <x v="38"/>
    <x v="0"/>
    <n v="137"/>
  </r>
  <r>
    <x v="154"/>
    <x v="7"/>
    <n v="35"/>
  </r>
  <r>
    <x v="154"/>
    <x v="8"/>
    <n v="24"/>
  </r>
  <r>
    <x v="154"/>
    <x v="4"/>
    <n v="25"/>
  </r>
  <r>
    <x v="40"/>
    <x v="4"/>
    <n v="29"/>
  </r>
  <r>
    <x v="155"/>
    <x v="8"/>
    <n v="27"/>
  </r>
  <r>
    <x v="104"/>
    <x v="8"/>
    <n v="18"/>
  </r>
  <r>
    <x v="102"/>
    <x v="4"/>
    <n v="98"/>
  </r>
  <r>
    <x v="102"/>
    <x v="3"/>
    <n v="371"/>
  </r>
  <r>
    <x v="104"/>
    <x v="2"/>
    <n v="179"/>
  </r>
  <r>
    <x v="52"/>
    <x v="4"/>
    <n v="21"/>
  </r>
  <r>
    <x v="65"/>
    <x v="2"/>
    <n v="282"/>
  </r>
  <r>
    <x v="109"/>
    <x v="7"/>
    <n v="159"/>
  </r>
  <r>
    <x v="102"/>
    <x v="2"/>
    <n v="408"/>
  </r>
  <r>
    <x v="102"/>
    <x v="0"/>
    <n v="429"/>
  </r>
  <r>
    <x v="50"/>
    <x v="8"/>
    <n v="41"/>
  </r>
  <r>
    <x v="113"/>
    <x v="4"/>
    <n v="45"/>
  </r>
  <r>
    <x v="124"/>
    <x v="3"/>
    <n v="258"/>
  </r>
  <r>
    <x v="118"/>
    <x v="7"/>
    <n v="115"/>
  </r>
  <r>
    <x v="98"/>
    <x v="0"/>
    <n v="310"/>
  </r>
  <r>
    <x v="115"/>
    <x v="4"/>
    <n v="55"/>
  </r>
  <r>
    <x v="120"/>
    <x v="8"/>
    <n v="47"/>
  </r>
  <r>
    <x v="156"/>
    <x v="8"/>
    <n v="21"/>
  </r>
  <r>
    <x v="120"/>
    <x v="0"/>
    <n v="435"/>
  </r>
  <r>
    <x v="157"/>
    <x v="3"/>
    <n v="282"/>
  </r>
  <r>
    <x v="157"/>
    <x v="8"/>
    <n v="43"/>
  </r>
  <r>
    <x v="108"/>
    <x v="7"/>
    <n v="129"/>
  </r>
  <r>
    <x v="108"/>
    <x v="4"/>
    <n v="57"/>
  </r>
  <r>
    <x v="95"/>
    <x v="4"/>
    <n v="54"/>
  </r>
  <r>
    <x v="108"/>
    <x v="3"/>
    <n v="302"/>
  </r>
  <r>
    <x v="158"/>
    <x v="7"/>
    <n v="89"/>
  </r>
  <r>
    <x v="115"/>
    <x v="2"/>
    <n v="352"/>
  </r>
  <r>
    <x v="73"/>
    <x v="6"/>
    <n v="207"/>
  </r>
  <r>
    <x v="156"/>
    <x v="1"/>
    <n v="84"/>
  </r>
  <r>
    <x v="120"/>
    <x v="2"/>
    <n v="368"/>
  </r>
  <r>
    <x v="73"/>
    <x v="1"/>
    <n v="164"/>
  </r>
  <r>
    <x v="98"/>
    <x v="4"/>
    <n v="72"/>
  </r>
  <r>
    <x v="22"/>
    <x v="8"/>
    <n v="33"/>
  </r>
  <r>
    <x v="91"/>
    <x v="8"/>
    <n v="32"/>
  </r>
  <r>
    <x v="87"/>
    <x v="7"/>
    <n v="97"/>
  </r>
  <r>
    <x v="86"/>
    <x v="0"/>
    <n v="263"/>
  </r>
  <r>
    <x v="33"/>
    <x v="6"/>
    <n v="426"/>
  </r>
  <r>
    <x v="87"/>
    <x v="6"/>
    <n v="177"/>
  </r>
  <r>
    <x v="126"/>
    <x v="1"/>
    <n v="85"/>
  </r>
  <r>
    <x v="93"/>
    <x v="3"/>
    <n v="172"/>
  </r>
  <r>
    <x v="93"/>
    <x v="0"/>
    <n v="167"/>
  </r>
  <r>
    <x v="98"/>
    <x v="8"/>
    <n v="31"/>
  </r>
  <r>
    <x v="90"/>
    <x v="4"/>
    <n v="65"/>
  </r>
  <r>
    <x v="90"/>
    <x v="1"/>
    <n v="83"/>
  </r>
  <r>
    <x v="24"/>
    <x v="6"/>
    <n v="581"/>
  </r>
  <r>
    <x v="32"/>
    <x v="0"/>
    <n v="873"/>
  </r>
  <r>
    <x v="12"/>
    <x v="7"/>
    <n v="231"/>
  </r>
  <r>
    <x v="126"/>
    <x v="0"/>
    <n v="261"/>
  </r>
  <r>
    <x v="25"/>
    <x v="5"/>
    <n v="24"/>
  </r>
  <r>
    <x v="125"/>
    <x v="7"/>
    <n v="86"/>
  </r>
  <r>
    <x v="125"/>
    <x v="6"/>
    <n v="154"/>
  </r>
  <r>
    <x v="98"/>
    <x v="3"/>
    <n v="256"/>
  </r>
  <r>
    <x v="98"/>
    <x v="6"/>
    <n v="167"/>
  </r>
  <r>
    <x v="126"/>
    <x v="2"/>
    <n v="239"/>
  </r>
  <r>
    <x v="42"/>
    <x v="7"/>
    <n v="349"/>
  </r>
  <r>
    <x v="93"/>
    <x v="5"/>
    <n v="27"/>
  </r>
  <r>
    <x v="96"/>
    <x v="4"/>
    <n v="29"/>
  </r>
  <r>
    <x v="133"/>
    <x v="8"/>
    <n v="43"/>
  </r>
  <r>
    <x v="131"/>
    <x v="1"/>
    <n v="182"/>
  </r>
  <r>
    <x v="131"/>
    <x v="0"/>
    <n v="594"/>
  </r>
  <r>
    <x v="83"/>
    <x v="5"/>
    <n v="37"/>
  </r>
  <r>
    <x v="29"/>
    <x v="2"/>
    <n v="1033"/>
  </r>
  <r>
    <x v="88"/>
    <x v="5"/>
    <n v="30"/>
  </r>
  <r>
    <x v="33"/>
    <x v="7"/>
    <n v="262"/>
  </r>
  <r>
    <x v="88"/>
    <x v="4"/>
    <n v="38"/>
  </r>
  <r>
    <x v="23"/>
    <x v="3"/>
    <n v="747"/>
  </r>
  <r>
    <x v="43"/>
    <x v="2"/>
    <n v="703"/>
  </r>
  <r>
    <x v="141"/>
    <x v="8"/>
    <n v="65"/>
  </r>
  <r>
    <x v="159"/>
    <x v="8"/>
    <n v="122"/>
  </r>
  <r>
    <x v="160"/>
    <x v="4"/>
    <n v="94"/>
  </r>
  <r>
    <x v="159"/>
    <x v="7"/>
    <n v="163"/>
  </r>
  <r>
    <x v="159"/>
    <x v="4"/>
    <n v="96"/>
  </r>
  <r>
    <x v="159"/>
    <x v="2"/>
    <n v="576"/>
  </r>
  <r>
    <x v="161"/>
    <x v="3"/>
    <n v="545"/>
  </r>
  <r>
    <x v="141"/>
    <x v="7"/>
    <n v="156"/>
  </r>
  <r>
    <x v="162"/>
    <x v="8"/>
    <n v="76"/>
  </r>
  <r>
    <x v="57"/>
    <x v="4"/>
    <n v="89"/>
  </r>
  <r>
    <x v="141"/>
    <x v="6"/>
    <n v="330"/>
  </r>
  <r>
    <x v="159"/>
    <x v="3"/>
    <n v="455"/>
  </r>
  <r>
    <x v="163"/>
    <x v="4"/>
    <n v="54"/>
  </r>
  <r>
    <x v="57"/>
    <x v="7"/>
    <n v="145"/>
  </r>
  <r>
    <x v="56"/>
    <x v="3"/>
    <n v="374"/>
  </r>
  <r>
    <x v="63"/>
    <x v="4"/>
    <n v="74"/>
  </r>
  <r>
    <x v="57"/>
    <x v="6"/>
    <n v="287"/>
  </r>
  <r>
    <x v="57"/>
    <x v="3"/>
    <n v="375"/>
  </r>
  <r>
    <x v="57"/>
    <x v="1"/>
    <n v="112"/>
  </r>
  <r>
    <x v="57"/>
    <x v="2"/>
    <n v="442"/>
  </r>
  <r>
    <x v="11"/>
    <x v="1"/>
    <n v="344"/>
  </r>
  <r>
    <x v="29"/>
    <x v="7"/>
    <n v="296"/>
  </r>
  <r>
    <x v="23"/>
    <x v="4"/>
    <n v="143"/>
  </r>
  <r>
    <x v="132"/>
    <x v="6"/>
    <n v="279"/>
  </r>
  <r>
    <x v="11"/>
    <x v="7"/>
    <n v="243"/>
  </r>
  <r>
    <x v="164"/>
    <x v="8"/>
    <n v="41"/>
  </r>
  <r>
    <x v="74"/>
    <x v="6"/>
    <n v="260"/>
  </r>
  <r>
    <x v="122"/>
    <x v="2"/>
    <n v="278"/>
  </r>
  <r>
    <x v="165"/>
    <x v="7"/>
    <n v="57"/>
  </r>
  <r>
    <x v="82"/>
    <x v="0"/>
    <n v="171"/>
  </r>
  <r>
    <x v="84"/>
    <x v="4"/>
    <n v="45"/>
  </r>
  <r>
    <x v="166"/>
    <x v="8"/>
    <n v="25"/>
  </r>
  <r>
    <x v="167"/>
    <x v="8"/>
    <n v="18"/>
  </r>
  <r>
    <x v="84"/>
    <x v="8"/>
    <n v="27"/>
  </r>
  <r>
    <x v="165"/>
    <x v="8"/>
    <n v="35"/>
  </r>
  <r>
    <x v="168"/>
    <x v="6"/>
    <n v="70"/>
  </r>
  <r>
    <x v="168"/>
    <x v="4"/>
    <n v="17"/>
  </r>
  <r>
    <x v="167"/>
    <x v="7"/>
    <n v="62"/>
  </r>
  <r>
    <x v="167"/>
    <x v="3"/>
    <n v="151"/>
  </r>
  <r>
    <x v="169"/>
    <x v="4"/>
    <n v="27"/>
  </r>
  <r>
    <x v="167"/>
    <x v="6"/>
    <n v="104"/>
  </r>
  <r>
    <x v="169"/>
    <x v="8"/>
    <n v="11"/>
  </r>
  <r>
    <x v="155"/>
    <x v="4"/>
    <n v="29"/>
  </r>
  <r>
    <x v="170"/>
    <x v="8"/>
    <n v="31"/>
  </r>
  <r>
    <x v="43"/>
    <x v="1"/>
    <n v="315"/>
  </r>
  <r>
    <x v="119"/>
    <x v="2"/>
    <n v="378"/>
  </r>
  <r>
    <x v="119"/>
    <x v="1"/>
    <n v="146"/>
  </r>
  <r>
    <x v="171"/>
    <x v="8"/>
    <n v="26"/>
  </r>
  <r>
    <x v="172"/>
    <x v="7"/>
    <n v="46"/>
  </r>
  <r>
    <x v="173"/>
    <x v="7"/>
    <n v="62"/>
  </r>
  <r>
    <x v="174"/>
    <x v="7"/>
    <n v="62"/>
  </r>
  <r>
    <x v="172"/>
    <x v="4"/>
    <n v="23"/>
  </r>
  <r>
    <x v="172"/>
    <x v="8"/>
    <n v="15"/>
  </r>
  <r>
    <x v="16"/>
    <x v="5"/>
    <n v="69"/>
  </r>
  <r>
    <x v="49"/>
    <x v="4"/>
    <n v="26"/>
  </r>
  <r>
    <x v="172"/>
    <x v="2"/>
    <n v="126"/>
  </r>
  <r>
    <x v="175"/>
    <x v="8"/>
    <n v="10"/>
  </r>
  <r>
    <x v="175"/>
    <x v="7"/>
    <n v="38"/>
  </r>
  <r>
    <x v="49"/>
    <x v="1"/>
    <n v="27"/>
  </r>
  <r>
    <x v="175"/>
    <x v="4"/>
    <n v="16"/>
  </r>
  <r>
    <x v="175"/>
    <x v="6"/>
    <n v="58"/>
  </r>
  <r>
    <x v="176"/>
    <x v="2"/>
    <n v="92"/>
  </r>
  <r>
    <x v="19"/>
    <x v="5"/>
    <n v="31"/>
  </r>
  <r>
    <x v="128"/>
    <x v="3"/>
    <n v="237"/>
  </r>
  <r>
    <x v="177"/>
    <x v="4"/>
    <n v="34"/>
  </r>
  <r>
    <x v="105"/>
    <x v="2"/>
    <n v="351"/>
  </r>
  <r>
    <x v="120"/>
    <x v="7"/>
    <n v="148"/>
  </r>
  <r>
    <x v="27"/>
    <x v="1"/>
    <n v="260"/>
  </r>
  <r>
    <x v="103"/>
    <x v="7"/>
    <n v="158"/>
  </r>
  <r>
    <x v="102"/>
    <x v="7"/>
    <n v="172"/>
  </r>
  <r>
    <x v="104"/>
    <x v="7"/>
    <n v="52"/>
  </r>
  <r>
    <x v="100"/>
    <x v="6"/>
    <n v="152"/>
  </r>
  <r>
    <x v="109"/>
    <x v="4"/>
    <n v="103"/>
  </r>
  <r>
    <x v="109"/>
    <x v="2"/>
    <n v="496"/>
  </r>
  <r>
    <x v="109"/>
    <x v="3"/>
    <n v="358"/>
  </r>
  <r>
    <x v="109"/>
    <x v="1"/>
    <n v="141"/>
  </r>
  <r>
    <x v="109"/>
    <x v="6"/>
    <n v="284"/>
  </r>
  <r>
    <x v="134"/>
    <x v="4"/>
    <n v="90"/>
  </r>
  <r>
    <x v="15"/>
    <x v="5"/>
    <n v="89"/>
  </r>
  <r>
    <x v="134"/>
    <x v="2"/>
    <n v="482"/>
  </r>
  <r>
    <x v="134"/>
    <x v="6"/>
    <n v="298"/>
  </r>
  <r>
    <x v="178"/>
    <x v="7"/>
    <n v="169"/>
  </r>
  <r>
    <x v="106"/>
    <x v="3"/>
    <n v="400"/>
  </r>
  <r>
    <x v="134"/>
    <x v="1"/>
    <n v="138"/>
  </r>
  <r>
    <x v="17"/>
    <x v="7"/>
    <n v="171"/>
  </r>
  <r>
    <x v="117"/>
    <x v="2"/>
    <n v="464"/>
  </r>
  <r>
    <x v="179"/>
    <x v="0"/>
    <n v="509"/>
  </r>
  <r>
    <x v="179"/>
    <x v="4"/>
    <n v="65"/>
  </r>
  <r>
    <x v="3"/>
    <x v="8"/>
    <n v="44"/>
  </r>
  <r>
    <x v="110"/>
    <x v="6"/>
    <n v="169"/>
  </r>
  <r>
    <x v="119"/>
    <x v="7"/>
    <n v="114"/>
  </r>
  <r>
    <x v="111"/>
    <x v="2"/>
    <n v="476"/>
  </r>
  <r>
    <x v="117"/>
    <x v="6"/>
    <n v="267"/>
  </r>
  <r>
    <x v="131"/>
    <x v="4"/>
    <n v="71"/>
  </r>
  <r>
    <x v="131"/>
    <x v="3"/>
    <n v="341"/>
  </r>
  <r>
    <x v="119"/>
    <x v="8"/>
    <n v="43"/>
  </r>
  <r>
    <x v="118"/>
    <x v="0"/>
    <n v="519"/>
  </r>
  <r>
    <x v="131"/>
    <x v="8"/>
    <n v="52"/>
  </r>
  <r>
    <x v="131"/>
    <x v="6"/>
    <n v="234"/>
  </r>
  <r>
    <x v="129"/>
    <x v="2"/>
    <n v="405"/>
  </r>
  <r>
    <x v="17"/>
    <x v="8"/>
    <n v="46"/>
  </r>
  <r>
    <x v="22"/>
    <x v="7"/>
    <n v="252"/>
  </r>
  <r>
    <x v="108"/>
    <x v="0"/>
    <n v="497"/>
  </r>
  <r>
    <x v="133"/>
    <x v="7"/>
    <n v="160"/>
  </r>
  <r>
    <x v="122"/>
    <x v="8"/>
    <n v="28"/>
  </r>
  <r>
    <x v="157"/>
    <x v="0"/>
    <n v="424"/>
  </r>
  <r>
    <x v="180"/>
    <x v="8"/>
    <n v="28"/>
  </r>
  <r>
    <x v="121"/>
    <x v="8"/>
    <n v="48"/>
  </r>
  <r>
    <x v="181"/>
    <x v="8"/>
    <n v="48"/>
  </r>
  <r>
    <x v="178"/>
    <x v="0"/>
    <n v="579"/>
  </r>
  <r>
    <x v="129"/>
    <x v="0"/>
    <n v="547"/>
  </r>
  <r>
    <x v="182"/>
    <x v="2"/>
    <n v="325"/>
  </r>
  <r>
    <x v="124"/>
    <x v="8"/>
    <n v="40"/>
  </r>
  <r>
    <x v="157"/>
    <x v="7"/>
    <n v="119"/>
  </r>
  <r>
    <x v="157"/>
    <x v="5"/>
    <n v="42"/>
  </r>
  <r>
    <x v="53"/>
    <x v="8"/>
    <n v="41"/>
  </r>
  <r>
    <x v="73"/>
    <x v="4"/>
    <n v="71"/>
  </r>
  <r>
    <x v="120"/>
    <x v="5"/>
    <n v="40"/>
  </r>
  <r>
    <x v="124"/>
    <x v="7"/>
    <n v="136"/>
  </r>
  <r>
    <x v="124"/>
    <x v="1"/>
    <n v="153"/>
  </r>
  <r>
    <x v="124"/>
    <x v="5"/>
    <n v="24"/>
  </r>
  <r>
    <x v="183"/>
    <x v="7"/>
    <n v="125"/>
  </r>
  <r>
    <x v="127"/>
    <x v="3"/>
    <n v="247"/>
  </r>
  <r>
    <x v="17"/>
    <x v="5"/>
    <n v="44"/>
  </r>
  <r>
    <x v="130"/>
    <x v="4"/>
    <n v="51"/>
  </r>
  <r>
    <x v="183"/>
    <x v="6"/>
    <n v="170"/>
  </r>
  <r>
    <x v="183"/>
    <x v="4"/>
    <n v="76"/>
  </r>
  <r>
    <x v="42"/>
    <x v="4"/>
    <n v="159"/>
  </r>
  <r>
    <x v="176"/>
    <x v="1"/>
    <n v="29"/>
  </r>
  <r>
    <x v="183"/>
    <x v="2"/>
    <n v="258"/>
  </r>
  <r>
    <x v="98"/>
    <x v="5"/>
    <n v="21"/>
  </r>
  <r>
    <x v="93"/>
    <x v="2"/>
    <n v="218"/>
  </r>
  <r>
    <x v="98"/>
    <x v="1"/>
    <n v="83"/>
  </r>
  <r>
    <x v="97"/>
    <x v="1"/>
    <n v="56"/>
  </r>
  <r>
    <x v="123"/>
    <x v="3"/>
    <n v="269"/>
  </r>
  <r>
    <x v="23"/>
    <x v="5"/>
    <n v="113"/>
  </r>
  <r>
    <x v="89"/>
    <x v="1"/>
    <n v="68"/>
  </r>
  <r>
    <x v="29"/>
    <x v="3"/>
    <n v="827"/>
  </r>
  <r>
    <x v="87"/>
    <x v="1"/>
    <n v="109"/>
  </r>
  <r>
    <x v="125"/>
    <x v="0"/>
    <n v="256"/>
  </r>
  <r>
    <x v="129"/>
    <x v="3"/>
    <n v="327"/>
  </r>
  <r>
    <x v="56"/>
    <x v="7"/>
    <n v="149"/>
  </r>
  <r>
    <x v="161"/>
    <x v="8"/>
    <n v="102"/>
  </r>
  <r>
    <x v="79"/>
    <x v="7"/>
    <n v="73"/>
  </r>
  <r>
    <x v="61"/>
    <x v="7"/>
    <n v="141"/>
  </r>
  <r>
    <x v="146"/>
    <x v="4"/>
    <n v="63"/>
  </r>
  <r>
    <x v="143"/>
    <x v="4"/>
    <n v="61"/>
  </r>
  <r>
    <x v="146"/>
    <x v="2"/>
    <n v="380"/>
  </r>
  <r>
    <x v="184"/>
    <x v="8"/>
    <n v="33"/>
  </r>
  <r>
    <x v="185"/>
    <x v="8"/>
    <n v="145"/>
  </r>
  <r>
    <x v="70"/>
    <x v="4"/>
    <n v="41"/>
  </r>
  <r>
    <x v="122"/>
    <x v="3"/>
    <n v="212"/>
  </r>
  <r>
    <x v="75"/>
    <x v="8"/>
    <n v="26"/>
  </r>
  <r>
    <x v="186"/>
    <x v="4"/>
    <n v="53"/>
  </r>
  <r>
    <x v="187"/>
    <x v="8"/>
    <n v="23"/>
  </r>
  <r>
    <x v="166"/>
    <x v="7"/>
    <n v="83"/>
  </r>
  <r>
    <x v="82"/>
    <x v="4"/>
    <n v="48"/>
  </r>
  <r>
    <x v="155"/>
    <x v="6"/>
    <n v="105"/>
  </r>
  <r>
    <x v="188"/>
    <x v="8"/>
    <n v="107"/>
  </r>
  <r>
    <x v="189"/>
    <x v="8"/>
    <n v="19"/>
  </r>
  <r>
    <x v="151"/>
    <x v="8"/>
    <n v="11"/>
  </r>
  <r>
    <x v="154"/>
    <x v="6"/>
    <n v="50"/>
  </r>
  <r>
    <x v="41"/>
    <x v="4"/>
    <n v="41"/>
  </r>
  <r>
    <x v="149"/>
    <x v="7"/>
    <n v="34"/>
  </r>
  <r>
    <x v="36"/>
    <x v="3"/>
    <n v="88"/>
  </r>
  <r>
    <x v="46"/>
    <x v="8"/>
    <n v="16"/>
  </r>
  <r>
    <x v="46"/>
    <x v="4"/>
    <n v="24"/>
  </r>
  <r>
    <x v="46"/>
    <x v="6"/>
    <n v="67"/>
  </r>
  <r>
    <x v="130"/>
    <x v="2"/>
    <n v="151"/>
  </r>
  <r>
    <x v="46"/>
    <x v="3"/>
    <n v="97"/>
  </r>
  <r>
    <x v="41"/>
    <x v="1"/>
    <n v="77"/>
  </r>
  <r>
    <x v="112"/>
    <x v="1"/>
    <n v="151"/>
  </r>
  <r>
    <x v="102"/>
    <x v="6"/>
    <n v="294"/>
  </r>
  <r>
    <x v="102"/>
    <x v="1"/>
    <n v="147"/>
  </r>
  <r>
    <x v="34"/>
    <x v="0"/>
    <n v="626"/>
  </r>
  <r>
    <x v="133"/>
    <x v="6"/>
    <n v="249"/>
  </r>
  <r>
    <x v="102"/>
    <x v="5"/>
    <n v="44"/>
  </r>
  <r>
    <x v="181"/>
    <x v="0"/>
    <n v="584"/>
  </r>
  <r>
    <x v="134"/>
    <x v="3"/>
    <n v="388"/>
  </r>
  <r>
    <x v="190"/>
    <x v="6"/>
    <n v="140"/>
  </r>
  <r>
    <x v="179"/>
    <x v="7"/>
    <n v="146"/>
  </r>
  <r>
    <x v="106"/>
    <x v="4"/>
    <n v="92"/>
  </r>
  <r>
    <x v="179"/>
    <x v="6"/>
    <n v="227"/>
  </r>
  <r>
    <x v="42"/>
    <x v="1"/>
    <n v="493"/>
  </r>
  <r>
    <x v="110"/>
    <x v="1"/>
    <n v="139"/>
  </r>
  <r>
    <x v="135"/>
    <x v="4"/>
    <n v="74"/>
  </r>
  <r>
    <x v="117"/>
    <x v="4"/>
    <n v="80"/>
  </r>
  <r>
    <x v="86"/>
    <x v="8"/>
    <n v="42"/>
  </r>
  <r>
    <x v="190"/>
    <x v="4"/>
    <n v="43"/>
  </r>
  <r>
    <x v="182"/>
    <x v="4"/>
    <n v="54"/>
  </r>
  <r>
    <x v="132"/>
    <x v="1"/>
    <n v="328"/>
  </r>
  <r>
    <x v="108"/>
    <x v="5"/>
    <n v="36"/>
  </r>
  <r>
    <x v="129"/>
    <x v="4"/>
    <n v="81"/>
  </r>
  <r>
    <x v="191"/>
    <x v="2"/>
    <n v="217"/>
  </r>
  <r>
    <x v="157"/>
    <x v="2"/>
    <n v="338"/>
  </r>
  <r>
    <x v="122"/>
    <x v="0"/>
    <n v="348"/>
  </r>
  <r>
    <x v="123"/>
    <x v="6"/>
    <n v="223"/>
  </r>
  <r>
    <x v="130"/>
    <x v="8"/>
    <n v="21"/>
  </r>
  <r>
    <x v="156"/>
    <x v="7"/>
    <n v="95"/>
  </r>
  <r>
    <x v="14"/>
    <x v="1"/>
    <n v="181"/>
  </r>
  <r>
    <x v="32"/>
    <x v="6"/>
    <n v="441"/>
  </r>
  <r>
    <x v="183"/>
    <x v="8"/>
    <n v="25"/>
  </r>
  <r>
    <x v="183"/>
    <x v="0"/>
    <n v="252"/>
  </r>
  <r>
    <x v="190"/>
    <x v="7"/>
    <n v="93"/>
  </r>
  <r>
    <x v="43"/>
    <x v="7"/>
    <n v="278"/>
  </r>
  <r>
    <x v="131"/>
    <x v="2"/>
    <n v="408"/>
  </r>
  <r>
    <x v="135"/>
    <x v="2"/>
    <n v="428"/>
  </r>
  <r>
    <x v="24"/>
    <x v="7"/>
    <n v="312"/>
  </r>
  <r>
    <x v="192"/>
    <x v="2"/>
    <n v="145"/>
  </r>
  <r>
    <x v="128"/>
    <x v="7"/>
    <n v="62"/>
  </r>
  <r>
    <x v="13"/>
    <x v="5"/>
    <n v="60"/>
  </r>
  <r>
    <x v="162"/>
    <x v="4"/>
    <n v="104"/>
  </r>
  <r>
    <x v="193"/>
    <x v="6"/>
    <n v="271"/>
  </r>
  <r>
    <x v="162"/>
    <x v="6"/>
    <n v="322"/>
  </r>
  <r>
    <x v="162"/>
    <x v="7"/>
    <n v="204"/>
  </r>
  <r>
    <x v="55"/>
    <x v="7"/>
    <n v="187"/>
  </r>
  <r>
    <x v="194"/>
    <x v="8"/>
    <n v="79"/>
  </r>
  <r>
    <x v="139"/>
    <x v="6"/>
    <n v="177"/>
  </r>
  <r>
    <x v="159"/>
    <x v="6"/>
    <n v="332"/>
  </r>
  <r>
    <x v="195"/>
    <x v="8"/>
    <n v="48"/>
  </r>
  <r>
    <x v="89"/>
    <x v="8"/>
    <n v="24"/>
  </r>
  <r>
    <x v="89"/>
    <x v="5"/>
    <n v="16"/>
  </r>
  <r>
    <x v="125"/>
    <x v="5"/>
    <n v="24"/>
  </r>
  <r>
    <x v="125"/>
    <x v="1"/>
    <n v="90"/>
  </r>
  <r>
    <x v="125"/>
    <x v="8"/>
    <n v="27"/>
  </r>
  <r>
    <x v="196"/>
    <x v="0"/>
    <n v="288"/>
  </r>
  <r>
    <x v="192"/>
    <x v="8"/>
    <n v="20"/>
  </r>
  <r>
    <x v="186"/>
    <x v="6"/>
    <n v="218"/>
  </r>
  <r>
    <x v="186"/>
    <x v="8"/>
    <n v="71"/>
  </r>
  <r>
    <x v="197"/>
    <x v="4"/>
    <n v="86"/>
  </r>
  <r>
    <x v="198"/>
    <x v="7"/>
    <n v="128"/>
  </r>
  <r>
    <x v="198"/>
    <x v="8"/>
    <n v="56"/>
  </r>
  <r>
    <x v="186"/>
    <x v="7"/>
    <n v="145"/>
  </r>
  <r>
    <x v="199"/>
    <x v="8"/>
    <n v="14"/>
  </r>
  <r>
    <x v="198"/>
    <x v="4"/>
    <n v="73"/>
  </r>
  <r>
    <x v="198"/>
    <x v="3"/>
    <n v="262"/>
  </r>
  <r>
    <x v="60"/>
    <x v="7"/>
    <n v="156"/>
  </r>
  <r>
    <x v="11"/>
    <x v="4"/>
    <n v="120"/>
  </r>
  <r>
    <x v="163"/>
    <x v="8"/>
    <n v="56"/>
  </r>
  <r>
    <x v="163"/>
    <x v="2"/>
    <n v="277"/>
  </r>
  <r>
    <x v="163"/>
    <x v="0"/>
    <n v="226"/>
  </r>
  <r>
    <x v="163"/>
    <x v="3"/>
    <n v="260"/>
  </r>
  <r>
    <x v="163"/>
    <x v="1"/>
    <n v="90"/>
  </r>
  <r>
    <x v="200"/>
    <x v="8"/>
    <n v="69"/>
  </r>
  <r>
    <x v="69"/>
    <x v="4"/>
    <n v="47"/>
  </r>
  <r>
    <x v="163"/>
    <x v="7"/>
    <n v="108"/>
  </r>
  <r>
    <x v="200"/>
    <x v="6"/>
    <n v="271"/>
  </r>
  <r>
    <x v="69"/>
    <x v="7"/>
    <n v="76"/>
  </r>
  <r>
    <x v="197"/>
    <x v="8"/>
    <n v="67"/>
  </r>
  <r>
    <x v="69"/>
    <x v="0"/>
    <n v="226"/>
  </r>
  <r>
    <x v="69"/>
    <x v="2"/>
    <n v="267"/>
  </r>
  <r>
    <x v="69"/>
    <x v="3"/>
    <n v="233"/>
  </r>
  <r>
    <x v="201"/>
    <x v="4"/>
    <n v="48"/>
  </r>
  <r>
    <x v="202"/>
    <x v="4"/>
    <n v="71"/>
  </r>
  <r>
    <x v="203"/>
    <x v="2"/>
    <n v="233"/>
  </r>
  <r>
    <x v="203"/>
    <x v="4"/>
    <n v="40"/>
  </r>
  <r>
    <x v="204"/>
    <x v="4"/>
    <n v="34"/>
  </r>
  <r>
    <x v="201"/>
    <x v="8"/>
    <n v="33"/>
  </r>
  <r>
    <x v="203"/>
    <x v="8"/>
    <n v="54"/>
  </r>
  <r>
    <x v="203"/>
    <x v="3"/>
    <n v="203"/>
  </r>
  <r>
    <x v="202"/>
    <x v="8"/>
    <n v="34"/>
  </r>
  <r>
    <x v="203"/>
    <x v="7"/>
    <n v="73"/>
  </r>
  <r>
    <x v="164"/>
    <x v="7"/>
    <n v="92"/>
  </r>
  <r>
    <x v="164"/>
    <x v="6"/>
    <n v="187"/>
  </r>
  <r>
    <x v="164"/>
    <x v="4"/>
    <n v="56"/>
  </r>
  <r>
    <x v="155"/>
    <x v="5"/>
    <n v="23"/>
  </r>
  <r>
    <x v="142"/>
    <x v="0"/>
    <n v="182"/>
  </r>
  <r>
    <x v="155"/>
    <x v="7"/>
    <n v="65"/>
  </r>
  <r>
    <x v="142"/>
    <x v="6"/>
    <n v="118"/>
  </r>
  <r>
    <x v="184"/>
    <x v="6"/>
    <n v="174"/>
  </r>
  <r>
    <x v="187"/>
    <x v="6"/>
    <n v="96"/>
  </r>
  <r>
    <x v="166"/>
    <x v="4"/>
    <n v="43"/>
  </r>
  <r>
    <x v="136"/>
    <x v="4"/>
    <n v="55"/>
  </r>
  <r>
    <x v="174"/>
    <x v="8"/>
    <n v="28"/>
  </r>
  <r>
    <x v="158"/>
    <x v="1"/>
    <n v="121"/>
  </r>
  <r>
    <x v="142"/>
    <x v="7"/>
    <n v="60"/>
  </r>
  <r>
    <x v="142"/>
    <x v="4"/>
    <n v="34"/>
  </r>
  <r>
    <x v="150"/>
    <x v="3"/>
    <n v="99"/>
  </r>
  <r>
    <x v="148"/>
    <x v="4"/>
    <n v="39"/>
  </r>
  <r>
    <x v="189"/>
    <x v="6"/>
    <n v="88"/>
  </r>
  <r>
    <x v="174"/>
    <x v="4"/>
    <n v="38"/>
  </r>
  <r>
    <x v="148"/>
    <x v="3"/>
    <n v="181"/>
  </r>
  <r>
    <x v="205"/>
    <x v="7"/>
    <n v="57"/>
  </r>
  <r>
    <x v="148"/>
    <x v="7"/>
    <n v="76"/>
  </r>
  <r>
    <x v="157"/>
    <x v="6"/>
    <n v="231"/>
  </r>
  <r>
    <x v="206"/>
    <x v="8"/>
    <n v="12"/>
  </r>
  <r>
    <x v="40"/>
    <x v="7"/>
    <n v="39"/>
  </r>
  <r>
    <x v="173"/>
    <x v="8"/>
    <n v="20"/>
  </r>
  <r>
    <x v="173"/>
    <x v="5"/>
    <n v="20"/>
  </r>
  <r>
    <x v="44"/>
    <x v="7"/>
    <n v="34"/>
  </r>
  <r>
    <x v="173"/>
    <x v="2"/>
    <n v="140"/>
  </r>
  <r>
    <x v="40"/>
    <x v="0"/>
    <n v="86"/>
  </r>
  <r>
    <x v="173"/>
    <x v="6"/>
    <n v="99"/>
  </r>
  <r>
    <x v="37"/>
    <x v="6"/>
    <n v="85"/>
  </r>
  <r>
    <x v="205"/>
    <x v="4"/>
    <n v="30"/>
  </r>
  <r>
    <x v="37"/>
    <x v="0"/>
    <n v="156"/>
  </r>
  <r>
    <x v="189"/>
    <x v="7"/>
    <n v="54"/>
  </r>
  <r>
    <x v="107"/>
    <x v="0"/>
    <n v="122"/>
  </r>
  <r>
    <x v="178"/>
    <x v="4"/>
    <n v="102"/>
  </r>
  <r>
    <x v="178"/>
    <x v="3"/>
    <n v="395"/>
  </r>
  <r>
    <x v="32"/>
    <x v="5"/>
    <n v="95"/>
  </r>
  <r>
    <x v="180"/>
    <x v="7"/>
    <n v="98"/>
  </r>
  <r>
    <x v="117"/>
    <x v="7"/>
    <n v="149"/>
  </r>
  <r>
    <x v="133"/>
    <x v="4"/>
    <n v="95"/>
  </r>
  <r>
    <x v="129"/>
    <x v="8"/>
    <n v="44"/>
  </r>
  <r>
    <x v="180"/>
    <x v="4"/>
    <n v="47"/>
  </r>
  <r>
    <x v="179"/>
    <x v="2"/>
    <n v="405"/>
  </r>
  <r>
    <x v="179"/>
    <x v="3"/>
    <n v="354"/>
  </r>
  <r>
    <x v="180"/>
    <x v="6"/>
    <n v="169"/>
  </r>
  <r>
    <x v="30"/>
    <x v="8"/>
    <n v="23"/>
  </r>
  <r>
    <x v="135"/>
    <x v="6"/>
    <n v="250"/>
  </r>
  <r>
    <x v="135"/>
    <x v="0"/>
    <n v="555"/>
  </r>
  <r>
    <x v="135"/>
    <x v="3"/>
    <n v="353"/>
  </r>
  <r>
    <x v="135"/>
    <x v="5"/>
    <n v="16"/>
  </r>
  <r>
    <x v="135"/>
    <x v="7"/>
    <n v="133"/>
  </r>
  <r>
    <x v="12"/>
    <x v="5"/>
    <n v="61"/>
  </r>
  <r>
    <x v="132"/>
    <x v="3"/>
    <n v="406"/>
  </r>
  <r>
    <x v="122"/>
    <x v="7"/>
    <n v="100"/>
  </r>
  <r>
    <x v="157"/>
    <x v="4"/>
    <n v="64"/>
  </r>
  <r>
    <x v="157"/>
    <x v="1"/>
    <n v="235"/>
  </r>
  <r>
    <x v="180"/>
    <x v="3"/>
    <n v="217"/>
  </r>
  <r>
    <x v="191"/>
    <x v="4"/>
    <n v="49"/>
  </r>
  <r>
    <x v="182"/>
    <x v="8"/>
    <n v="29"/>
  </r>
  <r>
    <x v="182"/>
    <x v="1"/>
    <n v="149"/>
  </r>
  <r>
    <x v="182"/>
    <x v="6"/>
    <n v="182"/>
  </r>
  <r>
    <x v="182"/>
    <x v="7"/>
    <n v="118"/>
  </r>
  <r>
    <x v="183"/>
    <x v="3"/>
    <n v="229"/>
  </r>
  <r>
    <x v="121"/>
    <x v="7"/>
    <n v="99"/>
  </r>
  <r>
    <x v="121"/>
    <x v="3"/>
    <n v="239"/>
  </r>
  <r>
    <x v="91"/>
    <x v="4"/>
    <n v="57"/>
  </r>
  <r>
    <x v="121"/>
    <x v="6"/>
    <n v="171"/>
  </r>
  <r>
    <x v="121"/>
    <x v="0"/>
    <n v="251"/>
  </r>
  <r>
    <x v="16"/>
    <x v="7"/>
    <n v="272"/>
  </r>
  <r>
    <x v="120"/>
    <x v="3"/>
    <n v="335"/>
  </r>
  <r>
    <x v="190"/>
    <x v="8"/>
    <n v="27"/>
  </r>
  <r>
    <x v="93"/>
    <x v="4"/>
    <n v="54"/>
  </r>
  <r>
    <x v="2"/>
    <x v="4"/>
    <n v="76"/>
  </r>
  <r>
    <x v="2"/>
    <x v="5"/>
    <n v="48"/>
  </r>
  <r>
    <x v="132"/>
    <x v="2"/>
    <n v="493"/>
  </r>
  <r>
    <x v="200"/>
    <x v="3"/>
    <n v="398"/>
  </r>
  <r>
    <x v="207"/>
    <x v="7"/>
    <n v="117"/>
  </r>
  <r>
    <x v="140"/>
    <x v="4"/>
    <n v="77"/>
  </r>
  <r>
    <x v="15"/>
    <x v="4"/>
    <n v="114"/>
  </r>
  <r>
    <x v="146"/>
    <x v="3"/>
    <n v="309"/>
  </r>
  <r>
    <x v="207"/>
    <x v="6"/>
    <n v="252"/>
  </r>
  <r>
    <x v="201"/>
    <x v="0"/>
    <n v="253"/>
  </r>
  <r>
    <x v="201"/>
    <x v="6"/>
    <n v="191"/>
  </r>
  <r>
    <x v="201"/>
    <x v="3"/>
    <n v="253"/>
  </r>
  <r>
    <x v="201"/>
    <x v="7"/>
    <n v="110"/>
  </r>
  <r>
    <x v="201"/>
    <x v="2"/>
    <n v="315"/>
  </r>
  <r>
    <x v="66"/>
    <x v="4"/>
    <n v="75"/>
  </r>
  <r>
    <x v="208"/>
    <x v="2"/>
    <n v="6"/>
  </r>
  <r>
    <x v="169"/>
    <x v="0"/>
    <n v="123"/>
  </r>
  <r>
    <x v="204"/>
    <x v="7"/>
    <n v="60"/>
  </r>
  <r>
    <x v="191"/>
    <x v="0"/>
    <n v="306"/>
  </r>
  <r>
    <x v="204"/>
    <x v="3"/>
    <n v="136"/>
  </r>
  <r>
    <x v="204"/>
    <x v="8"/>
    <n v="20"/>
  </r>
  <r>
    <x v="169"/>
    <x v="2"/>
    <n v="115"/>
  </r>
  <r>
    <x v="187"/>
    <x v="7"/>
    <n v="61"/>
  </r>
  <r>
    <x v="27"/>
    <x v="8"/>
    <n v="49"/>
  </r>
  <r>
    <x v="180"/>
    <x v="0"/>
    <n v="355"/>
  </r>
  <r>
    <x v="176"/>
    <x v="4"/>
    <n v="19"/>
  </r>
  <r>
    <x v="176"/>
    <x v="8"/>
    <n v="11"/>
  </r>
  <r>
    <x v="209"/>
    <x v="7"/>
    <n v="68"/>
  </r>
  <r>
    <x v="176"/>
    <x v="7"/>
    <n v="47"/>
  </r>
  <r>
    <x v="172"/>
    <x v="6"/>
    <n v="76"/>
  </r>
  <r>
    <x v="210"/>
    <x v="4"/>
    <n v="50"/>
  </r>
  <r>
    <x v="178"/>
    <x v="8"/>
    <n v="49"/>
  </r>
  <r>
    <x v="36"/>
    <x v="6"/>
    <n v="63"/>
  </r>
  <r>
    <x v="16"/>
    <x v="4"/>
    <n v="119"/>
  </r>
  <r>
    <x v="119"/>
    <x v="6"/>
    <n v="223"/>
  </r>
  <r>
    <x v="179"/>
    <x v="8"/>
    <n v="29"/>
  </r>
  <r>
    <x v="116"/>
    <x v="0"/>
    <n v="605"/>
  </r>
  <r>
    <x v="133"/>
    <x v="1"/>
    <n v="137"/>
  </r>
  <r>
    <x v="181"/>
    <x v="4"/>
    <n v="93"/>
  </r>
  <r>
    <x v="119"/>
    <x v="0"/>
    <n v="494"/>
  </r>
  <r>
    <x v="108"/>
    <x v="2"/>
    <n v="321"/>
  </r>
  <r>
    <x v="73"/>
    <x v="5"/>
    <n v="31"/>
  </r>
  <r>
    <x v="182"/>
    <x v="3"/>
    <n v="239"/>
  </r>
  <r>
    <x v="182"/>
    <x v="0"/>
    <n v="311"/>
  </r>
  <r>
    <x v="123"/>
    <x v="1"/>
    <n v="211"/>
  </r>
  <r>
    <x v="125"/>
    <x v="4"/>
    <n v="43"/>
  </r>
  <r>
    <x v="33"/>
    <x v="4"/>
    <n v="107"/>
  </r>
  <r>
    <x v="91"/>
    <x v="2"/>
    <n v="194"/>
  </r>
  <r>
    <x v="93"/>
    <x v="1"/>
    <n v="93"/>
  </r>
  <r>
    <x v="91"/>
    <x v="7"/>
    <n v="87"/>
  </r>
  <r>
    <x v="121"/>
    <x v="1"/>
    <n v="92"/>
  </r>
  <r>
    <x v="121"/>
    <x v="2"/>
    <n v="284"/>
  </r>
  <r>
    <x v="160"/>
    <x v="2"/>
    <n v="494"/>
  </r>
  <r>
    <x v="211"/>
    <x v="4"/>
    <n v="103"/>
  </r>
  <r>
    <x v="197"/>
    <x v="0"/>
    <n v="390"/>
  </r>
  <r>
    <x v="197"/>
    <x v="7"/>
    <n v="170"/>
  </r>
  <r>
    <x v="197"/>
    <x v="6"/>
    <n v="283"/>
  </r>
  <r>
    <x v="212"/>
    <x v="8"/>
    <n v="75"/>
  </r>
  <r>
    <x v="212"/>
    <x v="7"/>
    <n v="158"/>
  </r>
  <r>
    <x v="212"/>
    <x v="4"/>
    <n v="79"/>
  </r>
  <r>
    <x v="212"/>
    <x v="3"/>
    <n v="418"/>
  </r>
  <r>
    <x v="212"/>
    <x v="6"/>
    <n v="303"/>
  </r>
  <r>
    <x v="136"/>
    <x v="6"/>
    <n v="170"/>
  </r>
  <r>
    <x v="140"/>
    <x v="0"/>
    <n v="361"/>
  </r>
  <r>
    <x v="140"/>
    <x v="6"/>
    <n v="262"/>
  </r>
  <r>
    <x v="200"/>
    <x v="4"/>
    <n v="97"/>
  </r>
  <r>
    <x v="64"/>
    <x v="4"/>
    <n v="57"/>
  </r>
  <r>
    <x v="140"/>
    <x v="7"/>
    <n v="162"/>
  </r>
  <r>
    <x v="160"/>
    <x v="7"/>
    <n v="144"/>
  </r>
  <r>
    <x v="200"/>
    <x v="7"/>
    <n v="152"/>
  </r>
  <r>
    <x v="200"/>
    <x v="2"/>
    <n v="463"/>
  </r>
  <r>
    <x v="195"/>
    <x v="2"/>
    <n v="445"/>
  </r>
  <r>
    <x v="152"/>
    <x v="7"/>
    <n v="61"/>
  </r>
  <r>
    <x v="152"/>
    <x v="3"/>
    <n v="155"/>
  </r>
  <r>
    <x v="152"/>
    <x v="1"/>
    <n v="56"/>
  </r>
  <r>
    <x v="64"/>
    <x v="6"/>
    <n v="229"/>
  </r>
  <r>
    <x v="207"/>
    <x v="8"/>
    <n v="43"/>
  </r>
  <r>
    <x v="207"/>
    <x v="3"/>
    <n v="342"/>
  </r>
  <r>
    <x v="68"/>
    <x v="8"/>
    <n v="71"/>
  </r>
  <r>
    <x v="207"/>
    <x v="4"/>
    <n v="63"/>
  </r>
  <r>
    <x v="213"/>
    <x v="8"/>
    <n v="28"/>
  </r>
  <r>
    <x v="214"/>
    <x v="1"/>
    <n v="34"/>
  </r>
  <r>
    <x v="105"/>
    <x v="0"/>
    <n v="374"/>
  </r>
  <r>
    <x v="119"/>
    <x v="3"/>
    <n v="254"/>
  </r>
  <r>
    <x v="166"/>
    <x v="0"/>
    <n v="152"/>
  </r>
  <r>
    <x v="148"/>
    <x v="2"/>
    <n v="253"/>
  </r>
  <r>
    <x v="150"/>
    <x v="7"/>
    <n v="43"/>
  </r>
  <r>
    <x v="215"/>
    <x v="7"/>
    <n v="79"/>
  </r>
  <r>
    <x v="82"/>
    <x v="7"/>
    <n v="71"/>
  </r>
  <r>
    <x v="165"/>
    <x v="4"/>
    <n v="34"/>
  </r>
  <r>
    <x v="177"/>
    <x v="8"/>
    <n v="8"/>
  </r>
  <r>
    <x v="206"/>
    <x v="6"/>
    <n v="60"/>
  </r>
  <r>
    <x v="136"/>
    <x v="8"/>
    <n v="24"/>
  </r>
  <r>
    <x v="205"/>
    <x v="6"/>
    <n v="120"/>
  </r>
  <r>
    <x v="205"/>
    <x v="8"/>
    <n v="25"/>
  </r>
  <r>
    <x v="206"/>
    <x v="4"/>
    <n v="28"/>
  </r>
  <r>
    <x v="205"/>
    <x v="0"/>
    <n v="204"/>
  </r>
  <r>
    <x v="178"/>
    <x v="2"/>
    <n v="462"/>
  </r>
  <r>
    <x v="178"/>
    <x v="6"/>
    <n v="266"/>
  </r>
  <r>
    <x v="210"/>
    <x v="1"/>
    <n v="110"/>
  </r>
  <r>
    <x v="112"/>
    <x v="0"/>
    <n v="559"/>
  </r>
  <r>
    <x v="210"/>
    <x v="0"/>
    <n v="370"/>
  </r>
  <r>
    <x v="210"/>
    <x v="7"/>
    <n v="96"/>
  </r>
  <r>
    <x v="210"/>
    <x v="3"/>
    <n v="223"/>
  </r>
  <r>
    <x v="210"/>
    <x v="8"/>
    <n v="21"/>
  </r>
  <r>
    <x v="107"/>
    <x v="7"/>
    <n v="61"/>
  </r>
  <r>
    <x v="210"/>
    <x v="6"/>
    <n v="147"/>
  </r>
  <r>
    <x v="216"/>
    <x v="8"/>
    <n v="26"/>
  </r>
  <r>
    <x v="114"/>
    <x v="4"/>
    <n v="78"/>
  </r>
  <r>
    <x v="24"/>
    <x v="5"/>
    <n v="119"/>
  </r>
  <r>
    <x v="133"/>
    <x v="0"/>
    <n v="596"/>
  </r>
  <r>
    <x v="133"/>
    <x v="3"/>
    <n v="304"/>
  </r>
  <r>
    <x v="181"/>
    <x v="3"/>
    <n v="350"/>
  </r>
  <r>
    <x v="181"/>
    <x v="7"/>
    <n v="159"/>
  </r>
  <r>
    <x v="112"/>
    <x v="2"/>
    <n v="455"/>
  </r>
  <r>
    <x v="114"/>
    <x v="8"/>
    <n v="60"/>
  </r>
  <r>
    <x v="114"/>
    <x v="1"/>
    <n v="150"/>
  </r>
  <r>
    <x v="114"/>
    <x v="6"/>
    <n v="247"/>
  </r>
  <r>
    <x v="135"/>
    <x v="1"/>
    <n v="165"/>
  </r>
  <r>
    <x v="114"/>
    <x v="2"/>
    <n v="405"/>
  </r>
  <r>
    <x v="33"/>
    <x v="8"/>
    <n v="43"/>
  </r>
  <r>
    <x v="156"/>
    <x v="6"/>
    <n v="131"/>
  </r>
  <r>
    <x v="191"/>
    <x v="8"/>
    <n v="17"/>
  </r>
  <r>
    <x v="118"/>
    <x v="3"/>
    <n v="281"/>
  </r>
  <r>
    <x v="118"/>
    <x v="5"/>
    <n v="42"/>
  </r>
  <r>
    <x v="43"/>
    <x v="8"/>
    <n v="58"/>
  </r>
  <r>
    <x v="190"/>
    <x v="3"/>
    <n v="187"/>
  </r>
  <r>
    <x v="156"/>
    <x v="4"/>
    <n v="47"/>
  </r>
  <r>
    <x v="29"/>
    <x v="4"/>
    <n v="138"/>
  </r>
  <r>
    <x v="160"/>
    <x v="8"/>
    <n v="95"/>
  </r>
  <r>
    <x v="92"/>
    <x v="8"/>
    <n v="23"/>
  </r>
  <r>
    <x v="141"/>
    <x v="2"/>
    <n v="583"/>
  </r>
  <r>
    <x v="217"/>
    <x v="8"/>
    <n v="104"/>
  </r>
  <r>
    <x v="218"/>
    <x v="7"/>
    <n v="125"/>
  </r>
  <r>
    <x v="197"/>
    <x v="3"/>
    <n v="389"/>
  </r>
  <r>
    <x v="69"/>
    <x v="1"/>
    <n v="84"/>
  </r>
  <r>
    <x v="137"/>
    <x v="7"/>
    <n v="202"/>
  </r>
  <r>
    <x v="140"/>
    <x v="3"/>
    <n v="363"/>
  </r>
  <r>
    <x v="165"/>
    <x v="3"/>
    <n v="178"/>
  </r>
  <r>
    <x v="167"/>
    <x v="4"/>
    <n v="34"/>
  </r>
  <r>
    <x v="140"/>
    <x v="2"/>
    <n v="435"/>
  </r>
  <r>
    <x v="201"/>
    <x v="1"/>
    <n v="100"/>
  </r>
  <r>
    <x v="184"/>
    <x v="4"/>
    <n v="49"/>
  </r>
  <r>
    <x v="203"/>
    <x v="6"/>
    <n v="129"/>
  </r>
  <r>
    <x v="219"/>
    <x v="7"/>
    <n v="42"/>
  </r>
  <r>
    <x v="220"/>
    <x v="4"/>
    <n v="25"/>
  </r>
  <r>
    <x v="214"/>
    <x v="7"/>
    <n v="55"/>
  </r>
  <r>
    <x v="148"/>
    <x v="1"/>
    <n v="82"/>
  </r>
  <r>
    <x v="84"/>
    <x v="3"/>
    <n v="154"/>
  </r>
  <r>
    <x v="215"/>
    <x v="8"/>
    <n v="33"/>
  </r>
  <r>
    <x v="221"/>
    <x v="7"/>
    <n v="44"/>
  </r>
  <r>
    <x v="222"/>
    <x v="8"/>
    <n v="42"/>
  </r>
  <r>
    <x v="214"/>
    <x v="8"/>
    <n v="18"/>
  </r>
  <r>
    <x v="150"/>
    <x v="4"/>
    <n v="17"/>
  </r>
  <r>
    <x v="214"/>
    <x v="4"/>
    <n v="27"/>
  </r>
  <r>
    <x v="173"/>
    <x v="4"/>
    <n v="24"/>
  </r>
  <r>
    <x v="37"/>
    <x v="7"/>
    <n v="55"/>
  </r>
  <r>
    <x v="48"/>
    <x v="8"/>
    <n v="37"/>
  </r>
  <r>
    <x v="177"/>
    <x v="6"/>
    <n v="68"/>
  </r>
  <r>
    <x v="209"/>
    <x v="8"/>
    <n v="19"/>
  </r>
  <r>
    <x v="105"/>
    <x v="1"/>
    <n v="86"/>
  </r>
  <r>
    <x v="178"/>
    <x v="5"/>
    <n v="56"/>
  </r>
  <r>
    <x v="223"/>
    <x v="4"/>
    <n v="62"/>
  </r>
  <r>
    <x v="216"/>
    <x v="7"/>
    <n v="147"/>
  </r>
  <r>
    <x v="107"/>
    <x v="1"/>
    <n v="47"/>
  </r>
  <r>
    <x v="107"/>
    <x v="4"/>
    <n v="30"/>
  </r>
  <r>
    <x v="131"/>
    <x v="5"/>
    <n v="32"/>
  </r>
  <r>
    <x v="108"/>
    <x v="1"/>
    <n v="211"/>
  </r>
  <r>
    <x v="122"/>
    <x v="6"/>
    <n v="165"/>
  </r>
  <r>
    <x v="26"/>
    <x v="8"/>
    <n v="25"/>
  </r>
  <r>
    <x v="182"/>
    <x v="5"/>
    <n v="41"/>
  </r>
  <r>
    <x v="190"/>
    <x v="0"/>
    <n v="226"/>
  </r>
  <r>
    <x v="183"/>
    <x v="1"/>
    <n v="82"/>
  </r>
  <r>
    <x v="126"/>
    <x v="5"/>
    <n v="27"/>
  </r>
  <r>
    <x v="191"/>
    <x v="7"/>
    <n v="101"/>
  </r>
  <r>
    <x v="191"/>
    <x v="6"/>
    <n v="133"/>
  </r>
  <r>
    <x v="191"/>
    <x v="3"/>
    <n v="208"/>
  </r>
  <r>
    <x v="190"/>
    <x v="1"/>
    <n v="93"/>
  </r>
  <r>
    <x v="191"/>
    <x v="1"/>
    <n v="268"/>
  </r>
  <r>
    <x v="156"/>
    <x v="3"/>
    <n v="134"/>
  </r>
  <r>
    <x v="156"/>
    <x v="0"/>
    <n v="165"/>
  </r>
  <r>
    <x v="156"/>
    <x v="2"/>
    <n v="182"/>
  </r>
  <r>
    <x v="190"/>
    <x v="2"/>
    <n v="248"/>
  </r>
  <r>
    <x v="216"/>
    <x v="2"/>
    <n v="347"/>
  </r>
  <r>
    <x v="130"/>
    <x v="3"/>
    <n v="154"/>
  </r>
  <r>
    <x v="130"/>
    <x v="0"/>
    <n v="120"/>
  </r>
  <r>
    <x v="128"/>
    <x v="4"/>
    <n v="31"/>
  </r>
  <r>
    <x v="127"/>
    <x v="1"/>
    <n v="105"/>
  </r>
  <r>
    <x v="127"/>
    <x v="8"/>
    <n v="21"/>
  </r>
  <r>
    <x v="160"/>
    <x v="6"/>
    <n v="292"/>
  </r>
  <r>
    <x v="130"/>
    <x v="1"/>
    <n v="67"/>
  </r>
  <r>
    <x v="160"/>
    <x v="1"/>
    <n v="122"/>
  </r>
  <r>
    <x v="60"/>
    <x v="3"/>
    <n v="397"/>
  </r>
  <r>
    <x v="224"/>
    <x v="4"/>
    <n v="86"/>
  </r>
  <r>
    <x v="144"/>
    <x v="6"/>
    <n v="167"/>
  </r>
  <r>
    <x v="63"/>
    <x v="7"/>
    <n v="133"/>
  </r>
  <r>
    <x v="71"/>
    <x v="8"/>
    <n v="30"/>
  </r>
  <r>
    <x v="143"/>
    <x v="8"/>
    <n v="48"/>
  </r>
  <r>
    <x v="207"/>
    <x v="2"/>
    <n v="382"/>
  </r>
  <r>
    <x v="26"/>
    <x v="3"/>
    <n v="207"/>
  </r>
  <r>
    <x v="143"/>
    <x v="3"/>
    <n v="298"/>
  </r>
  <r>
    <x v="143"/>
    <x v="2"/>
    <n v="348"/>
  </r>
  <r>
    <x v="76"/>
    <x v="4"/>
    <n v="57"/>
  </r>
  <r>
    <x v="76"/>
    <x v="3"/>
    <n v="303"/>
  </r>
  <r>
    <x v="174"/>
    <x v="2"/>
    <n v="189"/>
  </r>
  <r>
    <x v="220"/>
    <x v="7"/>
    <n v="50"/>
  </r>
  <r>
    <x v="115"/>
    <x v="5"/>
    <n v="37"/>
  </r>
  <r>
    <x v="220"/>
    <x v="8"/>
    <n v="15"/>
  </r>
  <r>
    <x v="225"/>
    <x v="8"/>
    <n v="27"/>
  </r>
  <r>
    <x v="225"/>
    <x v="3"/>
    <n v="165"/>
  </r>
  <r>
    <x v="225"/>
    <x v="0"/>
    <n v="150"/>
  </r>
  <r>
    <x v="225"/>
    <x v="6"/>
    <n v="100"/>
  </r>
  <r>
    <x v="225"/>
    <x v="4"/>
    <n v="40"/>
  </r>
  <r>
    <x v="219"/>
    <x v="8"/>
    <n v="23"/>
  </r>
  <r>
    <x v="219"/>
    <x v="3"/>
    <n v="118"/>
  </r>
  <r>
    <x v="205"/>
    <x v="3"/>
    <n v="147"/>
  </r>
  <r>
    <x v="171"/>
    <x v="2"/>
    <n v="170"/>
  </r>
  <r>
    <x v="171"/>
    <x v="4"/>
    <n v="37"/>
  </r>
  <r>
    <x v="52"/>
    <x v="7"/>
    <n v="50"/>
  </r>
  <r>
    <x v="22"/>
    <x v="5"/>
    <n v="79"/>
  </r>
  <r>
    <x v="171"/>
    <x v="7"/>
    <n v="53"/>
  </r>
  <r>
    <x v="206"/>
    <x v="2"/>
    <n v="119"/>
  </r>
  <r>
    <x v="41"/>
    <x v="6"/>
    <n v="114"/>
  </r>
  <r>
    <x v="48"/>
    <x v="7"/>
    <n v="86"/>
  </r>
  <r>
    <x v="216"/>
    <x v="1"/>
    <n v="108"/>
  </r>
  <r>
    <x v="216"/>
    <x v="6"/>
    <n v="217"/>
  </r>
  <r>
    <x v="216"/>
    <x v="3"/>
    <n v="286"/>
  </r>
  <r>
    <x v="210"/>
    <x v="2"/>
    <n v="287"/>
  </r>
  <r>
    <x v="216"/>
    <x v="4"/>
    <n v="72"/>
  </r>
  <r>
    <x v="33"/>
    <x v="5"/>
    <n v="73"/>
  </r>
  <r>
    <x v="181"/>
    <x v="6"/>
    <n v="247"/>
  </r>
  <r>
    <x v="116"/>
    <x v="4"/>
    <n v="83"/>
  </r>
  <r>
    <x v="181"/>
    <x v="2"/>
    <n v="481"/>
  </r>
  <r>
    <x v="223"/>
    <x v="3"/>
    <n v="264"/>
  </r>
  <r>
    <x v="116"/>
    <x v="3"/>
    <n v="348"/>
  </r>
  <r>
    <x v="116"/>
    <x v="7"/>
    <n v="165"/>
  </r>
  <r>
    <x v="129"/>
    <x v="1"/>
    <n v="224"/>
  </r>
  <r>
    <x v="158"/>
    <x v="8"/>
    <n v="15"/>
  </r>
  <r>
    <x v="26"/>
    <x v="1"/>
    <n v="144"/>
  </r>
  <r>
    <x v="26"/>
    <x v="4"/>
    <n v="66"/>
  </r>
  <r>
    <x v="97"/>
    <x v="5"/>
    <n v="11"/>
  </r>
  <r>
    <x v="24"/>
    <x v="4"/>
    <n v="124"/>
  </r>
  <r>
    <x v="197"/>
    <x v="2"/>
    <n v="546"/>
  </r>
  <r>
    <x v="158"/>
    <x v="2"/>
    <n v="250"/>
  </r>
  <r>
    <x v="226"/>
    <x v="8"/>
    <n v="126"/>
  </r>
  <r>
    <x v="227"/>
    <x v="8"/>
    <n v="40"/>
  </r>
  <r>
    <x v="205"/>
    <x v="2"/>
    <n v="216"/>
  </r>
  <r>
    <x v="211"/>
    <x v="8"/>
    <n v="134"/>
  </r>
  <r>
    <x v="60"/>
    <x v="0"/>
    <n v="422"/>
  </r>
  <r>
    <x v="200"/>
    <x v="0"/>
    <n v="385"/>
  </r>
  <r>
    <x v="180"/>
    <x v="1"/>
    <n v="88"/>
  </r>
  <r>
    <x v="64"/>
    <x v="2"/>
    <n v="381"/>
  </r>
  <r>
    <x v="70"/>
    <x v="0"/>
    <n v="200"/>
  </r>
  <r>
    <x v="82"/>
    <x v="6"/>
    <n v="91"/>
  </r>
  <r>
    <x v="82"/>
    <x v="3"/>
    <n v="187"/>
  </r>
  <r>
    <x v="174"/>
    <x v="6"/>
    <n v="106"/>
  </r>
  <r>
    <x v="35"/>
    <x v="6"/>
    <n v="81"/>
  </r>
  <r>
    <x v="223"/>
    <x v="8"/>
    <n v="34"/>
  </r>
  <r>
    <x v="206"/>
    <x v="3"/>
    <n v="80"/>
  </r>
  <r>
    <x v="152"/>
    <x v="5"/>
    <n v="13"/>
  </r>
  <r>
    <x v="136"/>
    <x v="3"/>
    <n v="237"/>
  </r>
  <r>
    <x v="99"/>
    <x v="2"/>
    <n v="322"/>
  </r>
  <r>
    <x v="178"/>
    <x v="1"/>
    <n v="173"/>
  </r>
  <r>
    <x v="34"/>
    <x v="7"/>
    <n v="181"/>
  </r>
  <r>
    <x v="216"/>
    <x v="0"/>
    <n v="333"/>
  </r>
  <r>
    <x v="196"/>
    <x v="7"/>
    <n v="83"/>
  </r>
  <r>
    <x v="16"/>
    <x v="8"/>
    <n v="37"/>
  </r>
  <r>
    <x v="120"/>
    <x v="4"/>
    <n v="91"/>
  </r>
  <r>
    <x v="118"/>
    <x v="1"/>
    <n v="262"/>
  </r>
  <r>
    <x v="191"/>
    <x v="5"/>
    <n v="25"/>
  </r>
  <r>
    <x v="128"/>
    <x v="1"/>
    <n v="204"/>
  </r>
  <r>
    <x v="132"/>
    <x v="5"/>
    <n v="76"/>
  </r>
  <r>
    <x v="65"/>
    <x v="3"/>
    <n v="205"/>
  </r>
  <r>
    <x v="158"/>
    <x v="4"/>
    <n v="45"/>
  </r>
  <r>
    <x v="158"/>
    <x v="0"/>
    <n v="356"/>
  </r>
  <r>
    <x v="158"/>
    <x v="6"/>
    <n v="129"/>
  </r>
  <r>
    <x v="130"/>
    <x v="6"/>
    <n v="97"/>
  </r>
  <r>
    <x v="86"/>
    <x v="1"/>
    <n v="136"/>
  </r>
  <r>
    <x v="92"/>
    <x v="7"/>
    <n v="83"/>
  </r>
  <r>
    <x v="92"/>
    <x v="4"/>
    <n v="32"/>
  </r>
  <r>
    <x v="228"/>
    <x v="3"/>
    <n v="2"/>
  </r>
  <r>
    <x v="195"/>
    <x v="7"/>
    <n v="140"/>
  </r>
  <r>
    <x v="229"/>
    <x v="8"/>
    <n v="63"/>
  </r>
  <r>
    <x v="229"/>
    <x v="3"/>
    <n v="355"/>
  </r>
  <r>
    <x v="230"/>
    <x v="8"/>
    <n v="38"/>
  </r>
  <r>
    <x v="195"/>
    <x v="4"/>
    <n v="57"/>
  </r>
  <r>
    <x v="229"/>
    <x v="7"/>
    <n v="138"/>
  </r>
  <r>
    <x v="231"/>
    <x v="8"/>
    <n v="81"/>
  </r>
  <r>
    <x v="29"/>
    <x v="8"/>
    <n v="58"/>
  </r>
  <r>
    <x v="63"/>
    <x v="6"/>
    <n v="246"/>
  </r>
  <r>
    <x v="68"/>
    <x v="4"/>
    <n v="62"/>
  </r>
  <r>
    <x v="68"/>
    <x v="6"/>
    <n v="250"/>
  </r>
  <r>
    <x v="63"/>
    <x v="5"/>
    <n v="48"/>
  </r>
  <r>
    <x v="60"/>
    <x v="6"/>
    <n v="293"/>
  </r>
  <r>
    <x v="60"/>
    <x v="2"/>
    <n v="481"/>
  </r>
  <r>
    <x v="70"/>
    <x v="7"/>
    <n v="70"/>
  </r>
  <r>
    <x v="145"/>
    <x v="6"/>
    <n v="102"/>
  </r>
  <r>
    <x v="70"/>
    <x v="6"/>
    <n v="132"/>
  </r>
  <r>
    <x v="65"/>
    <x v="7"/>
    <n v="102"/>
  </r>
  <r>
    <x v="53"/>
    <x v="4"/>
    <n v="97"/>
  </r>
  <r>
    <x v="145"/>
    <x v="4"/>
    <n v="48"/>
  </r>
  <r>
    <x v="145"/>
    <x v="0"/>
    <n v="138"/>
  </r>
  <r>
    <x v="70"/>
    <x v="2"/>
    <n v="263"/>
  </r>
  <r>
    <x v="145"/>
    <x v="2"/>
    <n v="148"/>
  </r>
  <r>
    <x v="155"/>
    <x v="2"/>
    <n v="190"/>
  </r>
  <r>
    <x v="215"/>
    <x v="6"/>
    <n v="102"/>
  </r>
  <r>
    <x v="221"/>
    <x v="8"/>
    <n v="17"/>
  </r>
  <r>
    <x v="67"/>
    <x v="6"/>
    <n v="269"/>
  </r>
  <r>
    <x v="220"/>
    <x v="2"/>
    <n v="176"/>
  </r>
  <r>
    <x v="215"/>
    <x v="4"/>
    <n v="28"/>
  </r>
  <r>
    <x v="213"/>
    <x v="4"/>
    <n v="28"/>
  </r>
  <r>
    <x v="170"/>
    <x v="4"/>
    <n v="31"/>
  </r>
  <r>
    <x v="232"/>
    <x v="4"/>
    <n v="16"/>
  </r>
  <r>
    <x v="209"/>
    <x v="6"/>
    <n v="107"/>
  </r>
  <r>
    <x v="192"/>
    <x v="4"/>
    <n v="28"/>
  </r>
  <r>
    <x v="209"/>
    <x v="0"/>
    <n v="189"/>
  </r>
  <r>
    <x v="105"/>
    <x v="4"/>
    <n v="61"/>
  </r>
  <r>
    <x v="192"/>
    <x v="7"/>
    <n v="63"/>
  </r>
  <r>
    <x v="192"/>
    <x v="0"/>
    <n v="169"/>
  </r>
  <r>
    <x v="104"/>
    <x v="3"/>
    <n v="142"/>
  </r>
  <r>
    <x v="105"/>
    <x v="3"/>
    <n v="252"/>
  </r>
  <r>
    <x v="34"/>
    <x v="1"/>
    <n v="157"/>
  </r>
  <r>
    <x v="127"/>
    <x v="5"/>
    <n v="18"/>
  </r>
  <r>
    <x v="152"/>
    <x v="8"/>
    <n v="23"/>
  </r>
  <r>
    <x v="223"/>
    <x v="2"/>
    <n v="344"/>
  </r>
  <r>
    <x v="110"/>
    <x v="2"/>
    <n v="349"/>
  </r>
  <r>
    <x v="34"/>
    <x v="5"/>
    <n v="48"/>
  </r>
  <r>
    <x v="92"/>
    <x v="1"/>
    <n v="75"/>
  </r>
  <r>
    <x v="233"/>
    <x v="3"/>
    <n v="494"/>
  </r>
  <r>
    <x v="230"/>
    <x v="4"/>
    <n v="37"/>
  </r>
  <r>
    <x v="234"/>
    <x v="3"/>
    <n v="335"/>
  </r>
  <r>
    <x v="139"/>
    <x v="8"/>
    <n v="39"/>
  </r>
  <r>
    <x v="195"/>
    <x v="6"/>
    <n v="234"/>
  </r>
  <r>
    <x v="229"/>
    <x v="0"/>
    <n v="352"/>
  </r>
  <r>
    <x v="63"/>
    <x v="3"/>
    <n v="328"/>
  </r>
  <r>
    <x v="80"/>
    <x v="2"/>
    <n v="263"/>
  </r>
  <r>
    <x v="184"/>
    <x v="0"/>
    <n v="245"/>
  </r>
  <r>
    <x v="139"/>
    <x v="3"/>
    <n v="271"/>
  </r>
  <r>
    <x v="70"/>
    <x v="3"/>
    <n v="186"/>
  </r>
  <r>
    <x v="225"/>
    <x v="7"/>
    <n v="58"/>
  </r>
  <r>
    <x v="221"/>
    <x v="4"/>
    <n v="19"/>
  </r>
  <r>
    <x v="129"/>
    <x v="5"/>
    <n v="38"/>
  </r>
  <r>
    <x v="219"/>
    <x v="4"/>
    <n v="24"/>
  </r>
  <r>
    <x v="213"/>
    <x v="6"/>
    <n v="90"/>
  </r>
  <r>
    <x v="213"/>
    <x v="7"/>
    <n v="58"/>
  </r>
  <r>
    <x v="196"/>
    <x v="8"/>
    <n v="32"/>
  </r>
  <r>
    <x v="196"/>
    <x v="4"/>
    <n v="50"/>
  </r>
  <r>
    <x v="79"/>
    <x v="0"/>
    <n v="230"/>
  </r>
  <r>
    <x v="202"/>
    <x v="0"/>
    <n v="224"/>
  </r>
  <r>
    <x v="48"/>
    <x v="2"/>
    <n v="247"/>
  </r>
  <r>
    <x v="41"/>
    <x v="7"/>
    <n v="67"/>
  </r>
  <r>
    <x v="209"/>
    <x v="4"/>
    <n v="33"/>
  </r>
  <r>
    <x v="32"/>
    <x v="4"/>
    <n v="110"/>
  </r>
  <r>
    <x v="116"/>
    <x v="1"/>
    <n v="154"/>
  </r>
  <r>
    <x v="119"/>
    <x v="5"/>
    <n v="33"/>
  </r>
  <r>
    <x v="136"/>
    <x v="7"/>
    <n v="109"/>
  </r>
  <r>
    <x v="196"/>
    <x v="2"/>
    <n v="309"/>
  </r>
  <r>
    <x v="53"/>
    <x v="5"/>
    <n v="45"/>
  </r>
  <r>
    <x v="34"/>
    <x v="6"/>
    <n v="311"/>
  </r>
  <r>
    <x v="129"/>
    <x v="7"/>
    <n v="141"/>
  </r>
  <r>
    <x v="158"/>
    <x v="3"/>
    <n v="185"/>
  </r>
  <r>
    <x v="14"/>
    <x v="4"/>
    <n v="76"/>
  </r>
  <r>
    <x v="35"/>
    <x v="3"/>
    <n v="96"/>
  </r>
  <r>
    <x v="139"/>
    <x v="7"/>
    <n v="120"/>
  </r>
  <r>
    <x v="235"/>
    <x v="8"/>
    <n v="68"/>
  </r>
  <r>
    <x v="227"/>
    <x v="3"/>
    <n v="176"/>
  </r>
  <r>
    <x v="227"/>
    <x v="4"/>
    <n v="67"/>
  </r>
  <r>
    <x v="230"/>
    <x v="7"/>
    <n v="69"/>
  </r>
  <r>
    <x v="236"/>
    <x v="4"/>
    <n v="81"/>
  </r>
  <r>
    <x v="68"/>
    <x v="2"/>
    <n v="431"/>
  </r>
  <r>
    <x v="59"/>
    <x v="4"/>
    <n v="36"/>
  </r>
  <r>
    <x v="59"/>
    <x v="2"/>
    <n v="249"/>
  </r>
  <r>
    <x v="230"/>
    <x v="6"/>
    <n v="116"/>
  </r>
  <r>
    <x v="230"/>
    <x v="3"/>
    <n v="175"/>
  </r>
  <r>
    <x v="232"/>
    <x v="8"/>
    <n v="9"/>
  </r>
  <r>
    <x v="144"/>
    <x v="7"/>
    <n v="99"/>
  </r>
  <r>
    <x v="132"/>
    <x v="7"/>
    <n v="190"/>
  </r>
  <r>
    <x v="202"/>
    <x v="7"/>
    <n v="101"/>
  </r>
  <r>
    <x v="144"/>
    <x v="4"/>
    <n v="49"/>
  </r>
  <r>
    <x v="184"/>
    <x v="7"/>
    <n v="80"/>
  </r>
  <r>
    <x v="237"/>
    <x v="8"/>
    <n v="12"/>
  </r>
  <r>
    <x v="237"/>
    <x v="7"/>
    <n v="61"/>
  </r>
  <r>
    <x v="149"/>
    <x v="4"/>
    <n v="22"/>
  </r>
  <r>
    <x v="40"/>
    <x v="3"/>
    <n v="97"/>
  </r>
  <r>
    <x v="86"/>
    <x v="6"/>
    <n v="196"/>
  </r>
  <r>
    <x v="199"/>
    <x v="4"/>
    <n v="28"/>
  </r>
  <r>
    <x v="47"/>
    <x v="4"/>
    <n v="17"/>
  </r>
  <r>
    <x v="158"/>
    <x v="5"/>
    <n v="26"/>
  </r>
  <r>
    <x v="204"/>
    <x v="1"/>
    <n v="46"/>
  </r>
  <r>
    <x v="229"/>
    <x v="4"/>
    <n v="80"/>
  </r>
  <r>
    <x v="229"/>
    <x v="2"/>
    <n v="481"/>
  </r>
  <r>
    <x v="58"/>
    <x v="7"/>
    <n v="123"/>
  </r>
  <r>
    <x v="229"/>
    <x v="6"/>
    <n v="239"/>
  </r>
  <r>
    <x v="233"/>
    <x v="8"/>
    <n v="76"/>
  </r>
  <r>
    <x v="238"/>
    <x v="1"/>
    <n v="150"/>
  </r>
  <r>
    <x v="202"/>
    <x v="2"/>
    <n v="274"/>
  </r>
  <r>
    <x v="202"/>
    <x v="1"/>
    <n v="84"/>
  </r>
  <r>
    <x v="202"/>
    <x v="6"/>
    <n v="193"/>
  </r>
  <r>
    <x v="202"/>
    <x v="3"/>
    <n v="227"/>
  </r>
  <r>
    <x v="202"/>
    <x v="5"/>
    <n v="44"/>
  </r>
  <r>
    <x v="35"/>
    <x v="2"/>
    <n v="155"/>
  </r>
  <r>
    <x v="170"/>
    <x v="2"/>
    <n v="200"/>
  </r>
  <r>
    <x v="237"/>
    <x v="2"/>
    <n v="163"/>
  </r>
  <r>
    <x v="187"/>
    <x v="4"/>
    <n v="29"/>
  </r>
  <r>
    <x v="237"/>
    <x v="4"/>
    <n v="31"/>
  </r>
  <r>
    <x v="237"/>
    <x v="3"/>
    <n v="110"/>
  </r>
  <r>
    <x v="170"/>
    <x v="7"/>
    <n v="60"/>
  </r>
  <r>
    <x v="170"/>
    <x v="0"/>
    <n v="154"/>
  </r>
  <r>
    <x v="170"/>
    <x v="6"/>
    <n v="94"/>
  </r>
  <r>
    <x v="47"/>
    <x v="7"/>
    <n v="55"/>
  </r>
  <r>
    <x v="209"/>
    <x v="2"/>
    <n v="167"/>
  </r>
  <r>
    <x v="136"/>
    <x v="2"/>
    <n v="307"/>
  </r>
  <r>
    <x v="71"/>
    <x v="7"/>
    <n v="84"/>
  </r>
  <r>
    <x v="79"/>
    <x v="8"/>
    <n v="23"/>
  </r>
  <r>
    <x v="144"/>
    <x v="3"/>
    <n v="242"/>
  </r>
  <r>
    <x v="232"/>
    <x v="7"/>
    <n v="33"/>
  </r>
  <r>
    <x v="153"/>
    <x v="7"/>
    <n v="57"/>
  </r>
  <r>
    <x v="35"/>
    <x v="7"/>
    <n v="49"/>
  </r>
  <r>
    <x v="153"/>
    <x v="8"/>
    <n v="17"/>
  </r>
  <r>
    <x v="35"/>
    <x v="4"/>
    <n v="18"/>
  </r>
  <r>
    <x v="38"/>
    <x v="3"/>
    <n v="119"/>
  </r>
  <r>
    <x v="38"/>
    <x v="2"/>
    <n v="113"/>
  </r>
  <r>
    <x v="189"/>
    <x v="4"/>
    <n v="25"/>
  </r>
  <r>
    <x v="99"/>
    <x v="0"/>
    <n v="357"/>
  </r>
  <r>
    <x v="52"/>
    <x v="8"/>
    <n v="8"/>
  </r>
  <r>
    <x v="223"/>
    <x v="6"/>
    <n v="196"/>
  </r>
  <r>
    <x v="106"/>
    <x v="7"/>
    <n v="171"/>
  </r>
  <r>
    <x v="110"/>
    <x v="3"/>
    <n v="263"/>
  </r>
  <r>
    <x v="14"/>
    <x v="5"/>
    <n v="36"/>
  </r>
  <r>
    <x v="85"/>
    <x v="4"/>
    <n v="50"/>
  </r>
  <r>
    <x v="122"/>
    <x v="1"/>
    <n v="246"/>
  </r>
  <r>
    <x v="22"/>
    <x v="4"/>
    <n v="94"/>
  </r>
  <r>
    <x v="139"/>
    <x v="0"/>
    <n v="248"/>
  </r>
  <r>
    <x v="194"/>
    <x v="7"/>
    <n v="129"/>
  </r>
  <r>
    <x v="227"/>
    <x v="7"/>
    <n v="83"/>
  </r>
  <r>
    <x v="58"/>
    <x v="6"/>
    <n v="219"/>
  </r>
  <r>
    <x v="239"/>
    <x v="2"/>
    <n v="588"/>
  </r>
  <r>
    <x v="67"/>
    <x v="3"/>
    <n v="315"/>
  </r>
  <r>
    <x v="66"/>
    <x v="6"/>
    <n v="237"/>
  </r>
  <r>
    <x v="66"/>
    <x v="3"/>
    <n v="291"/>
  </r>
  <r>
    <x v="77"/>
    <x v="6"/>
    <n v="99"/>
  </r>
  <r>
    <x v="107"/>
    <x v="6"/>
    <n v="77"/>
  </r>
  <r>
    <x v="153"/>
    <x v="6"/>
    <n v="76"/>
  </r>
  <r>
    <x v="227"/>
    <x v="6"/>
    <n v="125"/>
  </r>
  <r>
    <x v="57"/>
    <x v="0"/>
    <n v="372"/>
  </r>
  <r>
    <x v="193"/>
    <x v="4"/>
    <n v="102"/>
  </r>
  <r>
    <x v="230"/>
    <x v="0"/>
    <n v="188"/>
  </r>
  <r>
    <x v="59"/>
    <x v="1"/>
    <n v="87"/>
  </r>
  <r>
    <x v="184"/>
    <x v="3"/>
    <n v="207"/>
  </r>
  <r>
    <x v="181"/>
    <x v="1"/>
    <n v="138"/>
  </r>
  <r>
    <x v="79"/>
    <x v="6"/>
    <n v="134"/>
  </r>
  <r>
    <x v="79"/>
    <x v="3"/>
    <n v="199"/>
  </r>
  <r>
    <x v="45"/>
    <x v="4"/>
    <n v="26"/>
  </r>
  <r>
    <x v="154"/>
    <x v="2"/>
    <n v="96"/>
  </r>
  <r>
    <x v="149"/>
    <x v="6"/>
    <n v="42"/>
  </r>
  <r>
    <x v="176"/>
    <x v="6"/>
    <n v="53"/>
  </r>
  <r>
    <x v="187"/>
    <x v="3"/>
    <n v="153"/>
  </r>
  <r>
    <x v="223"/>
    <x v="0"/>
    <n v="380"/>
  </r>
  <r>
    <x v="223"/>
    <x v="7"/>
    <n v="106"/>
  </r>
  <r>
    <x v="117"/>
    <x v="5"/>
    <n v="34"/>
  </r>
  <r>
    <x v="146"/>
    <x v="6"/>
    <n v="221"/>
  </r>
  <r>
    <x v="164"/>
    <x v="0"/>
    <n v="226"/>
  </r>
  <r>
    <x v="72"/>
    <x v="0"/>
    <n v="344"/>
  </r>
  <r>
    <x v="66"/>
    <x v="0"/>
    <n v="286"/>
  </r>
  <r>
    <x v="146"/>
    <x v="0"/>
    <n v="332"/>
  </r>
  <r>
    <x v="74"/>
    <x v="2"/>
    <n v="421"/>
  </r>
  <r>
    <x v="164"/>
    <x v="2"/>
    <n v="257"/>
  </r>
  <r>
    <x v="74"/>
    <x v="3"/>
    <n v="291"/>
  </r>
  <r>
    <x v="64"/>
    <x v="1"/>
    <n v="99"/>
  </r>
  <r>
    <x v="154"/>
    <x v="1"/>
    <n v="32"/>
  </r>
  <r>
    <x v="240"/>
    <x v="8"/>
    <n v="73"/>
  </r>
  <r>
    <x v="67"/>
    <x v="0"/>
    <n v="340"/>
  </r>
  <r>
    <x v="67"/>
    <x v="1"/>
    <n v="95"/>
  </r>
  <r>
    <x v="66"/>
    <x v="2"/>
    <n v="396"/>
  </r>
  <r>
    <x v="66"/>
    <x v="1"/>
    <n v="75"/>
  </r>
  <r>
    <x v="72"/>
    <x v="6"/>
    <n v="238"/>
  </r>
  <r>
    <x v="72"/>
    <x v="2"/>
    <n v="383"/>
  </r>
  <r>
    <x v="161"/>
    <x v="5"/>
    <n v="93"/>
  </r>
  <r>
    <x v="241"/>
    <x v="5"/>
    <n v="83"/>
  </r>
  <r>
    <x v="242"/>
    <x v="2"/>
    <n v="141"/>
  </r>
  <r>
    <x v="243"/>
    <x v="8"/>
    <n v="119"/>
  </r>
  <r>
    <x v="244"/>
    <x v="7"/>
    <n v="82"/>
  </r>
  <r>
    <x v="240"/>
    <x v="2"/>
    <n v="331"/>
  </r>
  <r>
    <x v="240"/>
    <x v="4"/>
    <n v="64"/>
  </r>
  <r>
    <x v="218"/>
    <x v="0"/>
    <n v="386"/>
  </r>
  <r>
    <x v="245"/>
    <x v="6"/>
    <n v="385"/>
  </r>
  <r>
    <x v="246"/>
    <x v="8"/>
    <n v="58"/>
  </r>
  <r>
    <x v="247"/>
    <x v="6"/>
    <n v="450"/>
  </r>
  <r>
    <x v="247"/>
    <x v="2"/>
    <n v="756"/>
  </r>
  <r>
    <x v="62"/>
    <x v="8"/>
    <n v="131"/>
  </r>
  <r>
    <x v="248"/>
    <x v="0"/>
    <n v="560"/>
  </r>
  <r>
    <x v="62"/>
    <x v="5"/>
    <n v="70"/>
  </r>
  <r>
    <x v="62"/>
    <x v="3"/>
    <n v="560"/>
  </r>
  <r>
    <x v="224"/>
    <x v="8"/>
    <n v="66"/>
  </r>
  <r>
    <x v="224"/>
    <x v="3"/>
    <n v="503"/>
  </r>
  <r>
    <x v="194"/>
    <x v="2"/>
    <n v="443"/>
  </r>
  <r>
    <x v="224"/>
    <x v="7"/>
    <n v="161"/>
  </r>
  <r>
    <x v="138"/>
    <x v="2"/>
    <n v="289"/>
  </r>
  <r>
    <x v="161"/>
    <x v="2"/>
    <n v="630"/>
  </r>
  <r>
    <x v="137"/>
    <x v="0"/>
    <n v="459"/>
  </r>
  <r>
    <x v="249"/>
    <x v="8"/>
    <n v="73"/>
  </r>
  <r>
    <x v="233"/>
    <x v="6"/>
    <n v="316"/>
  </r>
  <r>
    <x v="224"/>
    <x v="6"/>
    <n v="348"/>
  </r>
  <r>
    <x v="207"/>
    <x v="0"/>
    <n v="328"/>
  </r>
  <r>
    <x v="207"/>
    <x v="1"/>
    <n v="91"/>
  </r>
  <r>
    <x v="143"/>
    <x v="0"/>
    <n v="311"/>
  </r>
  <r>
    <x v="143"/>
    <x v="1"/>
    <n v="120"/>
  </r>
  <r>
    <x v="76"/>
    <x v="6"/>
    <n v="189"/>
  </r>
  <r>
    <x v="76"/>
    <x v="2"/>
    <n v="355"/>
  </r>
  <r>
    <x v="76"/>
    <x v="1"/>
    <n v="110"/>
  </r>
  <r>
    <x v="65"/>
    <x v="6"/>
    <n v="149"/>
  </r>
  <r>
    <x v="111"/>
    <x v="1"/>
    <n v="152"/>
  </r>
  <r>
    <x v="146"/>
    <x v="1"/>
    <n v="97"/>
  </r>
  <r>
    <x v="224"/>
    <x v="2"/>
    <n v="604"/>
  </r>
  <r>
    <x v="74"/>
    <x v="1"/>
    <n v="99"/>
  </r>
  <r>
    <x v="74"/>
    <x v="5"/>
    <n v="53"/>
  </r>
  <r>
    <x v="203"/>
    <x v="1"/>
    <n v="58"/>
  </r>
  <r>
    <x v="164"/>
    <x v="5"/>
    <n v="56"/>
  </r>
  <r>
    <x v="203"/>
    <x v="0"/>
    <n v="188"/>
  </r>
  <r>
    <x v="64"/>
    <x v="0"/>
    <n v="291"/>
  </r>
  <r>
    <x v="64"/>
    <x v="5"/>
    <n v="46"/>
  </r>
  <r>
    <x v="249"/>
    <x v="3"/>
    <n v="312"/>
  </r>
  <r>
    <x v="233"/>
    <x v="0"/>
    <n v="459"/>
  </r>
  <r>
    <x v="224"/>
    <x v="0"/>
    <n v="453"/>
  </r>
  <r>
    <x v="224"/>
    <x v="1"/>
    <n v="145"/>
  </r>
  <r>
    <x v="138"/>
    <x v="0"/>
    <n v="250"/>
  </r>
  <r>
    <x v="138"/>
    <x v="5"/>
    <n v="59"/>
  </r>
  <r>
    <x v="250"/>
    <x v="7"/>
    <n v="136"/>
  </r>
  <r>
    <x v="217"/>
    <x v="2"/>
    <n v="594"/>
  </r>
  <r>
    <x v="58"/>
    <x v="3"/>
    <n v="321"/>
  </r>
  <r>
    <x v="217"/>
    <x v="0"/>
    <n v="409"/>
  </r>
  <r>
    <x v="246"/>
    <x v="2"/>
    <n v="476"/>
  </r>
  <r>
    <x v="251"/>
    <x v="0"/>
    <n v="439"/>
  </r>
  <r>
    <x v="251"/>
    <x v="2"/>
    <n v="584"/>
  </r>
  <r>
    <x v="252"/>
    <x v="6"/>
    <n v="196"/>
  </r>
  <r>
    <x v="217"/>
    <x v="1"/>
    <n v="110"/>
  </r>
  <r>
    <x v="238"/>
    <x v="4"/>
    <n v="125"/>
  </r>
  <r>
    <x v="253"/>
    <x v="4"/>
    <n v="74"/>
  </r>
  <r>
    <x v="81"/>
    <x v="0"/>
    <n v="433"/>
  </r>
  <r>
    <x v="239"/>
    <x v="6"/>
    <n v="312"/>
  </r>
  <r>
    <x v="235"/>
    <x v="3"/>
    <n v="448"/>
  </r>
  <r>
    <x v="241"/>
    <x v="0"/>
    <n v="511"/>
  </r>
  <r>
    <x v="240"/>
    <x v="7"/>
    <n v="110"/>
  </r>
  <r>
    <x v="235"/>
    <x v="2"/>
    <n v="519"/>
  </r>
  <r>
    <x v="254"/>
    <x v="3"/>
    <n v="386"/>
  </r>
  <r>
    <x v="218"/>
    <x v="2"/>
    <n v="512"/>
  </r>
  <r>
    <x v="235"/>
    <x v="0"/>
    <n v="423"/>
  </r>
  <r>
    <x v="185"/>
    <x v="0"/>
    <n v="372"/>
  </r>
  <r>
    <x v="231"/>
    <x v="4"/>
    <n v="65"/>
  </r>
  <r>
    <x v="185"/>
    <x v="2"/>
    <n v="449"/>
  </r>
  <r>
    <x v="185"/>
    <x v="3"/>
    <n v="330"/>
  </r>
  <r>
    <x v="217"/>
    <x v="3"/>
    <n v="413"/>
  </r>
  <r>
    <x v="246"/>
    <x v="6"/>
    <n v="255"/>
  </r>
  <r>
    <x v="116"/>
    <x v="5"/>
    <n v="47"/>
  </r>
  <r>
    <x v="69"/>
    <x v="6"/>
    <n v="149"/>
  </r>
  <r>
    <x v="169"/>
    <x v="6"/>
    <n v="76"/>
  </r>
  <r>
    <x v="246"/>
    <x v="4"/>
    <n v="71"/>
  </r>
  <r>
    <x v="241"/>
    <x v="6"/>
    <n v="331"/>
  </r>
  <r>
    <x v="241"/>
    <x v="2"/>
    <n v="643"/>
  </r>
  <r>
    <x v="248"/>
    <x v="4"/>
    <n v="117"/>
  </r>
  <r>
    <x v="138"/>
    <x v="3"/>
    <n v="284"/>
  </r>
  <r>
    <x v="161"/>
    <x v="7"/>
    <n v="192"/>
  </r>
  <r>
    <x v="137"/>
    <x v="2"/>
    <n v="577"/>
  </r>
  <r>
    <x v="160"/>
    <x v="3"/>
    <n v="436"/>
  </r>
  <r>
    <x v="54"/>
    <x v="3"/>
    <n v="363"/>
  </r>
  <r>
    <x v="54"/>
    <x v="0"/>
    <n v="372"/>
  </r>
  <r>
    <x v="63"/>
    <x v="2"/>
    <n v="456"/>
  </r>
  <r>
    <x v="163"/>
    <x v="6"/>
    <n v="187"/>
  </r>
  <r>
    <x v="56"/>
    <x v="2"/>
    <n v="465"/>
  </r>
  <r>
    <x v="160"/>
    <x v="0"/>
    <n v="404"/>
  </r>
  <r>
    <x v="138"/>
    <x v="4"/>
    <n v="60"/>
  </r>
  <r>
    <x v="138"/>
    <x v="6"/>
    <n v="196"/>
  </r>
  <r>
    <x v="138"/>
    <x v="1"/>
    <n v="97"/>
  </r>
  <r>
    <x v="137"/>
    <x v="3"/>
    <n v="496"/>
  </r>
  <r>
    <x v="194"/>
    <x v="3"/>
    <n v="394"/>
  </r>
  <r>
    <x v="137"/>
    <x v="5"/>
    <n v="62"/>
  </r>
  <r>
    <x v="161"/>
    <x v="0"/>
    <n v="456"/>
  </r>
  <r>
    <x v="137"/>
    <x v="1"/>
    <n v="132"/>
  </r>
  <r>
    <x v="62"/>
    <x v="0"/>
    <n v="483"/>
  </r>
  <r>
    <x v="62"/>
    <x v="7"/>
    <n v="202"/>
  </r>
  <r>
    <x v="55"/>
    <x v="3"/>
    <n v="590"/>
  </r>
  <r>
    <x v="217"/>
    <x v="5"/>
    <n v="71"/>
  </r>
  <r>
    <x v="217"/>
    <x v="6"/>
    <n v="278"/>
  </r>
  <r>
    <x v="236"/>
    <x v="2"/>
    <n v="610"/>
  </r>
  <r>
    <x v="236"/>
    <x v="5"/>
    <n v="69"/>
  </r>
  <r>
    <x v="236"/>
    <x v="8"/>
    <n v="83"/>
  </r>
  <r>
    <x v="248"/>
    <x v="1"/>
    <n v="154"/>
  </r>
  <r>
    <x v="248"/>
    <x v="6"/>
    <n v="415"/>
  </r>
  <r>
    <x v="134"/>
    <x v="5"/>
    <n v="51"/>
  </r>
  <r>
    <x v="180"/>
    <x v="2"/>
    <n v="243"/>
  </r>
  <r>
    <x v="179"/>
    <x v="1"/>
    <n v="101"/>
  </r>
  <r>
    <x v="195"/>
    <x v="3"/>
    <n v="385"/>
  </r>
  <r>
    <x v="139"/>
    <x v="2"/>
    <n v="325"/>
  </r>
  <r>
    <x v="56"/>
    <x v="0"/>
    <n v="330"/>
  </r>
  <r>
    <x v="227"/>
    <x v="5"/>
    <n v="37"/>
  </r>
  <r>
    <x v="69"/>
    <x v="5"/>
    <n v="48"/>
  </r>
  <r>
    <x v="58"/>
    <x v="5"/>
    <n v="44"/>
  </r>
  <r>
    <x v="58"/>
    <x v="0"/>
    <n v="343"/>
  </r>
  <r>
    <x v="55"/>
    <x v="0"/>
    <n v="496"/>
  </r>
  <r>
    <x v="55"/>
    <x v="2"/>
    <n v="670"/>
  </r>
  <r>
    <x v="193"/>
    <x v="2"/>
    <n v="569"/>
  </r>
  <r>
    <x v="55"/>
    <x v="6"/>
    <n v="361"/>
  </r>
  <r>
    <x v="193"/>
    <x v="3"/>
    <n v="455"/>
  </r>
  <r>
    <x v="55"/>
    <x v="5"/>
    <n v="54"/>
  </r>
  <r>
    <x v="55"/>
    <x v="1"/>
    <n v="130"/>
  </r>
  <r>
    <x v="211"/>
    <x v="6"/>
    <n v="384"/>
  </r>
  <r>
    <x v="193"/>
    <x v="5"/>
    <n v="62"/>
  </r>
  <r>
    <x v="233"/>
    <x v="5"/>
    <n v="68"/>
  </r>
  <r>
    <x v="247"/>
    <x v="3"/>
    <n v="669"/>
  </r>
  <r>
    <x v="255"/>
    <x v="6"/>
    <n v="294"/>
  </r>
  <r>
    <x v="255"/>
    <x v="2"/>
    <n v="486"/>
  </r>
  <r>
    <x v="255"/>
    <x v="3"/>
    <n v="440"/>
  </r>
  <r>
    <x v="241"/>
    <x v="3"/>
    <n v="535"/>
  </r>
  <r>
    <x v="255"/>
    <x v="0"/>
    <n v="359"/>
  </r>
  <r>
    <x v="249"/>
    <x v="4"/>
    <n v="68"/>
  </r>
  <r>
    <x v="211"/>
    <x v="2"/>
    <n v="705"/>
  </r>
  <r>
    <x v="211"/>
    <x v="0"/>
    <n v="581"/>
  </r>
  <r>
    <x v="248"/>
    <x v="2"/>
    <n v="660"/>
  </r>
  <r>
    <x v="249"/>
    <x v="2"/>
    <n v="369"/>
  </r>
  <r>
    <x v="211"/>
    <x v="3"/>
    <n v="618"/>
  </r>
  <r>
    <x v="256"/>
    <x v="7"/>
    <n v="62"/>
  </r>
  <r>
    <x v="257"/>
    <x v="3"/>
    <n v="412"/>
  </r>
  <r>
    <x v="105"/>
    <x v="7"/>
    <n v="111"/>
  </r>
  <r>
    <x v="45"/>
    <x v="5"/>
    <n v="26"/>
  </r>
  <r>
    <x v="58"/>
    <x v="2"/>
    <n v="404"/>
  </r>
  <r>
    <x v="61"/>
    <x v="0"/>
    <n v="375"/>
  </r>
  <r>
    <x v="61"/>
    <x v="2"/>
    <n v="413"/>
  </r>
  <r>
    <x v="233"/>
    <x v="2"/>
    <n v="556"/>
  </r>
  <r>
    <x v="233"/>
    <x v="1"/>
    <n v="106"/>
  </r>
  <r>
    <x v="258"/>
    <x v="3"/>
    <n v="175"/>
  </r>
  <r>
    <x v="257"/>
    <x v="4"/>
    <n v="76"/>
  </r>
  <r>
    <x v="259"/>
    <x v="6"/>
    <n v="393"/>
  </r>
  <r>
    <x v="236"/>
    <x v="3"/>
    <n v="441"/>
  </r>
  <r>
    <x v="236"/>
    <x v="0"/>
    <n v="476"/>
  </r>
  <r>
    <x v="217"/>
    <x v="7"/>
    <n v="155"/>
  </r>
  <r>
    <x v="236"/>
    <x v="1"/>
    <n v="137"/>
  </r>
  <r>
    <x v="236"/>
    <x v="6"/>
    <n v="348"/>
  </r>
  <r>
    <x v="236"/>
    <x v="7"/>
    <n v="161"/>
  </r>
  <r>
    <x v="260"/>
    <x v="3"/>
    <n v="564"/>
  </r>
  <r>
    <x v="260"/>
    <x v="6"/>
    <n v="364"/>
  </r>
  <r>
    <x v="218"/>
    <x v="6"/>
    <n v="286"/>
  </r>
  <r>
    <x v="218"/>
    <x v="3"/>
    <n v="396"/>
  </r>
  <r>
    <x v="239"/>
    <x v="3"/>
    <n v="462"/>
  </r>
  <r>
    <x v="204"/>
    <x v="5"/>
    <n v="29"/>
  </r>
  <r>
    <x v="155"/>
    <x v="3"/>
    <n v="191"/>
  </r>
  <r>
    <x v="204"/>
    <x v="2"/>
    <n v="181"/>
  </r>
  <r>
    <x v="142"/>
    <x v="3"/>
    <n v="166"/>
  </r>
  <r>
    <x v="204"/>
    <x v="0"/>
    <n v="157"/>
  </r>
  <r>
    <x v="142"/>
    <x v="2"/>
    <n v="229"/>
  </r>
  <r>
    <x v="148"/>
    <x v="6"/>
    <n v="124"/>
  </r>
  <r>
    <x v="148"/>
    <x v="0"/>
    <n v="233"/>
  </r>
  <r>
    <x v="84"/>
    <x v="6"/>
    <n v="90"/>
  </r>
  <r>
    <x v="84"/>
    <x v="2"/>
    <n v="202"/>
  </r>
  <r>
    <x v="214"/>
    <x v="3"/>
    <n v="132"/>
  </r>
  <r>
    <x v="166"/>
    <x v="3"/>
    <n v="148"/>
  </r>
  <r>
    <x v="188"/>
    <x v="0"/>
    <n v="415"/>
  </r>
  <r>
    <x v="71"/>
    <x v="2"/>
    <n v="231"/>
  </r>
  <r>
    <x v="56"/>
    <x v="1"/>
    <n v="136"/>
  </r>
  <r>
    <x v="163"/>
    <x v="5"/>
    <n v="46"/>
  </r>
  <r>
    <x v="58"/>
    <x v="1"/>
    <n v="96"/>
  </r>
  <r>
    <x v="259"/>
    <x v="2"/>
    <n v="664"/>
  </r>
  <r>
    <x v="261"/>
    <x v="4"/>
    <n v="78"/>
  </r>
  <r>
    <x v="253"/>
    <x v="1"/>
    <n v="135"/>
  </r>
  <r>
    <x v="81"/>
    <x v="8"/>
    <n v="113"/>
  </r>
  <r>
    <x v="226"/>
    <x v="6"/>
    <n v="371"/>
  </r>
  <r>
    <x v="247"/>
    <x v="8"/>
    <n v="128"/>
  </r>
  <r>
    <x v="245"/>
    <x v="8"/>
    <n v="112"/>
  </r>
  <r>
    <x v="255"/>
    <x v="4"/>
    <n v="76"/>
  </r>
  <r>
    <x v="248"/>
    <x v="7"/>
    <n v="213"/>
  </r>
  <r>
    <x v="250"/>
    <x v="8"/>
    <n v="79"/>
  </r>
  <r>
    <x v="262"/>
    <x v="0"/>
    <n v="257"/>
  </r>
  <r>
    <x v="263"/>
    <x v="4"/>
    <n v="70"/>
  </r>
  <r>
    <x v="244"/>
    <x v="8"/>
    <n v="91"/>
  </r>
  <r>
    <x v="259"/>
    <x v="3"/>
    <n v="537"/>
  </r>
  <r>
    <x v="238"/>
    <x v="7"/>
    <n v="205"/>
  </r>
  <r>
    <x v="245"/>
    <x v="1"/>
    <n v="147"/>
  </r>
  <r>
    <x v="211"/>
    <x v="7"/>
    <n v="214"/>
  </r>
  <r>
    <x v="81"/>
    <x v="2"/>
    <n v="644"/>
  </r>
  <r>
    <x v="239"/>
    <x v="0"/>
    <n v="400"/>
  </r>
  <r>
    <x v="81"/>
    <x v="6"/>
    <n v="331"/>
  </r>
  <r>
    <x v="239"/>
    <x v="8"/>
    <n v="130"/>
  </r>
  <r>
    <x v="250"/>
    <x v="6"/>
    <n v="293"/>
  </r>
  <r>
    <x v="235"/>
    <x v="6"/>
    <n v="314"/>
  </r>
  <r>
    <x v="253"/>
    <x v="3"/>
    <n v="439"/>
  </r>
  <r>
    <x v="226"/>
    <x v="0"/>
    <n v="435"/>
  </r>
  <r>
    <x v="235"/>
    <x v="7"/>
    <n v="177"/>
  </r>
  <r>
    <x v="235"/>
    <x v="4"/>
    <n v="75"/>
  </r>
  <r>
    <x v="254"/>
    <x v="2"/>
    <n v="533"/>
  </r>
  <r>
    <x v="250"/>
    <x v="2"/>
    <n v="537"/>
  </r>
  <r>
    <x v="209"/>
    <x v="1"/>
    <n v="80"/>
  </r>
  <r>
    <x v="205"/>
    <x v="5"/>
    <n v="16"/>
  </r>
  <r>
    <x v="171"/>
    <x v="6"/>
    <n v="89"/>
  </r>
  <r>
    <x v="171"/>
    <x v="1"/>
    <n v="69"/>
  </r>
  <r>
    <x v="171"/>
    <x v="5"/>
    <n v="29"/>
  </r>
  <r>
    <x v="171"/>
    <x v="0"/>
    <n v="222"/>
  </r>
  <r>
    <x v="48"/>
    <x v="6"/>
    <n v="122"/>
  </r>
  <r>
    <x v="48"/>
    <x v="0"/>
    <n v="275"/>
  </r>
  <r>
    <x v="41"/>
    <x v="3"/>
    <n v="166"/>
  </r>
  <r>
    <x v="48"/>
    <x v="3"/>
    <n v="199"/>
  </r>
  <r>
    <x v="209"/>
    <x v="5"/>
    <n v="25"/>
  </r>
  <r>
    <x v="221"/>
    <x v="0"/>
    <n v="77"/>
  </r>
  <r>
    <x v="232"/>
    <x v="6"/>
    <n v="54"/>
  </r>
  <r>
    <x v="189"/>
    <x v="2"/>
    <n v="152"/>
  </r>
  <r>
    <x v="40"/>
    <x v="2"/>
    <n v="106"/>
  </r>
  <r>
    <x v="229"/>
    <x v="5"/>
    <n v="98"/>
  </r>
  <r>
    <x v="54"/>
    <x v="1"/>
    <n v="92"/>
  </r>
  <r>
    <x v="195"/>
    <x v="0"/>
    <n v="397"/>
  </r>
  <r>
    <x v="211"/>
    <x v="5"/>
    <n v="107"/>
  </r>
  <r>
    <x v="248"/>
    <x v="5"/>
    <n v="85"/>
  </r>
  <r>
    <x v="248"/>
    <x v="3"/>
    <n v="523"/>
  </r>
  <r>
    <x v="226"/>
    <x v="3"/>
    <n v="464"/>
  </r>
  <r>
    <x v="45"/>
    <x v="0"/>
    <n v="121"/>
  </r>
  <r>
    <x v="154"/>
    <x v="0"/>
    <n v="88"/>
  </r>
  <r>
    <x v="215"/>
    <x v="0"/>
    <n v="157"/>
  </r>
  <r>
    <x v="232"/>
    <x v="2"/>
    <n v="97"/>
  </r>
  <r>
    <x v="222"/>
    <x v="3"/>
    <n v="168"/>
  </r>
  <r>
    <x v="220"/>
    <x v="6"/>
    <n v="97"/>
  </r>
  <r>
    <x v="80"/>
    <x v="1"/>
    <n v="85"/>
  </r>
  <r>
    <x v="149"/>
    <x v="3"/>
    <n v="69"/>
  </r>
  <r>
    <x v="47"/>
    <x v="0"/>
    <n v="129"/>
  </r>
  <r>
    <x v="44"/>
    <x v="6"/>
    <n v="65"/>
  </r>
  <r>
    <x v="261"/>
    <x v="2"/>
    <n v="603"/>
  </r>
  <r>
    <x v="186"/>
    <x v="3"/>
    <n v="325"/>
  </r>
  <r>
    <x v="144"/>
    <x v="0"/>
    <n v="261"/>
  </r>
  <r>
    <x v="84"/>
    <x v="0"/>
    <n v="153"/>
  </r>
  <r>
    <x v="153"/>
    <x v="0"/>
    <n v="146"/>
  </r>
  <r>
    <x v="219"/>
    <x v="6"/>
    <n v="89"/>
  </r>
  <r>
    <x v="213"/>
    <x v="5"/>
    <n v="26"/>
  </r>
  <r>
    <x v="213"/>
    <x v="2"/>
    <n v="162"/>
  </r>
  <r>
    <x v="213"/>
    <x v="3"/>
    <n v="136"/>
  </r>
  <r>
    <x v="213"/>
    <x v="0"/>
    <n v="135"/>
  </r>
  <r>
    <x v="195"/>
    <x v="5"/>
    <n v="51"/>
  </r>
  <r>
    <x v="186"/>
    <x v="2"/>
    <n v="376"/>
  </r>
  <r>
    <x v="229"/>
    <x v="1"/>
    <n v="113"/>
  </r>
  <r>
    <x v="245"/>
    <x v="0"/>
    <n v="517"/>
  </r>
  <r>
    <x v="247"/>
    <x v="5"/>
    <n v="108"/>
  </r>
  <r>
    <x v="247"/>
    <x v="1"/>
    <n v="171"/>
  </r>
  <r>
    <x v="80"/>
    <x v="3"/>
    <n v="234"/>
  </r>
  <r>
    <x v="250"/>
    <x v="0"/>
    <n v="400"/>
  </r>
  <r>
    <x v="218"/>
    <x v="1"/>
    <n v="111"/>
  </r>
  <r>
    <x v="246"/>
    <x v="3"/>
    <n v="350"/>
  </r>
  <r>
    <x v="147"/>
    <x v="2"/>
    <n v="240"/>
  </r>
  <r>
    <x v="147"/>
    <x v="0"/>
    <n v="211"/>
  </r>
  <r>
    <x v="75"/>
    <x v="0"/>
    <n v="193"/>
  </r>
  <r>
    <x v="75"/>
    <x v="2"/>
    <n v="264"/>
  </r>
  <r>
    <x v="167"/>
    <x v="1"/>
    <n v="36"/>
  </r>
  <r>
    <x v="167"/>
    <x v="0"/>
    <n v="131"/>
  </r>
  <r>
    <x v="75"/>
    <x v="1"/>
    <n v="76"/>
  </r>
  <r>
    <x v="75"/>
    <x v="5"/>
    <n v="36"/>
  </r>
  <r>
    <x v="165"/>
    <x v="2"/>
    <n v="201"/>
  </r>
  <r>
    <x v="230"/>
    <x v="5"/>
    <n v="31"/>
  </r>
  <r>
    <x v="233"/>
    <x v="7"/>
    <n v="175"/>
  </r>
  <r>
    <x v="224"/>
    <x v="5"/>
    <n v="59"/>
  </r>
  <r>
    <x v="194"/>
    <x v="0"/>
    <n v="369"/>
  </r>
  <r>
    <x v="194"/>
    <x v="6"/>
    <n v="261"/>
  </r>
  <r>
    <x v="234"/>
    <x v="2"/>
    <n v="450"/>
  </r>
  <r>
    <x v="194"/>
    <x v="4"/>
    <n v="84"/>
  </r>
  <r>
    <x v="249"/>
    <x v="0"/>
    <n v="262"/>
  </r>
  <r>
    <x v="37"/>
    <x v="3"/>
    <n v="130"/>
  </r>
  <r>
    <x v="173"/>
    <x v="3"/>
    <n v="142"/>
  </r>
  <r>
    <x v="189"/>
    <x v="3"/>
    <n v="130"/>
  </r>
  <r>
    <x v="177"/>
    <x v="0"/>
    <n v="142"/>
  </r>
  <r>
    <x v="189"/>
    <x v="0"/>
    <n v="152"/>
  </r>
  <r>
    <x v="189"/>
    <x v="5"/>
    <n v="22"/>
  </r>
  <r>
    <x v="177"/>
    <x v="7"/>
    <n v="38"/>
  </r>
  <r>
    <x v="177"/>
    <x v="5"/>
    <n v="16"/>
  </r>
  <r>
    <x v="151"/>
    <x v="2"/>
    <n v="145"/>
  </r>
  <r>
    <x v="46"/>
    <x v="0"/>
    <n v="121"/>
  </r>
  <r>
    <x v="159"/>
    <x v="0"/>
    <n v="435"/>
  </r>
  <r>
    <x v="141"/>
    <x v="3"/>
    <n v="519"/>
  </r>
  <r>
    <x v="198"/>
    <x v="2"/>
    <n v="306"/>
  </r>
  <r>
    <x v="198"/>
    <x v="0"/>
    <n v="229"/>
  </r>
  <r>
    <x v="198"/>
    <x v="6"/>
    <n v="180"/>
  </r>
  <r>
    <x v="198"/>
    <x v="1"/>
    <n v="80"/>
  </r>
  <r>
    <x v="198"/>
    <x v="5"/>
    <n v="45"/>
  </r>
  <r>
    <x v="54"/>
    <x v="5"/>
    <n v="50"/>
  </r>
  <r>
    <x v="62"/>
    <x v="2"/>
    <n v="656"/>
  </r>
  <r>
    <x v="245"/>
    <x v="2"/>
    <n v="798"/>
  </r>
  <r>
    <x v="193"/>
    <x v="0"/>
    <n v="406"/>
  </r>
  <r>
    <x v="193"/>
    <x v="7"/>
    <n v="169"/>
  </r>
  <r>
    <x v="264"/>
    <x v="0"/>
    <n v="174"/>
  </r>
  <r>
    <x v="213"/>
    <x v="1"/>
    <n v="49"/>
  </r>
  <r>
    <x v="215"/>
    <x v="3"/>
    <n v="148"/>
  </r>
  <r>
    <x v="215"/>
    <x v="1"/>
    <n v="60"/>
  </r>
  <r>
    <x v="170"/>
    <x v="3"/>
    <n v="138"/>
  </r>
  <r>
    <x v="221"/>
    <x v="6"/>
    <n v="52"/>
  </r>
  <r>
    <x v="47"/>
    <x v="2"/>
    <n v="119"/>
  </r>
  <r>
    <x v="166"/>
    <x v="2"/>
    <n v="206"/>
  </r>
  <r>
    <x v="166"/>
    <x v="1"/>
    <n v="47"/>
  </r>
  <r>
    <x v="212"/>
    <x v="0"/>
    <n v="424"/>
  </r>
  <r>
    <x v="195"/>
    <x v="1"/>
    <n v="99"/>
  </r>
  <r>
    <x v="186"/>
    <x v="1"/>
    <n v="83"/>
  </r>
  <r>
    <x v="186"/>
    <x v="0"/>
    <n v="301"/>
  </r>
  <r>
    <x v="265"/>
    <x v="2"/>
    <n v="42"/>
  </r>
  <r>
    <x v="266"/>
    <x v="4"/>
    <n v="81"/>
  </r>
  <r>
    <x v="240"/>
    <x v="6"/>
    <n v="175"/>
  </r>
  <r>
    <x v="231"/>
    <x v="1"/>
    <n v="93"/>
  </r>
  <r>
    <x v="260"/>
    <x v="5"/>
    <n v="99"/>
  </r>
  <r>
    <x v="260"/>
    <x v="2"/>
    <n v="665"/>
  </r>
  <r>
    <x v="260"/>
    <x v="7"/>
    <n v="213"/>
  </r>
  <r>
    <x v="247"/>
    <x v="0"/>
    <n v="545"/>
  </r>
  <r>
    <x v="218"/>
    <x v="5"/>
    <n v="66"/>
  </r>
  <r>
    <x v="14"/>
    <x v="8"/>
    <n v="30"/>
  </r>
  <r>
    <x v="75"/>
    <x v="3"/>
    <n v="174"/>
  </r>
  <r>
    <x v="75"/>
    <x v="6"/>
    <n v="124"/>
  </r>
  <r>
    <x v="147"/>
    <x v="1"/>
    <n v="70"/>
  </r>
  <r>
    <x v="165"/>
    <x v="0"/>
    <n v="195"/>
  </r>
  <r>
    <x v="168"/>
    <x v="3"/>
    <n v="106"/>
  </r>
  <r>
    <x v="168"/>
    <x v="0"/>
    <n v="109"/>
  </r>
  <r>
    <x v="204"/>
    <x v="6"/>
    <n v="115"/>
  </r>
  <r>
    <x v="78"/>
    <x v="2"/>
    <n v="171"/>
  </r>
  <r>
    <x v="141"/>
    <x v="0"/>
    <n v="418"/>
  </r>
  <r>
    <x v="143"/>
    <x v="5"/>
    <n v="59"/>
  </r>
  <r>
    <x v="46"/>
    <x v="2"/>
    <n v="133"/>
  </r>
  <r>
    <x v="46"/>
    <x v="1"/>
    <n v="34"/>
  </r>
  <r>
    <x v="172"/>
    <x v="1"/>
    <n v="43"/>
  </r>
  <r>
    <x v="175"/>
    <x v="2"/>
    <n v="81"/>
  </r>
  <r>
    <x v="206"/>
    <x v="7"/>
    <n v="50"/>
  </r>
  <r>
    <x v="172"/>
    <x v="0"/>
    <n v="97"/>
  </r>
  <r>
    <x v="267"/>
    <x v="8"/>
    <n v="16"/>
  </r>
  <r>
    <x v="37"/>
    <x v="2"/>
    <n v="166"/>
  </r>
  <r>
    <x v="268"/>
    <x v="4"/>
    <n v="101"/>
  </r>
  <r>
    <x v="36"/>
    <x v="0"/>
    <n v="104"/>
  </r>
  <r>
    <x v="82"/>
    <x v="5"/>
    <n v="32"/>
  </r>
  <r>
    <x v="44"/>
    <x v="2"/>
    <n v="99"/>
  </r>
  <r>
    <x v="159"/>
    <x v="5"/>
    <n v="73"/>
  </r>
  <r>
    <x v="159"/>
    <x v="1"/>
    <n v="134"/>
  </r>
  <r>
    <x v="231"/>
    <x v="2"/>
    <n v="307"/>
  </r>
  <r>
    <x v="231"/>
    <x v="0"/>
    <n v="284"/>
  </r>
  <r>
    <x v="231"/>
    <x v="6"/>
    <n v="211"/>
  </r>
  <r>
    <x v="260"/>
    <x v="0"/>
    <n v="444"/>
  </r>
  <r>
    <x v="245"/>
    <x v="7"/>
    <n v="222"/>
  </r>
  <r>
    <x v="156"/>
    <x v="5"/>
    <n v="17"/>
  </r>
  <r>
    <x v="166"/>
    <x v="5"/>
    <n v="25"/>
  </r>
  <r>
    <x v="166"/>
    <x v="6"/>
    <n v="148"/>
  </r>
  <r>
    <x v="82"/>
    <x v="1"/>
    <n v="51"/>
  </r>
  <r>
    <x v="220"/>
    <x v="0"/>
    <n v="155"/>
  </r>
  <r>
    <x v="137"/>
    <x v="4"/>
    <n v="107"/>
  </r>
  <r>
    <x v="138"/>
    <x v="7"/>
    <n v="118"/>
  </r>
  <r>
    <x v="162"/>
    <x v="2"/>
    <n v="631"/>
  </r>
  <r>
    <x v="162"/>
    <x v="3"/>
    <n v="497"/>
  </r>
  <r>
    <x v="260"/>
    <x v="8"/>
    <n v="83"/>
  </r>
  <r>
    <x v="245"/>
    <x v="5"/>
    <n v="107"/>
  </r>
  <r>
    <x v="245"/>
    <x v="4"/>
    <n v="101"/>
  </r>
  <r>
    <x v="245"/>
    <x v="3"/>
    <n v="551"/>
  </r>
  <r>
    <x v="247"/>
    <x v="4"/>
    <n v="143"/>
  </r>
  <r>
    <x v="257"/>
    <x v="5"/>
    <n v="82"/>
  </r>
  <r>
    <x v="263"/>
    <x v="3"/>
    <n v="324"/>
  </r>
  <r>
    <x v="177"/>
    <x v="2"/>
    <n v="133"/>
  </r>
  <r>
    <x v="161"/>
    <x v="6"/>
    <n v="364"/>
  </r>
  <r>
    <x v="162"/>
    <x v="5"/>
    <n v="79"/>
  </r>
  <r>
    <x v="162"/>
    <x v="1"/>
    <n v="133"/>
  </r>
  <r>
    <x v="269"/>
    <x v="7"/>
    <n v="78"/>
  </r>
  <r>
    <x v="143"/>
    <x v="6"/>
    <n v="187"/>
  </r>
  <r>
    <x v="136"/>
    <x v="1"/>
    <n v="85"/>
  </r>
  <r>
    <x v="72"/>
    <x v="1"/>
    <n v="94"/>
  </r>
  <r>
    <x v="255"/>
    <x v="7"/>
    <n v="162"/>
  </r>
  <r>
    <x v="249"/>
    <x v="6"/>
    <n v="230"/>
  </r>
  <r>
    <x v="249"/>
    <x v="1"/>
    <n v="97"/>
  </r>
  <r>
    <x v="211"/>
    <x v="1"/>
    <n v="167"/>
  </r>
  <r>
    <x v="249"/>
    <x v="5"/>
    <n v="34"/>
  </r>
  <r>
    <x v="247"/>
    <x v="7"/>
    <n v="206"/>
  </r>
  <r>
    <x v="226"/>
    <x v="2"/>
    <n v="609"/>
  </r>
  <r>
    <x v="270"/>
    <x v="6"/>
    <n v="194"/>
  </r>
  <r>
    <x v="36"/>
    <x v="2"/>
    <n v="108"/>
  </r>
  <r>
    <x v="197"/>
    <x v="1"/>
    <n v="105"/>
  </r>
  <r>
    <x v="217"/>
    <x v="4"/>
    <n v="85"/>
  </r>
  <r>
    <x v="257"/>
    <x v="1"/>
    <n v="133"/>
  </r>
  <r>
    <x v="209"/>
    <x v="3"/>
    <n v="133"/>
  </r>
  <r>
    <x v="196"/>
    <x v="6"/>
    <n v="188"/>
  </r>
  <r>
    <x v="104"/>
    <x v="4"/>
    <n v="34"/>
  </r>
  <r>
    <x v="80"/>
    <x v="0"/>
    <n v="182"/>
  </r>
  <r>
    <x v="212"/>
    <x v="5"/>
    <n v="67"/>
  </r>
  <r>
    <x v="160"/>
    <x v="5"/>
    <n v="68"/>
  </r>
  <r>
    <x v="52"/>
    <x v="2"/>
    <n v="95"/>
  </r>
  <r>
    <x v="52"/>
    <x v="0"/>
    <n v="104"/>
  </r>
  <r>
    <x v="104"/>
    <x v="6"/>
    <n v="104"/>
  </r>
  <r>
    <x v="52"/>
    <x v="6"/>
    <n v="65"/>
  </r>
  <r>
    <x v="241"/>
    <x v="8"/>
    <n v="116"/>
  </r>
  <r>
    <x v="270"/>
    <x v="8"/>
    <n v="68"/>
  </r>
  <r>
    <x v="41"/>
    <x v="2"/>
    <n v="247"/>
  </r>
  <r>
    <x v="271"/>
    <x v="0"/>
    <n v="364"/>
  </r>
  <r>
    <x v="175"/>
    <x v="1"/>
    <n v="34"/>
  </r>
  <r>
    <x v="49"/>
    <x v="0"/>
    <n v="96"/>
  </r>
  <r>
    <x v="41"/>
    <x v="0"/>
    <n v="266"/>
  </r>
  <r>
    <x v="194"/>
    <x v="1"/>
    <n v="96"/>
  </r>
  <r>
    <x v="194"/>
    <x v="5"/>
    <n v="53"/>
  </r>
  <r>
    <x v="62"/>
    <x v="6"/>
    <n v="347"/>
  </r>
  <r>
    <x v="272"/>
    <x v="8"/>
    <n v="144"/>
  </r>
  <r>
    <x v="243"/>
    <x v="5"/>
    <n v="103"/>
  </r>
  <r>
    <x v="243"/>
    <x v="3"/>
    <n v="455"/>
  </r>
  <r>
    <x v="273"/>
    <x v="6"/>
    <n v="273"/>
  </r>
  <r>
    <x v="274"/>
    <x v="8"/>
    <n v="99"/>
  </r>
  <r>
    <x v="251"/>
    <x v="6"/>
    <n v="285"/>
  </r>
  <r>
    <x v="252"/>
    <x v="8"/>
    <n v="129"/>
  </r>
  <r>
    <x v="238"/>
    <x v="0"/>
    <n v="510"/>
  </r>
  <r>
    <x v="259"/>
    <x v="8"/>
    <n v="172"/>
  </r>
  <r>
    <x v="261"/>
    <x v="6"/>
    <n v="335"/>
  </r>
  <r>
    <x v="253"/>
    <x v="2"/>
    <n v="602"/>
  </r>
  <r>
    <x v="77"/>
    <x v="0"/>
    <n v="107"/>
  </r>
  <r>
    <x v="77"/>
    <x v="3"/>
    <n v="126"/>
  </r>
  <r>
    <x v="78"/>
    <x v="0"/>
    <n v="177"/>
  </r>
  <r>
    <x v="184"/>
    <x v="2"/>
    <n v="257"/>
  </r>
  <r>
    <x v="184"/>
    <x v="1"/>
    <n v="71"/>
  </r>
  <r>
    <x v="193"/>
    <x v="1"/>
    <n v="99"/>
  </r>
  <r>
    <x v="62"/>
    <x v="1"/>
    <n v="123"/>
  </r>
  <r>
    <x v="226"/>
    <x v="4"/>
    <n v="80"/>
  </r>
  <r>
    <x v="226"/>
    <x v="7"/>
    <n v="164"/>
  </r>
  <r>
    <x v="241"/>
    <x v="7"/>
    <n v="162"/>
  </r>
  <r>
    <x v="241"/>
    <x v="1"/>
    <n v="134"/>
  </r>
  <r>
    <x v="176"/>
    <x v="3"/>
    <n v="81"/>
  </r>
  <r>
    <x v="176"/>
    <x v="0"/>
    <n v="79"/>
  </r>
  <r>
    <x v="49"/>
    <x v="3"/>
    <n v="83"/>
  </r>
  <r>
    <x v="275"/>
    <x v="2"/>
    <n v="181"/>
  </r>
  <r>
    <x v="154"/>
    <x v="5"/>
    <n v="9"/>
  </r>
  <r>
    <x v="214"/>
    <x v="6"/>
    <n v="76"/>
  </r>
  <r>
    <x v="150"/>
    <x v="2"/>
    <n v="108"/>
  </r>
  <r>
    <x v="237"/>
    <x v="0"/>
    <n v="145"/>
  </r>
  <r>
    <x v="233"/>
    <x v="4"/>
    <n v="91"/>
  </r>
  <r>
    <x v="76"/>
    <x v="5"/>
    <n v="52"/>
  </r>
  <r>
    <x v="71"/>
    <x v="0"/>
    <n v="234"/>
  </r>
  <r>
    <x v="148"/>
    <x v="5"/>
    <n v="46"/>
  </r>
  <r>
    <x v="214"/>
    <x v="2"/>
    <n v="156"/>
  </r>
  <r>
    <x v="214"/>
    <x v="0"/>
    <n v="107"/>
  </r>
  <r>
    <x v="150"/>
    <x v="1"/>
    <n v="34"/>
  </r>
  <r>
    <x v="150"/>
    <x v="0"/>
    <n v="92"/>
  </r>
  <r>
    <x v="161"/>
    <x v="1"/>
    <n v="131"/>
  </r>
  <r>
    <x v="161"/>
    <x v="4"/>
    <n v="103"/>
  </r>
  <r>
    <x v="162"/>
    <x v="0"/>
    <n v="503"/>
  </r>
  <r>
    <x v="276"/>
    <x v="4"/>
    <n v="44"/>
  </r>
  <r>
    <x v="79"/>
    <x v="2"/>
    <n v="226"/>
  </r>
  <r>
    <x v="78"/>
    <x v="1"/>
    <n v="60"/>
  </r>
  <r>
    <x v="165"/>
    <x v="6"/>
    <n v="115"/>
  </r>
  <r>
    <x v="79"/>
    <x v="1"/>
    <n v="63"/>
  </r>
  <r>
    <x v="145"/>
    <x v="3"/>
    <n v="104"/>
  </r>
  <r>
    <x v="55"/>
    <x v="8"/>
    <n v="112"/>
  </r>
  <r>
    <x v="47"/>
    <x v="5"/>
    <n v="18"/>
  </r>
  <r>
    <x v="149"/>
    <x v="0"/>
    <n v="68"/>
  </r>
  <r>
    <x v="232"/>
    <x v="3"/>
    <n v="71"/>
  </r>
  <r>
    <x v="153"/>
    <x v="2"/>
    <n v="157"/>
  </r>
  <r>
    <x v="153"/>
    <x v="1"/>
    <n v="34"/>
  </r>
  <r>
    <x v="153"/>
    <x v="5"/>
    <n v="21"/>
  </r>
  <r>
    <x v="47"/>
    <x v="1"/>
    <n v="55"/>
  </r>
  <r>
    <x v="90"/>
    <x v="5"/>
    <n v="29"/>
  </r>
  <r>
    <x v="167"/>
    <x v="2"/>
    <n v="173"/>
  </r>
  <r>
    <x v="168"/>
    <x v="8"/>
    <n v="13"/>
  </r>
  <r>
    <x v="155"/>
    <x v="0"/>
    <n v="145"/>
  </r>
  <r>
    <x v="169"/>
    <x v="1"/>
    <n v="36"/>
  </r>
  <r>
    <x v="169"/>
    <x v="3"/>
    <n v="99"/>
  </r>
  <r>
    <x v="168"/>
    <x v="2"/>
    <n v="107"/>
  </r>
  <r>
    <x v="144"/>
    <x v="5"/>
    <n v="26"/>
  </r>
  <r>
    <x v="164"/>
    <x v="3"/>
    <n v="222"/>
  </r>
  <r>
    <x v="38"/>
    <x v="5"/>
    <n v="12"/>
  </r>
  <r>
    <x v="215"/>
    <x v="2"/>
    <n v="174"/>
  </r>
  <r>
    <x v="174"/>
    <x v="0"/>
    <n v="161"/>
  </r>
  <r>
    <x v="220"/>
    <x v="3"/>
    <n v="129"/>
  </r>
  <r>
    <x v="219"/>
    <x v="5"/>
    <n v="26"/>
  </r>
  <r>
    <x v="221"/>
    <x v="2"/>
    <n v="80"/>
  </r>
  <r>
    <x v="219"/>
    <x v="2"/>
    <n v="158"/>
  </r>
  <r>
    <x v="277"/>
    <x v="6"/>
    <n v="209"/>
  </r>
  <r>
    <x v="277"/>
    <x v="0"/>
    <n v="306"/>
  </r>
  <r>
    <x v="169"/>
    <x v="5"/>
    <n v="23"/>
  </r>
  <r>
    <x v="169"/>
    <x v="7"/>
    <n v="49"/>
  </r>
  <r>
    <x v="155"/>
    <x v="1"/>
    <n v="65"/>
  </r>
  <r>
    <x v="142"/>
    <x v="1"/>
    <n v="53"/>
  </r>
  <r>
    <x v="214"/>
    <x v="5"/>
    <n v="17"/>
  </r>
  <r>
    <x v="218"/>
    <x v="4"/>
    <n v="72"/>
  </r>
  <r>
    <x v="111"/>
    <x v="5"/>
    <n v="41"/>
  </r>
  <r>
    <x v="152"/>
    <x v="6"/>
    <n v="101"/>
  </r>
  <r>
    <x v="136"/>
    <x v="5"/>
    <n v="29"/>
  </r>
  <r>
    <x v="192"/>
    <x v="3"/>
    <n v="148"/>
  </r>
  <r>
    <x v="196"/>
    <x v="3"/>
    <n v="214"/>
  </r>
  <r>
    <x v="152"/>
    <x v="2"/>
    <n v="205"/>
  </r>
  <r>
    <x v="278"/>
    <x v="2"/>
    <n v="294"/>
  </r>
  <r>
    <x v="231"/>
    <x v="3"/>
    <n v="267"/>
  </r>
  <r>
    <x v="274"/>
    <x v="3"/>
    <n v="390"/>
  </r>
  <r>
    <x v="279"/>
    <x v="4"/>
    <n v="113"/>
  </r>
  <r>
    <x v="234"/>
    <x v="8"/>
    <n v="117"/>
  </r>
  <r>
    <x v="254"/>
    <x v="4"/>
    <n v="68"/>
  </r>
  <r>
    <x v="212"/>
    <x v="2"/>
    <n v="484"/>
  </r>
  <r>
    <x v="260"/>
    <x v="1"/>
    <n v="129"/>
  </r>
  <r>
    <x v="252"/>
    <x v="2"/>
    <n v="356"/>
  </r>
  <r>
    <x v="280"/>
    <x v="6"/>
    <n v="51"/>
  </r>
  <r>
    <x v="145"/>
    <x v="7"/>
    <n v="50"/>
  </r>
  <r>
    <x v="269"/>
    <x v="6"/>
    <n v="145"/>
  </r>
  <r>
    <x v="201"/>
    <x v="5"/>
    <n v="52"/>
  </r>
  <r>
    <x v="78"/>
    <x v="5"/>
    <n v="37"/>
  </r>
  <r>
    <x v="77"/>
    <x v="1"/>
    <n v="46"/>
  </r>
  <r>
    <x v="164"/>
    <x v="1"/>
    <n v="86"/>
  </r>
  <r>
    <x v="115"/>
    <x v="6"/>
    <n v="220"/>
  </r>
  <r>
    <x v="146"/>
    <x v="5"/>
    <n v="57"/>
  </r>
  <r>
    <x v="141"/>
    <x v="5"/>
    <n v="86"/>
  </r>
  <r>
    <x v="188"/>
    <x v="6"/>
    <n v="314"/>
  </r>
  <r>
    <x v="141"/>
    <x v="1"/>
    <n v="139"/>
  </r>
  <r>
    <x v="74"/>
    <x v="0"/>
    <n v="304"/>
  </r>
  <r>
    <x v="63"/>
    <x v="0"/>
    <n v="384"/>
  </r>
  <r>
    <x v="63"/>
    <x v="1"/>
    <n v="107"/>
  </r>
  <r>
    <x v="231"/>
    <x v="5"/>
    <n v="55"/>
  </r>
  <r>
    <x v="231"/>
    <x v="7"/>
    <n v="120"/>
  </r>
  <r>
    <x v="256"/>
    <x v="2"/>
    <n v="234"/>
  </r>
  <r>
    <x v="257"/>
    <x v="7"/>
    <n v="135"/>
  </r>
  <r>
    <x v="68"/>
    <x v="0"/>
    <n v="352"/>
  </r>
  <r>
    <x v="68"/>
    <x v="1"/>
    <n v="104"/>
  </r>
  <r>
    <x v="200"/>
    <x v="1"/>
    <n v="85"/>
  </r>
  <r>
    <x v="226"/>
    <x v="5"/>
    <n v="73"/>
  </r>
  <r>
    <x v="246"/>
    <x v="0"/>
    <n v="327"/>
  </r>
  <r>
    <x v="110"/>
    <x v="7"/>
    <n v="130"/>
  </r>
  <r>
    <x v="200"/>
    <x v="5"/>
    <n v="69"/>
  </r>
  <r>
    <x v="259"/>
    <x v="4"/>
    <n v="111"/>
  </r>
  <r>
    <x v="253"/>
    <x v="6"/>
    <n v="313"/>
  </r>
  <r>
    <x v="193"/>
    <x v="8"/>
    <n v="73"/>
  </r>
  <r>
    <x v="281"/>
    <x v="4"/>
    <n v="63"/>
  </r>
  <r>
    <x v="271"/>
    <x v="2"/>
    <n v="468"/>
  </r>
  <r>
    <x v="250"/>
    <x v="3"/>
    <n v="416"/>
  </r>
  <r>
    <x v="254"/>
    <x v="0"/>
    <n v="428"/>
  </r>
  <r>
    <x v="225"/>
    <x v="2"/>
    <n v="147"/>
  </r>
  <r>
    <x v="221"/>
    <x v="3"/>
    <n v="68"/>
  </r>
  <r>
    <x v="174"/>
    <x v="1"/>
    <n v="40"/>
  </r>
  <r>
    <x v="57"/>
    <x v="5"/>
    <n v="66"/>
  </r>
  <r>
    <x v="246"/>
    <x v="7"/>
    <n v="136"/>
  </r>
  <r>
    <x v="246"/>
    <x v="1"/>
    <n v="107"/>
  </r>
  <r>
    <x v="254"/>
    <x v="5"/>
    <n v="64"/>
  </r>
  <r>
    <x v="254"/>
    <x v="6"/>
    <n v="272"/>
  </r>
  <r>
    <x v="254"/>
    <x v="1"/>
    <n v="111"/>
  </r>
  <r>
    <x v="153"/>
    <x v="3"/>
    <n v="114"/>
  </r>
  <r>
    <x v="196"/>
    <x v="1"/>
    <n v="78"/>
  </r>
  <r>
    <x v="103"/>
    <x v="3"/>
    <n v="369"/>
  </r>
  <r>
    <x v="254"/>
    <x v="7"/>
    <n v="161"/>
  </r>
  <r>
    <x v="234"/>
    <x v="6"/>
    <n v="233"/>
  </r>
  <r>
    <x v="185"/>
    <x v="5"/>
    <n v="52"/>
  </r>
  <r>
    <x v="250"/>
    <x v="1"/>
    <n v="135"/>
  </r>
  <r>
    <x v="250"/>
    <x v="5"/>
    <n v="73"/>
  </r>
  <r>
    <x v="240"/>
    <x v="0"/>
    <n v="269"/>
  </r>
  <r>
    <x v="240"/>
    <x v="3"/>
    <n v="246"/>
  </r>
  <r>
    <x v="185"/>
    <x v="4"/>
    <n v="104"/>
  </r>
  <r>
    <x v="37"/>
    <x v="1"/>
    <n v="57"/>
  </r>
  <r>
    <x v="173"/>
    <x v="0"/>
    <n v="134"/>
  </r>
  <r>
    <x v="173"/>
    <x v="1"/>
    <n v="48"/>
  </r>
  <r>
    <x v="37"/>
    <x v="5"/>
    <n v="24"/>
  </r>
  <r>
    <x v="45"/>
    <x v="6"/>
    <n v="85"/>
  </r>
  <r>
    <x v="185"/>
    <x v="6"/>
    <n v="236"/>
  </r>
  <r>
    <x v="56"/>
    <x v="5"/>
    <n v="63"/>
  </r>
  <r>
    <x v="260"/>
    <x v="4"/>
    <n v="88"/>
  </r>
  <r>
    <x v="270"/>
    <x v="2"/>
    <n v="339"/>
  </r>
  <r>
    <x v="240"/>
    <x v="5"/>
    <n v="59"/>
  </r>
  <r>
    <x v="273"/>
    <x v="3"/>
    <n v="403"/>
  </r>
  <r>
    <x v="240"/>
    <x v="1"/>
    <n v="63"/>
  </r>
  <r>
    <x v="282"/>
    <x v="6"/>
    <n v="231"/>
  </r>
  <r>
    <x v="251"/>
    <x v="7"/>
    <n v="136"/>
  </r>
  <r>
    <x v="255"/>
    <x v="1"/>
    <n v="111"/>
  </r>
  <r>
    <x v="255"/>
    <x v="5"/>
    <n v="66"/>
  </r>
  <r>
    <x v="255"/>
    <x v="8"/>
    <n v="60"/>
  </r>
  <r>
    <x v="246"/>
    <x v="5"/>
    <n v="53"/>
  </r>
  <r>
    <x v="99"/>
    <x v="1"/>
    <n v="87"/>
  </r>
  <r>
    <x v="99"/>
    <x v="3"/>
    <n v="275"/>
  </r>
  <r>
    <x v="139"/>
    <x v="1"/>
    <n v="92"/>
  </r>
  <r>
    <x v="227"/>
    <x v="0"/>
    <n v="182"/>
  </r>
  <r>
    <x v="212"/>
    <x v="1"/>
    <n v="115"/>
  </r>
  <r>
    <x v="249"/>
    <x v="7"/>
    <n v="120"/>
  </r>
  <r>
    <x v="248"/>
    <x v="8"/>
    <n v="88"/>
  </r>
  <r>
    <x v="42"/>
    <x v="5"/>
    <n v="109"/>
  </r>
  <r>
    <x v="35"/>
    <x v="0"/>
    <n v="132"/>
  </r>
  <r>
    <x v="44"/>
    <x v="0"/>
    <n v="98"/>
  </r>
  <r>
    <x v="36"/>
    <x v="1"/>
    <n v="55"/>
  </r>
  <r>
    <x v="187"/>
    <x v="2"/>
    <n v="173"/>
  </r>
  <r>
    <x v="283"/>
    <x v="7"/>
    <n v="68"/>
  </r>
  <r>
    <x v="284"/>
    <x v="6"/>
    <n v="174"/>
  </r>
  <r>
    <x v="285"/>
    <x v="3"/>
    <n v="387"/>
  </r>
  <r>
    <x v="286"/>
    <x v="2"/>
    <n v="475"/>
  </r>
  <r>
    <x v="287"/>
    <x v="3"/>
    <n v="325"/>
  </r>
  <r>
    <x v="287"/>
    <x v="7"/>
    <n v="130"/>
  </r>
  <r>
    <x v="271"/>
    <x v="6"/>
    <n v="242"/>
  </r>
  <r>
    <x v="259"/>
    <x v="7"/>
    <n v="202"/>
  </r>
  <r>
    <x v="279"/>
    <x v="6"/>
    <n v="374"/>
  </r>
  <r>
    <x v="261"/>
    <x v="8"/>
    <n v="116"/>
  </r>
  <r>
    <x v="261"/>
    <x v="3"/>
    <n v="463"/>
  </r>
  <r>
    <x v="239"/>
    <x v="7"/>
    <n v="169"/>
  </r>
  <r>
    <x v="144"/>
    <x v="1"/>
    <n v="63"/>
  </r>
  <r>
    <x v="244"/>
    <x v="4"/>
    <n v="60"/>
  </r>
  <r>
    <x v="288"/>
    <x v="2"/>
    <n v="271"/>
  </r>
  <r>
    <x v="262"/>
    <x v="8"/>
    <n v="53"/>
  </r>
  <r>
    <x v="289"/>
    <x v="4"/>
    <n v="60"/>
  </r>
  <r>
    <x v="264"/>
    <x v="4"/>
    <n v="50"/>
  </r>
  <r>
    <x v="290"/>
    <x v="6"/>
    <n v="240"/>
  </r>
  <r>
    <x v="266"/>
    <x v="8"/>
    <n v="107"/>
  </r>
  <r>
    <x v="281"/>
    <x v="2"/>
    <n v="419"/>
  </r>
  <r>
    <x v="291"/>
    <x v="6"/>
    <n v="226"/>
  </r>
  <r>
    <x v="264"/>
    <x v="6"/>
    <n v="144"/>
  </r>
  <r>
    <x v="292"/>
    <x v="6"/>
    <n v="210"/>
  </r>
  <r>
    <x v="293"/>
    <x v="0"/>
    <n v="409"/>
  </r>
  <r>
    <x v="197"/>
    <x v="5"/>
    <n v="57"/>
  </r>
  <r>
    <x v="241"/>
    <x v="4"/>
    <n v="91"/>
  </r>
  <r>
    <x v="187"/>
    <x v="0"/>
    <n v="158"/>
  </r>
  <r>
    <x v="45"/>
    <x v="3"/>
    <n v="97"/>
  </r>
  <r>
    <x v="44"/>
    <x v="3"/>
    <n v="69"/>
  </r>
  <r>
    <x v="174"/>
    <x v="3"/>
    <n v="153"/>
  </r>
  <r>
    <x v="219"/>
    <x v="1"/>
    <n v="45"/>
  </r>
  <r>
    <x v="133"/>
    <x v="5"/>
    <n v="27"/>
  </r>
  <r>
    <x v="76"/>
    <x v="0"/>
    <n v="328"/>
  </r>
  <r>
    <x v="70"/>
    <x v="1"/>
    <n v="67"/>
  </r>
  <r>
    <x v="145"/>
    <x v="1"/>
    <n v="50"/>
  </r>
  <r>
    <x v="145"/>
    <x v="5"/>
    <n v="27"/>
  </r>
  <r>
    <x v="238"/>
    <x v="3"/>
    <n v="556"/>
  </r>
  <r>
    <x v="254"/>
    <x v="8"/>
    <n v="66"/>
  </r>
  <r>
    <x v="263"/>
    <x v="2"/>
    <n v="451"/>
  </r>
  <r>
    <x v="273"/>
    <x v="7"/>
    <n v="142"/>
  </r>
  <r>
    <x v="252"/>
    <x v="0"/>
    <n v="282"/>
  </r>
  <r>
    <x v="270"/>
    <x v="4"/>
    <n v="43"/>
  </r>
  <r>
    <x v="250"/>
    <x v="4"/>
    <n v="76"/>
  </r>
  <r>
    <x v="278"/>
    <x v="8"/>
    <n v="76"/>
  </r>
  <r>
    <x v="290"/>
    <x v="8"/>
    <n v="99"/>
  </r>
  <r>
    <x v="263"/>
    <x v="8"/>
    <n v="98"/>
  </r>
  <r>
    <x v="109"/>
    <x v="5"/>
    <n v="33"/>
  </r>
  <r>
    <x v="294"/>
    <x v="6"/>
    <n v="91"/>
  </r>
  <r>
    <x v="259"/>
    <x v="0"/>
    <n v="529"/>
  </r>
  <r>
    <x v="152"/>
    <x v="0"/>
    <n v="206"/>
  </r>
  <r>
    <x v="192"/>
    <x v="6"/>
    <n v="96"/>
  </r>
  <r>
    <x v="48"/>
    <x v="1"/>
    <n v="75"/>
  </r>
  <r>
    <x v="243"/>
    <x v="2"/>
    <n v="540"/>
  </r>
  <r>
    <x v="279"/>
    <x v="7"/>
    <n v="227"/>
  </r>
  <r>
    <x v="279"/>
    <x v="3"/>
    <n v="575"/>
  </r>
  <r>
    <x v="177"/>
    <x v="3"/>
    <n v="93"/>
  </r>
  <r>
    <x v="205"/>
    <x v="1"/>
    <n v="60"/>
  </r>
  <r>
    <x v="192"/>
    <x v="5"/>
    <n v="17"/>
  </r>
  <r>
    <x v="206"/>
    <x v="0"/>
    <n v="115"/>
  </r>
  <r>
    <x v="151"/>
    <x v="3"/>
    <n v="125"/>
  </r>
  <r>
    <x v="151"/>
    <x v="0"/>
    <n v="113"/>
  </r>
  <r>
    <x v="295"/>
    <x v="8"/>
    <n v="60"/>
  </r>
  <r>
    <x v="59"/>
    <x v="7"/>
    <n v="77"/>
  </r>
  <r>
    <x v="60"/>
    <x v="5"/>
    <n v="62"/>
  </r>
  <r>
    <x v="239"/>
    <x v="5"/>
    <n v="83"/>
  </r>
  <r>
    <x v="235"/>
    <x v="5"/>
    <n v="82"/>
  </r>
  <r>
    <x v="235"/>
    <x v="1"/>
    <n v="127"/>
  </r>
  <r>
    <x v="199"/>
    <x v="2"/>
    <n v="123"/>
  </r>
  <r>
    <x v="82"/>
    <x v="2"/>
    <n v="226"/>
  </r>
  <r>
    <x v="140"/>
    <x v="5"/>
    <n v="50"/>
  </r>
  <r>
    <x v="140"/>
    <x v="1"/>
    <n v="111"/>
  </r>
  <r>
    <x v="84"/>
    <x v="5"/>
    <n v="33"/>
  </r>
  <r>
    <x v="150"/>
    <x v="6"/>
    <n v="62"/>
  </r>
  <r>
    <x v="268"/>
    <x v="7"/>
    <n v="169"/>
  </r>
  <r>
    <x v="61"/>
    <x v="5"/>
    <n v="78"/>
  </r>
  <r>
    <x v="234"/>
    <x v="4"/>
    <n v="67"/>
  </r>
  <r>
    <x v="46"/>
    <x v="5"/>
    <n v="18"/>
  </r>
  <r>
    <x v="172"/>
    <x v="5"/>
    <n v="19"/>
  </r>
  <r>
    <x v="49"/>
    <x v="6"/>
    <n v="67"/>
  </r>
  <r>
    <x v="49"/>
    <x v="7"/>
    <n v="38"/>
  </r>
  <r>
    <x v="175"/>
    <x v="3"/>
    <n v="62"/>
  </r>
  <r>
    <x v="237"/>
    <x v="6"/>
    <n v="100"/>
  </r>
  <r>
    <x v="188"/>
    <x v="7"/>
    <n v="137"/>
  </r>
  <r>
    <x v="220"/>
    <x v="1"/>
    <n v="64"/>
  </r>
  <r>
    <x v="261"/>
    <x v="0"/>
    <n v="527"/>
  </r>
  <r>
    <x v="71"/>
    <x v="3"/>
    <n v="210"/>
  </r>
  <r>
    <x v="262"/>
    <x v="6"/>
    <n v="161"/>
  </r>
  <r>
    <x v="227"/>
    <x v="2"/>
    <n v="230"/>
  </r>
  <r>
    <x v="296"/>
    <x v="3"/>
    <n v="24"/>
  </r>
  <r>
    <x v="81"/>
    <x v="1"/>
    <n v="126"/>
  </r>
  <r>
    <x v="274"/>
    <x v="1"/>
    <n v="111"/>
  </r>
  <r>
    <x v="199"/>
    <x v="6"/>
    <n v="70"/>
  </r>
  <r>
    <x v="149"/>
    <x v="2"/>
    <n v="78"/>
  </r>
  <r>
    <x v="149"/>
    <x v="1"/>
    <n v="22"/>
  </r>
  <r>
    <x v="151"/>
    <x v="5"/>
    <n v="22"/>
  </r>
  <r>
    <x v="35"/>
    <x v="1"/>
    <n v="56"/>
  </r>
  <r>
    <x v="232"/>
    <x v="0"/>
    <n v="66"/>
  </r>
  <r>
    <x v="47"/>
    <x v="6"/>
    <n v="67"/>
  </r>
  <r>
    <x v="139"/>
    <x v="5"/>
    <n v="32"/>
  </r>
  <r>
    <x v="268"/>
    <x v="6"/>
    <n v="313"/>
  </r>
  <r>
    <x v="185"/>
    <x v="7"/>
    <n v="115"/>
  </r>
  <r>
    <x v="84"/>
    <x v="1"/>
    <n v="50"/>
  </r>
  <r>
    <x v="220"/>
    <x v="5"/>
    <n v="22"/>
  </r>
  <r>
    <x v="167"/>
    <x v="5"/>
    <n v="25"/>
  </r>
  <r>
    <x v="165"/>
    <x v="1"/>
    <n v="56"/>
  </r>
  <r>
    <x v="168"/>
    <x v="1"/>
    <n v="39"/>
  </r>
  <r>
    <x v="297"/>
    <x v="6"/>
    <n v="64"/>
  </r>
  <r>
    <x v="298"/>
    <x v="7"/>
    <n v="52"/>
  </r>
  <r>
    <x v="273"/>
    <x v="8"/>
    <n v="87"/>
  </r>
  <r>
    <x v="299"/>
    <x v="6"/>
    <n v="269"/>
  </r>
  <r>
    <x v="85"/>
    <x v="5"/>
    <n v="31"/>
  </r>
  <r>
    <x v="52"/>
    <x v="5"/>
    <n v="18"/>
  </r>
  <r>
    <x v="300"/>
    <x v="7"/>
    <n v="31"/>
  </r>
  <r>
    <x v="264"/>
    <x v="2"/>
    <n v="223"/>
  </r>
  <r>
    <x v="270"/>
    <x v="0"/>
    <n v="251"/>
  </r>
  <r>
    <x v="299"/>
    <x v="8"/>
    <n v="133"/>
  </r>
  <r>
    <x v="252"/>
    <x v="7"/>
    <n v="132"/>
  </r>
  <r>
    <x v="261"/>
    <x v="7"/>
    <n v="163"/>
  </r>
  <r>
    <x v="289"/>
    <x v="6"/>
    <n v="126"/>
  </r>
  <r>
    <x v="61"/>
    <x v="1"/>
    <n v="105"/>
  </r>
  <r>
    <x v="218"/>
    <x v="8"/>
    <n v="53"/>
  </r>
  <r>
    <x v="207"/>
    <x v="5"/>
    <n v="59"/>
  </r>
  <r>
    <x v="227"/>
    <x v="1"/>
    <n v="72"/>
  </r>
  <r>
    <x v="190"/>
    <x v="5"/>
    <n v="24"/>
  </r>
  <r>
    <x v="123"/>
    <x v="5"/>
    <n v="25"/>
  </r>
  <r>
    <x v="290"/>
    <x v="7"/>
    <n v="141"/>
  </r>
  <r>
    <x v="230"/>
    <x v="2"/>
    <n v="183"/>
  </r>
  <r>
    <x v="272"/>
    <x v="7"/>
    <n v="112"/>
  </r>
  <r>
    <x v="272"/>
    <x v="2"/>
    <n v="458"/>
  </r>
  <r>
    <x v="293"/>
    <x v="7"/>
    <n v="181"/>
  </r>
  <r>
    <x v="251"/>
    <x v="5"/>
    <n v="94"/>
  </r>
  <r>
    <x v="230"/>
    <x v="1"/>
    <n v="56"/>
  </r>
  <r>
    <x v="226"/>
    <x v="1"/>
    <n v="120"/>
  </r>
  <r>
    <x v="44"/>
    <x v="5"/>
    <n v="11"/>
  </r>
  <r>
    <x v="40"/>
    <x v="6"/>
    <n v="71"/>
  </r>
  <r>
    <x v="49"/>
    <x v="5"/>
    <n v="16"/>
  </r>
  <r>
    <x v="199"/>
    <x v="1"/>
    <n v="42"/>
  </r>
  <r>
    <x v="35"/>
    <x v="5"/>
    <n v="26"/>
  </r>
  <r>
    <x v="66"/>
    <x v="5"/>
    <n v="45"/>
  </r>
  <r>
    <x v="301"/>
    <x v="7"/>
    <n v="27"/>
  </r>
  <r>
    <x v="266"/>
    <x v="2"/>
    <n v="524"/>
  </r>
  <r>
    <x v="299"/>
    <x v="7"/>
    <n v="141"/>
  </r>
  <r>
    <x v="271"/>
    <x v="3"/>
    <n v="394"/>
  </r>
  <r>
    <x v="278"/>
    <x v="7"/>
    <n v="105"/>
  </r>
  <r>
    <x v="302"/>
    <x v="3"/>
    <n v="289"/>
  </r>
  <r>
    <x v="284"/>
    <x v="2"/>
    <n v="307"/>
  </r>
  <r>
    <x v="285"/>
    <x v="7"/>
    <n v="130"/>
  </r>
  <r>
    <x v="285"/>
    <x v="1"/>
    <n v="128"/>
  </r>
  <r>
    <x v="48"/>
    <x v="5"/>
    <n v="23"/>
  </r>
  <r>
    <x v="60"/>
    <x v="1"/>
    <n v="127"/>
  </r>
  <r>
    <x v="286"/>
    <x v="8"/>
    <n v="148"/>
  </r>
  <r>
    <x v="268"/>
    <x v="3"/>
    <n v="396"/>
  </r>
  <r>
    <x v="251"/>
    <x v="8"/>
    <n v="99"/>
  </r>
  <r>
    <x v="266"/>
    <x v="3"/>
    <n v="438"/>
  </r>
  <r>
    <x v="257"/>
    <x v="6"/>
    <n v="299"/>
  </r>
  <r>
    <x v="299"/>
    <x v="2"/>
    <n v="566"/>
  </r>
  <r>
    <x v="238"/>
    <x v="6"/>
    <n v="339"/>
  </r>
  <r>
    <x v="253"/>
    <x v="5"/>
    <n v="73"/>
  </r>
  <r>
    <x v="185"/>
    <x v="1"/>
    <n v="96"/>
  </r>
  <r>
    <x v="253"/>
    <x v="7"/>
    <n v="151"/>
  </r>
  <r>
    <x v="253"/>
    <x v="8"/>
    <n v="100"/>
  </r>
  <r>
    <x v="270"/>
    <x v="7"/>
    <n v="139"/>
  </r>
  <r>
    <x v="270"/>
    <x v="3"/>
    <n v="283"/>
  </r>
  <r>
    <x v="295"/>
    <x v="7"/>
    <n v="83"/>
  </r>
  <r>
    <x v="199"/>
    <x v="7"/>
    <n v="44"/>
  </r>
  <r>
    <x v="303"/>
    <x v="4"/>
    <n v="33"/>
  </r>
  <r>
    <x v="290"/>
    <x v="2"/>
    <n v="462"/>
  </r>
  <r>
    <x v="257"/>
    <x v="8"/>
    <n v="123"/>
  </r>
  <r>
    <x v="271"/>
    <x v="4"/>
    <n v="57"/>
  </r>
  <r>
    <x v="81"/>
    <x v="7"/>
    <n v="168"/>
  </r>
  <r>
    <x v="81"/>
    <x v="5"/>
    <n v="86"/>
  </r>
  <r>
    <x v="239"/>
    <x v="1"/>
    <n v="119"/>
  </r>
  <r>
    <x v="304"/>
    <x v="3"/>
    <n v="221"/>
  </r>
  <r>
    <x v="81"/>
    <x v="4"/>
    <n v="81"/>
  </r>
  <r>
    <x v="219"/>
    <x v="0"/>
    <n v="115"/>
  </r>
  <r>
    <x v="279"/>
    <x v="2"/>
    <n v="640"/>
  </r>
  <r>
    <x v="305"/>
    <x v="6"/>
    <n v="45"/>
  </r>
  <r>
    <x v="168"/>
    <x v="5"/>
    <n v="14"/>
  </r>
  <r>
    <x v="71"/>
    <x v="5"/>
    <n v="32"/>
  </r>
  <r>
    <x v="70"/>
    <x v="5"/>
    <n v="48"/>
  </r>
  <r>
    <x v="295"/>
    <x v="2"/>
    <n v="312"/>
  </r>
  <r>
    <x v="64"/>
    <x v="3"/>
    <n v="329"/>
  </r>
  <r>
    <x v="306"/>
    <x v="2"/>
    <n v="363"/>
  </r>
  <r>
    <x v="107"/>
    <x v="2"/>
    <n v="136"/>
  </r>
  <r>
    <x v="107"/>
    <x v="8"/>
    <n v="10"/>
  </r>
  <r>
    <x v="106"/>
    <x v="5"/>
    <n v="46"/>
  </r>
  <r>
    <x v="279"/>
    <x v="0"/>
    <n v="504"/>
  </r>
  <r>
    <x v="307"/>
    <x v="8"/>
    <n v="37"/>
  </r>
  <r>
    <x v="295"/>
    <x v="6"/>
    <n v="168"/>
  </r>
  <r>
    <x v="304"/>
    <x v="6"/>
    <n v="153"/>
  </r>
  <r>
    <x v="278"/>
    <x v="6"/>
    <n v="169"/>
  </r>
  <r>
    <x v="292"/>
    <x v="0"/>
    <n v="241"/>
  </r>
  <r>
    <x v="175"/>
    <x v="5"/>
    <n v="20"/>
  </r>
  <r>
    <x v="59"/>
    <x v="0"/>
    <n v="207"/>
  </r>
  <r>
    <x v="72"/>
    <x v="5"/>
    <n v="49"/>
  </r>
  <r>
    <x v="282"/>
    <x v="5"/>
    <n v="91"/>
  </r>
  <r>
    <x v="59"/>
    <x v="6"/>
    <n v="152"/>
  </r>
  <r>
    <x v="59"/>
    <x v="5"/>
    <n v="55"/>
  </r>
  <r>
    <x v="239"/>
    <x v="4"/>
    <n v="106"/>
  </r>
  <r>
    <x v="199"/>
    <x v="0"/>
    <n v="90"/>
  </r>
  <r>
    <x v="187"/>
    <x v="5"/>
    <n v="30"/>
  </r>
  <r>
    <x v="237"/>
    <x v="1"/>
    <n v="40"/>
  </r>
  <r>
    <x v="199"/>
    <x v="5"/>
    <n v="19"/>
  </r>
  <r>
    <x v="199"/>
    <x v="3"/>
    <n v="96"/>
  </r>
  <r>
    <x v="308"/>
    <x v="3"/>
    <n v="105"/>
  </r>
  <r>
    <x v="165"/>
    <x v="5"/>
    <n v="29"/>
  </r>
  <r>
    <x v="251"/>
    <x v="3"/>
    <n v="423"/>
  </r>
  <r>
    <x v="41"/>
    <x v="5"/>
    <n v="20"/>
  </r>
  <r>
    <x v="293"/>
    <x v="4"/>
    <n v="86"/>
  </r>
  <r>
    <x v="49"/>
    <x v="2"/>
    <n v="91"/>
  </r>
  <r>
    <x v="45"/>
    <x v="1"/>
    <n v="41"/>
  </r>
  <r>
    <x v="271"/>
    <x v="1"/>
    <n v="122"/>
  </r>
  <r>
    <x v="215"/>
    <x v="5"/>
    <n v="30"/>
  </r>
  <r>
    <x v="47"/>
    <x v="3"/>
    <n v="89"/>
  </r>
  <r>
    <x v="285"/>
    <x v="2"/>
    <n v="463"/>
  </r>
  <r>
    <x v="130"/>
    <x v="5"/>
    <n v="15"/>
  </r>
  <r>
    <x v="80"/>
    <x v="5"/>
    <n v="20"/>
  </r>
  <r>
    <x v="234"/>
    <x v="0"/>
    <n v="338"/>
  </r>
  <r>
    <x v="253"/>
    <x v="0"/>
    <n v="434"/>
  </r>
  <r>
    <x v="183"/>
    <x v="5"/>
    <n v="22"/>
  </r>
  <r>
    <x v="293"/>
    <x v="2"/>
    <n v="536"/>
  </r>
  <r>
    <x v="71"/>
    <x v="1"/>
    <n v="56"/>
  </r>
  <r>
    <x v="184"/>
    <x v="5"/>
    <n v="32"/>
  </r>
  <r>
    <x v="252"/>
    <x v="3"/>
    <n v="282"/>
  </r>
  <r>
    <x v="52"/>
    <x v="1"/>
    <n v="36"/>
  </r>
  <r>
    <x v="186"/>
    <x v="5"/>
    <n v="42"/>
  </r>
  <r>
    <x v="151"/>
    <x v="1"/>
    <n v="39"/>
  </r>
  <r>
    <x v="243"/>
    <x v="6"/>
    <n v="326"/>
  </r>
  <r>
    <x v="281"/>
    <x v="0"/>
    <n v="330"/>
  </r>
  <r>
    <x v="266"/>
    <x v="5"/>
    <n v="76"/>
  </r>
  <r>
    <x v="309"/>
    <x v="2"/>
    <n v="319"/>
  </r>
  <r>
    <x v="299"/>
    <x v="4"/>
    <n v="86"/>
  </r>
  <r>
    <x v="252"/>
    <x v="4"/>
    <n v="90"/>
  </r>
  <r>
    <x v="262"/>
    <x v="7"/>
    <n v="99"/>
  </r>
  <r>
    <x v="299"/>
    <x v="3"/>
    <n v="427"/>
  </r>
  <r>
    <x v="244"/>
    <x v="2"/>
    <n v="317"/>
  </r>
  <r>
    <x v="257"/>
    <x v="0"/>
    <n v="423"/>
  </r>
  <r>
    <x v="271"/>
    <x v="8"/>
    <n v="78"/>
  </r>
  <r>
    <x v="40"/>
    <x v="1"/>
    <n v="33"/>
  </r>
  <r>
    <x v="177"/>
    <x v="1"/>
    <n v="31"/>
  </r>
  <r>
    <x v="266"/>
    <x v="7"/>
    <n v="127"/>
  </r>
  <r>
    <x v="280"/>
    <x v="2"/>
    <n v="107"/>
  </r>
  <r>
    <x v="288"/>
    <x v="3"/>
    <n v="217"/>
  </r>
  <r>
    <x v="306"/>
    <x v="4"/>
    <n v="59"/>
  </r>
  <r>
    <x v="293"/>
    <x v="8"/>
    <n v="98"/>
  </r>
  <r>
    <x v="293"/>
    <x v="6"/>
    <n v="325"/>
  </r>
  <r>
    <x v="68"/>
    <x v="5"/>
    <n v="69"/>
  </r>
  <r>
    <x v="275"/>
    <x v="4"/>
    <n v="32"/>
  </r>
  <r>
    <x v="278"/>
    <x v="3"/>
    <n v="255"/>
  </r>
  <r>
    <x v="266"/>
    <x v="0"/>
    <n v="429"/>
  </r>
  <r>
    <x v="299"/>
    <x v="0"/>
    <n v="405"/>
  </r>
  <r>
    <x v="259"/>
    <x v="5"/>
    <n v="120"/>
  </r>
  <r>
    <x v="107"/>
    <x v="5"/>
    <n v="22"/>
  </r>
  <r>
    <x v="234"/>
    <x v="7"/>
    <n v="123"/>
  </r>
  <r>
    <x v="172"/>
    <x v="3"/>
    <n v="115"/>
  </r>
  <r>
    <x v="281"/>
    <x v="6"/>
    <n v="218"/>
  </r>
  <r>
    <x v="310"/>
    <x v="2"/>
    <n v="287"/>
  </r>
  <r>
    <x v="311"/>
    <x v="6"/>
    <n v="32"/>
  </r>
  <r>
    <x v="238"/>
    <x v="5"/>
    <n v="79"/>
  </r>
  <r>
    <x v="272"/>
    <x v="0"/>
    <n v="364"/>
  </r>
  <r>
    <x v="150"/>
    <x v="5"/>
    <n v="12"/>
  </r>
  <r>
    <x v="302"/>
    <x v="6"/>
    <n v="189"/>
  </r>
  <r>
    <x v="147"/>
    <x v="5"/>
    <n v="33"/>
  </r>
  <r>
    <x v="293"/>
    <x v="5"/>
    <n v="91"/>
  </r>
  <r>
    <x v="279"/>
    <x v="8"/>
    <n v="191"/>
  </r>
  <r>
    <x v="222"/>
    <x v="6"/>
    <n v="109"/>
  </r>
  <r>
    <x v="277"/>
    <x v="3"/>
    <n v="313"/>
  </r>
  <r>
    <x v="257"/>
    <x v="2"/>
    <n v="495"/>
  </r>
  <r>
    <x v="312"/>
    <x v="0"/>
    <n v="61"/>
  </r>
  <r>
    <x v="168"/>
    <x v="7"/>
    <n v="35"/>
  </r>
  <r>
    <x v="187"/>
    <x v="1"/>
    <n v="43"/>
  </r>
  <r>
    <x v="281"/>
    <x v="3"/>
    <n v="323"/>
  </r>
  <r>
    <x v="238"/>
    <x v="2"/>
    <n v="637"/>
  </r>
  <r>
    <x v="261"/>
    <x v="1"/>
    <n v="142"/>
  </r>
  <r>
    <x v="268"/>
    <x v="2"/>
    <n v="558"/>
  </r>
  <r>
    <x v="292"/>
    <x v="7"/>
    <n v="114"/>
  </r>
  <r>
    <x v="242"/>
    <x v="7"/>
    <n v="35"/>
  </r>
  <r>
    <x v="313"/>
    <x v="6"/>
    <n v="36"/>
  </r>
  <r>
    <x v="225"/>
    <x v="1"/>
    <n v="57"/>
  </r>
  <r>
    <x v="268"/>
    <x v="8"/>
    <n v="104"/>
  </r>
  <r>
    <x v="305"/>
    <x v="5"/>
    <n v="28"/>
  </r>
  <r>
    <x v="310"/>
    <x v="6"/>
    <n v="186"/>
  </r>
  <r>
    <x v="242"/>
    <x v="3"/>
    <n v="105"/>
  </r>
  <r>
    <x v="314"/>
    <x v="6"/>
    <n v="60"/>
  </r>
  <r>
    <x v="281"/>
    <x v="8"/>
    <n v="81"/>
  </r>
  <r>
    <x v="292"/>
    <x v="4"/>
    <n v="63"/>
  </r>
  <r>
    <x v="223"/>
    <x v="1"/>
    <n v="86"/>
  </r>
  <r>
    <x v="234"/>
    <x v="5"/>
    <n v="84"/>
  </r>
  <r>
    <x v="181"/>
    <x v="5"/>
    <n v="28"/>
  </r>
  <r>
    <x v="315"/>
    <x v="2"/>
    <n v="62"/>
  </r>
  <r>
    <x v="316"/>
    <x v="8"/>
    <n v="41"/>
  </r>
  <r>
    <x v="264"/>
    <x v="3"/>
    <n v="189"/>
  </r>
  <r>
    <x v="272"/>
    <x v="3"/>
    <n v="329"/>
  </r>
  <r>
    <x v="292"/>
    <x v="8"/>
    <n v="100"/>
  </r>
  <r>
    <x v="274"/>
    <x v="0"/>
    <n v="398"/>
  </r>
  <r>
    <x v="188"/>
    <x v="2"/>
    <n v="520"/>
  </r>
  <r>
    <x v="171"/>
    <x v="3"/>
    <n v="124"/>
  </r>
  <r>
    <x v="149"/>
    <x v="5"/>
    <n v="13"/>
  </r>
  <r>
    <x v="43"/>
    <x v="5"/>
    <n v="57"/>
  </r>
  <r>
    <x v="29"/>
    <x v="5"/>
    <n v="92"/>
  </r>
  <r>
    <x v="87"/>
    <x v="5"/>
    <n v="29"/>
  </r>
  <r>
    <x v="244"/>
    <x v="0"/>
    <n v="229"/>
  </r>
  <r>
    <x v="317"/>
    <x v="0"/>
    <n v="91"/>
  </r>
  <r>
    <x v="318"/>
    <x v="2"/>
    <n v="51"/>
  </r>
  <r>
    <x v="319"/>
    <x v="2"/>
    <n v="72"/>
  </r>
  <r>
    <x v="320"/>
    <x v="4"/>
    <n v="57"/>
  </r>
  <r>
    <x v="273"/>
    <x v="2"/>
    <n v="523"/>
  </r>
  <r>
    <x v="292"/>
    <x v="3"/>
    <n v="280"/>
  </r>
  <r>
    <x v="312"/>
    <x v="7"/>
    <n v="18"/>
  </r>
  <r>
    <x v="309"/>
    <x v="6"/>
    <n v="196"/>
  </r>
  <r>
    <x v="289"/>
    <x v="3"/>
    <n v="252"/>
  </r>
  <r>
    <x v="266"/>
    <x v="1"/>
    <n v="140"/>
  </r>
  <r>
    <x v="258"/>
    <x v="7"/>
    <n v="81"/>
  </r>
  <r>
    <x v="203"/>
    <x v="5"/>
    <n v="39"/>
  </r>
  <r>
    <x v="36"/>
    <x v="5"/>
    <n v="15"/>
  </r>
  <r>
    <x v="170"/>
    <x v="5"/>
    <n v="28"/>
  </r>
  <r>
    <x v="237"/>
    <x v="5"/>
    <n v="14"/>
  </r>
  <r>
    <x v="321"/>
    <x v="6"/>
    <n v="85"/>
  </r>
  <r>
    <x v="314"/>
    <x v="2"/>
    <n v="118"/>
  </r>
  <r>
    <x v="281"/>
    <x v="7"/>
    <n v="104"/>
  </r>
  <r>
    <x v="28"/>
    <x v="5"/>
    <n v="57"/>
  </r>
  <r>
    <x v="105"/>
    <x v="5"/>
    <n v="38"/>
  </r>
  <r>
    <x v="223"/>
    <x v="5"/>
    <n v="31"/>
  </r>
  <r>
    <x v="287"/>
    <x v="6"/>
    <n v="237"/>
  </r>
  <r>
    <x v="304"/>
    <x v="2"/>
    <n v="257"/>
  </r>
  <r>
    <x v="221"/>
    <x v="5"/>
    <n v="16"/>
  </r>
  <r>
    <x v="174"/>
    <x v="5"/>
    <n v="29"/>
  </r>
  <r>
    <x v="322"/>
    <x v="0"/>
    <n v="242"/>
  </r>
  <r>
    <x v="31"/>
    <x v="1"/>
    <n v="154"/>
  </r>
  <r>
    <x v="262"/>
    <x v="4"/>
    <n v="62"/>
  </r>
  <r>
    <x v="291"/>
    <x v="8"/>
    <n v="120"/>
  </r>
  <r>
    <x v="31"/>
    <x v="5"/>
    <n v="37"/>
  </r>
  <r>
    <x v="322"/>
    <x v="7"/>
    <n v="120"/>
  </r>
  <r>
    <x v="188"/>
    <x v="4"/>
    <n v="64"/>
  </r>
  <r>
    <x v="121"/>
    <x v="5"/>
    <n v="32"/>
  </r>
  <r>
    <x v="323"/>
    <x v="3"/>
    <n v="162"/>
  </r>
  <r>
    <x v="324"/>
    <x v="6"/>
    <n v="14"/>
  </r>
  <r>
    <x v="315"/>
    <x v="3"/>
    <n v="37"/>
  </r>
  <r>
    <x v="259"/>
    <x v="1"/>
    <n v="151"/>
  </r>
  <r>
    <x v="40"/>
    <x v="5"/>
    <n v="9"/>
  </r>
  <r>
    <x v="176"/>
    <x v="5"/>
    <n v="13"/>
  </r>
  <r>
    <x v="288"/>
    <x v="6"/>
    <n v="163"/>
  </r>
  <r>
    <x v="266"/>
    <x v="6"/>
    <n v="285"/>
  </r>
  <r>
    <x v="305"/>
    <x v="0"/>
    <n v="86"/>
  </r>
  <r>
    <x v="79"/>
    <x v="5"/>
    <n v="30"/>
  </r>
  <r>
    <x v="274"/>
    <x v="7"/>
    <n v="151"/>
  </r>
  <r>
    <x v="297"/>
    <x v="2"/>
    <n v="104"/>
  </r>
  <r>
    <x v="287"/>
    <x v="0"/>
    <n v="276"/>
  </r>
  <r>
    <x v="275"/>
    <x v="7"/>
    <n v="57"/>
  </r>
  <r>
    <x v="274"/>
    <x v="2"/>
    <n v="523"/>
  </r>
  <r>
    <x v="269"/>
    <x v="4"/>
    <n v="59"/>
  </r>
  <r>
    <x v="277"/>
    <x v="2"/>
    <n v="391"/>
  </r>
  <r>
    <x v="274"/>
    <x v="6"/>
    <n v="290"/>
  </r>
  <r>
    <x v="170"/>
    <x v="1"/>
    <n v="62"/>
  </r>
  <r>
    <x v="175"/>
    <x v="0"/>
    <n v="57"/>
  </r>
  <r>
    <x v="282"/>
    <x v="7"/>
    <n v="128"/>
  </r>
  <r>
    <x v="142"/>
    <x v="5"/>
    <n v="32"/>
  </r>
  <r>
    <x v="77"/>
    <x v="5"/>
    <n v="29"/>
  </r>
  <r>
    <x v="320"/>
    <x v="7"/>
    <n v="90"/>
  </r>
  <r>
    <x v="65"/>
    <x v="5"/>
    <n v="25"/>
  </r>
  <r>
    <x v="321"/>
    <x v="3"/>
    <n v="138"/>
  </r>
  <r>
    <x v="273"/>
    <x v="0"/>
    <n v="424"/>
  </r>
  <r>
    <x v="179"/>
    <x v="5"/>
    <n v="29"/>
  </r>
  <r>
    <x v="325"/>
    <x v="6"/>
    <n v="28"/>
  </r>
  <r>
    <x v="303"/>
    <x v="3"/>
    <n v="161"/>
  </r>
  <r>
    <x v="285"/>
    <x v="6"/>
    <n v="273"/>
  </r>
  <r>
    <x v="304"/>
    <x v="8"/>
    <n v="100"/>
  </r>
  <r>
    <x v="277"/>
    <x v="4"/>
    <n v="77"/>
  </r>
  <r>
    <x v="305"/>
    <x v="7"/>
    <n v="25"/>
  </r>
  <r>
    <x v="326"/>
    <x v="7"/>
    <n v="76"/>
  </r>
  <r>
    <x v="263"/>
    <x v="6"/>
    <n v="231"/>
  </r>
  <r>
    <x v="232"/>
    <x v="1"/>
    <n v="25"/>
  </r>
  <r>
    <x v="225"/>
    <x v="5"/>
    <n v="30"/>
  </r>
  <r>
    <x v="221"/>
    <x v="1"/>
    <n v="32"/>
  </r>
  <r>
    <x v="277"/>
    <x v="7"/>
    <n v="100"/>
  </r>
  <r>
    <x v="293"/>
    <x v="3"/>
    <n v="437"/>
  </r>
  <r>
    <x v="272"/>
    <x v="6"/>
    <n v="265"/>
  </r>
  <r>
    <x v="282"/>
    <x v="3"/>
    <n v="337"/>
  </r>
  <r>
    <x v="327"/>
    <x v="3"/>
    <n v="84"/>
  </r>
  <r>
    <x v="264"/>
    <x v="7"/>
    <n v="80"/>
  </r>
  <r>
    <x v="286"/>
    <x v="1"/>
    <n v="116"/>
  </r>
  <r>
    <x v="326"/>
    <x v="3"/>
    <n v="266"/>
  </r>
  <r>
    <x v="91"/>
    <x v="1"/>
    <n v="79"/>
  </r>
  <r>
    <x v="326"/>
    <x v="2"/>
    <n v="278"/>
  </r>
  <r>
    <x v="234"/>
    <x v="1"/>
    <n v="95"/>
  </r>
  <r>
    <x v="189"/>
    <x v="1"/>
    <n v="39"/>
  </r>
  <r>
    <x v="206"/>
    <x v="5"/>
    <n v="16"/>
  </r>
  <r>
    <x v="310"/>
    <x v="0"/>
    <n v="268"/>
  </r>
  <r>
    <x v="322"/>
    <x v="6"/>
    <n v="194"/>
  </r>
  <r>
    <x v="289"/>
    <x v="7"/>
    <n v="110"/>
  </r>
  <r>
    <x v="317"/>
    <x v="5"/>
    <n v="41"/>
  </r>
  <r>
    <x v="326"/>
    <x v="4"/>
    <n v="43"/>
  </r>
  <r>
    <x v="320"/>
    <x v="8"/>
    <n v="71"/>
  </r>
  <r>
    <x v="283"/>
    <x v="6"/>
    <n v="118"/>
  </r>
  <r>
    <x v="258"/>
    <x v="6"/>
    <n v="142"/>
  </r>
  <r>
    <x v="321"/>
    <x v="4"/>
    <n v="38"/>
  </r>
  <r>
    <x v="243"/>
    <x v="0"/>
    <n v="416"/>
  </r>
  <r>
    <x v="252"/>
    <x v="1"/>
    <n v="97"/>
  </r>
  <r>
    <x v="252"/>
    <x v="5"/>
    <n v="67"/>
  </r>
  <r>
    <x v="328"/>
    <x v="2"/>
    <n v="117"/>
  </r>
  <r>
    <x v="308"/>
    <x v="6"/>
    <n v="69"/>
  </r>
  <r>
    <x v="307"/>
    <x v="2"/>
    <n v="156"/>
  </r>
  <r>
    <x v="329"/>
    <x v="6"/>
    <n v="60"/>
  </r>
  <r>
    <x v="316"/>
    <x v="4"/>
    <n v="32"/>
  </r>
  <r>
    <x v="316"/>
    <x v="0"/>
    <n v="141"/>
  </r>
  <r>
    <x v="323"/>
    <x v="7"/>
    <n v="46"/>
  </r>
  <r>
    <x v="323"/>
    <x v="2"/>
    <n v="210"/>
  </r>
  <r>
    <x v="256"/>
    <x v="6"/>
    <n v="128"/>
  </r>
  <r>
    <x v="308"/>
    <x v="0"/>
    <n v="139"/>
  </r>
  <r>
    <x v="288"/>
    <x v="0"/>
    <n v="246"/>
  </r>
  <r>
    <x v="330"/>
    <x v="0"/>
    <n v="236"/>
  </r>
  <r>
    <x v="330"/>
    <x v="3"/>
    <n v="224"/>
  </r>
  <r>
    <x v="330"/>
    <x v="2"/>
    <n v="301"/>
  </r>
  <r>
    <x v="269"/>
    <x v="0"/>
    <n v="222"/>
  </r>
  <r>
    <x v="330"/>
    <x v="1"/>
    <n v="85"/>
  </r>
  <r>
    <x v="269"/>
    <x v="1"/>
    <n v="107"/>
  </r>
  <r>
    <x v="269"/>
    <x v="3"/>
    <n v="186"/>
  </r>
  <r>
    <x v="271"/>
    <x v="7"/>
    <n v="124"/>
  </r>
  <r>
    <x v="299"/>
    <x v="5"/>
    <n v="95"/>
  </r>
  <r>
    <x v="243"/>
    <x v="1"/>
    <n v="125"/>
  </r>
  <r>
    <x v="268"/>
    <x v="0"/>
    <n v="435"/>
  </r>
  <r>
    <x v="262"/>
    <x v="3"/>
    <n v="265"/>
  </r>
  <r>
    <x v="309"/>
    <x v="4"/>
    <n v="68"/>
  </r>
  <r>
    <x v="309"/>
    <x v="7"/>
    <n v="109"/>
  </r>
  <r>
    <x v="310"/>
    <x v="3"/>
    <n v="220"/>
  </r>
  <r>
    <x v="308"/>
    <x v="2"/>
    <n v="155"/>
  </r>
  <r>
    <x v="310"/>
    <x v="8"/>
    <n v="86"/>
  </r>
  <r>
    <x v="269"/>
    <x v="2"/>
    <n v="280"/>
  </r>
  <r>
    <x v="330"/>
    <x v="6"/>
    <n v="163"/>
  </r>
  <r>
    <x v="298"/>
    <x v="2"/>
    <n v="178"/>
  </r>
  <r>
    <x v="298"/>
    <x v="6"/>
    <n v="80"/>
  </r>
  <r>
    <x v="309"/>
    <x v="5"/>
    <n v="89"/>
  </r>
  <r>
    <x v="309"/>
    <x v="0"/>
    <n v="234"/>
  </r>
  <r>
    <x v="276"/>
    <x v="5"/>
    <n v="87"/>
  </r>
  <r>
    <x v="295"/>
    <x v="1"/>
    <n v="112"/>
  </r>
  <r>
    <x v="283"/>
    <x v="5"/>
    <n v="77"/>
  </r>
  <r>
    <x v="283"/>
    <x v="2"/>
    <n v="236"/>
  </r>
  <r>
    <x v="275"/>
    <x v="0"/>
    <n v="185"/>
  </r>
  <r>
    <x v="302"/>
    <x v="2"/>
    <n v="321"/>
  </r>
  <r>
    <x v="307"/>
    <x v="7"/>
    <n v="48"/>
  </r>
  <r>
    <x v="330"/>
    <x v="5"/>
    <n v="67"/>
  </r>
  <r>
    <x v="222"/>
    <x v="1"/>
    <n v="81"/>
  </r>
  <r>
    <x v="294"/>
    <x v="0"/>
    <n v="192"/>
  </r>
  <r>
    <x v="303"/>
    <x v="5"/>
    <n v="76"/>
  </r>
  <r>
    <x v="303"/>
    <x v="2"/>
    <n v="199"/>
  </r>
  <r>
    <x v="328"/>
    <x v="0"/>
    <n v="96"/>
  </r>
  <r>
    <x v="321"/>
    <x v="0"/>
    <n v="150"/>
  </r>
  <r>
    <x v="321"/>
    <x v="2"/>
    <n v="175"/>
  </r>
  <r>
    <x v="321"/>
    <x v="1"/>
    <n v="52"/>
  </r>
  <r>
    <x v="271"/>
    <x v="5"/>
    <n v="77"/>
  </r>
  <r>
    <x v="320"/>
    <x v="3"/>
    <n v="216"/>
  </r>
  <r>
    <x v="307"/>
    <x v="3"/>
    <n v="120"/>
  </r>
  <r>
    <x v="298"/>
    <x v="4"/>
    <n v="22"/>
  </r>
  <r>
    <x v="321"/>
    <x v="7"/>
    <n v="48"/>
  </r>
  <r>
    <x v="222"/>
    <x v="7"/>
    <n v="59"/>
  </r>
  <r>
    <x v="287"/>
    <x v="2"/>
    <n v="394"/>
  </r>
  <r>
    <x v="287"/>
    <x v="1"/>
    <n v="95"/>
  </r>
  <r>
    <x v="292"/>
    <x v="1"/>
    <n v="101"/>
  </r>
  <r>
    <x v="292"/>
    <x v="5"/>
    <n v="81"/>
  </r>
  <r>
    <x v="284"/>
    <x v="0"/>
    <n v="237"/>
  </r>
  <r>
    <x v="320"/>
    <x v="0"/>
    <n v="250"/>
  </r>
  <r>
    <x v="306"/>
    <x v="7"/>
    <n v="94"/>
  </r>
  <r>
    <x v="276"/>
    <x v="3"/>
    <n v="231"/>
  </r>
  <r>
    <x v="295"/>
    <x v="3"/>
    <n v="224"/>
  </r>
  <r>
    <x v="280"/>
    <x v="4"/>
    <n v="23"/>
  </r>
  <r>
    <x v="297"/>
    <x v="8"/>
    <n v="17"/>
  </r>
  <r>
    <x v="314"/>
    <x v="3"/>
    <n v="81"/>
  </r>
  <r>
    <x v="276"/>
    <x v="6"/>
    <n v="165"/>
  </r>
  <r>
    <x v="326"/>
    <x v="0"/>
    <n v="272"/>
  </r>
  <r>
    <x v="276"/>
    <x v="2"/>
    <n v="334"/>
  </r>
  <r>
    <x v="295"/>
    <x v="0"/>
    <n v="245"/>
  </r>
  <r>
    <x v="276"/>
    <x v="0"/>
    <n v="281"/>
  </r>
  <r>
    <x v="276"/>
    <x v="1"/>
    <n v="96"/>
  </r>
  <r>
    <x v="294"/>
    <x v="2"/>
    <n v="173"/>
  </r>
  <r>
    <x v="294"/>
    <x v="3"/>
    <n v="168"/>
  </r>
  <r>
    <x v="294"/>
    <x v="5"/>
    <n v="54"/>
  </r>
  <r>
    <x v="294"/>
    <x v="1"/>
    <n v="77"/>
  </r>
  <r>
    <x v="323"/>
    <x v="5"/>
    <n v="54"/>
  </r>
  <r>
    <x v="312"/>
    <x v="6"/>
    <n v="42"/>
  </r>
  <r>
    <x v="331"/>
    <x v="8"/>
    <n v="6"/>
  </r>
  <r>
    <x v="332"/>
    <x v="3"/>
    <n v="81"/>
  </r>
  <r>
    <x v="305"/>
    <x v="2"/>
    <n v="92"/>
  </r>
  <r>
    <x v="285"/>
    <x v="5"/>
    <n v="87"/>
  </r>
  <r>
    <x v="333"/>
    <x v="8"/>
    <n v="16"/>
  </r>
  <r>
    <x v="334"/>
    <x v="1"/>
    <n v="28"/>
  </r>
  <r>
    <x v="301"/>
    <x v="6"/>
    <n v="62"/>
  </r>
  <r>
    <x v="301"/>
    <x v="3"/>
    <n v="103"/>
  </r>
  <r>
    <x v="316"/>
    <x v="2"/>
    <n v="181"/>
  </r>
  <r>
    <x v="188"/>
    <x v="3"/>
    <n v="403"/>
  </r>
  <r>
    <x v="281"/>
    <x v="1"/>
    <n v="90"/>
  </r>
  <r>
    <x v="290"/>
    <x v="0"/>
    <n v="315"/>
  </r>
  <r>
    <x v="285"/>
    <x v="0"/>
    <n v="340"/>
  </r>
  <r>
    <x v="320"/>
    <x v="1"/>
    <n v="91"/>
  </r>
  <r>
    <x v="290"/>
    <x v="3"/>
    <n v="330"/>
  </r>
  <r>
    <x v="290"/>
    <x v="5"/>
    <n v="89"/>
  </r>
  <r>
    <x v="295"/>
    <x v="5"/>
    <n v="87"/>
  </r>
  <r>
    <x v="313"/>
    <x v="2"/>
    <n v="101"/>
  </r>
  <r>
    <x v="314"/>
    <x v="4"/>
    <n v="21"/>
  </r>
  <r>
    <x v="242"/>
    <x v="8"/>
    <n v="24"/>
  </r>
  <r>
    <x v="328"/>
    <x v="7"/>
    <n v="32"/>
  </r>
  <r>
    <x v="269"/>
    <x v="8"/>
    <n v="80"/>
  </r>
  <r>
    <x v="298"/>
    <x v="5"/>
    <n v="62"/>
  </r>
  <r>
    <x v="283"/>
    <x v="0"/>
    <n v="214"/>
  </r>
  <r>
    <x v="307"/>
    <x v="0"/>
    <n v="147"/>
  </r>
  <r>
    <x v="307"/>
    <x v="6"/>
    <n v="76"/>
  </r>
  <r>
    <x v="256"/>
    <x v="3"/>
    <n v="181"/>
  </r>
  <r>
    <x v="269"/>
    <x v="5"/>
    <n v="74"/>
  </r>
  <r>
    <x v="323"/>
    <x v="0"/>
    <n v="133"/>
  </r>
  <r>
    <x v="335"/>
    <x v="8"/>
    <n v="24"/>
  </r>
  <r>
    <x v="288"/>
    <x v="4"/>
    <n v="51"/>
  </r>
  <r>
    <x v="320"/>
    <x v="6"/>
    <n v="154"/>
  </r>
  <r>
    <x v="322"/>
    <x v="4"/>
    <n v="52"/>
  </r>
  <r>
    <x v="287"/>
    <x v="8"/>
    <n v="91"/>
  </r>
  <r>
    <x v="299"/>
    <x v="1"/>
    <n v="123"/>
  </r>
  <r>
    <x v="304"/>
    <x v="5"/>
    <n v="79"/>
  </r>
  <r>
    <x v="277"/>
    <x v="5"/>
    <n v="82"/>
  </r>
  <r>
    <x v="282"/>
    <x v="2"/>
    <n v="402"/>
  </r>
  <r>
    <x v="277"/>
    <x v="1"/>
    <n v="84"/>
  </r>
  <r>
    <x v="289"/>
    <x v="5"/>
    <n v="75"/>
  </r>
  <r>
    <x v="282"/>
    <x v="0"/>
    <n v="317"/>
  </r>
  <r>
    <x v="302"/>
    <x v="7"/>
    <n v="82"/>
  </r>
  <r>
    <x v="320"/>
    <x v="2"/>
    <n v="317"/>
  </r>
  <r>
    <x v="306"/>
    <x v="6"/>
    <n v="206"/>
  </r>
  <r>
    <x v="336"/>
    <x v="2"/>
    <n v="115"/>
  </r>
  <r>
    <x v="326"/>
    <x v="6"/>
    <n v="168"/>
  </r>
  <r>
    <x v="328"/>
    <x v="4"/>
    <n v="13"/>
  </r>
  <r>
    <x v="256"/>
    <x v="0"/>
    <n v="201"/>
  </r>
  <r>
    <x v="222"/>
    <x v="2"/>
    <n v="206"/>
  </r>
  <r>
    <x v="222"/>
    <x v="0"/>
    <n v="197"/>
  </r>
  <r>
    <x v="242"/>
    <x v="1"/>
    <n v="67"/>
  </r>
  <r>
    <x v="242"/>
    <x v="5"/>
    <n v="53"/>
  </r>
  <r>
    <x v="242"/>
    <x v="0"/>
    <n v="119"/>
  </r>
  <r>
    <x v="243"/>
    <x v="7"/>
    <n v="159"/>
  </r>
  <r>
    <x v="282"/>
    <x v="1"/>
    <n v="95"/>
  </r>
  <r>
    <x v="286"/>
    <x v="3"/>
    <n v="364"/>
  </r>
  <r>
    <x v="291"/>
    <x v="7"/>
    <n v="127"/>
  </r>
  <r>
    <x v="309"/>
    <x v="1"/>
    <n v="109"/>
  </r>
  <r>
    <x v="305"/>
    <x v="1"/>
    <n v="32"/>
  </r>
  <r>
    <x v="337"/>
    <x v="7"/>
    <n v="17"/>
  </r>
  <r>
    <x v="300"/>
    <x v="8"/>
    <n v="59"/>
  </r>
  <r>
    <x v="334"/>
    <x v="0"/>
    <n v="62"/>
  </r>
  <r>
    <x v="319"/>
    <x v="4"/>
    <n v="11"/>
  </r>
  <r>
    <x v="316"/>
    <x v="3"/>
    <n v="135"/>
  </r>
  <r>
    <x v="328"/>
    <x v="3"/>
    <n v="79"/>
  </r>
  <r>
    <x v="277"/>
    <x v="8"/>
    <n v="80"/>
  </r>
  <r>
    <x v="303"/>
    <x v="1"/>
    <n v="91"/>
  </r>
  <r>
    <x v="238"/>
    <x v="8"/>
    <n v="199"/>
  </r>
  <r>
    <x v="293"/>
    <x v="1"/>
    <n v="117"/>
  </r>
  <r>
    <x v="286"/>
    <x v="7"/>
    <n v="132"/>
  </r>
  <r>
    <x v="291"/>
    <x v="2"/>
    <n v="394"/>
  </r>
  <r>
    <x v="291"/>
    <x v="3"/>
    <n v="312"/>
  </r>
  <r>
    <x v="291"/>
    <x v="0"/>
    <n v="297"/>
  </r>
  <r>
    <x v="291"/>
    <x v="5"/>
    <n v="72"/>
  </r>
  <r>
    <x v="306"/>
    <x v="0"/>
    <n v="277"/>
  </r>
  <r>
    <x v="309"/>
    <x v="3"/>
    <n v="238"/>
  </r>
  <r>
    <x v="335"/>
    <x v="1"/>
    <n v="48"/>
  </r>
  <r>
    <x v="335"/>
    <x v="5"/>
    <n v="48"/>
  </r>
  <r>
    <x v="335"/>
    <x v="2"/>
    <n v="117"/>
  </r>
  <r>
    <x v="333"/>
    <x v="6"/>
    <n v="41"/>
  </r>
  <r>
    <x v="333"/>
    <x v="7"/>
    <n v="22"/>
  </r>
  <r>
    <x v="338"/>
    <x v="3"/>
    <n v="88"/>
  </r>
  <r>
    <x v="323"/>
    <x v="1"/>
    <n v="66"/>
  </r>
  <r>
    <x v="303"/>
    <x v="0"/>
    <n v="153"/>
  </r>
  <r>
    <x v="282"/>
    <x v="4"/>
    <n v="84"/>
  </r>
  <r>
    <x v="322"/>
    <x v="2"/>
    <n v="295"/>
  </r>
  <r>
    <x v="264"/>
    <x v="8"/>
    <n v="87"/>
  </r>
  <r>
    <x v="285"/>
    <x v="8"/>
    <n v="143"/>
  </r>
  <r>
    <x v="258"/>
    <x v="4"/>
    <n v="69"/>
  </r>
  <r>
    <x v="304"/>
    <x v="0"/>
    <n v="209"/>
  </r>
  <r>
    <x v="304"/>
    <x v="7"/>
    <n v="84"/>
  </r>
  <r>
    <x v="258"/>
    <x v="0"/>
    <n v="184"/>
  </r>
  <r>
    <x v="258"/>
    <x v="5"/>
    <n v="59"/>
  </r>
  <r>
    <x v="258"/>
    <x v="2"/>
    <n v="198"/>
  </r>
  <r>
    <x v="258"/>
    <x v="1"/>
    <n v="66"/>
  </r>
  <r>
    <x v="256"/>
    <x v="5"/>
    <n v="78"/>
  </r>
  <r>
    <x v="335"/>
    <x v="6"/>
    <n v="57"/>
  </r>
  <r>
    <x v="329"/>
    <x v="7"/>
    <n v="39"/>
  </r>
  <r>
    <x v="314"/>
    <x v="0"/>
    <n v="119"/>
  </r>
  <r>
    <x v="310"/>
    <x v="7"/>
    <n v="80"/>
  </r>
  <r>
    <x v="326"/>
    <x v="5"/>
    <n v="63"/>
  </r>
  <r>
    <x v="311"/>
    <x v="3"/>
    <n v="46"/>
  </r>
  <r>
    <x v="327"/>
    <x v="5"/>
    <n v="47"/>
  </r>
  <r>
    <x v="316"/>
    <x v="6"/>
    <n v="111"/>
  </r>
  <r>
    <x v="298"/>
    <x v="8"/>
    <n v="46"/>
  </r>
  <r>
    <x v="261"/>
    <x v="5"/>
    <n v="94"/>
  </r>
  <r>
    <x v="263"/>
    <x v="7"/>
    <n v="122"/>
  </r>
  <r>
    <x v="288"/>
    <x v="8"/>
    <n v="56"/>
  </r>
  <r>
    <x v="276"/>
    <x v="8"/>
    <n v="57"/>
  </r>
  <r>
    <x v="284"/>
    <x v="4"/>
    <n v="57"/>
  </r>
  <r>
    <x v="282"/>
    <x v="8"/>
    <n v="127"/>
  </r>
  <r>
    <x v="292"/>
    <x v="2"/>
    <n v="363"/>
  </r>
  <r>
    <x v="306"/>
    <x v="1"/>
    <n v="118"/>
  </r>
  <r>
    <x v="304"/>
    <x v="1"/>
    <n v="66"/>
  </r>
  <r>
    <x v="306"/>
    <x v="3"/>
    <n v="277"/>
  </r>
  <r>
    <x v="294"/>
    <x v="8"/>
    <n v="30"/>
  </r>
  <r>
    <x v="339"/>
    <x v="0"/>
    <n v="31"/>
  </r>
  <r>
    <x v="332"/>
    <x v="6"/>
    <n v="58"/>
  </r>
  <r>
    <x v="311"/>
    <x v="2"/>
    <n v="86"/>
  </r>
  <r>
    <x v="319"/>
    <x v="6"/>
    <n v="43"/>
  </r>
  <r>
    <x v="321"/>
    <x v="8"/>
    <n v="69"/>
  </r>
  <r>
    <x v="311"/>
    <x v="0"/>
    <n v="71"/>
  </r>
  <r>
    <x v="328"/>
    <x v="6"/>
    <n v="56"/>
  </r>
  <r>
    <x v="288"/>
    <x v="5"/>
    <n v="69"/>
  </r>
  <r>
    <x v="288"/>
    <x v="7"/>
    <n v="90"/>
  </r>
  <r>
    <x v="308"/>
    <x v="1"/>
    <n v="58"/>
  </r>
  <r>
    <x v="244"/>
    <x v="3"/>
    <n v="227"/>
  </r>
  <r>
    <x v="251"/>
    <x v="4"/>
    <n v="89"/>
  </r>
  <r>
    <x v="340"/>
    <x v="6"/>
    <n v="1"/>
  </r>
  <r>
    <x v="289"/>
    <x v="8"/>
    <n v="87"/>
  </r>
  <r>
    <x v="289"/>
    <x v="2"/>
    <n v="316"/>
  </r>
  <r>
    <x v="322"/>
    <x v="3"/>
    <n v="251"/>
  </r>
  <r>
    <x v="306"/>
    <x v="5"/>
    <n v="96"/>
  </r>
  <r>
    <x v="330"/>
    <x v="7"/>
    <n v="66"/>
  </r>
  <r>
    <x v="303"/>
    <x v="6"/>
    <n v="95"/>
  </r>
  <r>
    <x v="280"/>
    <x v="8"/>
    <n v="29"/>
  </r>
  <r>
    <x v="334"/>
    <x v="8"/>
    <n v="17"/>
  </r>
  <r>
    <x v="327"/>
    <x v="2"/>
    <n v="122"/>
  </r>
  <r>
    <x v="319"/>
    <x v="3"/>
    <n v="71"/>
  </r>
  <r>
    <x v="316"/>
    <x v="7"/>
    <n v="53"/>
  </r>
  <r>
    <x v="294"/>
    <x v="4"/>
    <n v="34"/>
  </r>
  <r>
    <x v="303"/>
    <x v="7"/>
    <n v="64"/>
  </r>
  <r>
    <x v="244"/>
    <x v="6"/>
    <n v="164"/>
  </r>
  <r>
    <x v="244"/>
    <x v="1"/>
    <n v="87"/>
  </r>
  <r>
    <x v="262"/>
    <x v="2"/>
    <n v="315"/>
  </r>
  <r>
    <x v="262"/>
    <x v="5"/>
    <n v="71"/>
  </r>
  <r>
    <x v="262"/>
    <x v="1"/>
    <n v="103"/>
  </r>
  <r>
    <x v="256"/>
    <x v="8"/>
    <n v="36"/>
  </r>
  <r>
    <x v="283"/>
    <x v="3"/>
    <n v="191"/>
  </r>
  <r>
    <x v="302"/>
    <x v="5"/>
    <n v="62"/>
  </r>
  <r>
    <x v="302"/>
    <x v="1"/>
    <n v="94"/>
  </r>
  <r>
    <x v="256"/>
    <x v="1"/>
    <n v="56"/>
  </r>
  <r>
    <x v="279"/>
    <x v="1"/>
    <n v="163"/>
  </r>
  <r>
    <x v="279"/>
    <x v="5"/>
    <n v="105"/>
  </r>
  <r>
    <x v="272"/>
    <x v="5"/>
    <n v="78"/>
  </r>
  <r>
    <x v="302"/>
    <x v="0"/>
    <n v="265"/>
  </r>
  <r>
    <x v="243"/>
    <x v="4"/>
    <n v="77"/>
  </r>
  <r>
    <x v="268"/>
    <x v="1"/>
    <n v="116"/>
  </r>
  <r>
    <x v="273"/>
    <x v="1"/>
    <n v="101"/>
  </r>
  <r>
    <x v="268"/>
    <x v="5"/>
    <n v="79"/>
  </r>
  <r>
    <x v="320"/>
    <x v="5"/>
    <n v="66"/>
  </r>
  <r>
    <x v="322"/>
    <x v="1"/>
    <n v="89"/>
  </r>
  <r>
    <x v="278"/>
    <x v="1"/>
    <n v="75"/>
  </r>
  <r>
    <x v="283"/>
    <x v="1"/>
    <n v="87"/>
  </r>
  <r>
    <x v="275"/>
    <x v="6"/>
    <n v="101"/>
  </r>
  <r>
    <x v="275"/>
    <x v="1"/>
    <n v="63"/>
  </r>
  <r>
    <x v="318"/>
    <x v="6"/>
    <n v="35"/>
  </r>
  <r>
    <x v="304"/>
    <x v="4"/>
    <n v="70"/>
  </r>
  <r>
    <x v="285"/>
    <x v="4"/>
    <n v="83"/>
  </r>
  <r>
    <x v="263"/>
    <x v="1"/>
    <n v="97"/>
  </r>
  <r>
    <x v="188"/>
    <x v="1"/>
    <n v="113"/>
  </r>
  <r>
    <x v="244"/>
    <x v="5"/>
    <n v="63"/>
  </r>
  <r>
    <x v="274"/>
    <x v="4"/>
    <n v="87"/>
  </r>
  <r>
    <x v="284"/>
    <x v="5"/>
    <n v="60"/>
  </r>
  <r>
    <x v="284"/>
    <x v="1"/>
    <n v="101"/>
  </r>
  <r>
    <x v="334"/>
    <x v="6"/>
    <n v="37"/>
  </r>
  <r>
    <x v="329"/>
    <x v="8"/>
    <n v="21"/>
  </r>
  <r>
    <x v="323"/>
    <x v="4"/>
    <n v="31"/>
  </r>
  <r>
    <x v="308"/>
    <x v="8"/>
    <n v="27"/>
  </r>
  <r>
    <x v="330"/>
    <x v="8"/>
    <n v="46"/>
  </r>
  <r>
    <x v="300"/>
    <x v="1"/>
    <n v="56"/>
  </r>
  <r>
    <x v="311"/>
    <x v="5"/>
    <n v="29"/>
  </r>
  <r>
    <x v="309"/>
    <x v="8"/>
    <n v="68"/>
  </r>
  <r>
    <x v="284"/>
    <x v="8"/>
    <n v="76"/>
  </r>
  <r>
    <x v="283"/>
    <x v="8"/>
    <n v="47"/>
  </r>
  <r>
    <x v="276"/>
    <x v="7"/>
    <n v="74"/>
  </r>
  <r>
    <x v="242"/>
    <x v="6"/>
    <n v="68"/>
  </r>
  <r>
    <x v="275"/>
    <x v="3"/>
    <n v="157"/>
  </r>
  <r>
    <x v="256"/>
    <x v="4"/>
    <n v="37"/>
  </r>
  <r>
    <x v="222"/>
    <x v="5"/>
    <n v="71"/>
  </r>
  <r>
    <x v="298"/>
    <x v="3"/>
    <n v="122"/>
  </r>
  <r>
    <x v="288"/>
    <x v="1"/>
    <n v="83"/>
  </r>
  <r>
    <x v="307"/>
    <x v="1"/>
    <n v="65"/>
  </r>
  <r>
    <x v="307"/>
    <x v="5"/>
    <n v="56"/>
  </r>
  <r>
    <x v="275"/>
    <x v="8"/>
    <n v="42"/>
  </r>
  <r>
    <x v="273"/>
    <x v="5"/>
    <n v="89"/>
  </r>
  <r>
    <x v="222"/>
    <x v="4"/>
    <n v="37"/>
  </r>
  <r>
    <x v="327"/>
    <x v="7"/>
    <n v="22"/>
  </r>
  <r>
    <x v="323"/>
    <x v="6"/>
    <n v="123"/>
  </r>
  <r>
    <x v="284"/>
    <x v="3"/>
    <n v="247"/>
  </r>
  <r>
    <x v="328"/>
    <x v="1"/>
    <n v="43"/>
  </r>
  <r>
    <x v="286"/>
    <x v="0"/>
    <n v="309"/>
  </r>
  <r>
    <x v="327"/>
    <x v="6"/>
    <n v="52"/>
  </r>
  <r>
    <x v="328"/>
    <x v="5"/>
    <n v="44"/>
  </r>
  <r>
    <x v="327"/>
    <x v="0"/>
    <n v="90"/>
  </r>
  <r>
    <x v="328"/>
    <x v="8"/>
    <n v="32"/>
  </r>
  <r>
    <x v="319"/>
    <x v="0"/>
    <n v="95"/>
  </r>
  <r>
    <x v="308"/>
    <x v="7"/>
    <n v="35"/>
  </r>
  <r>
    <x v="326"/>
    <x v="1"/>
    <n v="82"/>
  </r>
  <r>
    <x v="326"/>
    <x v="8"/>
    <n v="54"/>
  </r>
  <r>
    <x v="192"/>
    <x v="1"/>
    <n v="60"/>
  </r>
  <r>
    <x v="319"/>
    <x v="5"/>
    <n v="36"/>
  </r>
  <r>
    <x v="316"/>
    <x v="1"/>
    <n v="62"/>
  </r>
  <r>
    <x v="308"/>
    <x v="5"/>
    <n v="37"/>
  </r>
  <r>
    <x v="154"/>
    <x v="3"/>
    <n v="93"/>
  </r>
  <r>
    <x v="339"/>
    <x v="6"/>
    <n v="15"/>
  </r>
  <r>
    <x v="278"/>
    <x v="0"/>
    <n v="195"/>
  </r>
  <r>
    <x v="273"/>
    <x v="4"/>
    <n v="70"/>
  </r>
  <r>
    <x v="301"/>
    <x v="0"/>
    <n v="89"/>
  </r>
  <r>
    <x v="314"/>
    <x v="7"/>
    <n v="36"/>
  </r>
  <r>
    <x v="327"/>
    <x v="4"/>
    <n v="22"/>
  </r>
  <r>
    <x v="335"/>
    <x v="0"/>
    <n v="109"/>
  </r>
  <r>
    <x v="242"/>
    <x v="4"/>
    <n v="23"/>
  </r>
  <r>
    <x v="334"/>
    <x v="3"/>
    <n v="60"/>
  </r>
  <r>
    <x v="315"/>
    <x v="6"/>
    <n v="34"/>
  </r>
  <r>
    <x v="297"/>
    <x v="3"/>
    <n v="81"/>
  </r>
  <r>
    <x v="323"/>
    <x v="8"/>
    <n v="39"/>
  </r>
  <r>
    <x v="294"/>
    <x v="7"/>
    <n v="46"/>
  </r>
  <r>
    <x v="298"/>
    <x v="1"/>
    <n v="67"/>
  </r>
  <r>
    <x v="330"/>
    <x v="4"/>
    <n v="38"/>
  </r>
  <r>
    <x v="341"/>
    <x v="2"/>
    <n v="51"/>
  </r>
  <r>
    <x v="329"/>
    <x v="1"/>
    <n v="41"/>
  </r>
  <r>
    <x v="335"/>
    <x v="3"/>
    <n v="71"/>
  </r>
  <r>
    <x v="322"/>
    <x v="8"/>
    <n v="82"/>
  </r>
  <r>
    <x v="265"/>
    <x v="6"/>
    <n v="32"/>
  </r>
  <r>
    <x v="300"/>
    <x v="3"/>
    <n v="80"/>
  </r>
  <r>
    <x v="300"/>
    <x v="6"/>
    <n v="57"/>
  </r>
  <r>
    <x v="317"/>
    <x v="2"/>
    <n v="96"/>
  </r>
  <r>
    <x v="321"/>
    <x v="5"/>
    <n v="43"/>
  </r>
  <r>
    <x v="311"/>
    <x v="7"/>
    <n v="15"/>
  </r>
  <r>
    <x v="341"/>
    <x v="8"/>
    <n v="12"/>
  </r>
  <r>
    <x v="329"/>
    <x v="2"/>
    <n v="131"/>
  </r>
  <r>
    <x v="336"/>
    <x v="6"/>
    <n v="56"/>
  </r>
  <r>
    <x v="301"/>
    <x v="4"/>
    <n v="19"/>
  </r>
  <r>
    <x v="312"/>
    <x v="3"/>
    <n v="52"/>
  </r>
  <r>
    <x v="337"/>
    <x v="0"/>
    <n v="61"/>
  </r>
  <r>
    <x v="300"/>
    <x v="2"/>
    <n v="105"/>
  </r>
  <r>
    <x v="280"/>
    <x v="0"/>
    <n v="103"/>
  </r>
  <r>
    <x v="284"/>
    <x v="7"/>
    <n v="75"/>
  </r>
  <r>
    <x v="180"/>
    <x v="5"/>
    <n v="26"/>
  </r>
  <r>
    <x v="327"/>
    <x v="1"/>
    <n v="41"/>
  </r>
  <r>
    <x v="333"/>
    <x v="2"/>
    <n v="77"/>
  </r>
  <r>
    <x v="310"/>
    <x v="1"/>
    <n v="96"/>
  </r>
  <r>
    <x v="319"/>
    <x v="8"/>
    <n v="29"/>
  </r>
  <r>
    <x v="317"/>
    <x v="8"/>
    <n v="16"/>
  </r>
  <r>
    <x v="317"/>
    <x v="3"/>
    <n v="66"/>
  </r>
  <r>
    <x v="280"/>
    <x v="7"/>
    <n v="26"/>
  </r>
  <r>
    <x v="341"/>
    <x v="1"/>
    <n v="22"/>
  </r>
  <r>
    <x v="290"/>
    <x v="4"/>
    <n v="64"/>
  </r>
  <r>
    <x v="306"/>
    <x v="8"/>
    <n v="78"/>
  </r>
  <r>
    <x v="291"/>
    <x v="4"/>
    <n v="75"/>
  </r>
  <r>
    <x v="263"/>
    <x v="0"/>
    <n v="324"/>
  </r>
  <r>
    <x v="307"/>
    <x v="4"/>
    <n v="27"/>
  </r>
  <r>
    <x v="286"/>
    <x v="6"/>
    <n v="244"/>
  </r>
  <r>
    <x v="286"/>
    <x v="5"/>
    <n v="90"/>
  </r>
  <r>
    <x v="342"/>
    <x v="4"/>
    <n v="4"/>
  </r>
  <r>
    <x v="338"/>
    <x v="7"/>
    <n v="22"/>
  </r>
  <r>
    <x v="295"/>
    <x v="4"/>
    <n v="39"/>
  </r>
  <r>
    <x v="310"/>
    <x v="4"/>
    <n v="40"/>
  </r>
  <r>
    <x v="343"/>
    <x v="0"/>
    <n v="46"/>
  </r>
  <r>
    <x v="251"/>
    <x v="1"/>
    <n v="124"/>
  </r>
  <r>
    <x v="283"/>
    <x v="4"/>
    <n v="28"/>
  </r>
  <r>
    <x v="322"/>
    <x v="5"/>
    <n v="71"/>
  </r>
  <r>
    <x v="303"/>
    <x v="8"/>
    <n v="21"/>
  </r>
  <r>
    <x v="313"/>
    <x v="7"/>
    <n v="16"/>
  </r>
  <r>
    <x v="329"/>
    <x v="0"/>
    <n v="102"/>
  </r>
  <r>
    <x v="314"/>
    <x v="1"/>
    <n v="64"/>
  </r>
  <r>
    <x v="314"/>
    <x v="5"/>
    <n v="44"/>
  </r>
  <r>
    <x v="286"/>
    <x v="4"/>
    <n v="75"/>
  </r>
  <r>
    <x v="272"/>
    <x v="4"/>
    <n v="73"/>
  </r>
  <r>
    <x v="287"/>
    <x v="5"/>
    <n v="82"/>
  </r>
  <r>
    <x v="188"/>
    <x v="5"/>
    <n v="98"/>
  </r>
  <r>
    <x v="287"/>
    <x v="4"/>
    <n v="76"/>
  </r>
  <r>
    <x v="291"/>
    <x v="1"/>
    <n v="91"/>
  </r>
  <r>
    <x v="310"/>
    <x v="5"/>
    <n v="69"/>
  </r>
  <r>
    <x v="319"/>
    <x v="1"/>
    <n v="34"/>
  </r>
  <r>
    <x v="298"/>
    <x v="0"/>
    <n v="125"/>
  </r>
  <r>
    <x v="333"/>
    <x v="3"/>
    <n v="65"/>
  </r>
  <r>
    <x v="313"/>
    <x v="4"/>
    <n v="7"/>
  </r>
  <r>
    <x v="263"/>
    <x v="5"/>
    <n v="88"/>
  </r>
  <r>
    <x v="334"/>
    <x v="2"/>
    <n v="65"/>
  </r>
  <r>
    <x v="272"/>
    <x v="1"/>
    <n v="95"/>
  </r>
  <r>
    <x v="329"/>
    <x v="3"/>
    <n v="93"/>
  </r>
  <r>
    <x v="289"/>
    <x v="0"/>
    <n v="227"/>
  </r>
  <r>
    <x v="296"/>
    <x v="0"/>
    <n v="25"/>
  </r>
  <r>
    <x v="275"/>
    <x v="5"/>
    <n v="55"/>
  </r>
  <r>
    <x v="332"/>
    <x v="0"/>
    <n v="101"/>
  </r>
  <r>
    <x v="329"/>
    <x v="5"/>
    <n v="40"/>
  </r>
  <r>
    <x v="278"/>
    <x v="5"/>
    <n v="58"/>
  </r>
  <r>
    <x v="289"/>
    <x v="1"/>
    <n v="88"/>
  </r>
  <r>
    <x v="312"/>
    <x v="1"/>
    <n v="35"/>
  </r>
  <r>
    <x v="312"/>
    <x v="8"/>
    <n v="12"/>
  </r>
  <r>
    <x v="270"/>
    <x v="5"/>
    <n v="63"/>
  </r>
  <r>
    <x v="308"/>
    <x v="4"/>
    <n v="13"/>
  </r>
  <r>
    <x v="296"/>
    <x v="4"/>
    <n v="4"/>
  </r>
  <r>
    <x v="314"/>
    <x v="8"/>
    <n v="43"/>
  </r>
  <r>
    <x v="333"/>
    <x v="4"/>
    <n v="6"/>
  </r>
  <r>
    <x v="300"/>
    <x v="0"/>
    <n v="104"/>
  </r>
  <r>
    <x v="280"/>
    <x v="5"/>
    <n v="55"/>
  </r>
  <r>
    <x v="338"/>
    <x v="2"/>
    <n v="103"/>
  </r>
  <r>
    <x v="344"/>
    <x v="3"/>
    <n v="7"/>
  </r>
  <r>
    <x v="312"/>
    <x v="2"/>
    <n v="80"/>
  </r>
  <r>
    <x v="342"/>
    <x v="3"/>
    <n v="10"/>
  </r>
  <r>
    <x v="302"/>
    <x v="8"/>
    <n v="80"/>
  </r>
  <r>
    <x v="297"/>
    <x v="4"/>
    <n v="15"/>
  </r>
  <r>
    <x v="329"/>
    <x v="4"/>
    <n v="24"/>
  </r>
  <r>
    <x v="327"/>
    <x v="8"/>
    <n v="32"/>
  </r>
  <r>
    <x v="258"/>
    <x v="8"/>
    <n v="81"/>
  </r>
  <r>
    <x v="336"/>
    <x v="8"/>
    <n v="10"/>
  </r>
  <r>
    <x v="312"/>
    <x v="4"/>
    <n v="15"/>
  </r>
  <r>
    <x v="290"/>
    <x v="1"/>
    <n v="106"/>
  </r>
  <r>
    <x v="335"/>
    <x v="7"/>
    <n v="33"/>
  </r>
  <r>
    <x v="300"/>
    <x v="4"/>
    <n v="15"/>
  </r>
  <r>
    <x v="336"/>
    <x v="0"/>
    <n v="82"/>
  </r>
  <r>
    <x v="345"/>
    <x v="2"/>
    <n v="8"/>
  </r>
  <r>
    <x v="346"/>
    <x v="8"/>
    <n v="27"/>
  </r>
  <r>
    <x v="278"/>
    <x v="4"/>
    <n v="54"/>
  </r>
  <r>
    <x v="336"/>
    <x v="4"/>
    <n v="13"/>
  </r>
  <r>
    <x v="301"/>
    <x v="2"/>
    <n v="111"/>
  </r>
  <r>
    <x v="301"/>
    <x v="1"/>
    <n v="44"/>
  </r>
  <r>
    <x v="281"/>
    <x v="5"/>
    <n v="57"/>
  </r>
  <r>
    <x v="341"/>
    <x v="0"/>
    <n v="46"/>
  </r>
  <r>
    <x v="332"/>
    <x v="2"/>
    <n v="89"/>
  </r>
  <r>
    <x v="347"/>
    <x v="8"/>
    <n v="8"/>
  </r>
  <r>
    <x v="316"/>
    <x v="5"/>
    <n v="69"/>
  </r>
  <r>
    <x v="274"/>
    <x v="5"/>
    <n v="76"/>
  </r>
  <r>
    <x v="301"/>
    <x v="5"/>
    <n v="40"/>
  </r>
  <r>
    <x v="311"/>
    <x v="1"/>
    <n v="49"/>
  </r>
  <r>
    <x v="339"/>
    <x v="4"/>
    <n v="2"/>
  </r>
  <r>
    <x v="270"/>
    <x v="1"/>
    <n v="104"/>
  </r>
  <r>
    <x v="280"/>
    <x v="3"/>
    <n v="62"/>
  </r>
  <r>
    <x v="297"/>
    <x v="0"/>
    <n v="121"/>
  </r>
  <r>
    <x v="343"/>
    <x v="3"/>
    <n v="36"/>
  </r>
  <r>
    <x v="332"/>
    <x v="4"/>
    <n v="8"/>
  </r>
  <r>
    <x v="280"/>
    <x v="1"/>
    <n v="51"/>
  </r>
  <r>
    <x v="325"/>
    <x v="3"/>
    <n v="44"/>
  </r>
  <r>
    <x v="317"/>
    <x v="1"/>
    <n v="38"/>
  </r>
  <r>
    <x v="264"/>
    <x v="5"/>
    <n v="57"/>
  </r>
  <r>
    <x v="348"/>
    <x v="2"/>
    <n v="54"/>
  </r>
  <r>
    <x v="264"/>
    <x v="1"/>
    <n v="60"/>
  </r>
  <r>
    <x v="302"/>
    <x v="4"/>
    <n v="43"/>
  </r>
  <r>
    <x v="347"/>
    <x v="7"/>
    <n v="3"/>
  </r>
  <r>
    <x v="333"/>
    <x v="0"/>
    <n v="71"/>
  </r>
  <r>
    <x v="334"/>
    <x v="7"/>
    <n v="20"/>
  </r>
  <r>
    <x v="265"/>
    <x v="1"/>
    <n v="13"/>
  </r>
  <r>
    <x v="296"/>
    <x v="2"/>
    <n v="44"/>
  </r>
  <r>
    <x v="338"/>
    <x v="1"/>
    <n v="46"/>
  </r>
  <r>
    <x v="334"/>
    <x v="5"/>
    <n v="19"/>
  </r>
  <r>
    <x v="300"/>
    <x v="5"/>
    <n v="41"/>
  </r>
  <r>
    <x v="335"/>
    <x v="4"/>
    <n v="10"/>
  </r>
  <r>
    <x v="337"/>
    <x v="2"/>
    <n v="70"/>
  </r>
  <r>
    <x v="336"/>
    <x v="7"/>
    <n v="21"/>
  </r>
  <r>
    <x v="319"/>
    <x v="7"/>
    <n v="23"/>
  </r>
  <r>
    <x v="297"/>
    <x v="7"/>
    <n v="21"/>
  </r>
  <r>
    <x v="318"/>
    <x v="0"/>
    <n v="55"/>
  </r>
  <r>
    <x v="301"/>
    <x v="8"/>
    <n v="19"/>
  </r>
  <r>
    <x v="341"/>
    <x v="5"/>
    <n v="22"/>
  </r>
  <r>
    <x v="317"/>
    <x v="6"/>
    <n v="53"/>
  </r>
  <r>
    <x v="338"/>
    <x v="6"/>
    <n v="72"/>
  </r>
  <r>
    <x v="349"/>
    <x v="0"/>
    <n v="20"/>
  </r>
  <r>
    <x v="350"/>
    <x v="0"/>
    <n v="11"/>
  </r>
  <r>
    <x v="348"/>
    <x v="7"/>
    <n v="15"/>
  </r>
  <r>
    <x v="311"/>
    <x v="8"/>
    <n v="9"/>
  </r>
  <r>
    <x v="313"/>
    <x v="3"/>
    <n v="74"/>
  </r>
  <r>
    <x v="343"/>
    <x v="6"/>
    <n v="25"/>
  </r>
  <r>
    <x v="351"/>
    <x v="0"/>
    <n v="5"/>
  </r>
  <r>
    <x v="352"/>
    <x v="7"/>
    <n v="6"/>
  </r>
  <r>
    <x v="341"/>
    <x v="3"/>
    <n v="47"/>
  </r>
  <r>
    <x v="305"/>
    <x v="8"/>
    <n v="7"/>
  </r>
  <r>
    <x v="318"/>
    <x v="3"/>
    <n v="40"/>
  </r>
  <r>
    <x v="353"/>
    <x v="2"/>
    <n v="22"/>
  </r>
  <r>
    <x v="341"/>
    <x v="6"/>
    <n v="28"/>
  </r>
  <r>
    <x v="336"/>
    <x v="3"/>
    <n v="75"/>
  </r>
  <r>
    <x v="354"/>
    <x v="8"/>
    <n v="10"/>
  </r>
  <r>
    <x v="334"/>
    <x v="4"/>
    <n v="10"/>
  </r>
  <r>
    <x v="355"/>
    <x v="7"/>
    <n v="4"/>
  </r>
  <r>
    <x v="297"/>
    <x v="1"/>
    <n v="43"/>
  </r>
  <r>
    <x v="337"/>
    <x v="6"/>
    <n v="41"/>
  </r>
  <r>
    <x v="356"/>
    <x v="2"/>
    <n v="15"/>
  </r>
  <r>
    <x v="349"/>
    <x v="6"/>
    <n v="13"/>
  </r>
  <r>
    <x v="342"/>
    <x v="2"/>
    <n v="14"/>
  </r>
  <r>
    <x v="348"/>
    <x v="0"/>
    <n v="51"/>
  </r>
  <r>
    <x v="338"/>
    <x v="0"/>
    <n v="98"/>
  </r>
  <r>
    <x v="357"/>
    <x v="0"/>
    <n v="6"/>
  </r>
  <r>
    <x v="338"/>
    <x v="4"/>
    <n v="10"/>
  </r>
  <r>
    <x v="315"/>
    <x v="0"/>
    <n v="52"/>
  </r>
  <r>
    <x v="338"/>
    <x v="5"/>
    <n v="38"/>
  </r>
  <r>
    <x v="332"/>
    <x v="8"/>
    <n v="9"/>
  </r>
  <r>
    <x v="351"/>
    <x v="6"/>
    <n v="3"/>
  </r>
  <r>
    <x v="324"/>
    <x v="4"/>
    <n v="6"/>
  </r>
  <r>
    <x v="315"/>
    <x v="4"/>
    <n v="5"/>
  </r>
  <r>
    <x v="343"/>
    <x v="2"/>
    <n v="47"/>
  </r>
  <r>
    <x v="312"/>
    <x v="5"/>
    <n v="38"/>
  </r>
  <r>
    <x v="305"/>
    <x v="4"/>
    <n v="9"/>
  </r>
  <r>
    <x v="324"/>
    <x v="7"/>
    <n v="11"/>
  </r>
  <r>
    <x v="349"/>
    <x v="3"/>
    <n v="21"/>
  </r>
  <r>
    <x v="358"/>
    <x v="4"/>
    <n v="3"/>
  </r>
  <r>
    <x v="296"/>
    <x v="8"/>
    <n v="5"/>
  </r>
  <r>
    <x v="346"/>
    <x v="0"/>
    <n v="32"/>
  </r>
  <r>
    <x v="349"/>
    <x v="4"/>
    <n v="3"/>
  </r>
  <r>
    <x v="359"/>
    <x v="3"/>
    <n v="3"/>
  </r>
  <r>
    <x v="360"/>
    <x v="4"/>
    <n v="4"/>
  </r>
  <r>
    <x v="361"/>
    <x v="3"/>
    <n v="2"/>
  </r>
  <r>
    <x v="362"/>
    <x v="4"/>
    <n v="8"/>
  </r>
  <r>
    <x v="363"/>
    <x v="3"/>
    <n v="5"/>
  </r>
  <r>
    <x v="364"/>
    <x v="3"/>
    <n v="2"/>
  </r>
  <r>
    <x v="361"/>
    <x v="6"/>
    <n v="2"/>
  </r>
  <r>
    <x v="365"/>
    <x v="3"/>
    <n v="7"/>
  </r>
  <r>
    <x v="366"/>
    <x v="2"/>
    <n v="13"/>
  </r>
  <r>
    <x v="366"/>
    <x v="4"/>
    <n v="5"/>
  </r>
  <r>
    <x v="367"/>
    <x v="6"/>
    <n v="5"/>
  </r>
  <r>
    <x v="368"/>
    <x v="6"/>
    <n v="3"/>
  </r>
  <r>
    <x v="360"/>
    <x v="0"/>
    <n v="6"/>
  </r>
  <r>
    <x v="368"/>
    <x v="2"/>
    <n v="7"/>
  </r>
  <r>
    <x v="369"/>
    <x v="0"/>
    <n v="4"/>
  </r>
  <r>
    <x v="368"/>
    <x v="7"/>
    <n v="1"/>
  </r>
  <r>
    <x v="370"/>
    <x v="2"/>
    <n v="5"/>
  </r>
  <r>
    <x v="369"/>
    <x v="2"/>
    <n v="4"/>
  </r>
  <r>
    <x v="371"/>
    <x v="0"/>
    <n v="6"/>
  </r>
  <r>
    <x v="371"/>
    <x v="7"/>
    <n v="2"/>
  </r>
  <r>
    <x v="372"/>
    <x v="3"/>
    <n v="1"/>
  </r>
  <r>
    <x v="370"/>
    <x v="4"/>
    <n v="4"/>
  </r>
  <r>
    <x v="370"/>
    <x v="1"/>
    <n v="1"/>
  </r>
  <r>
    <x v="370"/>
    <x v="3"/>
    <n v="5"/>
  </r>
  <r>
    <x v="370"/>
    <x v="0"/>
    <n v="2"/>
  </r>
  <r>
    <x v="368"/>
    <x v="0"/>
    <n v="6"/>
  </r>
  <r>
    <x v="367"/>
    <x v="0"/>
    <n v="5"/>
  </r>
  <r>
    <x v="373"/>
    <x v="3"/>
    <n v="3"/>
  </r>
  <r>
    <x v="372"/>
    <x v="2"/>
    <n v="4"/>
  </r>
  <r>
    <x v="372"/>
    <x v="6"/>
    <n v="1"/>
  </r>
  <r>
    <x v="358"/>
    <x v="6"/>
    <n v="7"/>
  </r>
  <r>
    <x v="374"/>
    <x v="7"/>
    <n v="2"/>
  </r>
  <r>
    <x v="337"/>
    <x v="1"/>
    <n v="18"/>
  </r>
  <r>
    <x v="318"/>
    <x v="1"/>
    <n v="42"/>
  </r>
  <r>
    <x v="325"/>
    <x v="1"/>
    <n v="24"/>
  </r>
  <r>
    <x v="315"/>
    <x v="5"/>
    <n v="22"/>
  </r>
  <r>
    <x v="325"/>
    <x v="5"/>
    <n v="30"/>
  </r>
  <r>
    <x v="315"/>
    <x v="8"/>
    <n v="12"/>
  </r>
  <r>
    <x v="296"/>
    <x v="1"/>
    <n v="9"/>
  </r>
  <r>
    <x v="348"/>
    <x v="6"/>
    <n v="28"/>
  </r>
  <r>
    <x v="325"/>
    <x v="2"/>
    <n v="66"/>
  </r>
  <r>
    <x v="325"/>
    <x v="0"/>
    <n v="44"/>
  </r>
  <r>
    <x v="313"/>
    <x v="5"/>
    <n v="47"/>
  </r>
  <r>
    <x v="313"/>
    <x v="0"/>
    <n v="80"/>
  </r>
  <r>
    <x v="375"/>
    <x v="1"/>
    <n v="12"/>
  </r>
  <r>
    <x v="317"/>
    <x v="4"/>
    <n v="16"/>
  </r>
  <r>
    <x v="333"/>
    <x v="1"/>
    <n v="46"/>
  </r>
  <r>
    <x v="305"/>
    <x v="3"/>
    <n v="80"/>
  </r>
  <r>
    <x v="332"/>
    <x v="5"/>
    <n v="32"/>
  </r>
  <r>
    <x v="336"/>
    <x v="1"/>
    <n v="49"/>
  </r>
  <r>
    <x v="336"/>
    <x v="5"/>
    <n v="33"/>
  </r>
  <r>
    <x v="332"/>
    <x v="1"/>
    <n v="36"/>
  </r>
  <r>
    <x v="332"/>
    <x v="7"/>
    <n v="27"/>
  </r>
  <r>
    <x v="337"/>
    <x v="3"/>
    <n v="51"/>
  </r>
  <r>
    <x v="208"/>
    <x v="3"/>
    <n v="6"/>
  </r>
  <r>
    <x v="348"/>
    <x v="8"/>
    <n v="8"/>
  </r>
  <r>
    <x v="348"/>
    <x v="4"/>
    <n v="8"/>
  </r>
  <r>
    <x v="343"/>
    <x v="8"/>
    <n v="8"/>
  </r>
  <r>
    <x v="318"/>
    <x v="7"/>
    <n v="12"/>
  </r>
  <r>
    <x v="318"/>
    <x v="5"/>
    <n v="34"/>
  </r>
  <r>
    <x v="341"/>
    <x v="7"/>
    <n v="11"/>
  </r>
  <r>
    <x v="317"/>
    <x v="7"/>
    <n v="19"/>
  </r>
  <r>
    <x v="376"/>
    <x v="8"/>
    <n v="3"/>
  </r>
  <r>
    <x v="324"/>
    <x v="8"/>
    <n v="7"/>
  </r>
  <r>
    <x v="265"/>
    <x v="7"/>
    <n v="14"/>
  </r>
  <r>
    <x v="343"/>
    <x v="7"/>
    <n v="18"/>
  </r>
  <r>
    <x v="318"/>
    <x v="4"/>
    <n v="2"/>
  </r>
  <r>
    <x v="315"/>
    <x v="1"/>
    <n v="31"/>
  </r>
  <r>
    <x v="377"/>
    <x v="0"/>
    <n v="7"/>
  </r>
  <r>
    <x v="349"/>
    <x v="7"/>
    <n v="12"/>
  </r>
  <r>
    <x v="357"/>
    <x v="2"/>
    <n v="13"/>
  </r>
  <r>
    <x v="339"/>
    <x v="3"/>
    <n v="23"/>
  </r>
  <r>
    <x v="265"/>
    <x v="0"/>
    <n v="27"/>
  </r>
  <r>
    <x v="265"/>
    <x v="5"/>
    <n v="7"/>
  </r>
  <r>
    <x v="339"/>
    <x v="2"/>
    <n v="32"/>
  </r>
  <r>
    <x v="352"/>
    <x v="0"/>
    <n v="9"/>
  </r>
  <r>
    <x v="378"/>
    <x v="3"/>
    <n v="5"/>
  </r>
  <r>
    <x v="350"/>
    <x v="8"/>
    <n v="9"/>
  </r>
  <r>
    <x v="377"/>
    <x v="8"/>
    <n v="11"/>
  </r>
  <r>
    <x v="342"/>
    <x v="6"/>
    <n v="2"/>
  </r>
  <r>
    <x v="379"/>
    <x v="2"/>
    <n v="13"/>
  </r>
  <r>
    <x v="324"/>
    <x v="3"/>
    <n v="33"/>
  </r>
  <r>
    <x v="296"/>
    <x v="6"/>
    <n v="18"/>
  </r>
  <r>
    <x v="324"/>
    <x v="2"/>
    <n v="43"/>
  </r>
  <r>
    <x v="348"/>
    <x v="3"/>
    <n v="36"/>
  </r>
  <r>
    <x v="325"/>
    <x v="4"/>
    <n v="5"/>
  </r>
  <r>
    <x v="324"/>
    <x v="1"/>
    <n v="19"/>
  </r>
  <r>
    <x v="324"/>
    <x v="0"/>
    <n v="37"/>
  </r>
  <r>
    <x v="375"/>
    <x v="2"/>
    <n v="27"/>
  </r>
  <r>
    <x v="375"/>
    <x v="3"/>
    <n v="17"/>
  </r>
  <r>
    <x v="349"/>
    <x v="1"/>
    <n v="8"/>
  </r>
  <r>
    <x v="349"/>
    <x v="2"/>
    <n v="31"/>
  </r>
  <r>
    <x v="376"/>
    <x v="3"/>
    <n v="6"/>
  </r>
  <r>
    <x v="342"/>
    <x v="1"/>
    <n v="3"/>
  </r>
  <r>
    <x v="324"/>
    <x v="5"/>
    <n v="18"/>
  </r>
  <r>
    <x v="339"/>
    <x v="5"/>
    <n v="11"/>
  </r>
  <r>
    <x v="355"/>
    <x v="3"/>
    <n v="7"/>
  </r>
  <r>
    <x v="346"/>
    <x v="2"/>
    <n v="31"/>
  </r>
  <r>
    <x v="380"/>
    <x v="2"/>
    <n v="6"/>
  </r>
  <r>
    <x v="375"/>
    <x v="5"/>
    <n v="5"/>
  </r>
  <r>
    <x v="364"/>
    <x v="6"/>
    <n v="3"/>
  </r>
  <r>
    <x v="381"/>
    <x v="2"/>
    <n v="13"/>
  </r>
  <r>
    <x v="331"/>
    <x v="3"/>
    <n v="4"/>
  </r>
  <r>
    <x v="382"/>
    <x v="6"/>
    <n v="3"/>
  </r>
  <r>
    <x v="383"/>
    <x v="6"/>
    <n v="8"/>
  </r>
  <r>
    <x v="383"/>
    <x v="8"/>
    <n v="4"/>
  </r>
  <r>
    <x v="345"/>
    <x v="0"/>
    <n v="4"/>
  </r>
  <r>
    <x v="331"/>
    <x v="0"/>
    <n v="2"/>
  </r>
  <r>
    <x v="345"/>
    <x v="7"/>
    <n v="2"/>
  </r>
  <r>
    <x v="376"/>
    <x v="2"/>
    <n v="9"/>
  </r>
  <r>
    <x v="384"/>
    <x v="2"/>
    <n v="8"/>
  </r>
  <r>
    <x v="385"/>
    <x v="4"/>
    <n v="4"/>
  </r>
  <r>
    <x v="361"/>
    <x v="2"/>
    <n v="7"/>
  </r>
  <r>
    <x v="355"/>
    <x v="5"/>
    <n v="6"/>
  </r>
  <r>
    <x v="353"/>
    <x v="8"/>
    <n v="4"/>
  </r>
  <r>
    <x v="110"/>
    <x v="5"/>
    <n v="20"/>
  </r>
  <r>
    <x v="91"/>
    <x v="5"/>
    <n v="23"/>
  </r>
  <r>
    <x v="362"/>
    <x v="2"/>
    <n v="8"/>
  </r>
  <r>
    <x v="386"/>
    <x v="2"/>
    <n v="11"/>
  </r>
  <r>
    <x v="380"/>
    <x v="8"/>
    <n v="6"/>
  </r>
  <r>
    <x v="387"/>
    <x v="8"/>
    <n v="9"/>
  </r>
  <r>
    <x v="388"/>
    <x v="2"/>
    <n v="13"/>
  </r>
  <r>
    <x v="346"/>
    <x v="3"/>
    <n v="29"/>
  </r>
  <r>
    <x v="346"/>
    <x v="6"/>
    <n v="18"/>
  </r>
  <r>
    <x v="346"/>
    <x v="5"/>
    <n v="10"/>
  </r>
  <r>
    <x v="339"/>
    <x v="1"/>
    <n v="8"/>
  </r>
  <r>
    <x v="265"/>
    <x v="3"/>
    <n v="41"/>
  </r>
  <r>
    <x v="296"/>
    <x v="5"/>
    <n v="17"/>
  </r>
  <r>
    <x v="375"/>
    <x v="8"/>
    <n v="7"/>
  </r>
  <r>
    <x v="339"/>
    <x v="8"/>
    <n v="7"/>
  </r>
  <r>
    <x v="375"/>
    <x v="7"/>
    <n v="3"/>
  </r>
  <r>
    <x v="375"/>
    <x v="4"/>
    <n v="3"/>
  </r>
  <r>
    <x v="355"/>
    <x v="8"/>
    <n v="2"/>
  </r>
  <r>
    <x v="342"/>
    <x v="8"/>
    <n v="9"/>
  </r>
  <r>
    <x v="338"/>
    <x v="8"/>
    <n v="18"/>
  </r>
  <r>
    <x v="311"/>
    <x v="4"/>
    <n v="11"/>
  </r>
  <r>
    <x v="349"/>
    <x v="8"/>
    <n v="1"/>
  </r>
  <r>
    <x v="364"/>
    <x v="0"/>
    <n v="3"/>
  </r>
  <r>
    <x v="389"/>
    <x v="2"/>
    <n v="9"/>
  </r>
  <r>
    <x v="377"/>
    <x v="2"/>
    <n v="10"/>
  </r>
  <r>
    <x v="356"/>
    <x v="0"/>
    <n v="14"/>
  </r>
  <r>
    <x v="267"/>
    <x v="1"/>
    <n v="5"/>
  </r>
  <r>
    <x v="267"/>
    <x v="2"/>
    <n v="13"/>
  </r>
  <r>
    <x v="267"/>
    <x v="3"/>
    <n v="13"/>
  </r>
  <r>
    <x v="352"/>
    <x v="6"/>
    <n v="10"/>
  </r>
  <r>
    <x v="342"/>
    <x v="0"/>
    <n v="7"/>
  </r>
  <r>
    <x v="347"/>
    <x v="6"/>
    <n v="13"/>
  </r>
  <r>
    <x v="355"/>
    <x v="2"/>
    <n v="9"/>
  </r>
  <r>
    <x v="390"/>
    <x v="8"/>
    <n v="1"/>
  </r>
  <r>
    <x v="391"/>
    <x v="4"/>
    <n v="2"/>
  </r>
  <r>
    <x v="365"/>
    <x v="8"/>
    <n v="2"/>
  </r>
  <r>
    <x v="354"/>
    <x v="0"/>
    <n v="2"/>
  </r>
  <r>
    <x v="370"/>
    <x v="8"/>
    <n v="1"/>
  </r>
  <r>
    <x v="364"/>
    <x v="1"/>
    <n v="1"/>
  </r>
  <r>
    <x v="365"/>
    <x v="0"/>
    <n v="5"/>
  </r>
  <r>
    <x v="369"/>
    <x v="7"/>
    <n v="3"/>
  </r>
  <r>
    <x v="362"/>
    <x v="7"/>
    <n v="6"/>
  </r>
  <r>
    <x v="381"/>
    <x v="6"/>
    <n v="9"/>
  </r>
  <r>
    <x v="381"/>
    <x v="3"/>
    <n v="9"/>
  </r>
  <r>
    <x v="363"/>
    <x v="2"/>
    <n v="3"/>
  </r>
  <r>
    <x v="364"/>
    <x v="2"/>
    <n v="6"/>
  </r>
  <r>
    <x v="361"/>
    <x v="0"/>
    <n v="3"/>
  </r>
  <r>
    <x v="208"/>
    <x v="6"/>
    <n v="2"/>
  </r>
  <r>
    <x v="345"/>
    <x v="4"/>
    <n v="3"/>
  </r>
  <r>
    <x v="365"/>
    <x v="5"/>
    <n v="1"/>
  </r>
  <r>
    <x v="392"/>
    <x v="2"/>
    <n v="4"/>
  </r>
  <r>
    <x v="392"/>
    <x v="4"/>
    <n v="3"/>
  </r>
  <r>
    <x v="392"/>
    <x v="6"/>
    <n v="8"/>
  </r>
  <r>
    <x v="354"/>
    <x v="7"/>
    <n v="4"/>
  </r>
  <r>
    <x v="393"/>
    <x v="3"/>
    <n v="4"/>
  </r>
  <r>
    <x v="393"/>
    <x v="0"/>
    <n v="3"/>
  </r>
  <r>
    <x v="394"/>
    <x v="0"/>
    <n v="1"/>
  </r>
  <r>
    <x v="340"/>
    <x v="3"/>
    <n v="2"/>
  </r>
  <r>
    <x v="369"/>
    <x v="3"/>
    <n v="2"/>
  </r>
  <r>
    <x v="372"/>
    <x v="0"/>
    <n v="4"/>
  </r>
  <r>
    <x v="373"/>
    <x v="2"/>
    <n v="2"/>
  </r>
  <r>
    <x v="373"/>
    <x v="0"/>
    <n v="3"/>
  </r>
  <r>
    <x v="375"/>
    <x v="0"/>
    <n v="16"/>
  </r>
  <r>
    <x v="228"/>
    <x v="7"/>
    <n v="1"/>
  </r>
  <r>
    <x v="340"/>
    <x v="0"/>
    <n v="3"/>
  </r>
  <r>
    <x v="395"/>
    <x v="0"/>
    <n v="1"/>
  </r>
  <r>
    <x v="373"/>
    <x v="6"/>
    <n v="2"/>
  </r>
  <r>
    <x v="396"/>
    <x v="4"/>
    <n v="1"/>
  </r>
  <r>
    <x v="228"/>
    <x v="6"/>
    <n v="2"/>
  </r>
  <r>
    <x v="340"/>
    <x v="2"/>
    <n v="2"/>
  </r>
  <r>
    <x v="397"/>
    <x v="0"/>
    <n v="1"/>
  </r>
  <r>
    <x v="396"/>
    <x v="6"/>
    <n v="1"/>
  </r>
  <r>
    <x v="337"/>
    <x v="4"/>
    <n v="5"/>
  </r>
  <r>
    <x v="297"/>
    <x v="5"/>
    <n v="42"/>
  </r>
  <r>
    <x v="333"/>
    <x v="5"/>
    <n v="41"/>
  </r>
  <r>
    <x v="337"/>
    <x v="5"/>
    <n v="28"/>
  </r>
  <r>
    <x v="313"/>
    <x v="1"/>
    <n v="42"/>
  </r>
  <r>
    <x v="381"/>
    <x v="7"/>
    <n v="8"/>
  </r>
  <r>
    <x v="353"/>
    <x v="5"/>
    <n v="7"/>
  </r>
  <r>
    <x v="356"/>
    <x v="8"/>
    <n v="23"/>
  </r>
  <r>
    <x v="343"/>
    <x v="4"/>
    <n v="2"/>
  </r>
  <r>
    <x v="267"/>
    <x v="0"/>
    <n v="11"/>
  </r>
  <r>
    <x v="348"/>
    <x v="1"/>
    <n v="18"/>
  </r>
  <r>
    <x v="352"/>
    <x v="2"/>
    <n v="15"/>
  </r>
  <r>
    <x v="380"/>
    <x v="3"/>
    <n v="11"/>
  </r>
  <r>
    <x v="348"/>
    <x v="5"/>
    <n v="25"/>
  </r>
  <r>
    <x v="387"/>
    <x v="4"/>
    <n v="3"/>
  </r>
  <r>
    <x v="379"/>
    <x v="5"/>
    <n v="6"/>
  </r>
  <r>
    <x v="379"/>
    <x v="8"/>
    <n v="1"/>
  </r>
  <r>
    <x v="353"/>
    <x v="7"/>
    <n v="4"/>
  </r>
  <r>
    <x v="353"/>
    <x v="1"/>
    <n v="6"/>
  </r>
  <r>
    <x v="388"/>
    <x v="5"/>
    <n v="2"/>
  </r>
  <r>
    <x v="339"/>
    <x v="7"/>
    <n v="6"/>
  </r>
  <r>
    <x v="380"/>
    <x v="6"/>
    <n v="6"/>
  </r>
  <r>
    <x v="351"/>
    <x v="2"/>
    <n v="5"/>
  </r>
  <r>
    <x v="355"/>
    <x v="6"/>
    <n v="6"/>
  </r>
  <r>
    <x v="379"/>
    <x v="0"/>
    <n v="13"/>
  </r>
  <r>
    <x v="347"/>
    <x v="2"/>
    <n v="6"/>
  </r>
  <r>
    <x v="378"/>
    <x v="1"/>
    <n v="2"/>
  </r>
  <r>
    <x v="398"/>
    <x v="4"/>
    <n v="2"/>
  </r>
  <r>
    <x v="399"/>
    <x v="2"/>
    <n v="7"/>
  </r>
  <r>
    <x v="359"/>
    <x v="8"/>
    <n v="2"/>
  </r>
  <r>
    <x v="365"/>
    <x v="2"/>
    <n v="5"/>
  </r>
  <r>
    <x v="400"/>
    <x v="4"/>
    <n v="4"/>
  </r>
  <r>
    <x v="386"/>
    <x v="7"/>
    <n v="5"/>
  </r>
  <r>
    <x v="384"/>
    <x v="0"/>
    <n v="1"/>
  </r>
  <r>
    <x v="366"/>
    <x v="8"/>
    <n v="2"/>
  </r>
  <r>
    <x v="383"/>
    <x v="4"/>
    <n v="10"/>
  </r>
  <r>
    <x v="363"/>
    <x v="6"/>
    <n v="3"/>
  </r>
  <r>
    <x v="386"/>
    <x v="8"/>
    <n v="1"/>
  </r>
  <r>
    <x v="381"/>
    <x v="0"/>
    <n v="7"/>
  </r>
  <r>
    <x v="345"/>
    <x v="6"/>
    <n v="3"/>
  </r>
  <r>
    <x v="367"/>
    <x v="7"/>
    <n v="4"/>
  </r>
  <r>
    <x v="369"/>
    <x v="6"/>
    <n v="4"/>
  </r>
  <r>
    <x v="367"/>
    <x v="3"/>
    <n v="4"/>
  </r>
  <r>
    <x v="395"/>
    <x v="1"/>
    <n v="1"/>
  </r>
  <r>
    <x v="397"/>
    <x v="7"/>
    <n v="1"/>
  </r>
  <r>
    <x v="371"/>
    <x v="3"/>
    <n v="4"/>
  </r>
  <r>
    <x v="395"/>
    <x v="2"/>
    <n v="2"/>
  </r>
  <r>
    <x v="373"/>
    <x v="7"/>
    <n v="1"/>
  </r>
  <r>
    <x v="395"/>
    <x v="3"/>
    <n v="3"/>
  </r>
  <r>
    <x v="358"/>
    <x v="3"/>
    <n v="7"/>
  </r>
  <r>
    <x v="397"/>
    <x v="6"/>
    <n v="1"/>
  </r>
  <r>
    <x v="397"/>
    <x v="1"/>
    <n v="1"/>
  </r>
  <r>
    <x v="380"/>
    <x v="5"/>
    <n v="2"/>
  </r>
  <r>
    <x v="380"/>
    <x v="4"/>
    <n v="6"/>
  </r>
  <r>
    <x v="318"/>
    <x v="8"/>
    <n v="4"/>
  </r>
  <r>
    <x v="325"/>
    <x v="8"/>
    <n v="4"/>
  </r>
  <r>
    <x v="341"/>
    <x v="4"/>
    <n v="5"/>
  </r>
  <r>
    <x v="352"/>
    <x v="3"/>
    <n v="7"/>
  </r>
  <r>
    <x v="346"/>
    <x v="4"/>
    <n v="7"/>
  </r>
  <r>
    <x v="315"/>
    <x v="7"/>
    <n v="16"/>
  </r>
  <r>
    <x v="346"/>
    <x v="7"/>
    <n v="4"/>
  </r>
  <r>
    <x v="325"/>
    <x v="7"/>
    <n v="4"/>
  </r>
  <r>
    <x v="313"/>
    <x v="8"/>
    <n v="12"/>
  </r>
  <r>
    <x v="400"/>
    <x v="6"/>
    <n v="7"/>
  </r>
  <r>
    <x v="386"/>
    <x v="3"/>
    <n v="2"/>
  </r>
  <r>
    <x v="386"/>
    <x v="0"/>
    <n v="4"/>
  </r>
  <r>
    <x v="365"/>
    <x v="6"/>
    <n v="9"/>
  </r>
  <r>
    <x v="382"/>
    <x v="8"/>
    <n v="8"/>
  </r>
  <r>
    <x v="347"/>
    <x v="3"/>
    <n v="6"/>
  </r>
  <r>
    <x v="347"/>
    <x v="4"/>
    <n v="1"/>
  </r>
  <r>
    <x v="377"/>
    <x v="7"/>
    <n v="5"/>
  </r>
  <r>
    <x v="351"/>
    <x v="4"/>
    <n v="2"/>
  </r>
  <r>
    <x v="378"/>
    <x v="0"/>
    <n v="4"/>
  </r>
  <r>
    <x v="350"/>
    <x v="5"/>
    <n v="5"/>
  </r>
  <r>
    <x v="350"/>
    <x v="7"/>
    <n v="4"/>
  </r>
  <r>
    <x v="401"/>
    <x v="3"/>
    <n v="5"/>
  </r>
  <r>
    <x v="350"/>
    <x v="3"/>
    <n v="17"/>
  </r>
  <r>
    <x v="356"/>
    <x v="6"/>
    <n v="9"/>
  </r>
  <r>
    <x v="356"/>
    <x v="3"/>
    <n v="10"/>
  </r>
  <r>
    <x v="267"/>
    <x v="6"/>
    <n v="2"/>
  </r>
  <r>
    <x v="350"/>
    <x v="2"/>
    <n v="20"/>
  </r>
  <r>
    <x v="355"/>
    <x v="1"/>
    <n v="6"/>
  </r>
  <r>
    <x v="355"/>
    <x v="0"/>
    <n v="12"/>
  </r>
  <r>
    <x v="331"/>
    <x v="2"/>
    <n v="10"/>
  </r>
  <r>
    <x v="347"/>
    <x v="0"/>
    <n v="4"/>
  </r>
  <r>
    <x v="380"/>
    <x v="0"/>
    <n v="5"/>
  </r>
  <r>
    <x v="379"/>
    <x v="6"/>
    <n v="3"/>
  </r>
  <r>
    <x v="399"/>
    <x v="3"/>
    <n v="3"/>
  </r>
  <r>
    <x v="389"/>
    <x v="6"/>
    <n v="6"/>
  </r>
  <r>
    <x v="344"/>
    <x v="2"/>
    <n v="7"/>
  </r>
  <r>
    <x v="383"/>
    <x v="2"/>
    <n v="6"/>
  </r>
  <r>
    <x v="398"/>
    <x v="0"/>
    <n v="10"/>
  </r>
  <r>
    <x v="354"/>
    <x v="6"/>
    <n v="5"/>
  </r>
  <r>
    <x v="358"/>
    <x v="2"/>
    <n v="8"/>
  </r>
  <r>
    <x v="400"/>
    <x v="2"/>
    <n v="7"/>
  </r>
  <r>
    <x v="363"/>
    <x v="5"/>
    <n v="1"/>
  </r>
  <r>
    <x v="345"/>
    <x v="3"/>
    <n v="6"/>
  </r>
  <r>
    <x v="359"/>
    <x v="2"/>
    <n v="3"/>
  </r>
  <r>
    <x v="386"/>
    <x v="4"/>
    <n v="4"/>
  </r>
  <r>
    <x v="364"/>
    <x v="7"/>
    <n v="1"/>
  </r>
  <r>
    <x v="385"/>
    <x v="0"/>
    <n v="2"/>
  </r>
  <r>
    <x v="383"/>
    <x v="0"/>
    <n v="8"/>
  </r>
  <r>
    <x v="366"/>
    <x v="1"/>
    <n v="1"/>
  </r>
  <r>
    <x v="376"/>
    <x v="6"/>
    <n v="3"/>
  </r>
  <r>
    <x v="377"/>
    <x v="3"/>
    <n v="7"/>
  </r>
  <r>
    <x v="342"/>
    <x v="7"/>
    <n v="5"/>
  </r>
  <r>
    <x v="382"/>
    <x v="3"/>
    <n v="5"/>
  </r>
  <r>
    <x v="387"/>
    <x v="3"/>
    <n v="4"/>
  </r>
  <r>
    <x v="391"/>
    <x v="7"/>
    <n v="4"/>
  </r>
  <r>
    <x v="391"/>
    <x v="8"/>
    <n v="9"/>
  </r>
  <r>
    <x v="331"/>
    <x v="4"/>
    <n v="5"/>
  </r>
  <r>
    <x v="377"/>
    <x v="5"/>
    <n v="5"/>
  </r>
  <r>
    <x v="377"/>
    <x v="4"/>
    <n v="4"/>
  </r>
  <r>
    <x v="337"/>
    <x v="8"/>
    <n v="7"/>
  </r>
  <r>
    <x v="353"/>
    <x v="3"/>
    <n v="12"/>
  </r>
  <r>
    <x v="38"/>
    <x v="1"/>
    <n v="41"/>
  </r>
  <r>
    <x v="296"/>
    <x v="7"/>
    <n v="7"/>
  </r>
  <r>
    <x v="343"/>
    <x v="1"/>
    <n v="19"/>
  </r>
  <r>
    <x v="343"/>
    <x v="5"/>
    <n v="14"/>
  </r>
  <r>
    <x v="383"/>
    <x v="7"/>
    <n v="3"/>
  </r>
  <r>
    <x v="366"/>
    <x v="7"/>
    <n v="7"/>
  </r>
  <r>
    <x v="366"/>
    <x v="6"/>
    <n v="3"/>
  </r>
  <r>
    <x v="362"/>
    <x v="0"/>
    <n v="6"/>
  </r>
  <r>
    <x v="358"/>
    <x v="0"/>
    <n v="2"/>
  </r>
  <r>
    <x v="398"/>
    <x v="3"/>
    <n v="5"/>
  </r>
  <r>
    <x v="385"/>
    <x v="6"/>
    <n v="4"/>
  </r>
  <r>
    <x v="381"/>
    <x v="8"/>
    <n v="2"/>
  </r>
  <r>
    <x v="389"/>
    <x v="7"/>
    <n v="3"/>
  </r>
  <r>
    <x v="357"/>
    <x v="5"/>
    <n v="3"/>
  </r>
  <r>
    <x v="388"/>
    <x v="6"/>
    <n v="4"/>
  </r>
  <r>
    <x v="351"/>
    <x v="3"/>
    <n v="11"/>
  </r>
  <r>
    <x v="389"/>
    <x v="3"/>
    <n v="2"/>
  </r>
  <r>
    <x v="386"/>
    <x v="6"/>
    <n v="7"/>
  </r>
  <r>
    <x v="400"/>
    <x v="0"/>
    <n v="4"/>
  </r>
  <r>
    <x v="400"/>
    <x v="7"/>
    <n v="5"/>
  </r>
  <r>
    <x v="361"/>
    <x v="8"/>
    <n v="2"/>
  </r>
  <r>
    <x v="380"/>
    <x v="7"/>
    <n v="5"/>
  </r>
  <r>
    <x v="401"/>
    <x v="2"/>
    <n v="4"/>
  </r>
  <r>
    <x v="401"/>
    <x v="0"/>
    <n v="1"/>
  </r>
  <r>
    <x v="357"/>
    <x v="1"/>
    <n v="3"/>
  </r>
  <r>
    <x v="387"/>
    <x v="2"/>
    <n v="5"/>
  </r>
  <r>
    <x v="357"/>
    <x v="3"/>
    <n v="7"/>
  </r>
  <r>
    <x v="357"/>
    <x v="6"/>
    <n v="6"/>
  </r>
  <r>
    <x v="389"/>
    <x v="0"/>
    <n v="4"/>
  </r>
  <r>
    <x v="354"/>
    <x v="2"/>
    <n v="5"/>
  </r>
  <r>
    <x v="384"/>
    <x v="1"/>
    <n v="1"/>
  </r>
  <r>
    <x v="392"/>
    <x v="0"/>
    <n v="3"/>
  </r>
  <r>
    <x v="362"/>
    <x v="3"/>
    <n v="5"/>
  </r>
  <r>
    <x v="362"/>
    <x v="6"/>
    <n v="8"/>
  </r>
  <r>
    <x v="354"/>
    <x v="4"/>
    <n v="9"/>
  </r>
  <r>
    <x v="398"/>
    <x v="2"/>
    <n v="9"/>
  </r>
  <r>
    <x v="360"/>
    <x v="2"/>
    <n v="9"/>
  </r>
  <r>
    <x v="104"/>
    <x v="1"/>
    <n v="41"/>
  </r>
  <r>
    <x v="374"/>
    <x v="3"/>
    <n v="2"/>
  </r>
  <r>
    <x v="390"/>
    <x v="7"/>
    <n v="1"/>
  </r>
  <r>
    <x v="394"/>
    <x v="6"/>
    <n v="1"/>
  </r>
  <r>
    <x v="402"/>
    <x v="4"/>
    <n v="1"/>
  </r>
  <r>
    <x v="403"/>
    <x v="3"/>
    <n v="1"/>
  </r>
  <r>
    <x v="402"/>
    <x v="0"/>
    <n v="1"/>
  </r>
  <r>
    <x v="404"/>
    <x v="3"/>
    <n v="1"/>
  </r>
  <r>
    <x v="122"/>
    <x v="5"/>
    <n v="24"/>
  </r>
  <r>
    <x v="359"/>
    <x v="5"/>
    <n v="2"/>
  </r>
  <r>
    <x v="397"/>
    <x v="2"/>
    <n v="1"/>
  </r>
  <r>
    <x v="369"/>
    <x v="4"/>
    <n v="2"/>
  </r>
  <r>
    <x v="368"/>
    <x v="3"/>
    <n v="3"/>
  </r>
  <r>
    <x v="370"/>
    <x v="6"/>
    <n v="5"/>
  </r>
  <r>
    <x v="344"/>
    <x v="6"/>
    <n v="6"/>
  </r>
  <r>
    <x v="398"/>
    <x v="8"/>
    <n v="1"/>
  </r>
  <r>
    <x v="360"/>
    <x v="3"/>
    <n v="4"/>
  </r>
  <r>
    <x v="392"/>
    <x v="8"/>
    <n v="1"/>
  </r>
  <r>
    <x v="208"/>
    <x v="0"/>
    <n v="2"/>
  </r>
  <r>
    <x v="265"/>
    <x v="4"/>
    <n v="3"/>
  </r>
  <r>
    <x v="401"/>
    <x v="8"/>
    <n v="2"/>
  </r>
  <r>
    <x v="387"/>
    <x v="6"/>
    <n v="3"/>
  </r>
  <r>
    <x v="387"/>
    <x v="0"/>
    <n v="2"/>
  </r>
  <r>
    <x v="376"/>
    <x v="0"/>
    <n v="4"/>
  </r>
  <r>
    <x v="361"/>
    <x v="4"/>
    <n v="1"/>
  </r>
  <r>
    <x v="382"/>
    <x v="2"/>
    <n v="7"/>
  </r>
  <r>
    <x v="382"/>
    <x v="4"/>
    <n v="2"/>
  </r>
  <r>
    <x v="391"/>
    <x v="5"/>
    <n v="2"/>
  </r>
  <r>
    <x v="377"/>
    <x v="6"/>
    <n v="5"/>
  </r>
  <r>
    <x v="388"/>
    <x v="8"/>
    <n v="3"/>
  </r>
  <r>
    <x v="378"/>
    <x v="8"/>
    <n v="4"/>
  </r>
  <r>
    <x v="379"/>
    <x v="3"/>
    <n v="4"/>
  </r>
  <r>
    <x v="388"/>
    <x v="3"/>
    <n v="5"/>
  </r>
  <r>
    <x v="346"/>
    <x v="1"/>
    <n v="9"/>
  </r>
  <r>
    <x v="388"/>
    <x v="1"/>
    <n v="5"/>
  </r>
  <r>
    <x v="350"/>
    <x v="6"/>
    <n v="6"/>
  </r>
  <r>
    <x v="352"/>
    <x v="1"/>
    <n v="3"/>
  </r>
  <r>
    <x v="376"/>
    <x v="7"/>
    <n v="4"/>
  </r>
  <r>
    <x v="367"/>
    <x v="4"/>
    <n v="4"/>
  </r>
  <r>
    <x v="354"/>
    <x v="3"/>
    <n v="8"/>
  </r>
  <r>
    <x v="400"/>
    <x v="3"/>
    <n v="3"/>
  </r>
  <r>
    <x v="385"/>
    <x v="3"/>
    <n v="4"/>
  </r>
  <r>
    <x v="359"/>
    <x v="7"/>
    <n v="3"/>
  </r>
  <r>
    <x v="344"/>
    <x v="4"/>
    <n v="6"/>
  </r>
  <r>
    <x v="353"/>
    <x v="0"/>
    <n v="14"/>
  </r>
  <r>
    <x v="356"/>
    <x v="7"/>
    <n v="5"/>
  </r>
  <r>
    <x v="378"/>
    <x v="2"/>
    <n v="7"/>
  </r>
  <r>
    <x v="357"/>
    <x v="7"/>
    <n v="5"/>
  </r>
  <r>
    <x v="365"/>
    <x v="4"/>
    <n v="2"/>
  </r>
  <r>
    <x v="267"/>
    <x v="7"/>
    <n v="7"/>
  </r>
  <r>
    <x v="267"/>
    <x v="5"/>
    <n v="6"/>
  </r>
  <r>
    <x v="351"/>
    <x v="5"/>
    <n v="4"/>
  </r>
  <r>
    <x v="391"/>
    <x v="3"/>
    <n v="5"/>
  </r>
  <r>
    <x v="388"/>
    <x v="7"/>
    <n v="5"/>
  </r>
  <r>
    <x v="400"/>
    <x v="8"/>
    <n v="2"/>
  </r>
  <r>
    <x v="267"/>
    <x v="4"/>
    <n v="6"/>
  </r>
  <r>
    <x v="379"/>
    <x v="1"/>
    <n v="6"/>
  </r>
  <r>
    <x v="388"/>
    <x v="0"/>
    <n v="11"/>
  </r>
  <r>
    <x v="360"/>
    <x v="6"/>
    <n v="4"/>
  </r>
  <r>
    <x v="385"/>
    <x v="2"/>
    <n v="6"/>
  </r>
  <r>
    <x v="362"/>
    <x v="1"/>
    <n v="1"/>
  </r>
  <r>
    <x v="359"/>
    <x v="0"/>
    <n v="2"/>
  </r>
  <r>
    <x v="385"/>
    <x v="7"/>
    <n v="4"/>
  </r>
  <r>
    <x v="399"/>
    <x v="6"/>
    <n v="2"/>
  </r>
  <r>
    <x v="387"/>
    <x v="7"/>
    <n v="3"/>
  </r>
  <r>
    <x v="382"/>
    <x v="7"/>
    <n v="3"/>
  </r>
  <r>
    <x v="331"/>
    <x v="6"/>
    <n v="3"/>
  </r>
  <r>
    <x v="356"/>
    <x v="4"/>
    <n v="9"/>
  </r>
  <r>
    <x v="381"/>
    <x v="4"/>
    <n v="2"/>
  </r>
  <r>
    <x v="366"/>
    <x v="3"/>
    <n v="1"/>
  </r>
  <r>
    <x v="359"/>
    <x v="6"/>
    <n v="2"/>
  </r>
  <r>
    <x v="345"/>
    <x v="1"/>
    <n v="2"/>
  </r>
  <r>
    <x v="354"/>
    <x v="1"/>
    <n v="1"/>
  </r>
  <r>
    <x v="380"/>
    <x v="1"/>
    <n v="6"/>
  </r>
  <r>
    <x v="349"/>
    <x v="5"/>
    <n v="5"/>
  </r>
  <r>
    <x v="365"/>
    <x v="1"/>
    <n v="1"/>
  </r>
  <r>
    <x v="391"/>
    <x v="2"/>
    <n v="1"/>
  </r>
  <r>
    <x v="398"/>
    <x v="6"/>
    <n v="4"/>
  </r>
  <r>
    <x v="383"/>
    <x v="3"/>
    <n v="3"/>
  </r>
  <r>
    <x v="366"/>
    <x v="0"/>
    <n v="5"/>
  </r>
  <r>
    <x v="351"/>
    <x v="1"/>
    <n v="3"/>
  </r>
  <r>
    <x v="378"/>
    <x v="5"/>
    <n v="3"/>
  </r>
  <r>
    <x v="350"/>
    <x v="1"/>
    <n v="5"/>
  </r>
  <r>
    <x v="378"/>
    <x v="6"/>
    <n v="1"/>
  </r>
  <r>
    <x v="114"/>
    <x v="5"/>
    <n v="29"/>
  </r>
  <r>
    <x v="384"/>
    <x v="7"/>
    <n v="2"/>
  </r>
  <r>
    <x v="383"/>
    <x v="5"/>
    <n v="1"/>
  </r>
  <r>
    <x v="381"/>
    <x v="1"/>
    <n v="1"/>
  </r>
  <r>
    <x v="360"/>
    <x v="1"/>
    <n v="2"/>
  </r>
  <r>
    <x v="208"/>
    <x v="4"/>
    <n v="4"/>
  </r>
  <r>
    <x v="371"/>
    <x v="8"/>
    <n v="2"/>
  </r>
  <r>
    <x v="367"/>
    <x v="8"/>
    <n v="1"/>
  </r>
  <r>
    <x v="360"/>
    <x v="8"/>
    <n v="4"/>
  </r>
  <r>
    <x v="360"/>
    <x v="7"/>
    <n v="1"/>
  </r>
  <r>
    <x v="385"/>
    <x v="8"/>
    <n v="4"/>
  </r>
  <r>
    <x v="357"/>
    <x v="8"/>
    <n v="1"/>
  </r>
  <r>
    <x v="362"/>
    <x v="8"/>
    <n v="1"/>
  </r>
  <r>
    <x v="345"/>
    <x v="8"/>
    <n v="1"/>
  </r>
  <r>
    <x v="364"/>
    <x v="8"/>
    <n v="1"/>
  </r>
  <r>
    <x v="379"/>
    <x v="4"/>
    <n v="1"/>
  </r>
  <r>
    <x v="351"/>
    <x v="8"/>
    <n v="4"/>
  </r>
  <r>
    <x v="352"/>
    <x v="8"/>
    <n v="6"/>
  </r>
  <r>
    <x v="350"/>
    <x v="4"/>
    <n v="2"/>
  </r>
  <r>
    <x v="395"/>
    <x v="4"/>
    <n v="2"/>
  </r>
  <r>
    <x v="378"/>
    <x v="4"/>
    <n v="1"/>
  </r>
  <r>
    <x v="358"/>
    <x v="1"/>
    <n v="1"/>
  </r>
  <r>
    <x v="344"/>
    <x v="7"/>
    <n v="3"/>
  </r>
  <r>
    <x v="383"/>
    <x v="1"/>
    <n v="2"/>
  </r>
  <r>
    <x v="392"/>
    <x v="7"/>
    <n v="5"/>
  </r>
  <r>
    <x v="397"/>
    <x v="8"/>
    <n v="1"/>
  </r>
  <r>
    <x v="208"/>
    <x v="7"/>
    <n v="4"/>
  </r>
  <r>
    <x v="401"/>
    <x v="7"/>
    <n v="1"/>
  </r>
  <r>
    <x v="265"/>
    <x v="8"/>
    <n v="2"/>
  </r>
  <r>
    <x v="361"/>
    <x v="5"/>
    <n v="1"/>
  </r>
  <r>
    <x v="358"/>
    <x v="7"/>
    <n v="4"/>
  </r>
  <r>
    <x v="399"/>
    <x v="0"/>
    <n v="3"/>
  </r>
  <r>
    <x v="402"/>
    <x v="7"/>
    <n v="1"/>
  </r>
  <r>
    <x v="345"/>
    <x v="5"/>
    <n v="1"/>
  </r>
  <r>
    <x v="391"/>
    <x v="0"/>
    <n v="2"/>
  </r>
  <r>
    <x v="363"/>
    <x v="8"/>
    <n v="2"/>
  </r>
  <r>
    <x v="344"/>
    <x v="0"/>
    <n v="3"/>
  </r>
  <r>
    <x v="356"/>
    <x v="5"/>
    <n v="1"/>
  </r>
  <r>
    <x v="365"/>
    <x v="7"/>
    <n v="3"/>
  </r>
  <r>
    <x v="371"/>
    <x v="2"/>
    <n v="4"/>
  </r>
  <r>
    <x v="344"/>
    <x v="8"/>
    <n v="2"/>
  </r>
  <r>
    <x v="376"/>
    <x v="4"/>
    <n v="3"/>
  </r>
  <r>
    <x v="375"/>
    <x v="6"/>
    <n v="5"/>
  </r>
  <r>
    <x v="399"/>
    <x v="8"/>
    <n v="3"/>
  </r>
  <r>
    <x v="344"/>
    <x v="1"/>
    <n v="1"/>
  </r>
  <r>
    <x v="371"/>
    <x v="6"/>
    <n v="3"/>
  </r>
  <r>
    <x v="398"/>
    <x v="7"/>
    <n v="2"/>
  </r>
  <r>
    <x v="112"/>
    <x v="5"/>
    <n v="37"/>
  </r>
  <r>
    <x v="382"/>
    <x v="0"/>
    <n v="5"/>
  </r>
  <r>
    <x v="363"/>
    <x v="4"/>
    <n v="3"/>
  </r>
  <r>
    <x v="389"/>
    <x v="4"/>
    <n v="2"/>
  </r>
  <r>
    <x v="389"/>
    <x v="8"/>
    <n v="5"/>
  </r>
  <r>
    <x v="384"/>
    <x v="6"/>
    <n v="1"/>
  </r>
  <r>
    <x v="399"/>
    <x v="7"/>
    <n v="1"/>
  </r>
  <r>
    <x v="351"/>
    <x v="7"/>
    <n v="2"/>
  </r>
  <r>
    <x v="367"/>
    <x v="2"/>
    <n v="5"/>
  </r>
  <r>
    <x v="392"/>
    <x v="3"/>
    <n v="2"/>
  </r>
  <r>
    <x v="372"/>
    <x v="7"/>
    <n v="1"/>
  </r>
  <r>
    <x v="206"/>
    <x v="1"/>
    <n v="32"/>
  </r>
  <r>
    <x v="367"/>
    <x v="1"/>
    <n v="5"/>
  </r>
  <r>
    <x v="352"/>
    <x v="4"/>
    <n v="3"/>
  </r>
  <r>
    <x v="353"/>
    <x v="6"/>
    <n v="6"/>
  </r>
  <r>
    <x v="363"/>
    <x v="0"/>
    <n v="1"/>
  </r>
  <r>
    <x v="340"/>
    <x v="4"/>
    <n v="1"/>
  </r>
  <r>
    <x v="402"/>
    <x v="3"/>
    <n v="1"/>
  </r>
  <r>
    <x v="355"/>
    <x v="4"/>
    <n v="2"/>
  </r>
  <r>
    <x v="358"/>
    <x v="8"/>
    <n v="1"/>
  </r>
  <r>
    <x v="359"/>
    <x v="4"/>
    <n v="1"/>
  </r>
  <r>
    <x v="228"/>
    <x v="2"/>
    <n v="1"/>
  </r>
  <r>
    <x v="391"/>
    <x v="1"/>
    <n v="1"/>
  </r>
  <r>
    <x v="360"/>
    <x v="5"/>
    <n v="1"/>
  </r>
  <r>
    <x v="397"/>
    <x v="3"/>
    <n v="1"/>
  </r>
  <r>
    <x v="363"/>
    <x v="7"/>
    <n v="1"/>
  </r>
  <r>
    <x v="371"/>
    <x v="4"/>
    <n v="1"/>
  </r>
  <r>
    <x v="401"/>
    <x v="6"/>
    <n v="1"/>
  </r>
  <r>
    <x v="391"/>
    <x v="6"/>
    <n v="2"/>
  </r>
  <r>
    <x v="103"/>
    <x v="5"/>
    <n v="43"/>
  </r>
  <r>
    <x v="26"/>
    <x v="5"/>
    <n v="21"/>
  </r>
  <r>
    <x v="210"/>
    <x v="5"/>
    <n v="25"/>
  </r>
  <r>
    <x v="216"/>
    <x v="5"/>
    <n v="29"/>
  </r>
  <r>
    <x v="405"/>
    <x v="2"/>
    <n v="1"/>
  </r>
  <r>
    <x v="401"/>
    <x v="1"/>
    <n v="1"/>
  </r>
  <r>
    <x v="196"/>
    <x v="5"/>
    <n v="22"/>
  </r>
  <r>
    <x v="32"/>
    <x v="8"/>
    <n v="43"/>
  </r>
  <r>
    <x v="128"/>
    <x v="8"/>
    <n v="11"/>
  </r>
  <r>
    <x v="132"/>
    <x v="8"/>
    <n v="37"/>
  </r>
  <r>
    <x v="128"/>
    <x v="5"/>
    <n v="27"/>
  </r>
  <r>
    <x v="23"/>
    <x v="8"/>
    <n v="52"/>
  </r>
  <r>
    <x v="132"/>
    <x v="4"/>
    <n v="62"/>
  </r>
  <r>
    <x v="406"/>
    <x v="2"/>
    <n v="61"/>
  </r>
  <r>
    <x v="406"/>
    <x v="8"/>
    <n v="4"/>
  </r>
  <r>
    <x v="406"/>
    <x v="3"/>
    <n v="52"/>
  </r>
  <r>
    <x v="406"/>
    <x v="6"/>
    <n v="45"/>
  </r>
  <r>
    <x v="406"/>
    <x v="0"/>
    <n v="34"/>
  </r>
  <r>
    <x v="406"/>
    <x v="4"/>
    <n v="8"/>
  </r>
  <r>
    <x v="406"/>
    <x v="1"/>
    <n v="13"/>
  </r>
  <r>
    <x v="406"/>
    <x v="7"/>
    <n v="10"/>
  </r>
  <r>
    <x v="406"/>
    <x v="5"/>
    <n v="17"/>
  </r>
  <r>
    <x v="92"/>
    <x v="5"/>
    <n v="16"/>
  </r>
  <r>
    <x v="104"/>
    <x v="5"/>
    <n v="10"/>
  </r>
  <r>
    <x v="100"/>
    <x v="5"/>
    <n v="20"/>
  </r>
  <r>
    <x v="99"/>
    <x v="5"/>
    <n v="24"/>
  </r>
  <r>
    <x v="232"/>
    <x v="5"/>
    <n v="8"/>
  </r>
  <r>
    <x v="399"/>
    <x v="4"/>
    <n v="1"/>
  </r>
  <r>
    <x v="340"/>
    <x v="7"/>
    <n v="1"/>
  </r>
  <r>
    <x v="369"/>
    <x v="1"/>
    <n v="1"/>
  </r>
  <r>
    <x v="352"/>
    <x v="5"/>
    <n v="1"/>
  </r>
  <r>
    <x v="357"/>
    <x v="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8B290-F9FD-460A-83CF-232CAFC58D96}" name="TablaDinámica6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OS14" firstHeaderRow="1" firstDataRow="2" firstDataCol="1"/>
  <pivotFields count="3">
    <pivotField axis="axisCol" numFmtId="14" showAll="0">
      <items count="408">
        <item x="403"/>
        <item x="405"/>
        <item x="404"/>
        <item x="390"/>
        <item x="402"/>
        <item x="396"/>
        <item x="394"/>
        <item x="374"/>
        <item x="228"/>
        <item x="340"/>
        <item x="397"/>
        <item x="373"/>
        <item x="393"/>
        <item x="395"/>
        <item x="372"/>
        <item x="369"/>
        <item x="368"/>
        <item x="370"/>
        <item x="371"/>
        <item x="367"/>
        <item x="358"/>
        <item x="344"/>
        <item x="398"/>
        <item x="360"/>
        <item x="392"/>
        <item x="208"/>
        <item x="385"/>
        <item x="366"/>
        <item x="362"/>
        <item x="383"/>
        <item x="381"/>
        <item x="354"/>
        <item x="400"/>
        <item x="359"/>
        <item x="363"/>
        <item x="386"/>
        <item x="389"/>
        <item x="345"/>
        <item x="364"/>
        <item x="384"/>
        <item x="399"/>
        <item x="361"/>
        <item x="365"/>
        <item x="376"/>
        <item x="401"/>
        <item x="387"/>
        <item x="382"/>
        <item x="391"/>
        <item x="331"/>
        <item x="347"/>
        <item x="377"/>
        <item x="356"/>
        <item x="267"/>
        <item x="352"/>
        <item x="351"/>
        <item x="378"/>
        <item x="350"/>
        <item x="342"/>
        <item x="380"/>
        <item x="357"/>
        <item x="355"/>
        <item x="379"/>
        <item x="388"/>
        <item x="353"/>
        <item x="346"/>
        <item x="375"/>
        <item x="339"/>
        <item x="324"/>
        <item x="349"/>
        <item x="265"/>
        <item x="296"/>
        <item x="348"/>
        <item x="343"/>
        <item x="318"/>
        <item x="325"/>
        <item x="341"/>
        <item x="315"/>
        <item x="317"/>
        <item x="313"/>
        <item x="332"/>
        <item x="336"/>
        <item x="305"/>
        <item x="333"/>
        <item x="337"/>
        <item x="312"/>
        <item x="338"/>
        <item x="297"/>
        <item x="300"/>
        <item x="280"/>
        <item x="311"/>
        <item x="334"/>
        <item x="301"/>
        <item x="314"/>
        <item x="329"/>
        <item x="335"/>
        <item x="242"/>
        <item x="327"/>
        <item x="319"/>
        <item x="316"/>
        <item x="323"/>
        <item x="321"/>
        <item x="294"/>
        <item x="303"/>
        <item x="307"/>
        <item x="328"/>
        <item x="308"/>
        <item x="256"/>
        <item x="288"/>
        <item x="330"/>
        <item x="269"/>
        <item x="222"/>
        <item x="298"/>
        <item x="309"/>
        <item x="310"/>
        <item x="326"/>
        <item x="276"/>
        <item x="295"/>
        <item x="283"/>
        <item x="275"/>
        <item x="302"/>
        <item x="284"/>
        <item x="320"/>
        <item x="262"/>
        <item x="306"/>
        <item x="304"/>
        <item x="258"/>
        <item x="291"/>
        <item x="277"/>
        <item x="282"/>
        <item x="289"/>
        <item x="322"/>
        <item x="278"/>
        <item x="264"/>
        <item x="285"/>
        <item x="290"/>
        <item x="263"/>
        <item x="286"/>
        <item x="272"/>
        <item x="287"/>
        <item x="292"/>
        <item x="293"/>
        <item x="243"/>
        <item x="268"/>
        <item x="273"/>
        <item x="188"/>
        <item x="281"/>
        <item x="244"/>
        <item x="274"/>
        <item x="251"/>
        <item x="266"/>
        <item x="299"/>
        <item x="257"/>
        <item x="271"/>
        <item x="252"/>
        <item x="259"/>
        <item x="238"/>
        <item x="279"/>
        <item x="261"/>
        <item x="253"/>
        <item x="234"/>
        <item x="270"/>
        <item x="81"/>
        <item x="239"/>
        <item x="235"/>
        <item x="254"/>
        <item x="250"/>
        <item x="185"/>
        <item x="240"/>
        <item x="246"/>
        <item x="226"/>
        <item x="241"/>
        <item x="217"/>
        <item x="236"/>
        <item x="218"/>
        <item x="231"/>
        <item x="260"/>
        <item x="245"/>
        <item x="247"/>
        <item x="211"/>
        <item x="248"/>
        <item x="255"/>
        <item x="249"/>
        <item x="62"/>
        <item x="55"/>
        <item x="193"/>
        <item x="233"/>
        <item x="224"/>
        <item x="194"/>
        <item x="138"/>
        <item x="137"/>
        <item x="161"/>
        <item x="162"/>
        <item x="159"/>
        <item x="141"/>
        <item x="186"/>
        <item x="198"/>
        <item x="197"/>
        <item x="212"/>
        <item x="160"/>
        <item x="195"/>
        <item x="229"/>
        <item x="139"/>
        <item x="227"/>
        <item x="58"/>
        <item x="54"/>
        <item x="61"/>
        <item x="56"/>
        <item x="57"/>
        <item x="163"/>
        <item x="69"/>
        <item x="140"/>
        <item x="200"/>
        <item x="60"/>
        <item x="63"/>
        <item x="68"/>
        <item x="59"/>
        <item x="230"/>
        <item x="66"/>
        <item x="67"/>
        <item x="72"/>
        <item x="146"/>
        <item x="74"/>
        <item x="201"/>
        <item x="203"/>
        <item x="164"/>
        <item x="64"/>
        <item x="207"/>
        <item x="143"/>
        <item x="76"/>
        <item x="70"/>
        <item x="145"/>
        <item x="202"/>
        <item x="144"/>
        <item x="184"/>
        <item x="79"/>
        <item x="71"/>
        <item x="78"/>
        <item x="77"/>
        <item x="80"/>
        <item x="147"/>
        <item x="75"/>
        <item x="165"/>
        <item x="167"/>
        <item x="168"/>
        <item x="169"/>
        <item x="155"/>
        <item x="204"/>
        <item x="142"/>
        <item x="148"/>
        <item x="84"/>
        <item x="214"/>
        <item x="150"/>
        <item x="166"/>
        <item x="82"/>
        <item x="174"/>
        <item x="220"/>
        <item x="225"/>
        <item x="219"/>
        <item x="221"/>
        <item x="213"/>
        <item x="215"/>
        <item x="170"/>
        <item x="237"/>
        <item x="47"/>
        <item x="199"/>
        <item x="149"/>
        <item x="232"/>
        <item x="153"/>
        <item x="187"/>
        <item x="35"/>
        <item x="38"/>
        <item x="36"/>
        <item x="44"/>
        <item x="45"/>
        <item x="151"/>
        <item x="154"/>
        <item x="46"/>
        <item x="172"/>
        <item x="49"/>
        <item x="175"/>
        <item x="176"/>
        <item x="40"/>
        <item x="173"/>
        <item x="37"/>
        <item x="189"/>
        <item x="177"/>
        <item x="206"/>
        <item x="205"/>
        <item x="152"/>
        <item x="171"/>
        <item x="41"/>
        <item x="48"/>
        <item x="209"/>
        <item x="192"/>
        <item x="136"/>
        <item x="196"/>
        <item x="223"/>
        <item x="104"/>
        <item x="52"/>
        <item x="99"/>
        <item x="100"/>
        <item x="102"/>
        <item x="109"/>
        <item x="178"/>
        <item x="210"/>
        <item x="107"/>
        <item x="216"/>
        <item x="105"/>
        <item x="34"/>
        <item x="106"/>
        <item x="31"/>
        <item x="103"/>
        <item x="134"/>
        <item x="179"/>
        <item x="180"/>
        <item x="133"/>
        <item x="181"/>
        <item x="116"/>
        <item x="112"/>
        <item x="117"/>
        <item x="110"/>
        <item x="65"/>
        <item x="111"/>
        <item x="131"/>
        <item x="135"/>
        <item x="114"/>
        <item x="119"/>
        <item x="26"/>
        <item x="158"/>
        <item x="129"/>
        <item x="118"/>
        <item x="115"/>
        <item x="108"/>
        <item x="157"/>
        <item x="122"/>
        <item x="191"/>
        <item x="120"/>
        <item x="123"/>
        <item x="73"/>
        <item x="124"/>
        <item x="182"/>
        <item x="190"/>
        <item x="156"/>
        <item x="86"/>
        <item x="85"/>
        <item x="87"/>
        <item x="183"/>
        <item x="121"/>
        <item x="91"/>
        <item x="130"/>
        <item x="92"/>
        <item x="93"/>
        <item x="90"/>
        <item x="98"/>
        <item x="127"/>
        <item x="89"/>
        <item x="97"/>
        <item x="125"/>
        <item x="25"/>
        <item x="126"/>
        <item x="95"/>
        <item x="50"/>
        <item x="94"/>
        <item x="96"/>
        <item x="51"/>
        <item x="19"/>
        <item x="20"/>
        <item x="83"/>
        <item x="101"/>
        <item x="113"/>
        <item x="88"/>
        <item x="8"/>
        <item x="39"/>
        <item x="5"/>
        <item x="21"/>
        <item x="4"/>
        <item x="6"/>
        <item x="18"/>
        <item x="3"/>
        <item x="0"/>
        <item x="1"/>
        <item x="10"/>
        <item x="9"/>
        <item x="7"/>
        <item x="30"/>
        <item x="13"/>
        <item x="17"/>
        <item x="2"/>
        <item x="28"/>
        <item x="27"/>
        <item x="53"/>
        <item x="14"/>
        <item x="15"/>
        <item x="12"/>
        <item x="11"/>
        <item x="16"/>
        <item x="22"/>
        <item x="43"/>
        <item x="33"/>
        <item x="42"/>
        <item x="24"/>
        <item x="29"/>
        <item x="23"/>
        <item x="32"/>
        <item x="132"/>
        <item x="128"/>
        <item x="406"/>
        <item t="default"/>
      </items>
    </pivotField>
    <pivotField axis="axisRow" showAll="0">
      <items count="10">
        <item x="5"/>
        <item x="1"/>
        <item x="0"/>
        <item x="2"/>
        <item x="3"/>
        <item x="6"/>
        <item x="7"/>
        <item x="4"/>
        <item x="8"/>
        <item t="default"/>
      </items>
    </pivotField>
    <pivotField dataFiel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4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 t="grand">
      <x/>
    </i>
  </colItems>
  <dataFields count="1">
    <dataField name="Suma de cantida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AB9B0-9517-4F05-9819-D115C76A9C3F}" name="TablaDinámica7" cacheId="54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:J411" firstHeaderRow="1" firstDataRow="2" firstDataCol="1"/>
  <pivotFields count="3">
    <pivotField axis="axisRow" numFmtId="14" showAll="0" defaultSubtotal="0">
      <items count="407">
        <item x="403"/>
        <item x="405"/>
        <item x="404"/>
        <item x="390"/>
        <item x="402"/>
        <item x="396"/>
        <item x="394"/>
        <item x="374"/>
        <item x="228"/>
        <item x="340"/>
        <item x="397"/>
        <item x="373"/>
        <item x="393"/>
        <item x="395"/>
        <item x="372"/>
        <item x="369"/>
        <item x="368"/>
        <item x="370"/>
        <item x="371"/>
        <item x="367"/>
        <item x="358"/>
        <item x="344"/>
        <item x="398"/>
        <item x="360"/>
        <item x="392"/>
        <item x="208"/>
        <item x="385"/>
        <item x="366"/>
        <item x="362"/>
        <item x="383"/>
        <item x="381"/>
        <item x="354"/>
        <item x="400"/>
        <item x="359"/>
        <item x="363"/>
        <item x="386"/>
        <item x="389"/>
        <item x="345"/>
        <item x="364"/>
        <item x="384"/>
        <item x="399"/>
        <item x="361"/>
        <item x="365"/>
        <item x="376"/>
        <item x="401"/>
        <item x="387"/>
        <item x="382"/>
        <item x="391"/>
        <item x="331"/>
        <item x="347"/>
        <item x="377"/>
        <item x="356"/>
        <item x="267"/>
        <item x="352"/>
        <item x="351"/>
        <item x="378"/>
        <item x="350"/>
        <item x="342"/>
        <item x="380"/>
        <item x="357"/>
        <item x="355"/>
        <item x="379"/>
        <item x="388"/>
        <item x="353"/>
        <item x="346"/>
        <item x="375"/>
        <item x="339"/>
        <item x="324"/>
        <item x="349"/>
        <item x="265"/>
        <item x="296"/>
        <item x="348"/>
        <item x="343"/>
        <item x="318"/>
        <item x="325"/>
        <item x="341"/>
        <item x="315"/>
        <item x="317"/>
        <item x="313"/>
        <item x="332"/>
        <item x="336"/>
        <item x="305"/>
        <item x="333"/>
        <item x="337"/>
        <item x="312"/>
        <item x="338"/>
        <item x="297"/>
        <item x="300"/>
        <item x="280"/>
        <item x="311"/>
        <item x="334"/>
        <item x="301"/>
        <item x="314"/>
        <item x="329"/>
        <item x="335"/>
        <item x="242"/>
        <item x="327"/>
        <item x="319"/>
        <item x="316"/>
        <item x="323"/>
        <item x="321"/>
        <item x="294"/>
        <item x="303"/>
        <item x="307"/>
        <item x="328"/>
        <item x="308"/>
        <item x="256"/>
        <item x="288"/>
        <item x="330"/>
        <item x="269"/>
        <item x="222"/>
        <item x="298"/>
        <item x="309"/>
        <item x="310"/>
        <item x="326"/>
        <item x="276"/>
        <item x="295"/>
        <item x="283"/>
        <item x="275"/>
        <item x="302"/>
        <item x="284"/>
        <item x="320"/>
        <item x="262"/>
        <item x="306"/>
        <item x="304"/>
        <item x="258"/>
        <item x="291"/>
        <item x="277"/>
        <item x="282"/>
        <item x="289"/>
        <item x="322"/>
        <item x="278"/>
        <item x="264"/>
        <item x="285"/>
        <item x="290"/>
        <item x="263"/>
        <item x="286"/>
        <item x="272"/>
        <item x="287"/>
        <item x="292"/>
        <item x="293"/>
        <item x="243"/>
        <item x="268"/>
        <item x="273"/>
        <item x="188"/>
        <item x="281"/>
        <item x="244"/>
        <item x="274"/>
        <item x="251"/>
        <item x="266"/>
        <item x="299"/>
        <item x="257"/>
        <item x="271"/>
        <item x="252"/>
        <item x="259"/>
        <item x="238"/>
        <item x="279"/>
        <item x="261"/>
        <item x="253"/>
        <item x="234"/>
        <item x="270"/>
        <item x="81"/>
        <item x="239"/>
        <item x="235"/>
        <item x="254"/>
        <item x="250"/>
        <item x="185"/>
        <item x="240"/>
        <item x="246"/>
        <item x="226"/>
        <item x="241"/>
        <item x="217"/>
        <item x="236"/>
        <item x="218"/>
        <item x="231"/>
        <item x="260"/>
        <item x="245"/>
        <item x="247"/>
        <item x="211"/>
        <item x="248"/>
        <item x="255"/>
        <item x="249"/>
        <item x="62"/>
        <item x="55"/>
        <item x="193"/>
        <item x="233"/>
        <item x="224"/>
        <item x="194"/>
        <item x="138"/>
        <item x="137"/>
        <item x="161"/>
        <item x="162"/>
        <item x="159"/>
        <item x="141"/>
        <item x="186"/>
        <item x="198"/>
        <item x="197"/>
        <item x="212"/>
        <item x="160"/>
        <item x="195"/>
        <item x="229"/>
        <item x="139"/>
        <item x="227"/>
        <item x="58"/>
        <item x="54"/>
        <item x="61"/>
        <item x="56"/>
        <item x="57"/>
        <item x="163"/>
        <item x="69"/>
        <item x="140"/>
        <item x="200"/>
        <item x="60"/>
        <item x="63"/>
        <item x="68"/>
        <item x="59"/>
        <item x="230"/>
        <item x="66"/>
        <item x="67"/>
        <item x="72"/>
        <item x="146"/>
        <item x="74"/>
        <item x="201"/>
        <item x="203"/>
        <item x="164"/>
        <item x="64"/>
        <item x="207"/>
        <item x="143"/>
        <item x="76"/>
        <item x="70"/>
        <item x="145"/>
        <item x="202"/>
        <item x="144"/>
        <item x="184"/>
        <item x="79"/>
        <item x="71"/>
        <item x="78"/>
        <item x="77"/>
        <item x="80"/>
        <item x="147"/>
        <item x="75"/>
        <item x="165"/>
        <item x="167"/>
        <item x="168"/>
        <item x="169"/>
        <item x="155"/>
        <item x="204"/>
        <item x="142"/>
        <item x="148"/>
        <item x="84"/>
        <item x="214"/>
        <item x="150"/>
        <item x="166"/>
        <item x="82"/>
        <item x="174"/>
        <item x="220"/>
        <item x="225"/>
        <item x="219"/>
        <item x="221"/>
        <item x="213"/>
        <item x="215"/>
        <item x="170"/>
        <item x="237"/>
        <item x="47"/>
        <item x="199"/>
        <item x="149"/>
        <item x="232"/>
        <item x="153"/>
        <item x="187"/>
        <item x="35"/>
        <item x="38"/>
        <item x="36"/>
        <item x="44"/>
        <item x="45"/>
        <item x="151"/>
        <item x="154"/>
        <item x="46"/>
        <item x="172"/>
        <item x="49"/>
        <item x="175"/>
        <item x="176"/>
        <item x="40"/>
        <item x="173"/>
        <item x="37"/>
        <item x="189"/>
        <item x="177"/>
        <item x="206"/>
        <item x="205"/>
        <item x="152"/>
        <item x="171"/>
        <item x="41"/>
        <item x="48"/>
        <item x="209"/>
        <item x="192"/>
        <item x="136"/>
        <item x="196"/>
        <item x="223"/>
        <item x="104"/>
        <item x="52"/>
        <item x="99"/>
        <item x="100"/>
        <item x="102"/>
        <item x="109"/>
        <item x="178"/>
        <item x="210"/>
        <item x="107"/>
        <item x="216"/>
        <item x="105"/>
        <item x="34"/>
        <item x="106"/>
        <item x="31"/>
        <item x="103"/>
        <item x="134"/>
        <item x="179"/>
        <item x="180"/>
        <item x="133"/>
        <item x="181"/>
        <item x="116"/>
        <item x="112"/>
        <item x="117"/>
        <item x="110"/>
        <item x="65"/>
        <item x="111"/>
        <item x="131"/>
        <item x="135"/>
        <item x="114"/>
        <item x="119"/>
        <item x="26"/>
        <item x="158"/>
        <item x="129"/>
        <item x="118"/>
        <item x="115"/>
        <item x="108"/>
        <item x="157"/>
        <item x="122"/>
        <item x="191"/>
        <item x="120"/>
        <item x="123"/>
        <item x="73"/>
        <item x="124"/>
        <item x="182"/>
        <item x="190"/>
        <item x="156"/>
        <item x="86"/>
        <item x="85"/>
        <item x="87"/>
        <item x="183"/>
        <item x="121"/>
        <item x="91"/>
        <item x="130"/>
        <item x="92"/>
        <item x="93"/>
        <item x="90"/>
        <item x="98"/>
        <item x="127"/>
        <item x="89"/>
        <item x="97"/>
        <item x="125"/>
        <item x="25"/>
        <item x="126"/>
        <item x="95"/>
        <item x="50"/>
        <item x="94"/>
        <item x="96"/>
        <item x="51"/>
        <item x="19"/>
        <item x="20"/>
        <item x="83"/>
        <item x="101"/>
        <item x="113"/>
        <item x="88"/>
        <item x="8"/>
        <item x="39"/>
        <item x="5"/>
        <item x="21"/>
        <item x="4"/>
        <item x="6"/>
        <item x="18"/>
        <item x="3"/>
        <item x="0"/>
        <item x="1"/>
        <item x="10"/>
        <item x="9"/>
        <item x="7"/>
        <item x="30"/>
        <item x="13"/>
        <item x="17"/>
        <item x="2"/>
        <item x="28"/>
        <item x="27"/>
        <item x="53"/>
        <item x="14"/>
        <item x="15"/>
        <item x="12"/>
        <item x="11"/>
        <item x="16"/>
        <item x="22"/>
        <item x="43"/>
        <item x="33"/>
        <item x="42"/>
        <item x="24"/>
        <item x="29"/>
        <item x="23"/>
        <item x="32"/>
        <item x="132"/>
        <item x="128"/>
        <item x="406"/>
      </items>
    </pivotField>
    <pivotField axis="axisCol" showAll="0" defaultSubtotal="0">
      <items count="9">
        <item x="5"/>
        <item x="1"/>
        <item x="0"/>
        <item x="2"/>
        <item x="3"/>
        <item x="6"/>
        <item x="7"/>
        <item x="4"/>
        <item x="8"/>
      </items>
    </pivotField>
    <pivotField dataField="1" showAll="0" defaultSubtota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Promedio de cantida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Y410"/>
  <sheetViews>
    <sheetView zoomScale="85" zoomScaleNormal="85" workbookViewId="0">
      <pane ySplit="1" topLeftCell="A396" activePane="bottomLeft" state="frozen"/>
      <selection activeCell="H388" sqref="H388"/>
      <selection pane="bottomLeft" activeCell="K410" sqref="K410"/>
    </sheetView>
  </sheetViews>
  <sheetFormatPr baseColWidth="10" defaultRowHeight="15" x14ac:dyDescent="0.25"/>
  <cols>
    <col min="1" max="1" width="10.42578125" style="45" customWidth="1"/>
    <col min="2" max="2" width="9.42578125" style="173" customWidth="1"/>
    <col min="3" max="3" width="11" style="173" customWidth="1"/>
    <col min="4" max="4" width="6.28515625" style="173" customWidth="1"/>
    <col min="5" max="5" width="9.28515625" style="173" customWidth="1"/>
    <col min="6" max="6" width="8.28515625" style="173" customWidth="1"/>
    <col min="7" max="7" width="12.5703125" style="189" customWidth="1"/>
    <col min="8" max="8" width="7.7109375" style="173" customWidth="1"/>
    <col min="9" max="9" width="9.7109375" style="51" customWidth="1"/>
    <col min="10" max="10" width="11.140625" style="51" customWidth="1"/>
    <col min="11" max="11" width="6" style="23" customWidth="1"/>
    <col min="12" max="12" width="8.85546875" style="23" customWidth="1"/>
    <col min="13" max="13" width="7.42578125" style="51" customWidth="1"/>
    <col min="14" max="15" width="5.140625" style="51" hidden="1" customWidth="1"/>
    <col min="16" max="16" width="4.7109375" style="51" hidden="1" customWidth="1"/>
    <col min="17" max="17" width="5.5703125" style="51" hidden="1" customWidth="1"/>
    <col min="18" max="18" width="9.85546875" style="51" customWidth="1"/>
    <col min="19" max="19" width="6.140625" style="17" customWidth="1"/>
    <col min="20" max="20" width="9.7109375" style="51" customWidth="1"/>
    <col min="21" max="21" width="8.42578125" style="6" customWidth="1"/>
    <col min="22" max="22" width="9.42578125" style="6" customWidth="1"/>
    <col min="23" max="23" width="11.42578125" style="6"/>
    <col min="24" max="24" width="13.7109375" style="6" customWidth="1"/>
    <col min="25" max="16384" width="11.42578125" style="6"/>
  </cols>
  <sheetData>
    <row r="1" spans="1:20" s="195" customFormat="1" ht="42.75" customHeight="1" x14ac:dyDescent="0.25">
      <c r="A1" s="190" t="s">
        <v>42</v>
      </c>
      <c r="B1" s="191" t="s">
        <v>0</v>
      </c>
      <c r="C1" s="191" t="s">
        <v>1</v>
      </c>
      <c r="D1" s="191" t="s">
        <v>2</v>
      </c>
      <c r="E1" s="191" t="s">
        <v>3</v>
      </c>
      <c r="F1" s="191" t="s">
        <v>111</v>
      </c>
      <c r="G1" s="192" t="s">
        <v>4</v>
      </c>
      <c r="H1" s="191" t="s">
        <v>5</v>
      </c>
      <c r="I1" s="193" t="s">
        <v>6</v>
      </c>
      <c r="J1" s="193" t="s">
        <v>7</v>
      </c>
      <c r="K1" s="194" t="s">
        <v>8</v>
      </c>
      <c r="L1" s="194" t="s">
        <v>9</v>
      </c>
      <c r="M1" s="193" t="s">
        <v>10</v>
      </c>
      <c r="N1" s="193" t="s">
        <v>11</v>
      </c>
      <c r="O1" s="193" t="s">
        <v>12</v>
      </c>
      <c r="P1" s="193" t="s">
        <v>13</v>
      </c>
      <c r="Q1" s="193" t="s">
        <v>14</v>
      </c>
      <c r="R1" s="193" t="s">
        <v>110</v>
      </c>
      <c r="S1" s="193" t="s">
        <v>112</v>
      </c>
      <c r="T1" s="193" t="s">
        <v>113</v>
      </c>
    </row>
    <row r="2" spans="1:20" x14ac:dyDescent="0.25">
      <c r="A2" s="2">
        <v>43893</v>
      </c>
      <c r="B2" s="154">
        <v>1</v>
      </c>
      <c r="C2" s="154">
        <v>1</v>
      </c>
      <c r="D2" s="154">
        <v>0</v>
      </c>
      <c r="E2" s="154">
        <v>0</v>
      </c>
      <c r="F2" s="154"/>
      <c r="G2" s="179">
        <v>0</v>
      </c>
      <c r="H2" s="154"/>
      <c r="I2" s="154"/>
      <c r="J2" s="1"/>
      <c r="K2" s="14"/>
      <c r="L2" s="14"/>
      <c r="M2" s="1"/>
      <c r="N2" s="1">
        <v>1</v>
      </c>
      <c r="O2" s="1">
        <v>0</v>
      </c>
      <c r="P2" s="1">
        <v>0</v>
      </c>
      <c r="Q2" s="1">
        <v>0</v>
      </c>
      <c r="R2" s="15"/>
      <c r="S2" s="1"/>
      <c r="T2" s="4"/>
    </row>
    <row r="3" spans="1:20" x14ac:dyDescent="0.25">
      <c r="A3" s="2">
        <v>43894</v>
      </c>
      <c r="B3" s="154">
        <v>0</v>
      </c>
      <c r="C3" s="154">
        <v>1</v>
      </c>
      <c r="D3" s="154">
        <v>0</v>
      </c>
      <c r="E3" s="154">
        <v>0</v>
      </c>
      <c r="F3" s="156">
        <f t="shared" ref="F3:F66" si="0">G3-G2</f>
        <v>0</v>
      </c>
      <c r="G3" s="179">
        <v>0</v>
      </c>
      <c r="H3" s="154"/>
      <c r="I3" s="154"/>
      <c r="J3" s="1"/>
      <c r="K3" s="14"/>
      <c r="L3" s="14"/>
      <c r="M3" s="1"/>
      <c r="N3" s="1">
        <v>1</v>
      </c>
      <c r="O3" s="1">
        <v>0</v>
      </c>
      <c r="P3" s="1">
        <v>0</v>
      </c>
      <c r="Q3" s="1">
        <v>0</v>
      </c>
      <c r="R3" s="1"/>
      <c r="S3" s="1"/>
      <c r="T3" s="4"/>
    </row>
    <row r="4" spans="1:20" x14ac:dyDescent="0.25">
      <c r="A4" s="2">
        <v>43895</v>
      </c>
      <c r="B4" s="154">
        <v>1</v>
      </c>
      <c r="C4" s="154">
        <v>2</v>
      </c>
      <c r="D4" s="154">
        <v>0</v>
      </c>
      <c r="E4" s="154">
        <v>0</v>
      </c>
      <c r="F4" s="156">
        <f t="shared" si="0"/>
        <v>0</v>
      </c>
      <c r="G4" s="179">
        <v>0</v>
      </c>
      <c r="H4" s="154"/>
      <c r="I4" s="154"/>
      <c r="J4" s="1"/>
      <c r="K4" s="14"/>
      <c r="L4" s="14"/>
      <c r="M4" s="1"/>
      <c r="N4" s="1">
        <v>2</v>
      </c>
      <c r="O4" s="1">
        <v>0</v>
      </c>
      <c r="P4" s="1">
        <v>0</v>
      </c>
      <c r="Q4" s="1">
        <v>0</v>
      </c>
      <c r="R4" s="1"/>
      <c r="S4" s="1"/>
      <c r="T4" s="4"/>
    </row>
    <row r="5" spans="1:20" x14ac:dyDescent="0.25">
      <c r="A5" s="2">
        <v>43896</v>
      </c>
      <c r="B5" s="154">
        <v>6</v>
      </c>
      <c r="C5" s="154">
        <v>8</v>
      </c>
      <c r="D5" s="154">
        <v>0</v>
      </c>
      <c r="E5" s="154">
        <v>0</v>
      </c>
      <c r="F5" s="156">
        <f t="shared" si="0"/>
        <v>0</v>
      </c>
      <c r="G5" s="179">
        <v>0</v>
      </c>
      <c r="H5" s="154"/>
      <c r="I5" s="154"/>
      <c r="J5" s="1"/>
      <c r="K5" s="14"/>
      <c r="L5" s="14"/>
      <c r="M5" s="1"/>
      <c r="N5" s="1">
        <v>8</v>
      </c>
      <c r="O5" s="1">
        <v>0</v>
      </c>
      <c r="P5" s="1">
        <v>0</v>
      </c>
      <c r="Q5" s="1">
        <v>0</v>
      </c>
      <c r="R5" s="1"/>
      <c r="S5" s="1"/>
      <c r="T5" s="4"/>
    </row>
    <row r="6" spans="1:20" x14ac:dyDescent="0.25">
      <c r="A6" s="2">
        <v>43897</v>
      </c>
      <c r="B6" s="154">
        <v>1</v>
      </c>
      <c r="C6" s="154">
        <v>9</v>
      </c>
      <c r="D6" s="154">
        <v>1</v>
      </c>
      <c r="E6" s="154">
        <v>1</v>
      </c>
      <c r="F6" s="156">
        <f t="shared" si="0"/>
        <v>0</v>
      </c>
      <c r="G6" s="179">
        <v>0</v>
      </c>
      <c r="H6" s="154"/>
      <c r="I6" s="154"/>
      <c r="J6" s="1"/>
      <c r="K6" s="14"/>
      <c r="L6" s="14"/>
      <c r="M6" s="1"/>
      <c r="N6" s="1">
        <v>9</v>
      </c>
      <c r="O6" s="1">
        <v>0</v>
      </c>
      <c r="P6" s="1">
        <v>0</v>
      </c>
      <c r="Q6" s="1">
        <v>0</v>
      </c>
      <c r="R6" s="20">
        <f t="shared" ref="R6:R69" si="1">G6-G5</f>
        <v>0</v>
      </c>
      <c r="S6" s="1"/>
      <c r="T6" s="4"/>
    </row>
    <row r="7" spans="1:20" x14ac:dyDescent="0.25">
      <c r="A7" s="2">
        <v>43898</v>
      </c>
      <c r="B7" s="154">
        <v>3</v>
      </c>
      <c r="C7" s="154">
        <v>12</v>
      </c>
      <c r="D7" s="154">
        <v>0</v>
      </c>
      <c r="E7" s="154">
        <v>1</v>
      </c>
      <c r="F7" s="156">
        <f t="shared" si="0"/>
        <v>0</v>
      </c>
      <c r="G7" s="179">
        <v>0</v>
      </c>
      <c r="H7" s="154"/>
      <c r="I7" s="154"/>
      <c r="J7" s="1"/>
      <c r="K7" s="14"/>
      <c r="L7" s="14"/>
      <c r="M7" s="1"/>
      <c r="N7" s="1">
        <v>12</v>
      </c>
      <c r="O7" s="1">
        <v>0</v>
      </c>
      <c r="P7" s="1">
        <v>0</v>
      </c>
      <c r="Q7" s="1">
        <v>0</v>
      </c>
      <c r="R7" s="20">
        <f t="shared" si="1"/>
        <v>0</v>
      </c>
      <c r="S7" s="1"/>
      <c r="T7" s="4"/>
    </row>
    <row r="8" spans="1:20" x14ac:dyDescent="0.25">
      <c r="A8" s="2">
        <v>43899</v>
      </c>
      <c r="B8" s="154">
        <v>5</v>
      </c>
      <c r="C8" s="154">
        <v>17</v>
      </c>
      <c r="D8" s="154">
        <v>0</v>
      </c>
      <c r="E8" s="154">
        <v>1</v>
      </c>
      <c r="F8" s="156">
        <f t="shared" si="0"/>
        <v>0</v>
      </c>
      <c r="G8" s="179">
        <v>0</v>
      </c>
      <c r="H8" s="154"/>
      <c r="I8" s="154"/>
      <c r="J8" s="1"/>
      <c r="K8" s="14"/>
      <c r="L8" s="14"/>
      <c r="M8" s="1"/>
      <c r="N8" s="1">
        <v>17</v>
      </c>
      <c r="O8" s="1">
        <v>0</v>
      </c>
      <c r="P8" s="1">
        <v>0</v>
      </c>
      <c r="Q8" s="1">
        <v>0</v>
      </c>
      <c r="R8" s="20">
        <f t="shared" si="1"/>
        <v>0</v>
      </c>
      <c r="S8" s="1"/>
      <c r="T8" s="4"/>
    </row>
    <row r="9" spans="1:20" x14ac:dyDescent="0.25">
      <c r="A9" s="2">
        <v>43900</v>
      </c>
      <c r="B9" s="154">
        <v>2</v>
      </c>
      <c r="C9" s="154">
        <v>19</v>
      </c>
      <c r="D9" s="154">
        <v>0</v>
      </c>
      <c r="E9" s="154">
        <v>1</v>
      </c>
      <c r="F9" s="156">
        <f t="shared" si="0"/>
        <v>0</v>
      </c>
      <c r="G9" s="179">
        <v>0</v>
      </c>
      <c r="H9" s="154"/>
      <c r="I9" s="154"/>
      <c r="J9" s="1"/>
      <c r="K9" s="14"/>
      <c r="L9" s="14"/>
      <c r="M9" s="1"/>
      <c r="N9" s="1">
        <v>19</v>
      </c>
      <c r="O9" s="1">
        <v>0</v>
      </c>
      <c r="P9" s="1">
        <v>0</v>
      </c>
      <c r="Q9" s="1">
        <v>0</v>
      </c>
      <c r="R9" s="20">
        <f t="shared" si="1"/>
        <v>0</v>
      </c>
      <c r="S9" s="1"/>
      <c r="T9" s="4"/>
    </row>
    <row r="10" spans="1:20" x14ac:dyDescent="0.25">
      <c r="A10" s="2">
        <v>43901</v>
      </c>
      <c r="B10" s="154">
        <v>2</v>
      </c>
      <c r="C10" s="154">
        <v>21</v>
      </c>
      <c r="D10" s="154">
        <v>0</v>
      </c>
      <c r="E10" s="154">
        <v>1</v>
      </c>
      <c r="F10" s="156">
        <f t="shared" si="0"/>
        <v>0</v>
      </c>
      <c r="G10" s="179">
        <v>0</v>
      </c>
      <c r="H10" s="154"/>
      <c r="I10" s="154"/>
      <c r="J10" s="1"/>
      <c r="K10" s="14"/>
      <c r="L10" s="14"/>
      <c r="M10" s="1"/>
      <c r="N10" s="1">
        <v>21</v>
      </c>
      <c r="O10" s="1">
        <v>0</v>
      </c>
      <c r="P10" s="1">
        <v>0</v>
      </c>
      <c r="Q10" s="1">
        <v>0</v>
      </c>
      <c r="R10" s="20">
        <f t="shared" si="1"/>
        <v>0</v>
      </c>
      <c r="S10" s="1"/>
      <c r="T10" s="4"/>
    </row>
    <row r="11" spans="1:20" x14ac:dyDescent="0.25">
      <c r="A11" s="2">
        <v>43902</v>
      </c>
      <c r="B11" s="154">
        <v>10</v>
      </c>
      <c r="C11" s="154">
        <v>31</v>
      </c>
      <c r="D11" s="154">
        <v>0</v>
      </c>
      <c r="E11" s="154">
        <v>1</v>
      </c>
      <c r="F11" s="156">
        <f t="shared" si="0"/>
        <v>0</v>
      </c>
      <c r="G11" s="179">
        <v>0</v>
      </c>
      <c r="H11" s="154"/>
      <c r="I11" s="154"/>
      <c r="J11" s="1"/>
      <c r="K11" s="14"/>
      <c r="L11" s="14"/>
      <c r="M11" s="1"/>
      <c r="N11" s="1">
        <v>28</v>
      </c>
      <c r="O11" s="1">
        <v>3</v>
      </c>
      <c r="P11" s="1">
        <v>0</v>
      </c>
      <c r="Q11" s="1">
        <v>0</v>
      </c>
      <c r="R11" s="20">
        <f t="shared" si="1"/>
        <v>0</v>
      </c>
      <c r="S11" s="1"/>
      <c r="T11" s="4"/>
    </row>
    <row r="12" spans="1:20" x14ac:dyDescent="0.25">
      <c r="A12" s="2">
        <v>43903</v>
      </c>
      <c r="B12" s="154">
        <v>3</v>
      </c>
      <c r="C12" s="154">
        <v>34</v>
      </c>
      <c r="D12" s="154">
        <v>1</v>
      </c>
      <c r="E12" s="154">
        <v>2</v>
      </c>
      <c r="F12" s="156">
        <f t="shared" si="0"/>
        <v>0</v>
      </c>
      <c r="G12" s="179">
        <v>0</v>
      </c>
      <c r="H12" s="154"/>
      <c r="I12" s="154"/>
      <c r="J12" s="1"/>
      <c r="K12" s="14"/>
      <c r="L12" s="14"/>
      <c r="M12" s="1"/>
      <c r="N12" s="1">
        <v>30</v>
      </c>
      <c r="O12" s="1">
        <v>4</v>
      </c>
      <c r="P12" s="1">
        <v>0</v>
      </c>
      <c r="Q12" s="1">
        <v>0</v>
      </c>
      <c r="R12" s="20">
        <f t="shared" si="1"/>
        <v>0</v>
      </c>
      <c r="S12" s="1"/>
      <c r="T12" s="4"/>
    </row>
    <row r="13" spans="1:20" x14ac:dyDescent="0.25">
      <c r="A13" s="2">
        <v>43904</v>
      </c>
      <c r="B13" s="154">
        <v>11</v>
      </c>
      <c r="C13" s="154">
        <v>45</v>
      </c>
      <c r="D13" s="154">
        <v>0</v>
      </c>
      <c r="E13" s="154">
        <v>2</v>
      </c>
      <c r="F13" s="156">
        <f t="shared" si="0"/>
        <v>0</v>
      </c>
      <c r="G13" s="179">
        <v>0</v>
      </c>
      <c r="H13" s="154"/>
      <c r="I13" s="154"/>
      <c r="J13" s="1"/>
      <c r="K13" s="14"/>
      <c r="L13" s="14"/>
      <c r="M13" s="1"/>
      <c r="N13" s="1">
        <v>40</v>
      </c>
      <c r="O13" s="1">
        <v>5</v>
      </c>
      <c r="P13" s="1">
        <v>0</v>
      </c>
      <c r="Q13" s="1">
        <v>0</v>
      </c>
      <c r="R13" s="20">
        <f t="shared" si="1"/>
        <v>0</v>
      </c>
      <c r="S13" s="1"/>
      <c r="T13" s="4"/>
    </row>
    <row r="14" spans="1:20" x14ac:dyDescent="0.25">
      <c r="A14" s="2">
        <v>43905</v>
      </c>
      <c r="B14" s="154">
        <v>11</v>
      </c>
      <c r="C14" s="154">
        <v>56</v>
      </c>
      <c r="D14" s="154">
        <v>0</v>
      </c>
      <c r="E14" s="154">
        <v>2</v>
      </c>
      <c r="F14" s="156">
        <f t="shared" si="0"/>
        <v>0</v>
      </c>
      <c r="G14" s="179">
        <v>0</v>
      </c>
      <c r="H14" s="154"/>
      <c r="I14" s="154"/>
      <c r="J14" s="1"/>
      <c r="K14" s="14"/>
      <c r="L14" s="14"/>
      <c r="M14" s="1"/>
      <c r="N14" s="1">
        <v>48</v>
      </c>
      <c r="O14" s="1">
        <v>8</v>
      </c>
      <c r="P14" s="1">
        <v>0</v>
      </c>
      <c r="Q14" s="1">
        <v>0</v>
      </c>
      <c r="R14" s="20">
        <f t="shared" si="1"/>
        <v>0</v>
      </c>
      <c r="S14" s="43">
        <f t="shared" ref="S14:S77" si="2">H14/(C14-E14-G14)</f>
        <v>0</v>
      </c>
      <c r="T14" s="35">
        <f>E14/C14</f>
        <v>3.5714285714285712E-2</v>
      </c>
    </row>
    <row r="15" spans="1:20" x14ac:dyDescent="0.25">
      <c r="A15" s="2">
        <v>43906</v>
      </c>
      <c r="B15" s="154">
        <v>9</v>
      </c>
      <c r="C15" s="154">
        <v>65</v>
      </c>
      <c r="D15" s="154">
        <v>0</v>
      </c>
      <c r="E15" s="154">
        <v>2</v>
      </c>
      <c r="F15" s="156">
        <f t="shared" si="0"/>
        <v>0</v>
      </c>
      <c r="G15" s="179">
        <v>0</v>
      </c>
      <c r="H15" s="154"/>
      <c r="I15" s="154"/>
      <c r="J15" s="1"/>
      <c r="K15" s="14"/>
      <c r="L15" s="14"/>
      <c r="M15" s="1">
        <v>464</v>
      </c>
      <c r="N15" s="1">
        <v>56</v>
      </c>
      <c r="O15" s="1">
        <v>9</v>
      </c>
      <c r="P15" s="1">
        <v>0</v>
      </c>
      <c r="Q15" s="1">
        <v>0</v>
      </c>
      <c r="R15" s="20">
        <f t="shared" si="1"/>
        <v>0</v>
      </c>
      <c r="S15" s="43">
        <f t="shared" si="2"/>
        <v>0</v>
      </c>
      <c r="T15" s="35">
        <f t="shared" ref="T15:T78" si="3">E15/C15</f>
        <v>3.0769230769230771E-2</v>
      </c>
    </row>
    <row r="16" spans="1:20" x14ac:dyDescent="0.25">
      <c r="A16" s="2">
        <v>43907</v>
      </c>
      <c r="B16" s="154">
        <v>13</v>
      </c>
      <c r="C16" s="154">
        <v>78</v>
      </c>
      <c r="D16" s="154">
        <v>0</v>
      </c>
      <c r="E16" s="154">
        <v>2</v>
      </c>
      <c r="F16" s="156">
        <f t="shared" si="0"/>
        <v>0</v>
      </c>
      <c r="G16" s="179">
        <v>0</v>
      </c>
      <c r="H16" s="154"/>
      <c r="I16" s="154"/>
      <c r="J16" s="1"/>
      <c r="K16" s="14">
        <v>686</v>
      </c>
      <c r="L16" s="14">
        <v>496</v>
      </c>
      <c r="M16" s="1">
        <v>496</v>
      </c>
      <c r="N16" s="1">
        <v>67</v>
      </c>
      <c r="O16" s="1">
        <v>11</v>
      </c>
      <c r="P16" s="1">
        <v>0</v>
      </c>
      <c r="Q16" s="1">
        <v>0</v>
      </c>
      <c r="R16" s="20">
        <f t="shared" si="1"/>
        <v>0</v>
      </c>
      <c r="S16" s="43">
        <f t="shared" si="2"/>
        <v>0</v>
      </c>
      <c r="T16" s="35">
        <f t="shared" si="3"/>
        <v>2.564102564102564E-2</v>
      </c>
    </row>
    <row r="17" spans="1:20" x14ac:dyDescent="0.25">
      <c r="A17" s="2">
        <v>43908</v>
      </c>
      <c r="B17" s="154">
        <v>19</v>
      </c>
      <c r="C17" s="154">
        <v>97</v>
      </c>
      <c r="D17" s="154">
        <v>1</v>
      </c>
      <c r="E17" s="154">
        <v>3</v>
      </c>
      <c r="F17" s="156">
        <f t="shared" si="0"/>
        <v>18</v>
      </c>
      <c r="G17" s="179">
        <v>18</v>
      </c>
      <c r="H17" s="154"/>
      <c r="I17" s="154"/>
      <c r="J17" s="1"/>
      <c r="K17" s="14"/>
      <c r="L17" s="14">
        <v>562</v>
      </c>
      <c r="M17" s="1">
        <v>562</v>
      </c>
      <c r="N17" s="1">
        <v>80</v>
      </c>
      <c r="O17" s="1">
        <v>16</v>
      </c>
      <c r="P17" s="1">
        <v>0</v>
      </c>
      <c r="Q17" s="12">
        <f t="shared" ref="Q17:Q80" si="4">C17-P17-O17-N17</f>
        <v>1</v>
      </c>
      <c r="R17" s="20">
        <f t="shared" si="1"/>
        <v>18</v>
      </c>
      <c r="S17" s="43">
        <f t="shared" si="2"/>
        <v>0</v>
      </c>
      <c r="T17" s="35">
        <f t="shared" si="3"/>
        <v>3.0927835051546393E-2</v>
      </c>
    </row>
    <row r="18" spans="1:20" x14ac:dyDescent="0.25">
      <c r="A18" s="2">
        <v>43909</v>
      </c>
      <c r="B18" s="154">
        <v>31</v>
      </c>
      <c r="C18" s="154">
        <v>128</v>
      </c>
      <c r="D18" s="154">
        <v>0</v>
      </c>
      <c r="E18" s="154">
        <v>3</v>
      </c>
      <c r="F18" s="156">
        <f t="shared" si="0"/>
        <v>5</v>
      </c>
      <c r="G18" s="179">
        <v>23</v>
      </c>
      <c r="H18" s="154"/>
      <c r="I18" s="154"/>
      <c r="J18" s="1"/>
      <c r="K18" s="14"/>
      <c r="L18" s="14">
        <v>705</v>
      </c>
      <c r="M18" s="1">
        <v>705</v>
      </c>
      <c r="N18" s="1">
        <v>100</v>
      </c>
      <c r="O18" s="1">
        <v>22</v>
      </c>
      <c r="P18" s="1">
        <v>0</v>
      </c>
      <c r="Q18" s="12">
        <f t="shared" si="4"/>
        <v>6</v>
      </c>
      <c r="R18" s="20">
        <f t="shared" si="1"/>
        <v>5</v>
      </c>
      <c r="S18" s="43">
        <f t="shared" si="2"/>
        <v>0</v>
      </c>
      <c r="T18" s="35">
        <f t="shared" si="3"/>
        <v>2.34375E-2</v>
      </c>
    </row>
    <row r="19" spans="1:20" x14ac:dyDescent="0.25">
      <c r="A19" s="2">
        <v>43910</v>
      </c>
      <c r="B19" s="154">
        <v>30</v>
      </c>
      <c r="C19" s="154">
        <v>158</v>
      </c>
      <c r="D19" s="154">
        <v>0</v>
      </c>
      <c r="E19" s="154">
        <v>3</v>
      </c>
      <c r="F19" s="156">
        <f t="shared" si="0"/>
        <v>4</v>
      </c>
      <c r="G19" s="179">
        <v>27</v>
      </c>
      <c r="H19" s="154"/>
      <c r="I19" s="154"/>
      <c r="J19" s="1"/>
      <c r="K19" s="14"/>
      <c r="L19" s="14">
        <v>872</v>
      </c>
      <c r="M19" s="1">
        <v>872</v>
      </c>
      <c r="N19" s="1">
        <v>122</v>
      </c>
      <c r="O19" s="1">
        <v>26</v>
      </c>
      <c r="P19" s="1">
        <v>0</v>
      </c>
      <c r="Q19" s="12">
        <f t="shared" si="4"/>
        <v>10</v>
      </c>
      <c r="R19" s="20">
        <f t="shared" si="1"/>
        <v>4</v>
      </c>
      <c r="S19" s="43">
        <f t="shared" si="2"/>
        <v>0</v>
      </c>
      <c r="T19" s="35">
        <f t="shared" si="3"/>
        <v>1.8987341772151899E-2</v>
      </c>
    </row>
    <row r="20" spans="1:20" x14ac:dyDescent="0.25">
      <c r="A20" s="2">
        <v>43911</v>
      </c>
      <c r="B20" s="154">
        <v>67</v>
      </c>
      <c r="C20" s="154">
        <v>225</v>
      </c>
      <c r="D20" s="154">
        <v>1</v>
      </c>
      <c r="E20" s="154">
        <v>4</v>
      </c>
      <c r="F20" s="156">
        <f t="shared" si="0"/>
        <v>4</v>
      </c>
      <c r="G20" s="179">
        <v>31</v>
      </c>
      <c r="H20" s="154"/>
      <c r="I20" s="154"/>
      <c r="J20" s="1"/>
      <c r="K20" s="14"/>
      <c r="L20" s="14">
        <v>1028</v>
      </c>
      <c r="M20" s="1">
        <v>1028</v>
      </c>
      <c r="N20" s="1">
        <v>167</v>
      </c>
      <c r="O20" s="1">
        <v>38</v>
      </c>
      <c r="P20" s="1">
        <v>0</v>
      </c>
      <c r="Q20" s="12">
        <f t="shared" si="4"/>
        <v>20</v>
      </c>
      <c r="R20" s="20">
        <f t="shared" si="1"/>
        <v>4</v>
      </c>
      <c r="S20" s="43">
        <f t="shared" si="2"/>
        <v>0</v>
      </c>
      <c r="T20" s="35">
        <f t="shared" si="3"/>
        <v>1.7777777777777778E-2</v>
      </c>
    </row>
    <row r="21" spans="1:20" x14ac:dyDescent="0.25">
      <c r="A21" s="2">
        <v>43912</v>
      </c>
      <c r="B21" s="154">
        <v>41</v>
      </c>
      <c r="C21" s="154">
        <v>266</v>
      </c>
      <c r="D21" s="154">
        <v>0</v>
      </c>
      <c r="E21" s="154">
        <v>4</v>
      </c>
      <c r="F21" s="156">
        <f t="shared" si="0"/>
        <v>20</v>
      </c>
      <c r="G21" s="179">
        <v>51</v>
      </c>
      <c r="H21" s="154"/>
      <c r="I21" s="154"/>
      <c r="J21" s="1"/>
      <c r="K21" s="14"/>
      <c r="L21" s="14">
        <v>1271</v>
      </c>
      <c r="M21" s="1">
        <v>1271</v>
      </c>
      <c r="N21" s="1">
        <v>189</v>
      </c>
      <c r="O21" s="1">
        <v>59</v>
      </c>
      <c r="P21" s="1">
        <v>1</v>
      </c>
      <c r="Q21" s="12">
        <f t="shared" si="4"/>
        <v>17</v>
      </c>
      <c r="R21" s="20">
        <f t="shared" si="1"/>
        <v>20</v>
      </c>
      <c r="S21" s="43">
        <f t="shared" si="2"/>
        <v>0</v>
      </c>
      <c r="T21" s="35">
        <f t="shared" si="3"/>
        <v>1.5037593984962405E-2</v>
      </c>
    </row>
    <row r="22" spans="1:20" x14ac:dyDescent="0.25">
      <c r="A22" s="2">
        <v>43913</v>
      </c>
      <c r="B22" s="155">
        <v>36</v>
      </c>
      <c r="C22" s="155">
        <v>301</v>
      </c>
      <c r="D22" s="155">
        <v>0</v>
      </c>
      <c r="E22" s="154">
        <v>4</v>
      </c>
      <c r="F22" s="156">
        <f t="shared" si="0"/>
        <v>1</v>
      </c>
      <c r="G22" s="179">
        <v>52</v>
      </c>
      <c r="H22" s="154"/>
      <c r="I22" s="154"/>
      <c r="J22" s="1"/>
      <c r="K22" s="14"/>
      <c r="L22" s="14">
        <v>1453</v>
      </c>
      <c r="M22" s="1">
        <v>1453</v>
      </c>
      <c r="N22" s="1">
        <v>206</v>
      </c>
      <c r="O22" s="1">
        <v>64</v>
      </c>
      <c r="P22" s="1">
        <v>1</v>
      </c>
      <c r="Q22" s="12">
        <f t="shared" si="4"/>
        <v>30</v>
      </c>
      <c r="R22" s="20">
        <f t="shared" si="1"/>
        <v>1</v>
      </c>
      <c r="S22" s="43">
        <f t="shared" si="2"/>
        <v>0</v>
      </c>
      <c r="T22" s="35">
        <f t="shared" si="3"/>
        <v>1.3289036544850499E-2</v>
      </c>
    </row>
    <row r="23" spans="1:20" x14ac:dyDescent="0.25">
      <c r="A23" s="2">
        <v>43914</v>
      </c>
      <c r="B23" s="154">
        <v>86</v>
      </c>
      <c r="C23" s="154">
        <v>387</v>
      </c>
      <c r="D23" s="155">
        <v>2</v>
      </c>
      <c r="E23" s="154">
        <v>6</v>
      </c>
      <c r="F23" s="156">
        <f t="shared" si="0"/>
        <v>11</v>
      </c>
      <c r="G23" s="179">
        <v>63</v>
      </c>
      <c r="H23" s="154"/>
      <c r="I23" s="154"/>
      <c r="J23" s="1"/>
      <c r="K23" s="14"/>
      <c r="L23" s="14">
        <v>1453</v>
      </c>
      <c r="M23" s="1">
        <v>1453</v>
      </c>
      <c r="N23" s="1">
        <v>247</v>
      </c>
      <c r="O23" s="1">
        <v>84</v>
      </c>
      <c r="P23" s="1">
        <v>1</v>
      </c>
      <c r="Q23" s="12">
        <f t="shared" si="4"/>
        <v>55</v>
      </c>
      <c r="R23" s="20">
        <f t="shared" si="1"/>
        <v>11</v>
      </c>
      <c r="S23" s="43">
        <f t="shared" si="2"/>
        <v>0</v>
      </c>
      <c r="T23" s="35">
        <f t="shared" si="3"/>
        <v>1.5503875968992248E-2</v>
      </c>
    </row>
    <row r="24" spans="1:20" x14ac:dyDescent="0.25">
      <c r="A24" s="2">
        <v>43915</v>
      </c>
      <c r="B24" s="154">
        <v>117</v>
      </c>
      <c r="C24" s="154">
        <v>503</v>
      </c>
      <c r="D24" s="154">
        <v>2</v>
      </c>
      <c r="E24" s="154">
        <v>8</v>
      </c>
      <c r="F24" s="156">
        <f t="shared" si="0"/>
        <v>9</v>
      </c>
      <c r="G24" s="179">
        <v>72</v>
      </c>
      <c r="H24" s="154"/>
      <c r="I24" s="154"/>
      <c r="J24" s="1"/>
      <c r="K24" s="14"/>
      <c r="L24" s="14">
        <v>1946</v>
      </c>
      <c r="M24" s="1">
        <v>1946</v>
      </c>
      <c r="N24" s="1">
        <v>250</v>
      </c>
      <c r="O24" s="1">
        <v>102</v>
      </c>
      <c r="P24" s="1">
        <v>1</v>
      </c>
      <c r="Q24" s="12">
        <f t="shared" si="4"/>
        <v>150</v>
      </c>
      <c r="R24" s="20">
        <f t="shared" si="1"/>
        <v>9</v>
      </c>
      <c r="S24" s="43">
        <f t="shared" si="2"/>
        <v>0</v>
      </c>
      <c r="T24" s="35">
        <f t="shared" si="3"/>
        <v>1.5904572564612324E-2</v>
      </c>
    </row>
    <row r="25" spans="1:20" x14ac:dyDescent="0.25">
      <c r="A25" s="2">
        <v>43916</v>
      </c>
      <c r="B25" s="154">
        <v>87</v>
      </c>
      <c r="C25" s="154">
        <v>589</v>
      </c>
      <c r="D25" s="154">
        <v>4</v>
      </c>
      <c r="E25" s="154">
        <v>12</v>
      </c>
      <c r="F25" s="156">
        <f t="shared" si="0"/>
        <v>3</v>
      </c>
      <c r="G25" s="179">
        <v>75</v>
      </c>
      <c r="H25" s="154">
        <v>25</v>
      </c>
      <c r="I25" s="154"/>
      <c r="J25" s="1"/>
      <c r="K25" s="14"/>
      <c r="L25" s="14">
        <v>2558</v>
      </c>
      <c r="M25" s="1">
        <v>2558</v>
      </c>
      <c r="N25" s="1">
        <v>287</v>
      </c>
      <c r="O25" s="1">
        <v>126</v>
      </c>
      <c r="P25" s="1">
        <v>1</v>
      </c>
      <c r="Q25" s="12">
        <f t="shared" si="4"/>
        <v>175</v>
      </c>
      <c r="R25" s="20">
        <f t="shared" si="1"/>
        <v>3</v>
      </c>
      <c r="S25" s="43">
        <f t="shared" si="2"/>
        <v>4.9800796812749001E-2</v>
      </c>
      <c r="T25" s="35">
        <f t="shared" si="3"/>
        <v>2.037351443123939E-2</v>
      </c>
    </row>
    <row r="26" spans="1:20" x14ac:dyDescent="0.25">
      <c r="A26" s="2">
        <v>43917</v>
      </c>
      <c r="B26" s="154">
        <v>101</v>
      </c>
      <c r="C26" s="154">
        <v>690</v>
      </c>
      <c r="D26" s="154">
        <v>5</v>
      </c>
      <c r="E26" s="154">
        <v>17</v>
      </c>
      <c r="F26" s="156">
        <f t="shared" si="0"/>
        <v>5</v>
      </c>
      <c r="G26" s="179">
        <v>80</v>
      </c>
      <c r="H26" s="154"/>
      <c r="I26" s="154"/>
      <c r="J26" s="1"/>
      <c r="K26" s="14"/>
      <c r="L26" s="14">
        <v>2817</v>
      </c>
      <c r="M26" s="1">
        <v>2817</v>
      </c>
      <c r="N26" s="1">
        <v>387</v>
      </c>
      <c r="O26" s="1">
        <v>167</v>
      </c>
      <c r="P26" s="1">
        <v>1</v>
      </c>
      <c r="Q26" s="12">
        <f t="shared" si="4"/>
        <v>135</v>
      </c>
      <c r="R26" s="20">
        <f t="shared" si="1"/>
        <v>5</v>
      </c>
      <c r="S26" s="43">
        <f t="shared" si="2"/>
        <v>0</v>
      </c>
      <c r="T26" s="35">
        <f t="shared" si="3"/>
        <v>2.4637681159420291E-2</v>
      </c>
    </row>
    <row r="27" spans="1:20" x14ac:dyDescent="0.25">
      <c r="A27" s="2">
        <v>43918</v>
      </c>
      <c r="B27" s="154">
        <v>55</v>
      </c>
      <c r="C27" s="154">
        <v>745</v>
      </c>
      <c r="D27" s="154">
        <v>2</v>
      </c>
      <c r="E27" s="154">
        <v>19</v>
      </c>
      <c r="F27" s="156">
        <f t="shared" si="0"/>
        <v>11</v>
      </c>
      <c r="G27" s="179">
        <v>91</v>
      </c>
      <c r="H27" s="154">
        <v>44</v>
      </c>
      <c r="I27" s="154"/>
      <c r="J27" s="1"/>
      <c r="K27" s="14"/>
      <c r="L27" s="14">
        <v>3215</v>
      </c>
      <c r="M27" s="1">
        <v>3215</v>
      </c>
      <c r="N27" s="1">
        <v>408</v>
      </c>
      <c r="O27" s="1">
        <v>185</v>
      </c>
      <c r="P27" s="1">
        <v>1</v>
      </c>
      <c r="Q27" s="12">
        <f t="shared" si="4"/>
        <v>151</v>
      </c>
      <c r="R27" s="20">
        <f t="shared" si="1"/>
        <v>11</v>
      </c>
      <c r="S27" s="43">
        <f t="shared" si="2"/>
        <v>6.9291338582677164E-2</v>
      </c>
      <c r="T27" s="35">
        <f t="shared" si="3"/>
        <v>2.5503355704697986E-2</v>
      </c>
    </row>
    <row r="28" spans="1:20" x14ac:dyDescent="0.25">
      <c r="A28" s="2">
        <v>43919</v>
      </c>
      <c r="B28" s="154">
        <v>75</v>
      </c>
      <c r="C28" s="154">
        <v>820</v>
      </c>
      <c r="D28" s="154">
        <v>1</v>
      </c>
      <c r="E28" s="154">
        <v>20</v>
      </c>
      <c r="F28" s="156">
        <f t="shared" si="0"/>
        <v>137</v>
      </c>
      <c r="G28" s="179">
        <v>228</v>
      </c>
      <c r="H28" s="154">
        <v>53</v>
      </c>
      <c r="I28" s="154"/>
      <c r="J28" s="1"/>
      <c r="K28" s="14"/>
      <c r="L28" s="14">
        <v>3580</v>
      </c>
      <c r="M28" s="1">
        <v>3580</v>
      </c>
      <c r="N28" s="1">
        <v>442</v>
      </c>
      <c r="O28" s="1">
        <v>207</v>
      </c>
      <c r="P28" s="1">
        <v>1</v>
      </c>
      <c r="Q28" s="12">
        <f t="shared" si="4"/>
        <v>170</v>
      </c>
      <c r="R28" s="20">
        <f t="shared" si="1"/>
        <v>137</v>
      </c>
      <c r="S28" s="43">
        <f t="shared" si="2"/>
        <v>9.2657342657342656E-2</v>
      </c>
      <c r="T28" s="35">
        <f t="shared" si="3"/>
        <v>2.4390243902439025E-2</v>
      </c>
    </row>
    <row r="29" spans="1:20" x14ac:dyDescent="0.25">
      <c r="A29" s="2">
        <v>43920</v>
      </c>
      <c r="B29" s="154">
        <v>146</v>
      </c>
      <c r="C29" s="154">
        <v>966</v>
      </c>
      <c r="D29" s="154">
        <v>5</v>
      </c>
      <c r="E29" s="154">
        <v>25</v>
      </c>
      <c r="F29" s="156">
        <f t="shared" si="0"/>
        <v>12</v>
      </c>
      <c r="G29" s="179">
        <v>240</v>
      </c>
      <c r="H29" s="154">
        <v>55</v>
      </c>
      <c r="I29" s="154"/>
      <c r="J29" s="1"/>
      <c r="K29" s="14"/>
      <c r="L29" s="14">
        <v>4065</v>
      </c>
      <c r="M29" s="1">
        <v>4065</v>
      </c>
      <c r="N29" s="1">
        <v>489</v>
      </c>
      <c r="O29" s="1">
        <v>207</v>
      </c>
      <c r="P29" s="1">
        <v>1</v>
      </c>
      <c r="Q29" s="12">
        <f t="shared" si="4"/>
        <v>269</v>
      </c>
      <c r="R29" s="20">
        <f t="shared" si="1"/>
        <v>12</v>
      </c>
      <c r="S29" s="43">
        <f t="shared" si="2"/>
        <v>7.8459343794579167E-2</v>
      </c>
      <c r="T29" s="35">
        <f t="shared" si="3"/>
        <v>2.5879917184265012E-2</v>
      </c>
    </row>
    <row r="30" spans="1:20" x14ac:dyDescent="0.25">
      <c r="A30" s="2">
        <v>43921</v>
      </c>
      <c r="B30" s="154">
        <v>88</v>
      </c>
      <c r="C30" s="154">
        <v>1054</v>
      </c>
      <c r="D30" s="154">
        <v>3</v>
      </c>
      <c r="E30" s="154">
        <v>28</v>
      </c>
      <c r="F30" s="156">
        <f t="shared" si="0"/>
        <v>8</v>
      </c>
      <c r="G30" s="179">
        <v>248</v>
      </c>
      <c r="H30" s="154">
        <v>55</v>
      </c>
      <c r="I30" s="154"/>
      <c r="J30" s="1"/>
      <c r="K30" s="14"/>
      <c r="L30" s="14">
        <v>4597</v>
      </c>
      <c r="M30" s="1">
        <v>4597</v>
      </c>
      <c r="N30" s="1">
        <v>529</v>
      </c>
      <c r="O30" s="1">
        <v>295</v>
      </c>
      <c r="P30" s="1">
        <v>1</v>
      </c>
      <c r="Q30" s="12">
        <f t="shared" si="4"/>
        <v>229</v>
      </c>
      <c r="R30" s="20">
        <f t="shared" si="1"/>
        <v>8</v>
      </c>
      <c r="S30" s="43">
        <f t="shared" si="2"/>
        <v>7.0694087403598976E-2</v>
      </c>
      <c r="T30" s="35">
        <f t="shared" si="3"/>
        <v>2.6565464895635674E-2</v>
      </c>
    </row>
    <row r="31" spans="1:20" x14ac:dyDescent="0.25">
      <c r="A31" s="2">
        <v>43922</v>
      </c>
      <c r="B31" s="154">
        <v>79</v>
      </c>
      <c r="C31" s="154">
        <v>1133</v>
      </c>
      <c r="D31" s="154">
        <v>5</v>
      </c>
      <c r="E31" s="154">
        <v>33</v>
      </c>
      <c r="F31" s="156">
        <f t="shared" si="0"/>
        <v>8</v>
      </c>
      <c r="G31" s="179">
        <v>256</v>
      </c>
      <c r="H31" s="154">
        <v>72</v>
      </c>
      <c r="I31" s="154"/>
      <c r="J31" s="1"/>
      <c r="K31" s="14"/>
      <c r="L31" s="14">
        <v>5144</v>
      </c>
      <c r="M31" s="1">
        <v>5144</v>
      </c>
      <c r="N31" s="1">
        <v>580</v>
      </c>
      <c r="O31" s="1">
        <v>349</v>
      </c>
      <c r="P31" s="1">
        <v>1</v>
      </c>
      <c r="Q31" s="12">
        <f t="shared" si="4"/>
        <v>203</v>
      </c>
      <c r="R31" s="20">
        <f t="shared" si="1"/>
        <v>8</v>
      </c>
      <c r="S31" s="43">
        <f t="shared" si="2"/>
        <v>8.5308056872037921E-2</v>
      </c>
      <c r="T31" s="35">
        <f t="shared" si="3"/>
        <v>2.9126213592233011E-2</v>
      </c>
    </row>
    <row r="32" spans="1:20" x14ac:dyDescent="0.25">
      <c r="A32" s="2">
        <v>43923</v>
      </c>
      <c r="B32" s="154">
        <v>132</v>
      </c>
      <c r="C32" s="154">
        <v>1265</v>
      </c>
      <c r="D32" s="154">
        <v>4</v>
      </c>
      <c r="E32" s="154">
        <v>37</v>
      </c>
      <c r="F32" s="156">
        <f t="shared" si="0"/>
        <v>10</v>
      </c>
      <c r="G32" s="179">
        <v>266</v>
      </c>
      <c r="H32" s="154">
        <v>82</v>
      </c>
      <c r="I32" s="154"/>
      <c r="J32" s="1"/>
      <c r="K32" s="14"/>
      <c r="L32" s="14">
        <v>6120</v>
      </c>
      <c r="M32" s="1">
        <v>6120</v>
      </c>
      <c r="N32" s="1">
        <v>622</v>
      </c>
      <c r="O32" s="1">
        <v>397</v>
      </c>
      <c r="P32" s="1">
        <v>103</v>
      </c>
      <c r="Q32" s="12">
        <f t="shared" si="4"/>
        <v>143</v>
      </c>
      <c r="R32" s="20">
        <f t="shared" si="1"/>
        <v>10</v>
      </c>
      <c r="S32" s="43">
        <f t="shared" si="2"/>
        <v>8.5239085239085244E-2</v>
      </c>
      <c r="T32" s="35">
        <f t="shared" si="3"/>
        <v>2.9249011857707511E-2</v>
      </c>
    </row>
    <row r="33" spans="1:20" x14ac:dyDescent="0.25">
      <c r="A33" s="2">
        <v>43924</v>
      </c>
      <c r="B33" s="154">
        <v>88</v>
      </c>
      <c r="C33" s="154">
        <v>1353</v>
      </c>
      <c r="D33" s="154">
        <v>5</v>
      </c>
      <c r="E33" s="154">
        <v>42</v>
      </c>
      <c r="F33" s="156">
        <f t="shared" si="0"/>
        <v>13</v>
      </c>
      <c r="G33" s="179">
        <v>279</v>
      </c>
      <c r="H33" s="154">
        <v>86</v>
      </c>
      <c r="I33" s="154"/>
      <c r="J33" s="1"/>
      <c r="K33" s="14"/>
      <c r="L33" s="14">
        <v>7135</v>
      </c>
      <c r="M33" s="1">
        <v>7135</v>
      </c>
      <c r="N33" s="1">
        <v>656</v>
      </c>
      <c r="O33" s="1">
        <v>460</v>
      </c>
      <c r="P33" s="1">
        <v>113</v>
      </c>
      <c r="Q33" s="12">
        <f t="shared" si="4"/>
        <v>124</v>
      </c>
      <c r="R33" s="20">
        <f t="shared" si="1"/>
        <v>13</v>
      </c>
      <c r="S33" s="43">
        <f t="shared" si="2"/>
        <v>8.3333333333333329E-2</v>
      </c>
      <c r="T33" s="35">
        <f t="shared" si="3"/>
        <v>3.1042128603104215E-2</v>
      </c>
    </row>
    <row r="34" spans="1:20" x14ac:dyDescent="0.25">
      <c r="A34" s="2">
        <v>43925</v>
      </c>
      <c r="B34" s="154">
        <v>98</v>
      </c>
      <c r="C34" s="154">
        <v>1451</v>
      </c>
      <c r="D34" s="154">
        <v>1</v>
      </c>
      <c r="E34" s="154">
        <v>43</v>
      </c>
      <c r="F34" s="156">
        <f t="shared" si="0"/>
        <v>1</v>
      </c>
      <c r="G34" s="179">
        <v>280</v>
      </c>
      <c r="H34" s="154">
        <v>87</v>
      </c>
      <c r="I34" s="154"/>
      <c r="J34" s="1"/>
      <c r="K34" s="14">
        <v>394</v>
      </c>
      <c r="L34" s="14">
        <v>7494</v>
      </c>
      <c r="M34" s="1">
        <v>7888</v>
      </c>
      <c r="N34" s="1">
        <v>674</v>
      </c>
      <c r="O34" s="1">
        <v>490</v>
      </c>
      <c r="P34" s="1">
        <v>119</v>
      </c>
      <c r="Q34" s="12">
        <f t="shared" si="4"/>
        <v>168</v>
      </c>
      <c r="R34" s="20">
        <f t="shared" si="1"/>
        <v>1</v>
      </c>
      <c r="S34" s="43">
        <f t="shared" si="2"/>
        <v>7.7127659574468085E-2</v>
      </c>
      <c r="T34" s="35">
        <f t="shared" si="3"/>
        <v>2.9634734665747762E-2</v>
      </c>
    </row>
    <row r="35" spans="1:20" x14ac:dyDescent="0.25">
      <c r="A35" s="2">
        <v>43926</v>
      </c>
      <c r="B35" s="154">
        <v>103</v>
      </c>
      <c r="C35" s="154">
        <v>1554</v>
      </c>
      <c r="D35" s="154">
        <v>3</v>
      </c>
      <c r="E35" s="154">
        <v>46</v>
      </c>
      <c r="F35" s="156">
        <f t="shared" si="0"/>
        <v>45</v>
      </c>
      <c r="G35" s="179">
        <v>325</v>
      </c>
      <c r="H35" s="154">
        <v>94</v>
      </c>
      <c r="I35" s="154"/>
      <c r="J35" s="1"/>
      <c r="K35" s="14">
        <v>383</v>
      </c>
      <c r="L35" s="14">
        <v>8125</v>
      </c>
      <c r="M35" s="1">
        <v>8508</v>
      </c>
      <c r="N35" s="1">
        <v>695</v>
      </c>
      <c r="O35" s="1">
        <v>536</v>
      </c>
      <c r="P35" s="1">
        <v>148</v>
      </c>
      <c r="Q35" s="12">
        <f t="shared" si="4"/>
        <v>175</v>
      </c>
      <c r="R35" s="20">
        <f t="shared" si="1"/>
        <v>45</v>
      </c>
      <c r="S35" s="43">
        <f t="shared" si="2"/>
        <v>7.945900253592561E-2</v>
      </c>
      <c r="T35" s="35">
        <f t="shared" si="3"/>
        <v>2.9601029601029602E-2</v>
      </c>
    </row>
    <row r="36" spans="1:20" x14ac:dyDescent="0.25">
      <c r="A36" s="2">
        <v>43927</v>
      </c>
      <c r="B36" s="154">
        <v>74</v>
      </c>
      <c r="C36" s="154">
        <v>1628</v>
      </c>
      <c r="D36" s="154">
        <v>7</v>
      </c>
      <c r="E36" s="154">
        <v>53</v>
      </c>
      <c r="F36" s="156">
        <f t="shared" si="0"/>
        <v>13</v>
      </c>
      <c r="G36" s="179">
        <v>338</v>
      </c>
      <c r="H36" s="154">
        <v>96</v>
      </c>
      <c r="I36" s="154"/>
      <c r="J36" s="1"/>
      <c r="K36" s="14">
        <v>458</v>
      </c>
      <c r="L36" s="14">
        <v>8707</v>
      </c>
      <c r="M36" s="1">
        <v>9165</v>
      </c>
      <c r="N36" s="1">
        <v>718</v>
      </c>
      <c r="O36" s="1">
        <v>563</v>
      </c>
      <c r="P36" s="1">
        <v>175</v>
      </c>
      <c r="Q36" s="12">
        <f t="shared" si="4"/>
        <v>172</v>
      </c>
      <c r="R36" s="20">
        <f t="shared" si="1"/>
        <v>13</v>
      </c>
      <c r="S36" s="43">
        <f t="shared" si="2"/>
        <v>7.7607113985448672E-2</v>
      </c>
      <c r="T36" s="35">
        <f t="shared" si="3"/>
        <v>3.2555282555282554E-2</v>
      </c>
    </row>
    <row r="37" spans="1:20" x14ac:dyDescent="0.25">
      <c r="A37" s="2">
        <v>43928</v>
      </c>
      <c r="B37" s="154">
        <v>87</v>
      </c>
      <c r="C37" s="154">
        <v>1715</v>
      </c>
      <c r="D37" s="154">
        <v>7</v>
      </c>
      <c r="E37" s="154">
        <v>60</v>
      </c>
      <c r="F37" s="156">
        <f t="shared" si="0"/>
        <v>20</v>
      </c>
      <c r="G37" s="179">
        <v>358</v>
      </c>
      <c r="H37" s="154">
        <v>98</v>
      </c>
      <c r="I37" s="154">
        <v>1552</v>
      </c>
      <c r="J37" s="1"/>
      <c r="K37" s="14">
        <v>418</v>
      </c>
      <c r="L37" s="14">
        <v>10020</v>
      </c>
      <c r="M37" s="1">
        <v>10438</v>
      </c>
      <c r="N37" s="1">
        <v>738</v>
      </c>
      <c r="O37" s="1">
        <v>588</v>
      </c>
      <c r="P37" s="1">
        <v>205</v>
      </c>
      <c r="Q37" s="12">
        <f t="shared" si="4"/>
        <v>184</v>
      </c>
      <c r="R37" s="20">
        <f t="shared" si="1"/>
        <v>20</v>
      </c>
      <c r="S37" s="43">
        <f t="shared" si="2"/>
        <v>7.5558982266769464E-2</v>
      </c>
      <c r="T37" s="35">
        <f t="shared" si="3"/>
        <v>3.4985422740524783E-2</v>
      </c>
    </row>
    <row r="38" spans="1:20" x14ac:dyDescent="0.25">
      <c r="A38" s="2">
        <v>43929</v>
      </c>
      <c r="B38" s="154">
        <v>80</v>
      </c>
      <c r="C38" s="154">
        <v>1795</v>
      </c>
      <c r="D38" s="154">
        <v>5</v>
      </c>
      <c r="E38" s="154">
        <v>65</v>
      </c>
      <c r="F38" s="156">
        <f t="shared" si="0"/>
        <v>7</v>
      </c>
      <c r="G38" s="179">
        <v>365</v>
      </c>
      <c r="H38" s="154">
        <v>98</v>
      </c>
      <c r="I38" s="154">
        <v>1520</v>
      </c>
      <c r="J38" s="1"/>
      <c r="K38" s="14">
        <v>450</v>
      </c>
      <c r="L38" s="14">
        <v>11385</v>
      </c>
      <c r="M38" s="1">
        <v>11835</v>
      </c>
      <c r="N38" s="1">
        <v>767</v>
      </c>
      <c r="O38" s="1">
        <v>618</v>
      </c>
      <c r="P38" s="1">
        <v>224</v>
      </c>
      <c r="Q38" s="12">
        <f t="shared" si="4"/>
        <v>186</v>
      </c>
      <c r="R38" s="20">
        <f t="shared" si="1"/>
        <v>7</v>
      </c>
      <c r="S38" s="43">
        <f t="shared" si="2"/>
        <v>7.179487179487179E-2</v>
      </c>
      <c r="T38" s="35">
        <f t="shared" si="3"/>
        <v>3.6211699164345405E-2</v>
      </c>
    </row>
    <row r="39" spans="1:20" x14ac:dyDescent="0.25">
      <c r="A39" s="2">
        <v>43930</v>
      </c>
      <c r="B39" s="154">
        <v>99</v>
      </c>
      <c r="C39" s="154">
        <v>1894</v>
      </c>
      <c r="D39" s="154">
        <v>14</v>
      </c>
      <c r="E39" s="154">
        <v>79</v>
      </c>
      <c r="F39" s="156">
        <f t="shared" si="0"/>
        <v>10</v>
      </c>
      <c r="G39" s="179">
        <v>375</v>
      </c>
      <c r="H39" s="154">
        <v>98</v>
      </c>
      <c r="I39" s="154">
        <v>1529</v>
      </c>
      <c r="J39" s="1">
        <v>16379</v>
      </c>
      <c r="K39" s="14"/>
      <c r="L39" s="14"/>
      <c r="M39" s="1">
        <v>12983</v>
      </c>
      <c r="N39" s="1">
        <v>785</v>
      </c>
      <c r="O39" s="1">
        <v>641</v>
      </c>
      <c r="P39" s="1">
        <v>261</v>
      </c>
      <c r="Q39" s="12">
        <f t="shared" si="4"/>
        <v>207</v>
      </c>
      <c r="R39" s="20">
        <f t="shared" si="1"/>
        <v>10</v>
      </c>
      <c r="S39" s="43">
        <f t="shared" si="2"/>
        <v>6.805555555555555E-2</v>
      </c>
      <c r="T39" s="35">
        <f t="shared" si="3"/>
        <v>4.171066525871172E-2</v>
      </c>
    </row>
    <row r="40" spans="1:20" x14ac:dyDescent="0.25">
      <c r="A40" s="2">
        <v>43931</v>
      </c>
      <c r="B40" s="154">
        <v>81</v>
      </c>
      <c r="C40" s="154">
        <v>1975</v>
      </c>
      <c r="D40" s="154">
        <v>3</v>
      </c>
      <c r="E40" s="154">
        <v>82</v>
      </c>
      <c r="F40" s="156">
        <f t="shared" si="0"/>
        <v>65</v>
      </c>
      <c r="G40" s="179">
        <v>440</v>
      </c>
      <c r="H40" s="154">
        <v>115</v>
      </c>
      <c r="I40" s="154">
        <v>1648</v>
      </c>
      <c r="J40" s="1">
        <v>18027</v>
      </c>
      <c r="K40" s="14">
        <v>566</v>
      </c>
      <c r="L40" s="14">
        <v>13584</v>
      </c>
      <c r="M40" s="1">
        <v>14150</v>
      </c>
      <c r="N40" s="1">
        <v>790</v>
      </c>
      <c r="O40" s="1">
        <v>672</v>
      </c>
      <c r="P40" s="1">
        <v>290</v>
      </c>
      <c r="Q40" s="12">
        <f t="shared" si="4"/>
        <v>223</v>
      </c>
      <c r="R40" s="20">
        <f t="shared" si="1"/>
        <v>65</v>
      </c>
      <c r="S40" s="43">
        <f t="shared" si="2"/>
        <v>7.9146593255333797E-2</v>
      </c>
      <c r="T40" s="35">
        <f t="shared" si="3"/>
        <v>4.1518987341772152E-2</v>
      </c>
    </row>
    <row r="41" spans="1:20" x14ac:dyDescent="0.25">
      <c r="A41" s="2">
        <v>43932</v>
      </c>
      <c r="B41" s="154">
        <v>167</v>
      </c>
      <c r="C41" s="154">
        <v>2142</v>
      </c>
      <c r="D41" s="154">
        <v>7</v>
      </c>
      <c r="E41" s="154">
        <v>89</v>
      </c>
      <c r="F41" s="156">
        <f t="shared" si="0"/>
        <v>28</v>
      </c>
      <c r="G41" s="179">
        <v>468</v>
      </c>
      <c r="H41" s="154">
        <v>83</v>
      </c>
      <c r="I41" s="154">
        <v>1731</v>
      </c>
      <c r="J41" s="1">
        <v>19758</v>
      </c>
      <c r="K41" s="14">
        <v>464</v>
      </c>
      <c r="L41" s="14">
        <v>15016</v>
      </c>
      <c r="M41" s="1">
        <v>15480</v>
      </c>
      <c r="N41" s="1">
        <v>816</v>
      </c>
      <c r="O41" s="1">
        <v>712</v>
      </c>
      <c r="P41" s="1">
        <v>304</v>
      </c>
      <c r="Q41" s="12">
        <f t="shared" si="4"/>
        <v>310</v>
      </c>
      <c r="R41" s="20">
        <f t="shared" si="1"/>
        <v>28</v>
      </c>
      <c r="S41" s="43">
        <f t="shared" si="2"/>
        <v>5.2365930599369087E-2</v>
      </c>
      <c r="T41" s="35">
        <f t="shared" si="3"/>
        <v>4.1549953314659195E-2</v>
      </c>
    </row>
    <row r="42" spans="1:20" x14ac:dyDescent="0.25">
      <c r="A42" s="2">
        <v>43933</v>
      </c>
      <c r="B42" s="154">
        <v>66</v>
      </c>
      <c r="C42" s="154">
        <v>2208</v>
      </c>
      <c r="D42" s="154">
        <v>6</v>
      </c>
      <c r="E42" s="154">
        <v>95</v>
      </c>
      <c r="F42" s="156">
        <f t="shared" si="0"/>
        <v>47</v>
      </c>
      <c r="G42" s="179">
        <v>515</v>
      </c>
      <c r="H42" s="154">
        <v>113</v>
      </c>
      <c r="I42" s="154">
        <v>1435</v>
      </c>
      <c r="J42" s="1">
        <v>21193</v>
      </c>
      <c r="K42" s="14">
        <v>477</v>
      </c>
      <c r="L42" s="14">
        <v>15939</v>
      </c>
      <c r="M42" s="1">
        <v>16416</v>
      </c>
      <c r="N42" s="1">
        <v>821</v>
      </c>
      <c r="O42" s="1">
        <v>766</v>
      </c>
      <c r="P42" s="1">
        <v>318</v>
      </c>
      <c r="Q42" s="12">
        <f t="shared" si="4"/>
        <v>303</v>
      </c>
      <c r="R42" s="20">
        <f t="shared" si="1"/>
        <v>47</v>
      </c>
      <c r="S42" s="43">
        <f t="shared" si="2"/>
        <v>7.07133917396746E-2</v>
      </c>
      <c r="T42" s="35">
        <f t="shared" si="3"/>
        <v>4.3025362318840576E-2</v>
      </c>
    </row>
    <row r="43" spans="1:20" x14ac:dyDescent="0.25">
      <c r="A43" s="2">
        <v>43934</v>
      </c>
      <c r="B43" s="154">
        <v>69</v>
      </c>
      <c r="C43" s="154">
        <v>2277</v>
      </c>
      <c r="D43" s="154">
        <v>3</v>
      </c>
      <c r="E43" s="154">
        <v>98</v>
      </c>
      <c r="F43" s="156">
        <f t="shared" si="0"/>
        <v>44</v>
      </c>
      <c r="G43" s="179">
        <v>559</v>
      </c>
      <c r="H43" s="154">
        <v>116</v>
      </c>
      <c r="I43" s="154">
        <v>1612</v>
      </c>
      <c r="J43" s="1">
        <v>22805</v>
      </c>
      <c r="K43" s="14">
        <v>479</v>
      </c>
      <c r="L43" s="14">
        <v>17245</v>
      </c>
      <c r="M43" s="1">
        <v>17724</v>
      </c>
      <c r="N43" s="1">
        <v>830</v>
      </c>
      <c r="O43" s="1">
        <v>790</v>
      </c>
      <c r="P43" s="1">
        <v>354</v>
      </c>
      <c r="Q43" s="12">
        <f t="shared" si="4"/>
        <v>303</v>
      </c>
      <c r="R43" s="20">
        <f t="shared" si="1"/>
        <v>44</v>
      </c>
      <c r="S43" s="43">
        <f t="shared" si="2"/>
        <v>7.160493827160494E-2</v>
      </c>
      <c r="T43" s="35">
        <f t="shared" si="3"/>
        <v>4.3039086517347384E-2</v>
      </c>
    </row>
    <row r="44" spans="1:20" x14ac:dyDescent="0.25">
      <c r="A44" s="2">
        <v>43935</v>
      </c>
      <c r="B44" s="154">
        <v>166</v>
      </c>
      <c r="C44" s="154">
        <v>2443</v>
      </c>
      <c r="D44" s="154">
        <v>7</v>
      </c>
      <c r="E44" s="154">
        <v>105</v>
      </c>
      <c r="F44" s="156">
        <f t="shared" si="0"/>
        <v>37</v>
      </c>
      <c r="G44" s="179">
        <v>596</v>
      </c>
      <c r="H44" s="154">
        <v>117</v>
      </c>
      <c r="I44" s="154">
        <v>1569</v>
      </c>
      <c r="J44" s="1">
        <v>24374</v>
      </c>
      <c r="K44" s="14">
        <v>486</v>
      </c>
      <c r="L44" s="14">
        <v>18415</v>
      </c>
      <c r="M44" s="1">
        <v>18901</v>
      </c>
      <c r="N44" s="1">
        <v>833</v>
      </c>
      <c r="O44" s="1">
        <v>857</v>
      </c>
      <c r="P44" s="1">
        <v>393</v>
      </c>
      <c r="Q44" s="12">
        <f t="shared" si="4"/>
        <v>360</v>
      </c>
      <c r="R44" s="20">
        <f t="shared" si="1"/>
        <v>37</v>
      </c>
      <c r="S44" s="43">
        <f t="shared" si="2"/>
        <v>6.7164179104477612E-2</v>
      </c>
      <c r="T44" s="35">
        <f t="shared" si="3"/>
        <v>4.2979942693409739E-2</v>
      </c>
    </row>
    <row r="45" spans="1:20" x14ac:dyDescent="0.25">
      <c r="A45" s="2">
        <v>43936</v>
      </c>
      <c r="B45" s="154">
        <v>128</v>
      </c>
      <c r="C45" s="154">
        <v>2571</v>
      </c>
      <c r="D45" s="154">
        <v>7</v>
      </c>
      <c r="E45" s="154">
        <v>112</v>
      </c>
      <c r="F45" s="156">
        <f t="shared" si="0"/>
        <v>35</v>
      </c>
      <c r="G45" s="179">
        <v>631</v>
      </c>
      <c r="H45" s="154">
        <v>121</v>
      </c>
      <c r="I45" s="154">
        <v>2083</v>
      </c>
      <c r="J45" s="1">
        <v>26457</v>
      </c>
      <c r="K45" s="14">
        <v>497</v>
      </c>
      <c r="L45" s="14">
        <v>20148</v>
      </c>
      <c r="M45" s="1">
        <v>20645</v>
      </c>
      <c r="N45" s="1">
        <v>840</v>
      </c>
      <c r="O45" s="1">
        <v>903</v>
      </c>
      <c r="P45" s="1">
        <v>425</v>
      </c>
      <c r="Q45" s="12">
        <f t="shared" si="4"/>
        <v>403</v>
      </c>
      <c r="R45" s="20">
        <f t="shared" si="1"/>
        <v>35</v>
      </c>
      <c r="S45" s="43">
        <f t="shared" si="2"/>
        <v>6.6192560175054704E-2</v>
      </c>
      <c r="T45" s="35">
        <f t="shared" si="3"/>
        <v>4.3562816024893036E-2</v>
      </c>
    </row>
    <row r="46" spans="1:20" x14ac:dyDescent="0.25">
      <c r="A46" s="2">
        <v>43937</v>
      </c>
      <c r="B46" s="154">
        <v>98</v>
      </c>
      <c r="C46" s="154">
        <v>2669</v>
      </c>
      <c r="D46" s="154">
        <v>10</v>
      </c>
      <c r="E46" s="154">
        <v>122</v>
      </c>
      <c r="F46" s="156">
        <f t="shared" si="0"/>
        <v>35</v>
      </c>
      <c r="G46" s="179">
        <v>666</v>
      </c>
      <c r="H46" s="154">
        <v>126</v>
      </c>
      <c r="I46" s="154">
        <v>2193</v>
      </c>
      <c r="J46" s="1">
        <v>28650</v>
      </c>
      <c r="K46" s="14">
        <v>508</v>
      </c>
      <c r="L46" s="14">
        <v>21802</v>
      </c>
      <c r="M46" s="1">
        <v>22310</v>
      </c>
      <c r="N46" s="1">
        <v>845</v>
      </c>
      <c r="O46" s="1">
        <v>951</v>
      </c>
      <c r="P46" s="1">
        <v>448</v>
      </c>
      <c r="Q46" s="12">
        <f t="shared" si="4"/>
        <v>425</v>
      </c>
      <c r="R46" s="20">
        <f t="shared" si="1"/>
        <v>35</v>
      </c>
      <c r="S46" s="43">
        <f t="shared" si="2"/>
        <v>6.6985645933014357E-2</v>
      </c>
      <c r="T46" s="35">
        <f t="shared" si="3"/>
        <v>4.5710003746721621E-2</v>
      </c>
    </row>
    <row r="47" spans="1:20" x14ac:dyDescent="0.25">
      <c r="A47" s="2">
        <v>43938</v>
      </c>
      <c r="B47" s="154">
        <v>89</v>
      </c>
      <c r="C47" s="154">
        <v>2758</v>
      </c>
      <c r="D47" s="154">
        <v>7</v>
      </c>
      <c r="E47" s="154">
        <v>129</v>
      </c>
      <c r="F47" s="156">
        <f t="shared" si="0"/>
        <v>19</v>
      </c>
      <c r="G47" s="179">
        <v>685</v>
      </c>
      <c r="H47" s="154">
        <v>127</v>
      </c>
      <c r="I47" s="154">
        <v>2292</v>
      </c>
      <c r="J47" s="1">
        <v>30942</v>
      </c>
      <c r="K47" s="14">
        <v>505</v>
      </c>
      <c r="L47" s="14">
        <v>23291</v>
      </c>
      <c r="M47" s="1">
        <v>23796</v>
      </c>
      <c r="N47" s="1">
        <v>851</v>
      </c>
      <c r="O47" s="1">
        <v>997</v>
      </c>
      <c r="P47" s="1">
        <v>474</v>
      </c>
      <c r="Q47" s="12">
        <f t="shared" si="4"/>
        <v>436</v>
      </c>
      <c r="R47" s="20">
        <f t="shared" si="1"/>
        <v>19</v>
      </c>
      <c r="S47" s="43">
        <f t="shared" si="2"/>
        <v>6.5329218106995879E-2</v>
      </c>
      <c r="T47" s="35">
        <f t="shared" si="3"/>
        <v>4.6773023930384336E-2</v>
      </c>
    </row>
    <row r="48" spans="1:20" x14ac:dyDescent="0.25">
      <c r="A48" s="2">
        <v>43939</v>
      </c>
      <c r="B48" s="154">
        <v>81</v>
      </c>
      <c r="C48" s="154">
        <v>2839</v>
      </c>
      <c r="D48" s="154">
        <v>3</v>
      </c>
      <c r="E48" s="154">
        <v>132</v>
      </c>
      <c r="F48" s="156">
        <f t="shared" si="0"/>
        <v>24</v>
      </c>
      <c r="G48" s="179">
        <v>709</v>
      </c>
      <c r="H48" s="154">
        <v>123</v>
      </c>
      <c r="I48" s="154">
        <v>1770</v>
      </c>
      <c r="J48" s="1">
        <v>32712</v>
      </c>
      <c r="K48" s="14">
        <v>503</v>
      </c>
      <c r="L48" s="14">
        <v>24756</v>
      </c>
      <c r="M48" s="1">
        <v>25259</v>
      </c>
      <c r="N48" s="1">
        <v>856</v>
      </c>
      <c r="O48" s="1">
        <v>1184</v>
      </c>
      <c r="P48" s="1">
        <v>496</v>
      </c>
      <c r="Q48" s="12">
        <f t="shared" si="4"/>
        <v>303</v>
      </c>
      <c r="R48" s="20">
        <f t="shared" si="1"/>
        <v>24</v>
      </c>
      <c r="S48" s="43">
        <f t="shared" si="2"/>
        <v>6.1561561561561562E-2</v>
      </c>
      <c r="T48" s="35">
        <f t="shared" si="3"/>
        <v>4.6495244804508631E-2</v>
      </c>
    </row>
    <row r="49" spans="1:21" x14ac:dyDescent="0.25">
      <c r="A49" s="2">
        <v>43940</v>
      </c>
      <c r="B49" s="154">
        <v>102</v>
      </c>
      <c r="C49" s="154">
        <v>2941</v>
      </c>
      <c r="D49" s="154">
        <v>2</v>
      </c>
      <c r="E49" s="154">
        <v>134</v>
      </c>
      <c r="F49" s="156">
        <f t="shared" si="0"/>
        <v>28</v>
      </c>
      <c r="G49" s="179">
        <v>737</v>
      </c>
      <c r="H49" s="154">
        <v>126</v>
      </c>
      <c r="I49" s="154">
        <v>1856</v>
      </c>
      <c r="J49" s="1">
        <v>34568</v>
      </c>
      <c r="K49" s="14">
        <v>536</v>
      </c>
      <c r="L49" s="14">
        <v>26122</v>
      </c>
      <c r="M49" s="1">
        <v>26658</v>
      </c>
      <c r="N49" s="1">
        <v>858</v>
      </c>
      <c r="O49" s="1">
        <v>1235</v>
      </c>
      <c r="P49" s="1">
        <v>538</v>
      </c>
      <c r="Q49" s="12">
        <f t="shared" si="4"/>
        <v>310</v>
      </c>
      <c r="R49" s="20">
        <f t="shared" si="1"/>
        <v>28</v>
      </c>
      <c r="S49" s="43">
        <f t="shared" si="2"/>
        <v>6.0869565217391307E-2</v>
      </c>
      <c r="T49" s="35">
        <f t="shared" si="3"/>
        <v>4.5562733764025844E-2</v>
      </c>
    </row>
    <row r="50" spans="1:21" x14ac:dyDescent="0.25">
      <c r="A50" s="2">
        <v>43941</v>
      </c>
      <c r="B50" s="154">
        <v>90</v>
      </c>
      <c r="C50" s="154">
        <v>3031</v>
      </c>
      <c r="D50" s="154">
        <v>8</v>
      </c>
      <c r="E50" s="154">
        <v>142</v>
      </c>
      <c r="F50" s="156">
        <f t="shared" si="0"/>
        <v>103</v>
      </c>
      <c r="G50" s="179">
        <v>840</v>
      </c>
      <c r="H50" s="154">
        <v>129</v>
      </c>
      <c r="I50" s="154">
        <v>2043</v>
      </c>
      <c r="J50" s="1">
        <v>36611</v>
      </c>
      <c r="K50" s="14">
        <v>566</v>
      </c>
      <c r="L50" s="14">
        <v>27732</v>
      </c>
      <c r="M50" s="1">
        <v>28298</v>
      </c>
      <c r="N50" s="1">
        <v>863</v>
      </c>
      <c r="O50" s="1">
        <v>1293</v>
      </c>
      <c r="P50" s="1">
        <v>576</v>
      </c>
      <c r="Q50" s="12">
        <f t="shared" si="4"/>
        <v>299</v>
      </c>
      <c r="R50" s="20">
        <f t="shared" si="1"/>
        <v>103</v>
      </c>
      <c r="S50" s="43">
        <f t="shared" si="2"/>
        <v>6.2957540263543194E-2</v>
      </c>
      <c r="T50" s="35">
        <f t="shared" si="3"/>
        <v>4.6849224678323982E-2</v>
      </c>
    </row>
    <row r="51" spans="1:21" x14ac:dyDescent="0.25">
      <c r="A51" s="2">
        <v>43942</v>
      </c>
      <c r="B51" s="154">
        <v>113</v>
      </c>
      <c r="C51" s="154">
        <v>3144</v>
      </c>
      <c r="D51" s="154">
        <v>9</v>
      </c>
      <c r="E51" s="154">
        <v>151</v>
      </c>
      <c r="F51" s="156">
        <f t="shared" si="0"/>
        <v>32</v>
      </c>
      <c r="G51" s="179">
        <v>872</v>
      </c>
      <c r="H51" s="154">
        <v>131</v>
      </c>
      <c r="I51" s="154">
        <v>2617</v>
      </c>
      <c r="J51" s="1">
        <v>39228</v>
      </c>
      <c r="K51" s="14">
        <v>533</v>
      </c>
      <c r="L51" s="14">
        <v>29829</v>
      </c>
      <c r="M51" s="1">
        <v>30362</v>
      </c>
      <c r="N51" s="1">
        <v>866</v>
      </c>
      <c r="O51" s="1">
        <v>1346</v>
      </c>
      <c r="P51" s="1">
        <v>618</v>
      </c>
      <c r="Q51" s="12">
        <f t="shared" si="4"/>
        <v>314</v>
      </c>
      <c r="R51" s="20">
        <f t="shared" si="1"/>
        <v>32</v>
      </c>
      <c r="S51" s="43">
        <f t="shared" si="2"/>
        <v>6.1763319189061763E-2</v>
      </c>
      <c r="T51" s="35">
        <f t="shared" si="3"/>
        <v>4.8027989821882951E-2</v>
      </c>
    </row>
    <row r="52" spans="1:21" x14ac:dyDescent="0.25">
      <c r="A52" s="2">
        <v>43943</v>
      </c>
      <c r="B52" s="154">
        <v>144</v>
      </c>
      <c r="C52" s="154">
        <v>3288</v>
      </c>
      <c r="D52" s="154">
        <v>8</v>
      </c>
      <c r="E52" s="154">
        <v>159</v>
      </c>
      <c r="F52" s="156">
        <f t="shared" si="0"/>
        <v>47</v>
      </c>
      <c r="G52" s="179">
        <v>919</v>
      </c>
      <c r="H52" s="154">
        <v>136</v>
      </c>
      <c r="I52" s="154">
        <v>2558</v>
      </c>
      <c r="J52" s="1">
        <v>41786</v>
      </c>
      <c r="K52" s="14">
        <v>569</v>
      </c>
      <c r="L52" s="14">
        <v>31845</v>
      </c>
      <c r="M52" s="1">
        <v>32414</v>
      </c>
      <c r="N52" s="1">
        <v>870</v>
      </c>
      <c r="O52" s="1">
        <v>1408</v>
      </c>
      <c r="P52" s="1">
        <v>669</v>
      </c>
      <c r="Q52" s="12">
        <f t="shared" si="4"/>
        <v>341</v>
      </c>
      <c r="R52" s="20">
        <f t="shared" si="1"/>
        <v>47</v>
      </c>
      <c r="S52" s="43">
        <f t="shared" si="2"/>
        <v>6.1538461538461542E-2</v>
      </c>
      <c r="T52" s="35">
        <f t="shared" si="3"/>
        <v>4.8357664233576646E-2</v>
      </c>
    </row>
    <row r="53" spans="1:21" x14ac:dyDescent="0.25">
      <c r="A53" s="2">
        <v>43944</v>
      </c>
      <c r="B53" s="154">
        <v>147</v>
      </c>
      <c r="C53" s="154">
        <v>3435</v>
      </c>
      <c r="D53" s="154">
        <v>6</v>
      </c>
      <c r="E53" s="154">
        <v>165</v>
      </c>
      <c r="F53" s="156">
        <f t="shared" si="0"/>
        <v>57</v>
      </c>
      <c r="G53" s="179">
        <v>976</v>
      </c>
      <c r="H53" s="154">
        <v>141</v>
      </c>
      <c r="I53" s="154">
        <v>2868</v>
      </c>
      <c r="J53" s="1">
        <v>44654</v>
      </c>
      <c r="K53" s="14">
        <v>557</v>
      </c>
      <c r="L53" s="14">
        <v>33874</v>
      </c>
      <c r="M53" s="1">
        <v>34431</v>
      </c>
      <c r="N53" s="1">
        <v>875</v>
      </c>
      <c r="O53" s="1">
        <v>1490</v>
      </c>
      <c r="P53" s="1">
        <v>722</v>
      </c>
      <c r="Q53" s="12">
        <f t="shared" si="4"/>
        <v>348</v>
      </c>
      <c r="R53" s="20">
        <f t="shared" si="1"/>
        <v>57</v>
      </c>
      <c r="S53" s="43">
        <f t="shared" si="2"/>
        <v>6.1464690496948561E-2</v>
      </c>
      <c r="T53" s="35">
        <f t="shared" si="3"/>
        <v>4.8034934497816595E-2</v>
      </c>
    </row>
    <row r="54" spans="1:21" x14ac:dyDescent="0.25">
      <c r="A54" s="2">
        <v>43945</v>
      </c>
      <c r="B54" s="154">
        <v>172</v>
      </c>
      <c r="C54" s="154">
        <v>3607</v>
      </c>
      <c r="D54" s="154">
        <v>11</v>
      </c>
      <c r="E54" s="154">
        <v>176</v>
      </c>
      <c r="F54" s="156">
        <f t="shared" si="0"/>
        <v>54</v>
      </c>
      <c r="G54" s="179">
        <v>1030</v>
      </c>
      <c r="H54" s="154">
        <v>144</v>
      </c>
      <c r="I54" s="154">
        <v>2752</v>
      </c>
      <c r="J54" s="1">
        <v>47406</v>
      </c>
      <c r="K54" s="14">
        <v>543</v>
      </c>
      <c r="L54" s="14">
        <v>36067</v>
      </c>
      <c r="M54" s="1">
        <v>36610</v>
      </c>
      <c r="N54" s="1">
        <v>887</v>
      </c>
      <c r="O54" s="1">
        <v>1562</v>
      </c>
      <c r="P54" s="1">
        <v>755</v>
      </c>
      <c r="Q54" s="12">
        <f t="shared" si="4"/>
        <v>403</v>
      </c>
      <c r="R54" s="20">
        <f t="shared" si="1"/>
        <v>54</v>
      </c>
      <c r="S54" s="43">
        <f t="shared" si="2"/>
        <v>5.9975010412328195E-2</v>
      </c>
      <c r="T54" s="35">
        <f t="shared" si="3"/>
        <v>4.8794011644025505E-2</v>
      </c>
      <c r="U54" s="87"/>
    </row>
    <row r="55" spans="1:21" x14ac:dyDescent="0.25">
      <c r="A55" s="2">
        <v>43946</v>
      </c>
      <c r="B55" s="154">
        <v>173</v>
      </c>
      <c r="C55" s="154">
        <v>3780</v>
      </c>
      <c r="D55" s="154">
        <v>9</v>
      </c>
      <c r="E55" s="154">
        <v>185</v>
      </c>
      <c r="F55" s="156">
        <f t="shared" si="0"/>
        <v>77</v>
      </c>
      <c r="G55" s="179">
        <v>1107</v>
      </c>
      <c r="H55" s="154">
        <v>139</v>
      </c>
      <c r="I55" s="154">
        <v>2499</v>
      </c>
      <c r="J55" s="1">
        <v>49905</v>
      </c>
      <c r="K55" s="14">
        <v>561</v>
      </c>
      <c r="L55" s="14">
        <v>37654</v>
      </c>
      <c r="M55" s="1">
        <v>38215</v>
      </c>
      <c r="N55" s="1">
        <v>888</v>
      </c>
      <c r="O55" s="1">
        <v>1641</v>
      </c>
      <c r="P55" s="1">
        <v>797</v>
      </c>
      <c r="Q55" s="12">
        <f t="shared" si="4"/>
        <v>454</v>
      </c>
      <c r="R55" s="20">
        <f t="shared" si="1"/>
        <v>77</v>
      </c>
      <c r="S55" s="43">
        <f t="shared" si="2"/>
        <v>5.5868167202572344E-2</v>
      </c>
      <c r="T55" s="35">
        <f t="shared" si="3"/>
        <v>4.8941798941798939E-2</v>
      </c>
      <c r="U55" s="87"/>
    </row>
    <row r="56" spans="1:21" x14ac:dyDescent="0.25">
      <c r="A56" s="2">
        <v>43947</v>
      </c>
      <c r="B56" s="154">
        <v>112</v>
      </c>
      <c r="C56" s="154">
        <v>3892</v>
      </c>
      <c r="D56" s="154">
        <v>7</v>
      </c>
      <c r="E56" s="154">
        <v>192</v>
      </c>
      <c r="F56" s="156">
        <f t="shared" si="0"/>
        <v>33</v>
      </c>
      <c r="G56" s="179">
        <v>1140</v>
      </c>
      <c r="H56" s="154">
        <v>151</v>
      </c>
      <c r="I56" s="154">
        <v>1995</v>
      </c>
      <c r="J56" s="1">
        <v>51900</v>
      </c>
      <c r="K56" s="14">
        <v>570</v>
      </c>
      <c r="L56" s="14">
        <v>39420</v>
      </c>
      <c r="M56" s="1">
        <v>39990</v>
      </c>
      <c r="N56" s="1">
        <v>900</v>
      </c>
      <c r="O56" s="1">
        <v>1684</v>
      </c>
      <c r="P56" s="1">
        <v>829</v>
      </c>
      <c r="Q56" s="12">
        <f t="shared" si="4"/>
        <v>479</v>
      </c>
      <c r="R56" s="20">
        <f t="shared" si="1"/>
        <v>33</v>
      </c>
      <c r="S56" s="43">
        <f t="shared" si="2"/>
        <v>5.8984374999999999E-2</v>
      </c>
      <c r="T56" s="35">
        <f t="shared" si="3"/>
        <v>4.9331963001027747E-2</v>
      </c>
      <c r="U56" s="87"/>
    </row>
    <row r="57" spans="1:21" x14ac:dyDescent="0.25">
      <c r="A57" s="2">
        <v>43948</v>
      </c>
      <c r="B57" s="154">
        <v>111</v>
      </c>
      <c r="C57" s="154">
        <v>4003</v>
      </c>
      <c r="D57" s="154">
        <v>5</v>
      </c>
      <c r="E57" s="154">
        <v>197</v>
      </c>
      <c r="F57" s="156">
        <f t="shared" si="0"/>
        <v>22</v>
      </c>
      <c r="G57" s="179">
        <v>1162</v>
      </c>
      <c r="H57" s="154">
        <v>155</v>
      </c>
      <c r="I57" s="154">
        <v>1700</v>
      </c>
      <c r="J57" s="1">
        <v>53600</v>
      </c>
      <c r="K57" s="14">
        <v>600</v>
      </c>
      <c r="L57" s="14">
        <v>40959</v>
      </c>
      <c r="M57" s="1">
        <v>41559</v>
      </c>
      <c r="N57" s="1">
        <v>905</v>
      </c>
      <c r="O57" s="1">
        <v>1725</v>
      </c>
      <c r="P57" s="1">
        <v>897</v>
      </c>
      <c r="Q57" s="12">
        <f t="shared" si="4"/>
        <v>476</v>
      </c>
      <c r="R57" s="20">
        <f t="shared" si="1"/>
        <v>22</v>
      </c>
      <c r="S57" s="43">
        <f t="shared" si="2"/>
        <v>5.8623298033282902E-2</v>
      </c>
      <c r="T57" s="35">
        <f t="shared" si="3"/>
        <v>4.921309018236323E-2</v>
      </c>
      <c r="U57" s="87"/>
    </row>
    <row r="58" spans="1:21" x14ac:dyDescent="0.25">
      <c r="A58" s="2">
        <v>43949</v>
      </c>
      <c r="B58" s="154">
        <v>124</v>
      </c>
      <c r="C58" s="154">
        <v>4127</v>
      </c>
      <c r="D58" s="154">
        <v>10</v>
      </c>
      <c r="E58" s="154">
        <v>207</v>
      </c>
      <c r="F58" s="156">
        <f t="shared" si="0"/>
        <v>30</v>
      </c>
      <c r="G58" s="179">
        <v>1192</v>
      </c>
      <c r="H58" s="154">
        <v>154</v>
      </c>
      <c r="I58" s="154">
        <v>2458</v>
      </c>
      <c r="J58" s="1">
        <v>56058</v>
      </c>
      <c r="K58" s="14">
        <v>612</v>
      </c>
      <c r="L58" s="14">
        <v>42710</v>
      </c>
      <c r="M58" s="1">
        <v>43322</v>
      </c>
      <c r="N58" s="1">
        <v>909</v>
      </c>
      <c r="O58" s="1">
        <v>1766</v>
      </c>
      <c r="P58" s="1">
        <v>984</v>
      </c>
      <c r="Q58" s="12">
        <f t="shared" si="4"/>
        <v>468</v>
      </c>
      <c r="R58" s="20">
        <f t="shared" si="1"/>
        <v>30</v>
      </c>
      <c r="S58" s="43">
        <f t="shared" si="2"/>
        <v>5.6451612903225805E-2</v>
      </c>
      <c r="T58" s="35">
        <f t="shared" si="3"/>
        <v>5.0157499394233099E-2</v>
      </c>
      <c r="U58" s="87"/>
    </row>
    <row r="59" spans="1:21" x14ac:dyDescent="0.25">
      <c r="A59" s="2">
        <v>43950</v>
      </c>
      <c r="B59" s="154">
        <v>158</v>
      </c>
      <c r="C59" s="154">
        <v>4285</v>
      </c>
      <c r="D59" s="154">
        <v>7</v>
      </c>
      <c r="E59" s="154">
        <v>214</v>
      </c>
      <c r="F59" s="156">
        <f t="shared" si="0"/>
        <v>64</v>
      </c>
      <c r="G59" s="179">
        <v>1256</v>
      </c>
      <c r="H59" s="154">
        <v>157</v>
      </c>
      <c r="I59" s="154">
        <v>2627</v>
      </c>
      <c r="J59" s="1">
        <v>58685</v>
      </c>
      <c r="K59" s="14">
        <v>618</v>
      </c>
      <c r="L59" s="14">
        <v>44828</v>
      </c>
      <c r="M59" s="1">
        <v>45446</v>
      </c>
      <c r="N59" s="1">
        <v>912</v>
      </c>
      <c r="O59" s="1">
        <v>1835</v>
      </c>
      <c r="P59" s="1">
        <v>1041</v>
      </c>
      <c r="Q59" s="12">
        <f t="shared" si="4"/>
        <v>497</v>
      </c>
      <c r="R59" s="20">
        <f t="shared" si="1"/>
        <v>64</v>
      </c>
      <c r="S59" s="43">
        <f t="shared" si="2"/>
        <v>5.5772646536412077E-2</v>
      </c>
      <c r="T59" s="35">
        <f t="shared" si="3"/>
        <v>4.9941656942823806E-2</v>
      </c>
      <c r="U59" s="87"/>
    </row>
    <row r="60" spans="1:21" x14ac:dyDescent="0.25">
      <c r="A60" s="2">
        <v>43951</v>
      </c>
      <c r="B60" s="154">
        <v>143</v>
      </c>
      <c r="C60" s="154">
        <v>4428</v>
      </c>
      <c r="D60" s="154">
        <v>4</v>
      </c>
      <c r="E60" s="154">
        <v>218</v>
      </c>
      <c r="F60" s="156">
        <f t="shared" si="0"/>
        <v>36</v>
      </c>
      <c r="G60" s="179">
        <v>1292</v>
      </c>
      <c r="H60" s="154">
        <v>157</v>
      </c>
      <c r="I60" s="154">
        <v>2845</v>
      </c>
      <c r="J60" s="1">
        <v>61530</v>
      </c>
      <c r="K60" s="14">
        <v>638</v>
      </c>
      <c r="L60" s="14">
        <v>46829</v>
      </c>
      <c r="M60" s="1">
        <v>47467</v>
      </c>
      <c r="N60" s="1">
        <v>915</v>
      </c>
      <c r="O60" s="1">
        <v>1904</v>
      </c>
      <c r="P60" s="1">
        <v>1149</v>
      </c>
      <c r="Q60" s="12">
        <f t="shared" si="4"/>
        <v>460</v>
      </c>
      <c r="R60" s="20">
        <f t="shared" si="1"/>
        <v>36</v>
      </c>
      <c r="S60" s="43">
        <f t="shared" si="2"/>
        <v>5.3803975325565453E-2</v>
      </c>
      <c r="T60" s="35">
        <f t="shared" si="3"/>
        <v>4.9232158988256551E-2</v>
      </c>
      <c r="U60" s="87"/>
    </row>
    <row r="61" spans="1:21" x14ac:dyDescent="0.25">
      <c r="A61" s="2">
        <v>43952</v>
      </c>
      <c r="B61" s="154">
        <v>105</v>
      </c>
      <c r="C61" s="154">
        <v>4532</v>
      </c>
      <c r="D61" s="154">
        <v>7</v>
      </c>
      <c r="E61" s="154">
        <v>225</v>
      </c>
      <c r="F61" s="156">
        <f t="shared" si="0"/>
        <v>28</v>
      </c>
      <c r="G61" s="179">
        <v>1320</v>
      </c>
      <c r="H61" s="154">
        <v>164</v>
      </c>
      <c r="I61" s="154">
        <v>2336</v>
      </c>
      <c r="J61" s="1">
        <v>63866</v>
      </c>
      <c r="K61" s="14">
        <v>656</v>
      </c>
      <c r="L61" s="14">
        <v>48591</v>
      </c>
      <c r="M61" s="1">
        <v>49247</v>
      </c>
      <c r="N61" s="1">
        <v>916</v>
      </c>
      <c r="O61" s="1">
        <v>1949</v>
      </c>
      <c r="P61" s="1">
        <v>1224</v>
      </c>
      <c r="Q61" s="12">
        <f t="shared" si="4"/>
        <v>443</v>
      </c>
      <c r="R61" s="20">
        <f t="shared" si="1"/>
        <v>28</v>
      </c>
      <c r="S61" s="43">
        <f t="shared" si="2"/>
        <v>5.4904586541680615E-2</v>
      </c>
      <c r="T61" s="35">
        <f t="shared" si="3"/>
        <v>4.9646954986760812E-2</v>
      </c>
      <c r="U61" s="87"/>
    </row>
    <row r="62" spans="1:21" x14ac:dyDescent="0.25">
      <c r="A62" s="2">
        <v>43953</v>
      </c>
      <c r="B62" s="154">
        <v>149</v>
      </c>
      <c r="C62" s="154">
        <v>4681</v>
      </c>
      <c r="D62" s="154">
        <v>12</v>
      </c>
      <c r="E62" s="154">
        <v>237</v>
      </c>
      <c r="F62" s="156">
        <f t="shared" si="0"/>
        <v>34</v>
      </c>
      <c r="G62" s="179">
        <v>1354</v>
      </c>
      <c r="H62" s="154">
        <v>164</v>
      </c>
      <c r="I62" s="154">
        <v>1947</v>
      </c>
      <c r="J62" s="1">
        <v>65813</v>
      </c>
      <c r="K62" s="14">
        <v>681</v>
      </c>
      <c r="L62" s="14">
        <v>50098</v>
      </c>
      <c r="M62" s="1">
        <v>50779</v>
      </c>
      <c r="N62" s="1">
        <v>917</v>
      </c>
      <c r="O62" s="1">
        <v>2012</v>
      </c>
      <c r="P62" s="1">
        <v>1267</v>
      </c>
      <c r="Q62" s="12">
        <f t="shared" si="4"/>
        <v>485</v>
      </c>
      <c r="R62" s="20">
        <f t="shared" si="1"/>
        <v>34</v>
      </c>
      <c r="S62" s="43">
        <f t="shared" si="2"/>
        <v>5.307443365695793E-2</v>
      </c>
      <c r="T62" s="35">
        <f t="shared" si="3"/>
        <v>5.0630207220679339E-2</v>
      </c>
      <c r="U62" s="87"/>
    </row>
    <row r="63" spans="1:21" x14ac:dyDescent="0.25">
      <c r="A63" s="2">
        <v>43954</v>
      </c>
      <c r="B63" s="154">
        <v>103</v>
      </c>
      <c r="C63" s="154">
        <v>4784</v>
      </c>
      <c r="D63" s="154">
        <v>9</v>
      </c>
      <c r="E63" s="154">
        <v>246</v>
      </c>
      <c r="F63" s="156">
        <f t="shared" si="0"/>
        <v>88</v>
      </c>
      <c r="G63" s="179">
        <v>1442</v>
      </c>
      <c r="H63" s="154">
        <v>146</v>
      </c>
      <c r="I63" s="154">
        <v>1497</v>
      </c>
      <c r="J63" s="1">
        <v>67920</v>
      </c>
      <c r="K63" s="14">
        <v>674</v>
      </c>
      <c r="L63" s="14">
        <v>51590</v>
      </c>
      <c r="M63" s="1">
        <v>52264</v>
      </c>
      <c r="N63" s="1">
        <v>920</v>
      </c>
      <c r="O63" s="1">
        <v>2076</v>
      </c>
      <c r="P63" s="1">
        <v>1314</v>
      </c>
      <c r="Q63" s="12">
        <f t="shared" si="4"/>
        <v>474</v>
      </c>
      <c r="R63" s="20">
        <f t="shared" si="1"/>
        <v>88</v>
      </c>
      <c r="S63" s="43">
        <f t="shared" si="2"/>
        <v>4.7157622739018086E-2</v>
      </c>
      <c r="T63" s="35">
        <f t="shared" si="3"/>
        <v>5.1421404682274248E-2</v>
      </c>
      <c r="U63" s="87"/>
    </row>
    <row r="64" spans="1:21" x14ac:dyDescent="0.25">
      <c r="A64" s="2">
        <v>43955</v>
      </c>
      <c r="B64" s="154">
        <v>104</v>
      </c>
      <c r="C64" s="154">
        <v>4887</v>
      </c>
      <c r="D64" s="154">
        <v>14</v>
      </c>
      <c r="E64" s="154">
        <v>260</v>
      </c>
      <c r="F64" s="156">
        <f t="shared" si="0"/>
        <v>30</v>
      </c>
      <c r="G64" s="179">
        <v>1472</v>
      </c>
      <c r="H64" s="154">
        <v>148</v>
      </c>
      <c r="I64" s="154">
        <v>1798</v>
      </c>
      <c r="J64" s="1">
        <v>69718</v>
      </c>
      <c r="K64" s="14">
        <v>692</v>
      </c>
      <c r="L64" s="14">
        <v>53203</v>
      </c>
      <c r="M64" s="1">
        <v>53895</v>
      </c>
      <c r="N64" s="1">
        <v>924</v>
      </c>
      <c r="O64" s="1">
        <v>2136</v>
      </c>
      <c r="P64" s="1">
        <v>1378</v>
      </c>
      <c r="Q64" s="12">
        <f t="shared" si="4"/>
        <v>449</v>
      </c>
      <c r="R64" s="20">
        <f t="shared" si="1"/>
        <v>30</v>
      </c>
      <c r="S64" s="43">
        <f t="shared" si="2"/>
        <v>4.6909667194928686E-2</v>
      </c>
      <c r="T64" s="35">
        <f t="shared" si="3"/>
        <v>5.3202373644362595E-2</v>
      </c>
      <c r="U64" s="87"/>
    </row>
    <row r="65" spans="1:21" x14ac:dyDescent="0.25">
      <c r="A65" s="2">
        <v>43956</v>
      </c>
      <c r="B65" s="154">
        <v>134</v>
      </c>
      <c r="C65" s="154">
        <v>5020</v>
      </c>
      <c r="D65" s="154">
        <v>4</v>
      </c>
      <c r="E65" s="154">
        <v>264</v>
      </c>
      <c r="F65" s="156">
        <f t="shared" si="0"/>
        <v>52</v>
      </c>
      <c r="G65" s="179">
        <v>1524</v>
      </c>
      <c r="H65" s="154">
        <v>143</v>
      </c>
      <c r="I65" s="154">
        <v>2597</v>
      </c>
      <c r="J65" s="1">
        <v>72315</v>
      </c>
      <c r="K65" s="14">
        <v>666</v>
      </c>
      <c r="L65" s="14">
        <v>55227</v>
      </c>
      <c r="M65" s="1">
        <v>55893</v>
      </c>
      <c r="N65" s="1">
        <v>929</v>
      </c>
      <c r="O65" s="1">
        <v>2204</v>
      </c>
      <c r="P65" s="1">
        <v>1446</v>
      </c>
      <c r="Q65" s="12">
        <f t="shared" si="4"/>
        <v>441</v>
      </c>
      <c r="R65" s="20">
        <f t="shared" si="1"/>
        <v>52</v>
      </c>
      <c r="S65" s="43">
        <f t="shared" si="2"/>
        <v>4.4245049504950493E-2</v>
      </c>
      <c r="T65" s="35">
        <f t="shared" si="3"/>
        <v>5.2589641434262951E-2</v>
      </c>
      <c r="U65" s="87"/>
    </row>
    <row r="66" spans="1:21" x14ac:dyDescent="0.25">
      <c r="A66" s="2">
        <v>43957</v>
      </c>
      <c r="B66" s="154">
        <v>188</v>
      </c>
      <c r="C66" s="154">
        <v>5208</v>
      </c>
      <c r="D66" s="154">
        <v>9</v>
      </c>
      <c r="E66" s="154">
        <v>273</v>
      </c>
      <c r="F66" s="156">
        <f t="shared" si="0"/>
        <v>77</v>
      </c>
      <c r="G66" s="179">
        <v>1601</v>
      </c>
      <c r="H66" s="154">
        <v>151</v>
      </c>
      <c r="I66" s="154">
        <v>2883</v>
      </c>
      <c r="J66" s="1">
        <v>75198</v>
      </c>
      <c r="K66" s="14">
        <v>652</v>
      </c>
      <c r="L66" s="14">
        <v>57176</v>
      </c>
      <c r="M66" s="1">
        <v>57828</v>
      </c>
      <c r="N66" s="1">
        <v>927</v>
      </c>
      <c r="O66" s="1">
        <v>2292</v>
      </c>
      <c r="P66" s="1">
        <v>1510</v>
      </c>
      <c r="Q66" s="12">
        <f t="shared" si="4"/>
        <v>479</v>
      </c>
      <c r="R66" s="20">
        <f t="shared" si="1"/>
        <v>77</v>
      </c>
      <c r="S66" s="43">
        <f t="shared" si="2"/>
        <v>4.5290941811637675E-2</v>
      </c>
      <c r="T66" s="35">
        <f t="shared" si="3"/>
        <v>5.2419354838709679E-2</v>
      </c>
      <c r="U66" s="87"/>
    </row>
    <row r="67" spans="1:21" x14ac:dyDescent="0.25">
      <c r="A67" s="2">
        <v>43958</v>
      </c>
      <c r="B67" s="154">
        <v>163</v>
      </c>
      <c r="C67" s="154">
        <v>5371</v>
      </c>
      <c r="D67" s="154">
        <v>9</v>
      </c>
      <c r="E67" s="154">
        <v>282</v>
      </c>
      <c r="F67" s="156">
        <f t="shared" ref="F67:F130" si="5">G67-G66</f>
        <v>0</v>
      </c>
      <c r="G67" s="179">
        <v>1601</v>
      </c>
      <c r="H67" s="154">
        <v>151</v>
      </c>
      <c r="I67" s="154">
        <v>2703</v>
      </c>
      <c r="J67" s="1">
        <v>77901</v>
      </c>
      <c r="K67" s="14">
        <v>688</v>
      </c>
      <c r="L67" s="14">
        <v>59080</v>
      </c>
      <c r="M67" s="1">
        <v>59768</v>
      </c>
      <c r="N67" s="1">
        <v>929</v>
      </c>
      <c r="O67" s="1">
        <v>2374</v>
      </c>
      <c r="P67" s="1">
        <v>1595</v>
      </c>
      <c r="Q67" s="12">
        <f t="shared" si="4"/>
        <v>473</v>
      </c>
      <c r="R67" s="20">
        <f t="shared" si="1"/>
        <v>0</v>
      </c>
      <c r="S67" s="43">
        <f t="shared" si="2"/>
        <v>4.3291284403669722E-2</v>
      </c>
      <c r="T67" s="35">
        <f t="shared" si="3"/>
        <v>5.2504189164029047E-2</v>
      </c>
      <c r="U67" s="87"/>
    </row>
    <row r="68" spans="1:21" x14ac:dyDescent="0.25">
      <c r="A68" s="2">
        <v>43959</v>
      </c>
      <c r="B68" s="154">
        <v>240</v>
      </c>
      <c r="C68" s="154">
        <v>5611</v>
      </c>
      <c r="D68" s="154">
        <v>11</v>
      </c>
      <c r="E68" s="154">
        <v>293</v>
      </c>
      <c r="F68" s="156">
        <f t="shared" si="5"/>
        <v>127</v>
      </c>
      <c r="G68" s="179">
        <v>1728</v>
      </c>
      <c r="H68" s="154">
        <v>157</v>
      </c>
      <c r="I68" s="154">
        <v>2828</v>
      </c>
      <c r="J68" s="1">
        <v>80729</v>
      </c>
      <c r="K68" s="14">
        <v>678</v>
      </c>
      <c r="L68" s="14">
        <v>61025</v>
      </c>
      <c r="M68" s="1">
        <v>61703</v>
      </c>
      <c r="N68" s="1">
        <v>931</v>
      </c>
      <c r="O68" s="1">
        <v>2469</v>
      </c>
      <c r="P68" s="1">
        <v>1644</v>
      </c>
      <c r="Q68" s="12">
        <f t="shared" si="4"/>
        <v>567</v>
      </c>
      <c r="R68" s="20">
        <f t="shared" si="1"/>
        <v>127</v>
      </c>
      <c r="S68" s="43">
        <f t="shared" si="2"/>
        <v>4.3732590529247911E-2</v>
      </c>
      <c r="T68" s="35">
        <f t="shared" si="3"/>
        <v>5.2218855818927108E-2</v>
      </c>
      <c r="U68" s="87"/>
    </row>
    <row r="69" spans="1:21" x14ac:dyDescent="0.25">
      <c r="A69" s="2">
        <v>43960</v>
      </c>
      <c r="B69" s="154">
        <v>165</v>
      </c>
      <c r="C69" s="154">
        <v>5776</v>
      </c>
      <c r="D69" s="154">
        <v>7</v>
      </c>
      <c r="E69" s="154">
        <v>300</v>
      </c>
      <c r="F69" s="156">
        <f t="shared" si="5"/>
        <v>29</v>
      </c>
      <c r="G69" s="179">
        <v>1757</v>
      </c>
      <c r="H69" s="154">
        <v>160</v>
      </c>
      <c r="I69" s="154">
        <v>2289</v>
      </c>
      <c r="J69" s="1">
        <v>83018</v>
      </c>
      <c r="K69" s="14">
        <v>698</v>
      </c>
      <c r="L69" s="14">
        <v>62760</v>
      </c>
      <c r="M69" s="1">
        <v>63458</v>
      </c>
      <c r="N69" s="1">
        <v>930</v>
      </c>
      <c r="O69" s="1">
        <v>2530</v>
      </c>
      <c r="P69" s="1">
        <v>1703</v>
      </c>
      <c r="Q69" s="12">
        <f t="shared" si="4"/>
        <v>613</v>
      </c>
      <c r="R69" s="20">
        <f t="shared" si="1"/>
        <v>29</v>
      </c>
      <c r="S69" s="43">
        <f t="shared" si="2"/>
        <v>4.3022317827372952E-2</v>
      </c>
      <c r="T69" s="35">
        <f t="shared" si="3"/>
        <v>5.1939058171745149E-2</v>
      </c>
      <c r="U69" s="87"/>
    </row>
    <row r="70" spans="1:21" x14ac:dyDescent="0.25">
      <c r="A70" s="2">
        <v>43961</v>
      </c>
      <c r="B70" s="154">
        <v>258</v>
      </c>
      <c r="C70" s="154">
        <v>6034</v>
      </c>
      <c r="D70" s="154">
        <v>5</v>
      </c>
      <c r="E70" s="154">
        <v>305</v>
      </c>
      <c r="F70" s="156">
        <f t="shared" si="5"/>
        <v>80</v>
      </c>
      <c r="G70" s="179">
        <v>1837</v>
      </c>
      <c r="H70" s="154">
        <v>164</v>
      </c>
      <c r="I70" s="154">
        <v>2140</v>
      </c>
      <c r="J70" s="1">
        <v>85158</v>
      </c>
      <c r="K70" s="14">
        <v>713</v>
      </c>
      <c r="L70" s="14">
        <v>64104</v>
      </c>
      <c r="M70" s="1">
        <v>64817</v>
      </c>
      <c r="N70" s="1">
        <v>929</v>
      </c>
      <c r="O70" s="1">
        <v>2667</v>
      </c>
      <c r="P70" s="1">
        <v>1768</v>
      </c>
      <c r="Q70" s="12">
        <f t="shared" si="4"/>
        <v>670</v>
      </c>
      <c r="R70" s="20">
        <f t="shared" ref="R70:R133" si="6">G70-G69</f>
        <v>80</v>
      </c>
      <c r="S70" s="43">
        <f t="shared" si="2"/>
        <v>4.2137718396711203E-2</v>
      </c>
      <c r="T70" s="35">
        <f t="shared" si="3"/>
        <v>5.0546900894928734E-2</v>
      </c>
      <c r="U70" s="87"/>
    </row>
    <row r="71" spans="1:21" x14ac:dyDescent="0.25">
      <c r="A71" s="2">
        <v>43962</v>
      </c>
      <c r="B71" s="154">
        <v>244</v>
      </c>
      <c r="C71" s="154">
        <v>6278</v>
      </c>
      <c r="D71" s="154">
        <v>9</v>
      </c>
      <c r="E71" s="154">
        <v>314</v>
      </c>
      <c r="F71" s="156">
        <f t="shared" si="5"/>
        <v>25</v>
      </c>
      <c r="G71" s="179">
        <v>1862</v>
      </c>
      <c r="H71" s="154">
        <v>170</v>
      </c>
      <c r="I71" s="154">
        <v>2389</v>
      </c>
      <c r="J71" s="1">
        <v>87547</v>
      </c>
      <c r="K71" s="14">
        <v>733</v>
      </c>
      <c r="L71" s="14">
        <v>65976</v>
      </c>
      <c r="M71" s="1">
        <v>66709</v>
      </c>
      <c r="N71" s="1">
        <v>929</v>
      </c>
      <c r="O71" s="1">
        <v>2800</v>
      </c>
      <c r="P71" s="1">
        <v>1833</v>
      </c>
      <c r="Q71" s="12">
        <f t="shared" si="4"/>
        <v>716</v>
      </c>
      <c r="R71" s="20">
        <f t="shared" si="6"/>
        <v>25</v>
      </c>
      <c r="S71" s="43">
        <f t="shared" si="2"/>
        <v>4.1443198439785472E-2</v>
      </c>
      <c r="T71" s="35">
        <f t="shared" si="3"/>
        <v>5.0015928639694167E-2</v>
      </c>
      <c r="U71" s="87"/>
    </row>
    <row r="72" spans="1:21" x14ac:dyDescent="0.25">
      <c r="A72" s="2">
        <v>43963</v>
      </c>
      <c r="B72" s="154">
        <v>285</v>
      </c>
      <c r="C72" s="154">
        <v>6563</v>
      </c>
      <c r="D72" s="154">
        <v>5</v>
      </c>
      <c r="E72" s="154">
        <v>319</v>
      </c>
      <c r="F72" s="156">
        <f t="shared" si="5"/>
        <v>404</v>
      </c>
      <c r="G72" s="179">
        <v>2266</v>
      </c>
      <c r="H72" s="154">
        <v>147</v>
      </c>
      <c r="I72" s="154">
        <v>2927</v>
      </c>
      <c r="J72" s="1">
        <v>90474</v>
      </c>
      <c r="K72" s="14">
        <v>689</v>
      </c>
      <c r="L72" s="14">
        <v>68237</v>
      </c>
      <c r="M72" s="1">
        <v>68926</v>
      </c>
      <c r="N72" s="1">
        <v>932</v>
      </c>
      <c r="O72" s="1">
        <v>2973</v>
      </c>
      <c r="P72" s="1">
        <v>1923</v>
      </c>
      <c r="Q72" s="12">
        <f t="shared" si="4"/>
        <v>735</v>
      </c>
      <c r="R72" s="20">
        <f t="shared" si="6"/>
        <v>404</v>
      </c>
      <c r="S72" s="43">
        <f t="shared" si="2"/>
        <v>3.6953242835595777E-2</v>
      </c>
      <c r="T72" s="35">
        <f t="shared" si="3"/>
        <v>4.8605820508913607E-2</v>
      </c>
      <c r="U72" s="87"/>
    </row>
    <row r="73" spans="1:21" x14ac:dyDescent="0.25">
      <c r="A73" s="2">
        <v>43964</v>
      </c>
      <c r="B73" s="154">
        <v>316</v>
      </c>
      <c r="C73" s="154">
        <v>6879</v>
      </c>
      <c r="D73" s="154">
        <v>10</v>
      </c>
      <c r="E73" s="154">
        <v>329</v>
      </c>
      <c r="F73" s="156">
        <f t="shared" si="5"/>
        <v>119</v>
      </c>
      <c r="G73" s="179">
        <v>2385</v>
      </c>
      <c r="H73" s="154">
        <v>147</v>
      </c>
      <c r="I73" s="154">
        <v>3199</v>
      </c>
      <c r="J73" s="1">
        <v>93673</v>
      </c>
      <c r="K73" s="14">
        <v>712</v>
      </c>
      <c r="L73" s="14">
        <v>70497</v>
      </c>
      <c r="M73" s="1">
        <v>71209</v>
      </c>
      <c r="N73" s="1">
        <v>936</v>
      </c>
      <c r="O73" s="1">
        <v>3109</v>
      </c>
      <c r="P73" s="1">
        <v>2036</v>
      </c>
      <c r="Q73" s="12">
        <f t="shared" si="4"/>
        <v>798</v>
      </c>
      <c r="R73" s="20">
        <f t="shared" si="6"/>
        <v>119</v>
      </c>
      <c r="S73" s="43">
        <f t="shared" si="2"/>
        <v>3.5294117647058823E-2</v>
      </c>
      <c r="T73" s="35">
        <f t="shared" si="3"/>
        <v>4.7826718999854627E-2</v>
      </c>
      <c r="U73" s="87"/>
    </row>
    <row r="74" spans="1:21" x14ac:dyDescent="0.25">
      <c r="A74" s="2">
        <v>43965</v>
      </c>
      <c r="B74" s="154">
        <v>255</v>
      </c>
      <c r="C74" s="154">
        <v>7134</v>
      </c>
      <c r="D74" s="154">
        <v>24</v>
      </c>
      <c r="E74" s="154">
        <v>353</v>
      </c>
      <c r="F74" s="156">
        <f t="shared" si="5"/>
        <v>112</v>
      </c>
      <c r="G74" s="179">
        <v>2497</v>
      </c>
      <c r="H74" s="154">
        <v>149</v>
      </c>
      <c r="I74" s="154">
        <v>3220</v>
      </c>
      <c r="J74" s="1">
        <v>96893</v>
      </c>
      <c r="K74" s="14">
        <v>737</v>
      </c>
      <c r="L74" s="14">
        <v>72972</v>
      </c>
      <c r="M74" s="1">
        <v>73709</v>
      </c>
      <c r="N74" s="1">
        <v>935</v>
      </c>
      <c r="O74" s="1">
        <v>3225</v>
      </c>
      <c r="P74" s="1">
        <v>2169</v>
      </c>
      <c r="Q74" s="12">
        <f t="shared" si="4"/>
        <v>805</v>
      </c>
      <c r="R74" s="20">
        <f t="shared" si="6"/>
        <v>112</v>
      </c>
      <c r="S74" s="43">
        <f t="shared" si="2"/>
        <v>3.4780578898225958E-2</v>
      </c>
      <c r="T74" s="35">
        <f t="shared" si="3"/>
        <v>4.9481356882534341E-2</v>
      </c>
      <c r="U74" s="87"/>
    </row>
    <row r="75" spans="1:21" x14ac:dyDescent="0.25">
      <c r="A75" s="2">
        <v>43966</v>
      </c>
      <c r="B75" s="154">
        <v>345</v>
      </c>
      <c r="C75" s="154">
        <v>7479</v>
      </c>
      <c r="D75" s="154">
        <v>3</v>
      </c>
      <c r="E75" s="154">
        <v>356</v>
      </c>
      <c r="F75" s="156">
        <f t="shared" si="5"/>
        <v>37</v>
      </c>
      <c r="G75" s="179">
        <v>2534</v>
      </c>
      <c r="H75" s="154">
        <v>151</v>
      </c>
      <c r="I75" s="154">
        <v>3469</v>
      </c>
      <c r="J75" s="1">
        <v>100362</v>
      </c>
      <c r="K75" s="14">
        <v>610</v>
      </c>
      <c r="L75" s="14">
        <v>75647</v>
      </c>
      <c r="M75" s="1">
        <v>76257</v>
      </c>
      <c r="N75" s="1">
        <v>937</v>
      </c>
      <c r="O75" s="1">
        <v>3367</v>
      </c>
      <c r="P75" s="1">
        <v>2272</v>
      </c>
      <c r="Q75" s="12">
        <f t="shared" si="4"/>
        <v>903</v>
      </c>
      <c r="R75" s="20">
        <f t="shared" si="6"/>
        <v>37</v>
      </c>
      <c r="S75" s="43">
        <f t="shared" si="2"/>
        <v>3.2904772281542823E-2</v>
      </c>
      <c r="T75" s="35">
        <f t="shared" si="3"/>
        <v>4.7599946516914023E-2</v>
      </c>
      <c r="U75" s="87"/>
    </row>
    <row r="76" spans="1:21" x14ac:dyDescent="0.25">
      <c r="A76" s="2">
        <v>43967</v>
      </c>
      <c r="B76" s="154">
        <v>327</v>
      </c>
      <c r="C76" s="154">
        <v>7805</v>
      </c>
      <c r="D76" s="154">
        <v>7</v>
      </c>
      <c r="E76" s="154">
        <v>363</v>
      </c>
      <c r="F76" s="156">
        <f t="shared" si="5"/>
        <v>35</v>
      </c>
      <c r="G76" s="179">
        <v>2569</v>
      </c>
      <c r="H76" s="154">
        <v>154</v>
      </c>
      <c r="I76" s="154">
        <v>2858</v>
      </c>
      <c r="J76" s="1">
        <v>103220</v>
      </c>
      <c r="K76" s="14">
        <v>626</v>
      </c>
      <c r="L76" s="14">
        <v>77581</v>
      </c>
      <c r="M76" s="1">
        <v>78207</v>
      </c>
      <c r="N76" s="1">
        <v>987</v>
      </c>
      <c r="O76" s="1">
        <v>3482</v>
      </c>
      <c r="P76" s="1">
        <v>2372</v>
      </c>
      <c r="Q76" s="12">
        <f t="shared" si="4"/>
        <v>964</v>
      </c>
      <c r="R76" s="20">
        <f t="shared" si="6"/>
        <v>35</v>
      </c>
      <c r="S76" s="43">
        <f t="shared" si="2"/>
        <v>3.160270880361174E-2</v>
      </c>
      <c r="T76" s="35">
        <f t="shared" si="3"/>
        <v>4.6508648302370274E-2</v>
      </c>
      <c r="U76" s="87"/>
    </row>
    <row r="77" spans="1:21" x14ac:dyDescent="0.25">
      <c r="A77" s="2">
        <v>43968</v>
      </c>
      <c r="B77" s="154">
        <v>263</v>
      </c>
      <c r="C77" s="154">
        <v>8086</v>
      </c>
      <c r="D77" s="154">
        <v>10</v>
      </c>
      <c r="E77" s="154">
        <v>373</v>
      </c>
      <c r="F77" s="156">
        <f t="shared" si="5"/>
        <v>56</v>
      </c>
      <c r="G77" s="179">
        <v>2625</v>
      </c>
      <c r="H77" s="154">
        <v>159</v>
      </c>
      <c r="I77" s="154">
        <v>2609</v>
      </c>
      <c r="J77" s="1">
        <v>105829</v>
      </c>
      <c r="K77" s="14">
        <v>640</v>
      </c>
      <c r="L77" s="14">
        <v>79462</v>
      </c>
      <c r="M77" s="1">
        <v>80102</v>
      </c>
      <c r="N77" s="1">
        <v>939</v>
      </c>
      <c r="O77" s="1">
        <v>3561</v>
      </c>
      <c r="P77" s="1">
        <v>2468</v>
      </c>
      <c r="Q77" s="12">
        <f t="shared" si="4"/>
        <v>1118</v>
      </c>
      <c r="R77" s="20">
        <f t="shared" si="6"/>
        <v>56</v>
      </c>
      <c r="S77" s="43">
        <f t="shared" si="2"/>
        <v>3.125E-2</v>
      </c>
      <c r="T77" s="35">
        <f t="shared" si="3"/>
        <v>4.6129112045510762E-2</v>
      </c>
      <c r="U77" s="87"/>
    </row>
    <row r="78" spans="1:21" x14ac:dyDescent="0.25">
      <c r="A78" s="2">
        <v>43969</v>
      </c>
      <c r="B78" s="154">
        <v>303</v>
      </c>
      <c r="C78" s="154">
        <v>8371</v>
      </c>
      <c r="D78" s="154">
        <v>9</v>
      </c>
      <c r="E78" s="154">
        <v>382</v>
      </c>
      <c r="F78" s="156">
        <f t="shared" si="5"/>
        <v>247</v>
      </c>
      <c r="G78" s="179">
        <v>2872</v>
      </c>
      <c r="H78" s="154">
        <v>156</v>
      </c>
      <c r="I78" s="154">
        <v>2805</v>
      </c>
      <c r="J78" s="1">
        <v>108634</v>
      </c>
      <c r="K78" s="14">
        <v>657</v>
      </c>
      <c r="L78" s="14">
        <v>81466</v>
      </c>
      <c r="M78" s="1">
        <v>82123</v>
      </c>
      <c r="N78" s="1">
        <v>939</v>
      </c>
      <c r="O78" s="1">
        <v>3718</v>
      </c>
      <c r="P78" s="1">
        <v>2607</v>
      </c>
      <c r="Q78" s="12">
        <f t="shared" si="4"/>
        <v>1107</v>
      </c>
      <c r="R78" s="20">
        <f t="shared" si="6"/>
        <v>247</v>
      </c>
      <c r="S78" s="43">
        <f t="shared" ref="S78:S141" si="7">H78/(C78-E78-G78)</f>
        <v>3.0486613249951142E-2</v>
      </c>
      <c r="T78" s="35">
        <f t="shared" si="3"/>
        <v>4.5633735515470078E-2</v>
      </c>
      <c r="U78" s="87"/>
    </row>
    <row r="79" spans="1:21" x14ac:dyDescent="0.25">
      <c r="A79" s="2">
        <v>43970</v>
      </c>
      <c r="B79" s="154">
        <v>438</v>
      </c>
      <c r="C79" s="154">
        <v>8809</v>
      </c>
      <c r="D79" s="154">
        <v>11</v>
      </c>
      <c r="E79" s="154">
        <v>393</v>
      </c>
      <c r="F79" s="156">
        <f t="shared" si="5"/>
        <v>61</v>
      </c>
      <c r="G79" s="179">
        <v>2933</v>
      </c>
      <c r="H79" s="154">
        <v>161</v>
      </c>
      <c r="I79" s="154">
        <v>3736</v>
      </c>
      <c r="J79" s="1">
        <v>112370</v>
      </c>
      <c r="K79" s="14">
        <v>681</v>
      </c>
      <c r="L79" s="14">
        <v>84449</v>
      </c>
      <c r="M79" s="1">
        <v>85130</v>
      </c>
      <c r="N79" s="1">
        <v>940</v>
      </c>
      <c r="O79" s="1">
        <v>3879</v>
      </c>
      <c r="P79" s="1">
        <v>2758</v>
      </c>
      <c r="Q79" s="12">
        <f t="shared" si="4"/>
        <v>1232</v>
      </c>
      <c r="R79" s="20">
        <f t="shared" si="6"/>
        <v>61</v>
      </c>
      <c r="S79" s="43">
        <f t="shared" si="7"/>
        <v>2.9363487142075505E-2</v>
      </c>
      <c r="T79" s="35">
        <f t="shared" ref="T79:T142" si="8">E79/C79</f>
        <v>4.4613463503235327E-2</v>
      </c>
      <c r="U79" s="87"/>
    </row>
    <row r="80" spans="1:21" x14ac:dyDescent="0.25">
      <c r="A80" s="2">
        <v>43971</v>
      </c>
      <c r="B80" s="154">
        <v>474</v>
      </c>
      <c r="C80" s="154">
        <v>9283</v>
      </c>
      <c r="D80" s="154">
        <v>10</v>
      </c>
      <c r="E80" s="154">
        <v>403</v>
      </c>
      <c r="F80" s="156">
        <f t="shared" si="5"/>
        <v>99</v>
      </c>
      <c r="G80" s="179">
        <v>3032</v>
      </c>
      <c r="H80" s="154">
        <v>171</v>
      </c>
      <c r="I80" s="154">
        <v>4319</v>
      </c>
      <c r="J80" s="1">
        <v>116689</v>
      </c>
      <c r="K80" s="14">
        <v>705</v>
      </c>
      <c r="L80" s="14">
        <v>87447</v>
      </c>
      <c r="M80" s="1">
        <v>88152</v>
      </c>
      <c r="N80" s="1">
        <v>945</v>
      </c>
      <c r="O80" s="1">
        <v>4068</v>
      </c>
      <c r="P80" s="1">
        <v>2919</v>
      </c>
      <c r="Q80" s="12">
        <f t="shared" si="4"/>
        <v>1351</v>
      </c>
      <c r="R80" s="20">
        <f t="shared" si="6"/>
        <v>99</v>
      </c>
      <c r="S80" s="43">
        <f t="shared" si="7"/>
        <v>2.924076607387141E-2</v>
      </c>
      <c r="T80" s="35">
        <f t="shared" si="8"/>
        <v>4.341268986319078E-2</v>
      </c>
      <c r="U80" s="87"/>
    </row>
    <row r="81" spans="1:21" x14ac:dyDescent="0.25">
      <c r="A81" s="2">
        <v>43972</v>
      </c>
      <c r="B81" s="154">
        <v>648</v>
      </c>
      <c r="C81" s="154">
        <v>9931</v>
      </c>
      <c r="D81" s="154">
        <v>13</v>
      </c>
      <c r="E81" s="154">
        <v>416</v>
      </c>
      <c r="F81" s="156">
        <f t="shared" si="5"/>
        <v>30</v>
      </c>
      <c r="G81" s="179">
        <v>3062</v>
      </c>
      <c r="H81" s="154">
        <v>172</v>
      </c>
      <c r="I81" s="154">
        <v>4589</v>
      </c>
      <c r="J81" s="1">
        <v>121278</v>
      </c>
      <c r="K81" s="14">
        <v>731</v>
      </c>
      <c r="L81" s="14">
        <v>90667</v>
      </c>
      <c r="M81" s="1">
        <v>91398</v>
      </c>
      <c r="N81" s="1">
        <v>947</v>
      </c>
      <c r="O81" s="1">
        <v>4334</v>
      </c>
      <c r="P81" s="1">
        <v>3154</v>
      </c>
      <c r="Q81" s="12">
        <f t="shared" ref="Q81:Q89" si="9">C81-P81-O81-N81</f>
        <v>1496</v>
      </c>
      <c r="R81" s="20">
        <f t="shared" si="6"/>
        <v>30</v>
      </c>
      <c r="S81" s="43">
        <f t="shared" si="7"/>
        <v>2.66542693320936E-2</v>
      </c>
      <c r="T81" s="35">
        <f t="shared" si="8"/>
        <v>4.1889034336924778E-2</v>
      </c>
      <c r="U81" s="87"/>
    </row>
    <row r="82" spans="1:21" x14ac:dyDescent="0.25">
      <c r="A82" s="2">
        <v>43973</v>
      </c>
      <c r="B82" s="154">
        <v>718</v>
      </c>
      <c r="C82" s="154">
        <v>10649</v>
      </c>
      <c r="D82" s="154">
        <v>18</v>
      </c>
      <c r="E82" s="154">
        <v>433</v>
      </c>
      <c r="F82" s="156">
        <f t="shared" si="5"/>
        <v>468</v>
      </c>
      <c r="G82" s="179">
        <v>3530</v>
      </c>
      <c r="H82" s="154">
        <v>173</v>
      </c>
      <c r="I82" s="154">
        <v>4615</v>
      </c>
      <c r="J82" s="1">
        <v>125893</v>
      </c>
      <c r="K82" s="14">
        <v>754</v>
      </c>
      <c r="L82" s="14">
        <v>93528</v>
      </c>
      <c r="M82" s="1">
        <v>94282</v>
      </c>
      <c r="N82" s="1">
        <v>948</v>
      </c>
      <c r="O82" s="1">
        <v>4648</v>
      </c>
      <c r="P82" s="1">
        <v>3314</v>
      </c>
      <c r="Q82" s="12">
        <f t="shared" si="9"/>
        <v>1739</v>
      </c>
      <c r="R82" s="20">
        <f t="shared" si="6"/>
        <v>468</v>
      </c>
      <c r="S82" s="43">
        <f t="shared" si="7"/>
        <v>2.5874962608435536E-2</v>
      </c>
      <c r="T82" s="35">
        <f t="shared" si="8"/>
        <v>4.0661094938491876E-2</v>
      </c>
      <c r="U82" s="87"/>
    </row>
    <row r="83" spans="1:21" x14ac:dyDescent="0.25">
      <c r="A83" s="2">
        <v>43974</v>
      </c>
      <c r="B83" s="154">
        <v>704</v>
      </c>
      <c r="C83" s="154">
        <v>11353</v>
      </c>
      <c r="D83" s="154">
        <v>12</v>
      </c>
      <c r="E83" s="154">
        <v>445</v>
      </c>
      <c r="F83" s="156">
        <f t="shared" si="5"/>
        <v>202</v>
      </c>
      <c r="G83" s="179">
        <v>3732</v>
      </c>
      <c r="H83" s="154">
        <v>181</v>
      </c>
      <c r="I83" s="154">
        <v>3525</v>
      </c>
      <c r="J83" s="1">
        <v>129418</v>
      </c>
      <c r="K83" s="14">
        <v>773</v>
      </c>
      <c r="L83" s="14">
        <v>95859</v>
      </c>
      <c r="M83" s="1">
        <v>96632</v>
      </c>
      <c r="N83" s="1">
        <v>951</v>
      </c>
      <c r="O83" s="1">
        <v>4955</v>
      </c>
      <c r="P83" s="1">
        <v>3540</v>
      </c>
      <c r="Q83" s="12">
        <f t="shared" si="9"/>
        <v>1907</v>
      </c>
      <c r="R83" s="20">
        <f t="shared" si="6"/>
        <v>202</v>
      </c>
      <c r="S83" s="43">
        <f t="shared" si="7"/>
        <v>2.5222965440356744E-2</v>
      </c>
      <c r="T83" s="35">
        <f t="shared" si="8"/>
        <v>3.9196688100061661E-2</v>
      </c>
      <c r="U83" s="87"/>
    </row>
    <row r="84" spans="1:21" x14ac:dyDescent="0.25">
      <c r="A84" s="2">
        <v>43975</v>
      </c>
      <c r="B84" s="154">
        <v>723</v>
      </c>
      <c r="C84" s="154">
        <v>12076</v>
      </c>
      <c r="D84" s="154">
        <v>8</v>
      </c>
      <c r="E84" s="154">
        <v>452</v>
      </c>
      <c r="F84" s="156">
        <f t="shared" si="5"/>
        <v>267</v>
      </c>
      <c r="G84" s="179">
        <v>3999</v>
      </c>
      <c r="H84" s="154">
        <v>181</v>
      </c>
      <c r="I84" s="154">
        <v>4050</v>
      </c>
      <c r="J84" s="1">
        <v>133468</v>
      </c>
      <c r="K84" s="14">
        <v>793</v>
      </c>
      <c r="L84" s="14">
        <v>98352</v>
      </c>
      <c r="M84" s="1">
        <v>99145</v>
      </c>
      <c r="N84" s="1">
        <v>955</v>
      </c>
      <c r="O84" s="1">
        <v>5302</v>
      </c>
      <c r="P84" s="1">
        <v>3766</v>
      </c>
      <c r="Q84" s="12">
        <f t="shared" si="9"/>
        <v>2053</v>
      </c>
      <c r="R84" s="20">
        <f t="shared" si="6"/>
        <v>267</v>
      </c>
      <c r="S84" s="43">
        <f t="shared" si="7"/>
        <v>2.3737704918032787E-2</v>
      </c>
      <c r="T84" s="35">
        <f t="shared" si="8"/>
        <v>3.742961245445512E-2</v>
      </c>
      <c r="U84" s="87"/>
    </row>
    <row r="85" spans="1:21" x14ac:dyDescent="0.25">
      <c r="A85" s="2">
        <v>43976</v>
      </c>
      <c r="B85" s="154">
        <v>552</v>
      </c>
      <c r="C85" s="154">
        <v>12628</v>
      </c>
      <c r="D85" s="154">
        <v>15</v>
      </c>
      <c r="E85" s="154">
        <v>467</v>
      </c>
      <c r="F85" s="156">
        <f t="shared" si="5"/>
        <v>168</v>
      </c>
      <c r="G85" s="179">
        <v>4167</v>
      </c>
      <c r="H85" s="154">
        <v>203</v>
      </c>
      <c r="I85" s="154">
        <v>3194</v>
      </c>
      <c r="J85" s="1">
        <v>136662</v>
      </c>
      <c r="K85" s="14">
        <v>709</v>
      </c>
      <c r="L85" s="14">
        <v>100639</v>
      </c>
      <c r="M85" s="1">
        <v>101348</v>
      </c>
      <c r="N85" s="1">
        <v>956</v>
      </c>
      <c r="O85" s="1">
        <v>5563</v>
      </c>
      <c r="P85" s="1">
        <v>4057</v>
      </c>
      <c r="Q85" s="12">
        <f t="shared" si="9"/>
        <v>2052</v>
      </c>
      <c r="R85" s="20">
        <f t="shared" si="6"/>
        <v>168</v>
      </c>
      <c r="S85" s="43">
        <f t="shared" si="7"/>
        <v>2.5394045534150613E-2</v>
      </c>
      <c r="T85" s="35">
        <f t="shared" si="8"/>
        <v>3.6981311371555275E-2</v>
      </c>
      <c r="U85" s="87"/>
    </row>
    <row r="86" spans="1:21" x14ac:dyDescent="0.25">
      <c r="A86" s="2">
        <v>43977</v>
      </c>
      <c r="B86" s="154">
        <v>600</v>
      </c>
      <c r="C86" s="154">
        <v>13228</v>
      </c>
      <c r="D86" s="154">
        <v>23</v>
      </c>
      <c r="E86" s="154">
        <v>490</v>
      </c>
      <c r="F86" s="156">
        <f t="shared" si="5"/>
        <v>182</v>
      </c>
      <c r="G86" s="179">
        <v>4349</v>
      </c>
      <c r="H86" s="154">
        <v>250</v>
      </c>
      <c r="I86" s="154">
        <v>3556</v>
      </c>
      <c r="J86" s="1">
        <v>140218</v>
      </c>
      <c r="K86" s="14">
        <v>727</v>
      </c>
      <c r="L86" s="14">
        <v>103173</v>
      </c>
      <c r="M86" s="1">
        <v>103900</v>
      </c>
      <c r="N86" s="3">
        <v>959</v>
      </c>
      <c r="O86" s="3">
        <v>5813</v>
      </c>
      <c r="P86" s="3">
        <v>4354</v>
      </c>
      <c r="Q86" s="12">
        <f t="shared" si="9"/>
        <v>2102</v>
      </c>
      <c r="R86" s="20">
        <f t="shared" si="6"/>
        <v>182</v>
      </c>
      <c r="S86" s="43">
        <f t="shared" si="7"/>
        <v>2.9800929789009417E-2</v>
      </c>
      <c r="T86" s="35">
        <f t="shared" si="8"/>
        <v>3.704263683096462E-2</v>
      </c>
      <c r="U86" s="87"/>
    </row>
    <row r="87" spans="1:21" x14ac:dyDescent="0.25">
      <c r="A87" s="2">
        <v>43978</v>
      </c>
      <c r="B87" s="154">
        <v>706</v>
      </c>
      <c r="C87" s="154">
        <v>13933</v>
      </c>
      <c r="D87" s="154">
        <v>10</v>
      </c>
      <c r="E87" s="154">
        <v>500</v>
      </c>
      <c r="F87" s="156">
        <f t="shared" si="5"/>
        <v>268</v>
      </c>
      <c r="G87" s="179">
        <v>4617</v>
      </c>
      <c r="H87" s="154">
        <v>254</v>
      </c>
      <c r="I87" s="154">
        <v>4863</v>
      </c>
      <c r="J87" s="1">
        <v>145081</v>
      </c>
      <c r="K87" s="14">
        <v>642</v>
      </c>
      <c r="L87" s="14">
        <v>106456</v>
      </c>
      <c r="M87" s="1">
        <v>107098</v>
      </c>
      <c r="N87" s="1">
        <v>961</v>
      </c>
      <c r="O87" s="1">
        <v>6091</v>
      </c>
      <c r="P87" s="1">
        <v>4694</v>
      </c>
      <c r="Q87" s="12">
        <f t="shared" si="9"/>
        <v>2187</v>
      </c>
      <c r="R87" s="20">
        <f t="shared" si="6"/>
        <v>268</v>
      </c>
      <c r="S87" s="43">
        <f t="shared" si="7"/>
        <v>2.8811252268602542E-2</v>
      </c>
      <c r="T87" s="35">
        <f t="shared" si="8"/>
        <v>3.5886025981482814E-2</v>
      </c>
      <c r="U87" s="87"/>
    </row>
    <row r="88" spans="1:21" x14ac:dyDescent="0.25">
      <c r="A88" s="2">
        <v>43979</v>
      </c>
      <c r="B88" s="154">
        <v>769</v>
      </c>
      <c r="C88" s="154">
        <v>14702</v>
      </c>
      <c r="D88" s="154">
        <v>8</v>
      </c>
      <c r="E88" s="154">
        <v>508</v>
      </c>
      <c r="F88" s="156">
        <f t="shared" si="5"/>
        <v>171</v>
      </c>
      <c r="G88" s="179">
        <v>4788</v>
      </c>
      <c r="H88" s="154">
        <v>259</v>
      </c>
      <c r="I88" s="154">
        <v>5405</v>
      </c>
      <c r="J88" s="1">
        <v>150486</v>
      </c>
      <c r="K88" s="14">
        <v>664</v>
      </c>
      <c r="L88" s="14">
        <v>110132</v>
      </c>
      <c r="M88" s="4">
        <v>110796</v>
      </c>
      <c r="N88" s="1">
        <v>967</v>
      </c>
      <c r="O88" s="1">
        <v>6450</v>
      </c>
      <c r="P88" s="1">
        <v>5051</v>
      </c>
      <c r="Q88" s="12">
        <f t="shared" si="9"/>
        <v>2234</v>
      </c>
      <c r="R88" s="20">
        <f t="shared" si="6"/>
        <v>171</v>
      </c>
      <c r="S88" s="43">
        <f t="shared" si="7"/>
        <v>2.7535615564533277E-2</v>
      </c>
      <c r="T88" s="35">
        <f t="shared" si="8"/>
        <v>3.4553122024214393E-2</v>
      </c>
      <c r="U88" s="87"/>
    </row>
    <row r="89" spans="1:21" x14ac:dyDescent="0.25">
      <c r="A89" s="2">
        <v>43980</v>
      </c>
      <c r="B89" s="156">
        <v>717</v>
      </c>
      <c r="C89" s="156">
        <v>15419</v>
      </c>
      <c r="D89" s="156">
        <v>12</v>
      </c>
      <c r="E89" s="154">
        <v>520</v>
      </c>
      <c r="F89" s="156">
        <f t="shared" si="5"/>
        <v>312</v>
      </c>
      <c r="G89" s="179">
        <v>5100</v>
      </c>
      <c r="H89" s="154">
        <v>244</v>
      </c>
      <c r="I89" s="156">
        <v>4921</v>
      </c>
      <c r="J89" s="4">
        <v>155400</v>
      </c>
      <c r="K89" s="7">
        <v>798</v>
      </c>
      <c r="L89" s="7">
        <v>113314</v>
      </c>
      <c r="M89" s="4">
        <v>114112</v>
      </c>
      <c r="N89" s="4">
        <v>968</v>
      </c>
      <c r="O89" s="4">
        <v>6727</v>
      </c>
      <c r="P89" s="4">
        <v>5408</v>
      </c>
      <c r="Q89" s="12">
        <f t="shared" si="9"/>
        <v>2316</v>
      </c>
      <c r="R89" s="20">
        <f t="shared" si="6"/>
        <v>312</v>
      </c>
      <c r="S89" s="43">
        <f t="shared" si="7"/>
        <v>2.4900500051025613E-2</v>
      </c>
      <c r="T89" s="35">
        <f t="shared" si="8"/>
        <v>3.3724625462092227E-2</v>
      </c>
      <c r="U89" s="87"/>
    </row>
    <row r="90" spans="1:21" x14ac:dyDescent="0.25">
      <c r="A90" s="2">
        <v>43981</v>
      </c>
      <c r="B90" s="154">
        <v>795</v>
      </c>
      <c r="C90" s="154">
        <v>16214</v>
      </c>
      <c r="D90" s="154">
        <v>8</v>
      </c>
      <c r="E90" s="154">
        <v>528</v>
      </c>
      <c r="F90" s="156">
        <f t="shared" si="5"/>
        <v>236</v>
      </c>
      <c r="G90" s="179">
        <v>5336</v>
      </c>
      <c r="H90" s="154">
        <v>256</v>
      </c>
      <c r="I90" s="156">
        <v>4663</v>
      </c>
      <c r="J90" s="4">
        <v>160070</v>
      </c>
      <c r="K90" s="7">
        <v>819</v>
      </c>
      <c r="L90" s="7">
        <v>116215</v>
      </c>
      <c r="M90" s="4">
        <v>117034</v>
      </c>
      <c r="N90" s="1">
        <v>969</v>
      </c>
      <c r="O90" s="1">
        <v>7030</v>
      </c>
      <c r="P90" s="1">
        <v>5724</v>
      </c>
      <c r="Q90" s="12">
        <f t="shared" ref="Q90:Q95" si="10">C90-P90-O90-N90</f>
        <v>2491</v>
      </c>
      <c r="R90" s="20">
        <f t="shared" si="6"/>
        <v>236</v>
      </c>
      <c r="S90" s="43">
        <f t="shared" si="7"/>
        <v>2.4734299516908212E-2</v>
      </c>
      <c r="T90" s="35">
        <f t="shared" si="8"/>
        <v>3.2564450474898234E-2</v>
      </c>
      <c r="U90" s="87"/>
    </row>
    <row r="91" spans="1:21" x14ac:dyDescent="0.25">
      <c r="A91" s="2">
        <v>43982</v>
      </c>
      <c r="B91" s="154">
        <v>637</v>
      </c>
      <c r="C91" s="154">
        <v>16851</v>
      </c>
      <c r="D91" s="154">
        <v>11</v>
      </c>
      <c r="E91" s="154">
        <v>539</v>
      </c>
      <c r="F91" s="156">
        <f t="shared" si="5"/>
        <v>185</v>
      </c>
      <c r="G91" s="179">
        <v>5521</v>
      </c>
      <c r="H91" s="154">
        <v>272</v>
      </c>
      <c r="I91" s="156">
        <v>4014</v>
      </c>
      <c r="J91" s="4">
        <v>164084</v>
      </c>
      <c r="K91" s="7">
        <v>837.57099999999627</v>
      </c>
      <c r="L91" s="7">
        <v>118815.429</v>
      </c>
      <c r="M91" s="4">
        <v>119653</v>
      </c>
      <c r="N91" s="4">
        <v>970</v>
      </c>
      <c r="O91" s="4">
        <v>7308</v>
      </c>
      <c r="P91" s="4">
        <v>5975</v>
      </c>
      <c r="Q91" s="12">
        <f t="shared" si="10"/>
        <v>2598</v>
      </c>
      <c r="R91" s="20">
        <f t="shared" si="6"/>
        <v>185</v>
      </c>
      <c r="S91" s="43">
        <f t="shared" si="7"/>
        <v>2.5206190343805022E-2</v>
      </c>
      <c r="T91" s="35">
        <f t="shared" si="8"/>
        <v>3.1986232271081834E-2</v>
      </c>
      <c r="U91" s="87"/>
    </row>
    <row r="92" spans="1:21" x14ac:dyDescent="0.25">
      <c r="A92" s="2">
        <v>43983</v>
      </c>
      <c r="B92" s="154">
        <v>564</v>
      </c>
      <c r="C92" s="154">
        <v>17415</v>
      </c>
      <c r="D92" s="154">
        <v>17</v>
      </c>
      <c r="E92" s="154">
        <v>556</v>
      </c>
      <c r="F92" s="156">
        <f t="shared" si="5"/>
        <v>188</v>
      </c>
      <c r="G92" s="179">
        <v>5709</v>
      </c>
      <c r="H92" s="154">
        <v>271</v>
      </c>
      <c r="I92" s="156">
        <v>3715</v>
      </c>
      <c r="J92" s="4">
        <v>167799</v>
      </c>
      <c r="K92" s="7">
        <v>732</v>
      </c>
      <c r="L92" s="7">
        <v>121411</v>
      </c>
      <c r="M92" s="4">
        <v>122143</v>
      </c>
      <c r="N92" s="1">
        <v>974</v>
      </c>
      <c r="O92" s="1">
        <v>7532</v>
      </c>
      <c r="P92" s="1">
        <v>6263</v>
      </c>
      <c r="Q92" s="12">
        <f t="shared" si="10"/>
        <v>2646</v>
      </c>
      <c r="R92" s="20">
        <f t="shared" si="6"/>
        <v>188</v>
      </c>
      <c r="S92" s="43">
        <f t="shared" si="7"/>
        <v>2.430493273542601E-2</v>
      </c>
      <c r="T92" s="35">
        <f t="shared" si="8"/>
        <v>3.1926500143554408E-2</v>
      </c>
      <c r="U92" s="87"/>
    </row>
    <row r="93" spans="1:21" x14ac:dyDescent="0.25">
      <c r="A93" s="2">
        <v>43984</v>
      </c>
      <c r="B93" s="154">
        <v>904</v>
      </c>
      <c r="C93" s="154">
        <v>18319</v>
      </c>
      <c r="D93" s="154">
        <v>13</v>
      </c>
      <c r="E93" s="154">
        <v>569</v>
      </c>
      <c r="F93" s="156">
        <f t="shared" si="5"/>
        <v>187</v>
      </c>
      <c r="G93" s="179">
        <v>5896</v>
      </c>
      <c r="H93" s="154">
        <v>288</v>
      </c>
      <c r="I93" s="156">
        <v>5148</v>
      </c>
      <c r="J93" s="4">
        <v>172947</v>
      </c>
      <c r="K93" s="7">
        <v>879</v>
      </c>
      <c r="L93" s="7">
        <v>124692</v>
      </c>
      <c r="M93" s="4">
        <v>125571</v>
      </c>
      <c r="N93" s="1">
        <v>974</v>
      </c>
      <c r="O93" s="4">
        <v>7854</v>
      </c>
      <c r="P93" s="4">
        <v>6596</v>
      </c>
      <c r="Q93" s="12">
        <f t="shared" si="10"/>
        <v>2895</v>
      </c>
      <c r="R93" s="20">
        <f t="shared" si="6"/>
        <v>187</v>
      </c>
      <c r="S93" s="43">
        <f t="shared" si="7"/>
        <v>2.4295596423148304E-2</v>
      </c>
      <c r="T93" s="35">
        <f t="shared" si="8"/>
        <v>3.1060647415251923E-2</v>
      </c>
      <c r="U93" s="87"/>
    </row>
    <row r="94" spans="1:21" x14ac:dyDescent="0.25">
      <c r="A94" s="2">
        <v>43985</v>
      </c>
      <c r="B94" s="154">
        <v>949</v>
      </c>
      <c r="C94" s="154">
        <v>19268</v>
      </c>
      <c r="D94" s="156">
        <v>14</v>
      </c>
      <c r="E94" s="156">
        <v>583</v>
      </c>
      <c r="F94" s="156">
        <f t="shared" si="5"/>
        <v>97</v>
      </c>
      <c r="G94" s="179">
        <v>5993</v>
      </c>
      <c r="H94" s="154">
        <v>293</v>
      </c>
      <c r="I94" s="156">
        <v>5501</v>
      </c>
      <c r="J94" s="4">
        <v>178448</v>
      </c>
      <c r="K94" s="7">
        <v>902</v>
      </c>
      <c r="L94" s="7">
        <v>128031</v>
      </c>
      <c r="M94" s="4">
        <v>128933</v>
      </c>
      <c r="N94" s="1">
        <v>977</v>
      </c>
      <c r="O94" s="1">
        <v>8217</v>
      </c>
      <c r="P94" s="1">
        <v>6941</v>
      </c>
      <c r="Q94" s="12">
        <f t="shared" si="10"/>
        <v>3133</v>
      </c>
      <c r="R94" s="20">
        <f t="shared" si="6"/>
        <v>97</v>
      </c>
      <c r="S94" s="43">
        <f t="shared" si="7"/>
        <v>2.3085408131106207E-2</v>
      </c>
      <c r="T94" s="35">
        <f t="shared" si="8"/>
        <v>3.0257421631720988E-2</v>
      </c>
      <c r="U94" s="87"/>
    </row>
    <row r="95" spans="1:21" x14ac:dyDescent="0.25">
      <c r="A95" s="2">
        <v>43986</v>
      </c>
      <c r="B95" s="154">
        <v>929</v>
      </c>
      <c r="C95" s="156">
        <v>20197</v>
      </c>
      <c r="D95" s="156">
        <v>25</v>
      </c>
      <c r="E95" s="156">
        <v>608</v>
      </c>
      <c r="F95" s="156">
        <f t="shared" si="5"/>
        <v>95</v>
      </c>
      <c r="G95" s="179">
        <v>6088</v>
      </c>
      <c r="H95" s="154">
        <v>248</v>
      </c>
      <c r="I95" s="156">
        <v>5414</v>
      </c>
      <c r="J95" s="4">
        <v>183862</v>
      </c>
      <c r="K95" s="7">
        <v>794</v>
      </c>
      <c r="L95" s="7">
        <v>131608</v>
      </c>
      <c r="M95" s="4">
        <v>132402</v>
      </c>
      <c r="N95" s="1">
        <v>978</v>
      </c>
      <c r="O95" s="4">
        <v>8541</v>
      </c>
      <c r="P95" s="4">
        <v>7349</v>
      </c>
      <c r="Q95" s="12">
        <f t="shared" si="10"/>
        <v>3329</v>
      </c>
      <c r="R95" s="20">
        <f t="shared" si="6"/>
        <v>95</v>
      </c>
      <c r="S95" s="43">
        <f t="shared" si="7"/>
        <v>1.8369009702984964E-2</v>
      </c>
      <c r="T95" s="35">
        <f t="shared" si="8"/>
        <v>3.0103480714957668E-2</v>
      </c>
      <c r="U95" s="87"/>
    </row>
    <row r="96" spans="1:21" x14ac:dyDescent="0.25">
      <c r="A96" s="2">
        <v>43987</v>
      </c>
      <c r="B96" s="154">
        <v>840</v>
      </c>
      <c r="C96" s="154">
        <v>21037</v>
      </c>
      <c r="D96" s="154">
        <v>24</v>
      </c>
      <c r="E96" s="156">
        <v>632</v>
      </c>
      <c r="F96" s="156">
        <f t="shared" si="5"/>
        <v>92</v>
      </c>
      <c r="G96" s="179">
        <v>6180</v>
      </c>
      <c r="H96" s="154">
        <v>249</v>
      </c>
      <c r="I96" s="156">
        <v>5416</v>
      </c>
      <c r="J96" s="4">
        <v>189278</v>
      </c>
      <c r="K96" s="7">
        <v>812</v>
      </c>
      <c r="L96" s="7">
        <v>134642</v>
      </c>
      <c r="M96" s="4">
        <v>135454</v>
      </c>
      <c r="N96" s="8">
        <v>980</v>
      </c>
      <c r="O96" s="8">
        <v>8883</v>
      </c>
      <c r="P96" s="8">
        <v>7770</v>
      </c>
      <c r="Q96" s="12">
        <f>C96-P96-O96-N96</f>
        <v>3404</v>
      </c>
      <c r="R96" s="20">
        <f t="shared" si="6"/>
        <v>92</v>
      </c>
      <c r="S96" s="43">
        <f t="shared" si="7"/>
        <v>1.750439367311072E-2</v>
      </c>
      <c r="T96" s="35">
        <f t="shared" si="8"/>
        <v>3.004230641251129E-2</v>
      </c>
      <c r="U96" s="87"/>
    </row>
    <row r="97" spans="1:21" x14ac:dyDescent="0.25">
      <c r="A97" s="2">
        <v>43988</v>
      </c>
      <c r="B97" s="154">
        <v>983</v>
      </c>
      <c r="C97" s="154">
        <v>22020</v>
      </c>
      <c r="D97" s="156">
        <v>16</v>
      </c>
      <c r="E97" s="156">
        <v>648</v>
      </c>
      <c r="F97" s="156">
        <f t="shared" si="5"/>
        <v>729</v>
      </c>
      <c r="G97" s="179">
        <v>6909</v>
      </c>
      <c r="H97" s="154">
        <v>247</v>
      </c>
      <c r="I97" s="156">
        <v>4635</v>
      </c>
      <c r="J97" s="4">
        <v>193923</v>
      </c>
      <c r="K97" s="7">
        <v>832</v>
      </c>
      <c r="L97" s="7">
        <v>137840</v>
      </c>
      <c r="M97" s="4">
        <v>138672</v>
      </c>
      <c r="N97" s="4">
        <v>983</v>
      </c>
      <c r="O97" s="4">
        <v>9219</v>
      </c>
      <c r="P97" s="4">
        <v>8141</v>
      </c>
      <c r="Q97" s="12">
        <f>C97-P97-O97-N97</f>
        <v>3677</v>
      </c>
      <c r="R97" s="20">
        <f t="shared" si="6"/>
        <v>729</v>
      </c>
      <c r="S97" s="43">
        <f t="shared" si="7"/>
        <v>1.7078061259766301E-2</v>
      </c>
      <c r="T97" s="35">
        <f t="shared" si="8"/>
        <v>2.9427792915531336E-2</v>
      </c>
      <c r="U97" s="87"/>
    </row>
    <row r="98" spans="1:21" x14ac:dyDescent="0.25">
      <c r="A98" s="2">
        <v>43989</v>
      </c>
      <c r="B98" s="154">
        <v>774</v>
      </c>
      <c r="C98" s="154">
        <v>22794</v>
      </c>
      <c r="D98" s="156">
        <v>15</v>
      </c>
      <c r="E98" s="156">
        <v>664</v>
      </c>
      <c r="F98" s="156">
        <f t="shared" si="5"/>
        <v>396</v>
      </c>
      <c r="G98" s="179">
        <v>7305</v>
      </c>
      <c r="H98" s="154">
        <v>235</v>
      </c>
      <c r="I98" s="156">
        <v>4607</v>
      </c>
      <c r="J98" s="4">
        <v>198520</v>
      </c>
      <c r="K98" s="7">
        <v>847.49400000000605</v>
      </c>
      <c r="L98" s="7">
        <v>140401.50599999999</v>
      </c>
      <c r="M98" s="4">
        <v>141249</v>
      </c>
      <c r="N98" s="4">
        <v>985</v>
      </c>
      <c r="O98" s="4">
        <v>9476</v>
      </c>
      <c r="P98" s="4">
        <v>8441</v>
      </c>
      <c r="Q98" s="12">
        <f>C98-P98-O98-N98</f>
        <v>3892</v>
      </c>
      <c r="R98" s="20">
        <f t="shared" si="6"/>
        <v>396</v>
      </c>
      <c r="S98" s="43">
        <f t="shared" si="7"/>
        <v>1.5851602023608771E-2</v>
      </c>
      <c r="T98" s="35">
        <f t="shared" si="8"/>
        <v>2.9130472931473195E-2</v>
      </c>
      <c r="U98" s="87"/>
    </row>
    <row r="99" spans="1:21" x14ac:dyDescent="0.25">
      <c r="A99" s="2">
        <v>43990</v>
      </c>
      <c r="B99" s="157">
        <v>826</v>
      </c>
      <c r="C99" s="157">
        <v>23620</v>
      </c>
      <c r="D99" s="156">
        <v>29</v>
      </c>
      <c r="E99" s="156">
        <v>693</v>
      </c>
      <c r="F99" s="156">
        <f t="shared" si="5"/>
        <v>263</v>
      </c>
      <c r="G99" s="179">
        <v>7568</v>
      </c>
      <c r="H99" s="154">
        <v>265</v>
      </c>
      <c r="I99" s="156">
        <v>4531</v>
      </c>
      <c r="J99" s="4">
        <v>203810</v>
      </c>
      <c r="K99" s="7">
        <v>866</v>
      </c>
      <c r="L99" s="7">
        <v>143482</v>
      </c>
      <c r="M99" s="4">
        <v>144348</v>
      </c>
      <c r="N99" s="4">
        <v>986</v>
      </c>
      <c r="O99" s="11">
        <v>9822</v>
      </c>
      <c r="P99" s="11">
        <v>8919</v>
      </c>
      <c r="Q99" s="12">
        <f>C99-P99-O99-N99</f>
        <v>3893</v>
      </c>
      <c r="R99" s="20">
        <f t="shared" si="6"/>
        <v>263</v>
      </c>
      <c r="S99" s="43">
        <f t="shared" si="7"/>
        <v>1.7253727456214597E-2</v>
      </c>
      <c r="T99" s="35">
        <f t="shared" si="8"/>
        <v>2.9339542760372567E-2</v>
      </c>
      <c r="U99" s="87"/>
    </row>
    <row r="100" spans="1:21" x14ac:dyDescent="0.25">
      <c r="A100" s="2">
        <v>43991</v>
      </c>
      <c r="B100" s="157">
        <v>1141</v>
      </c>
      <c r="C100" s="157">
        <v>24761</v>
      </c>
      <c r="D100" s="156">
        <v>24</v>
      </c>
      <c r="E100" s="159">
        <v>717</v>
      </c>
      <c r="F100" s="156">
        <f t="shared" si="5"/>
        <v>423</v>
      </c>
      <c r="G100" s="179">
        <v>7991</v>
      </c>
      <c r="H100" s="154">
        <v>263</v>
      </c>
      <c r="I100" s="156">
        <v>5468</v>
      </c>
      <c r="J100" s="4">
        <v>208519</v>
      </c>
      <c r="K100" s="7">
        <v>739</v>
      </c>
      <c r="L100" s="7">
        <v>147178</v>
      </c>
      <c r="M100" s="4">
        <v>147917</v>
      </c>
      <c r="N100" s="11">
        <v>992</v>
      </c>
      <c r="O100" s="11">
        <v>10260</v>
      </c>
      <c r="P100" s="11">
        <v>9406</v>
      </c>
      <c r="Q100" s="12">
        <f>C100-P100-O100-N100</f>
        <v>4103</v>
      </c>
      <c r="R100" s="20">
        <f t="shared" si="6"/>
        <v>423</v>
      </c>
      <c r="S100" s="43">
        <f t="shared" si="7"/>
        <v>1.6383230548807078E-2</v>
      </c>
      <c r="T100" s="35">
        <f t="shared" si="8"/>
        <v>2.8956827268688663E-2</v>
      </c>
      <c r="U100" s="87"/>
    </row>
    <row r="101" spans="1:21" x14ac:dyDescent="0.25">
      <c r="A101" s="2">
        <v>43992</v>
      </c>
      <c r="B101" s="157">
        <v>1226</v>
      </c>
      <c r="C101" s="156">
        <v>25987</v>
      </c>
      <c r="D101" s="156">
        <v>18</v>
      </c>
      <c r="E101" s="159">
        <v>735</v>
      </c>
      <c r="F101" s="156">
        <f t="shared" si="5"/>
        <v>341</v>
      </c>
      <c r="G101" s="179">
        <v>8332</v>
      </c>
      <c r="H101" s="154">
        <v>325</v>
      </c>
      <c r="I101" s="156">
        <v>6288</v>
      </c>
      <c r="J101" s="4">
        <v>214807</v>
      </c>
      <c r="K101" s="7">
        <v>757</v>
      </c>
      <c r="L101" s="7">
        <v>150755</v>
      </c>
      <c r="M101" s="4">
        <v>151512</v>
      </c>
      <c r="N101" s="4">
        <v>996</v>
      </c>
      <c r="O101" s="4">
        <v>10657</v>
      </c>
      <c r="P101" s="4">
        <v>9948</v>
      </c>
      <c r="Q101" s="12">
        <f t="shared" ref="Q101:Q124" si="11">C101-P101-O101-N101</f>
        <v>4386</v>
      </c>
      <c r="R101" s="20">
        <f t="shared" si="6"/>
        <v>341</v>
      </c>
      <c r="S101" s="43">
        <f t="shared" si="7"/>
        <v>1.9208037825059102E-2</v>
      </c>
      <c r="T101" s="35">
        <f t="shared" si="8"/>
        <v>2.8283372455458498E-2</v>
      </c>
      <c r="U101" s="87"/>
    </row>
    <row r="102" spans="1:21" x14ac:dyDescent="0.25">
      <c r="A102" s="2">
        <v>43993</v>
      </c>
      <c r="B102" s="157">
        <v>1386</v>
      </c>
      <c r="C102" s="156">
        <v>27373</v>
      </c>
      <c r="D102" s="156">
        <v>30</v>
      </c>
      <c r="E102" s="159">
        <v>765</v>
      </c>
      <c r="F102" s="156">
        <f t="shared" si="5"/>
        <v>411</v>
      </c>
      <c r="G102" s="179">
        <v>8743</v>
      </c>
      <c r="H102" s="154">
        <v>295</v>
      </c>
      <c r="I102" s="156">
        <v>6498</v>
      </c>
      <c r="J102" s="4">
        <v>221305</v>
      </c>
      <c r="K102" s="7">
        <v>777</v>
      </c>
      <c r="L102" s="7">
        <v>154725</v>
      </c>
      <c r="M102" s="4">
        <v>155502</v>
      </c>
      <c r="N102" s="4">
        <v>999</v>
      </c>
      <c r="O102" s="4">
        <v>11091</v>
      </c>
      <c r="P102" s="4">
        <v>10542</v>
      </c>
      <c r="Q102" s="12">
        <f t="shared" si="11"/>
        <v>4741</v>
      </c>
      <c r="R102" s="20">
        <f t="shared" si="6"/>
        <v>411</v>
      </c>
      <c r="S102" s="43">
        <f t="shared" si="7"/>
        <v>1.6512734396865379E-2</v>
      </c>
      <c r="T102" s="35">
        <f t="shared" si="8"/>
        <v>2.7947247287473057E-2</v>
      </c>
      <c r="U102" s="87"/>
    </row>
    <row r="103" spans="1:21" x14ac:dyDescent="0.25">
      <c r="A103" s="2">
        <v>43994</v>
      </c>
      <c r="B103" s="157">
        <v>1391</v>
      </c>
      <c r="C103" s="156">
        <v>28764</v>
      </c>
      <c r="D103" s="156">
        <v>20</v>
      </c>
      <c r="E103" s="159">
        <v>785</v>
      </c>
      <c r="F103" s="156">
        <f t="shared" si="5"/>
        <v>340</v>
      </c>
      <c r="G103" s="179">
        <v>9083</v>
      </c>
      <c r="H103" s="154">
        <v>280</v>
      </c>
      <c r="I103" s="156">
        <v>7019</v>
      </c>
      <c r="J103" s="4">
        <v>228324</v>
      </c>
      <c r="K103" s="7">
        <v>797</v>
      </c>
      <c r="L103" s="24">
        <v>158691</v>
      </c>
      <c r="M103" s="4">
        <v>159488</v>
      </c>
      <c r="N103" s="4">
        <v>1005</v>
      </c>
      <c r="O103" s="4">
        <v>11529</v>
      </c>
      <c r="P103" s="4">
        <v>11161</v>
      </c>
      <c r="Q103" s="12">
        <f t="shared" si="11"/>
        <v>5069</v>
      </c>
      <c r="R103" s="20">
        <f t="shared" si="6"/>
        <v>340</v>
      </c>
      <c r="S103" s="43">
        <f t="shared" si="7"/>
        <v>1.4817950889077053E-2</v>
      </c>
      <c r="T103" s="35">
        <f t="shared" si="8"/>
        <v>2.7291058267278543E-2</v>
      </c>
      <c r="U103" s="87"/>
    </row>
    <row r="104" spans="1:21" x14ac:dyDescent="0.25">
      <c r="A104" s="2">
        <v>43995</v>
      </c>
      <c r="B104" s="158">
        <v>1531</v>
      </c>
      <c r="C104" s="156">
        <v>30295</v>
      </c>
      <c r="D104" s="156">
        <v>30</v>
      </c>
      <c r="E104" s="156">
        <v>815</v>
      </c>
      <c r="F104" s="156">
        <f t="shared" si="5"/>
        <v>481</v>
      </c>
      <c r="G104" s="180">
        <v>9564</v>
      </c>
      <c r="H104" s="181">
        <v>293</v>
      </c>
      <c r="I104" s="156">
        <v>6046</v>
      </c>
      <c r="J104" s="4">
        <v>234370</v>
      </c>
      <c r="K104" s="7">
        <v>815</v>
      </c>
      <c r="L104" s="24">
        <v>162346</v>
      </c>
      <c r="M104" s="4">
        <v>163161</v>
      </c>
      <c r="N104" s="4">
        <v>1011</v>
      </c>
      <c r="O104" s="4">
        <v>11950</v>
      </c>
      <c r="P104" s="4">
        <v>11707</v>
      </c>
      <c r="Q104" s="12">
        <f t="shared" si="11"/>
        <v>5627</v>
      </c>
      <c r="R104" s="20">
        <f t="shared" si="6"/>
        <v>481</v>
      </c>
      <c r="S104" s="43">
        <f t="shared" si="7"/>
        <v>1.4711789515967062E-2</v>
      </c>
      <c r="T104" s="35">
        <f t="shared" si="8"/>
        <v>2.6902129064202012E-2</v>
      </c>
      <c r="U104" s="87"/>
    </row>
    <row r="105" spans="1:21" x14ac:dyDescent="0.25">
      <c r="A105" s="2">
        <v>43996</v>
      </c>
      <c r="B105" s="157">
        <v>1282</v>
      </c>
      <c r="C105" s="156">
        <v>31577</v>
      </c>
      <c r="D105" s="156">
        <v>18</v>
      </c>
      <c r="E105" s="156">
        <v>833</v>
      </c>
      <c r="F105" s="156">
        <f t="shared" si="5"/>
        <v>327</v>
      </c>
      <c r="G105" s="180">
        <v>9891</v>
      </c>
      <c r="H105" s="182">
        <v>316</v>
      </c>
      <c r="I105" s="156">
        <v>5571</v>
      </c>
      <c r="J105" s="4">
        <v>239941</v>
      </c>
      <c r="K105" s="7">
        <v>832</v>
      </c>
      <c r="L105" s="7">
        <v>165611</v>
      </c>
      <c r="M105" s="4">
        <v>166443</v>
      </c>
      <c r="N105" s="11">
        <v>1022</v>
      </c>
      <c r="O105" s="11">
        <v>12386</v>
      </c>
      <c r="P105" s="11">
        <v>12167</v>
      </c>
      <c r="Q105" s="12">
        <f t="shared" si="11"/>
        <v>6002</v>
      </c>
      <c r="R105" s="20">
        <f t="shared" si="6"/>
        <v>327</v>
      </c>
      <c r="S105" s="43">
        <f t="shared" si="7"/>
        <v>1.5153694912003069E-2</v>
      </c>
      <c r="T105" s="35">
        <f t="shared" si="8"/>
        <v>2.6379960097539349E-2</v>
      </c>
      <c r="U105" s="87"/>
    </row>
    <row r="106" spans="1:21" x14ac:dyDescent="0.25">
      <c r="A106" s="2">
        <v>43997</v>
      </c>
      <c r="B106" s="157">
        <v>1208</v>
      </c>
      <c r="C106" s="156">
        <v>32785</v>
      </c>
      <c r="D106" s="156">
        <v>21</v>
      </c>
      <c r="E106" s="156">
        <v>854</v>
      </c>
      <c r="F106" s="156">
        <f t="shared" si="5"/>
        <v>273</v>
      </c>
      <c r="G106" s="180">
        <v>10164</v>
      </c>
      <c r="H106" s="183">
        <v>324</v>
      </c>
      <c r="I106" s="156">
        <v>5118</v>
      </c>
      <c r="J106" s="4">
        <v>245059</v>
      </c>
      <c r="K106" s="7">
        <v>847</v>
      </c>
      <c r="L106" s="7">
        <v>168596</v>
      </c>
      <c r="M106" s="4">
        <v>169443</v>
      </c>
      <c r="N106" s="11">
        <v>1028</v>
      </c>
      <c r="O106" s="11">
        <v>12835</v>
      </c>
      <c r="P106" s="11">
        <v>12828</v>
      </c>
      <c r="Q106" s="12">
        <f t="shared" si="11"/>
        <v>6094</v>
      </c>
      <c r="R106" s="20">
        <f t="shared" si="6"/>
        <v>273</v>
      </c>
      <c r="S106" s="43">
        <f t="shared" si="7"/>
        <v>1.4884917535719208E-2</v>
      </c>
      <c r="T106" s="35">
        <f t="shared" si="8"/>
        <v>2.6048497788622844E-2</v>
      </c>
      <c r="U106" s="87"/>
    </row>
    <row r="107" spans="1:21" x14ac:dyDescent="0.25">
      <c r="A107" s="2">
        <v>43998</v>
      </c>
      <c r="B107" s="157">
        <v>1374</v>
      </c>
      <c r="C107" s="156">
        <v>34159</v>
      </c>
      <c r="D107" s="156">
        <v>24</v>
      </c>
      <c r="E107" s="159">
        <v>878</v>
      </c>
      <c r="F107" s="156">
        <f t="shared" si="5"/>
        <v>348</v>
      </c>
      <c r="G107" s="180">
        <v>10512</v>
      </c>
      <c r="H107" s="183">
        <v>345</v>
      </c>
      <c r="I107" s="159">
        <v>5556</v>
      </c>
      <c r="J107" s="11">
        <v>250615</v>
      </c>
      <c r="K107" s="7">
        <v>863</v>
      </c>
      <c r="L107" s="7">
        <v>171855</v>
      </c>
      <c r="M107" s="4">
        <v>172718</v>
      </c>
      <c r="N107" s="11">
        <v>1030</v>
      </c>
      <c r="O107" s="11">
        <v>13340</v>
      </c>
      <c r="P107" s="11">
        <v>13602</v>
      </c>
      <c r="Q107" s="12">
        <f t="shared" si="11"/>
        <v>6187</v>
      </c>
      <c r="R107" s="20">
        <f t="shared" si="6"/>
        <v>348</v>
      </c>
      <c r="S107" s="43">
        <f t="shared" si="7"/>
        <v>1.5152180596424964E-2</v>
      </c>
      <c r="T107" s="35">
        <f t="shared" si="8"/>
        <v>2.5703328551772594E-2</v>
      </c>
      <c r="U107" s="87"/>
    </row>
    <row r="108" spans="1:21" x14ac:dyDescent="0.25">
      <c r="A108" s="2">
        <v>43999</v>
      </c>
      <c r="B108" s="156">
        <v>1393</v>
      </c>
      <c r="C108" s="156">
        <v>35552</v>
      </c>
      <c r="D108" s="156">
        <v>35</v>
      </c>
      <c r="E108" s="159">
        <v>913</v>
      </c>
      <c r="F108" s="156">
        <f t="shared" si="5"/>
        <v>209</v>
      </c>
      <c r="G108" s="180">
        <v>10721</v>
      </c>
      <c r="H108" s="183">
        <v>353</v>
      </c>
      <c r="I108" s="156">
        <v>6477</v>
      </c>
      <c r="J108" s="4">
        <v>257092</v>
      </c>
      <c r="K108" s="7">
        <v>882</v>
      </c>
      <c r="L108" s="7">
        <v>175554</v>
      </c>
      <c r="M108" s="4">
        <v>176436</v>
      </c>
      <c r="N108" s="11">
        <v>1036</v>
      </c>
      <c r="O108" s="11">
        <v>13805</v>
      </c>
      <c r="P108" s="11">
        <v>14433</v>
      </c>
      <c r="Q108" s="12">
        <f t="shared" si="11"/>
        <v>6278</v>
      </c>
      <c r="R108" s="20">
        <f t="shared" si="6"/>
        <v>209</v>
      </c>
      <c r="S108" s="43">
        <f t="shared" si="7"/>
        <v>1.4758759093569697E-2</v>
      </c>
      <c r="T108" s="35">
        <f t="shared" si="8"/>
        <v>2.5680693069306929E-2</v>
      </c>
      <c r="U108" s="87"/>
    </row>
    <row r="109" spans="1:21" x14ac:dyDescent="0.25">
      <c r="A109" s="2">
        <v>44000</v>
      </c>
      <c r="B109" s="157">
        <v>1958</v>
      </c>
      <c r="C109" s="156">
        <v>37510</v>
      </c>
      <c r="D109" s="156">
        <v>35</v>
      </c>
      <c r="E109" s="159">
        <v>948</v>
      </c>
      <c r="F109" s="156">
        <f t="shared" si="5"/>
        <v>1130</v>
      </c>
      <c r="G109" s="180">
        <v>11851</v>
      </c>
      <c r="H109" s="156">
        <v>364</v>
      </c>
      <c r="I109" s="156">
        <v>7512</v>
      </c>
      <c r="J109" s="4">
        <v>264604</v>
      </c>
      <c r="K109" s="7">
        <v>906</v>
      </c>
      <c r="L109" s="7">
        <v>180447</v>
      </c>
      <c r="M109" s="4">
        <v>181353</v>
      </c>
      <c r="N109" s="11">
        <v>1049</v>
      </c>
      <c r="O109" s="11">
        <v>14420</v>
      </c>
      <c r="P109" s="11">
        <v>15347</v>
      </c>
      <c r="Q109" s="12">
        <f t="shared" si="11"/>
        <v>6694</v>
      </c>
      <c r="R109" s="20">
        <f t="shared" si="6"/>
        <v>1130</v>
      </c>
      <c r="S109" s="43">
        <f t="shared" si="7"/>
        <v>1.4730282060620777E-2</v>
      </c>
      <c r="T109" s="35">
        <f t="shared" si="8"/>
        <v>2.5273260463876301E-2</v>
      </c>
      <c r="U109" s="87"/>
    </row>
    <row r="110" spans="1:21" x14ac:dyDescent="0.25">
      <c r="A110" s="2">
        <v>44001</v>
      </c>
      <c r="B110" s="157">
        <v>2060</v>
      </c>
      <c r="C110" s="156">
        <v>39570</v>
      </c>
      <c r="D110" s="156">
        <v>31</v>
      </c>
      <c r="E110" s="159">
        <v>979</v>
      </c>
      <c r="F110" s="156">
        <f t="shared" si="5"/>
        <v>355</v>
      </c>
      <c r="G110" s="180">
        <v>12206</v>
      </c>
      <c r="H110" s="156">
        <v>364</v>
      </c>
      <c r="I110" s="156">
        <v>8625</v>
      </c>
      <c r="J110" s="4">
        <v>273229</v>
      </c>
      <c r="K110" s="7">
        <v>931</v>
      </c>
      <c r="L110" s="7">
        <v>185302</v>
      </c>
      <c r="M110" s="4">
        <v>186233</v>
      </c>
      <c r="N110" s="11">
        <v>1044</v>
      </c>
      <c r="O110" s="11">
        <v>15003</v>
      </c>
      <c r="P110" s="11">
        <v>16383</v>
      </c>
      <c r="Q110" s="12">
        <f t="shared" si="11"/>
        <v>7140</v>
      </c>
      <c r="R110" s="20">
        <f t="shared" si="6"/>
        <v>355</v>
      </c>
      <c r="S110" s="43">
        <f t="shared" si="7"/>
        <v>1.3795717263596741E-2</v>
      </c>
      <c r="T110" s="35">
        <f t="shared" si="8"/>
        <v>2.4740965377811473E-2</v>
      </c>
      <c r="U110" s="87"/>
    </row>
    <row r="111" spans="1:21" x14ac:dyDescent="0.25">
      <c r="A111" s="2">
        <v>44002</v>
      </c>
      <c r="B111" s="157">
        <v>1634</v>
      </c>
      <c r="C111" s="159">
        <v>41204</v>
      </c>
      <c r="D111" s="159">
        <v>12</v>
      </c>
      <c r="E111" s="159">
        <v>991</v>
      </c>
      <c r="F111" s="156">
        <f t="shared" si="5"/>
        <v>522</v>
      </c>
      <c r="G111" s="180">
        <v>12728</v>
      </c>
      <c r="H111" s="156">
        <v>381</v>
      </c>
      <c r="I111" s="156">
        <v>6443</v>
      </c>
      <c r="J111" s="4">
        <v>279672</v>
      </c>
      <c r="K111" s="7">
        <v>950</v>
      </c>
      <c r="L111" s="7">
        <v>188951</v>
      </c>
      <c r="M111" s="4">
        <v>189901</v>
      </c>
      <c r="N111" s="4">
        <v>1046</v>
      </c>
      <c r="O111" s="4">
        <v>15528</v>
      </c>
      <c r="P111" s="4">
        <v>17095</v>
      </c>
      <c r="Q111" s="12">
        <f t="shared" si="11"/>
        <v>7535</v>
      </c>
      <c r="R111" s="20">
        <f t="shared" si="6"/>
        <v>522</v>
      </c>
      <c r="S111" s="43">
        <f t="shared" si="7"/>
        <v>1.3862106603601964E-2</v>
      </c>
      <c r="T111" s="35">
        <f t="shared" si="8"/>
        <v>2.4051063003591885E-2</v>
      </c>
      <c r="U111" s="87"/>
    </row>
    <row r="112" spans="1:21" x14ac:dyDescent="0.25">
      <c r="A112" s="2">
        <v>44003</v>
      </c>
      <c r="B112" s="157">
        <v>1581</v>
      </c>
      <c r="C112" s="156">
        <v>42785</v>
      </c>
      <c r="D112" s="159">
        <v>19</v>
      </c>
      <c r="E112" s="156">
        <v>1011</v>
      </c>
      <c r="F112" s="156">
        <f t="shared" si="5"/>
        <v>425</v>
      </c>
      <c r="G112" s="184">
        <v>13153</v>
      </c>
      <c r="H112" s="156">
        <v>397</v>
      </c>
      <c r="I112" s="156">
        <v>5719</v>
      </c>
      <c r="J112" s="7">
        <v>285391</v>
      </c>
      <c r="K112" s="7">
        <v>773.26800000001094</v>
      </c>
      <c r="L112" s="7">
        <v>192543.73199999999</v>
      </c>
      <c r="M112" s="4">
        <v>193317</v>
      </c>
      <c r="N112" s="4">
        <v>1047</v>
      </c>
      <c r="O112" s="4">
        <v>16101</v>
      </c>
      <c r="P112" s="4">
        <v>17750</v>
      </c>
      <c r="Q112" s="12">
        <f t="shared" si="11"/>
        <v>7887</v>
      </c>
      <c r="R112" s="20">
        <f t="shared" si="6"/>
        <v>425</v>
      </c>
      <c r="S112" s="43">
        <f t="shared" si="7"/>
        <v>1.3870933929632089E-2</v>
      </c>
      <c r="T112" s="35">
        <f t="shared" si="8"/>
        <v>2.3629776790931402E-2</v>
      </c>
      <c r="U112" s="87"/>
    </row>
    <row r="113" spans="1:22" x14ac:dyDescent="0.25">
      <c r="A113" s="2">
        <v>44004</v>
      </c>
      <c r="B113" s="157">
        <v>2146</v>
      </c>
      <c r="C113" s="159">
        <v>44931</v>
      </c>
      <c r="D113" s="156">
        <v>32</v>
      </c>
      <c r="E113" s="156">
        <f>E112+D113</f>
        <v>1043</v>
      </c>
      <c r="F113" s="156">
        <f t="shared" si="5"/>
        <v>423</v>
      </c>
      <c r="G113" s="184">
        <v>13576</v>
      </c>
      <c r="H113" s="156">
        <v>414</v>
      </c>
      <c r="I113" s="156">
        <v>7120</v>
      </c>
      <c r="J113" s="7">
        <v>292511</v>
      </c>
      <c r="K113" s="14">
        <v>790</v>
      </c>
      <c r="L113" s="14">
        <v>196839</v>
      </c>
      <c r="M113" s="4">
        <v>197629</v>
      </c>
      <c r="N113" s="12">
        <v>1050</v>
      </c>
      <c r="O113" s="12">
        <v>16924</v>
      </c>
      <c r="P113" s="12">
        <v>18537</v>
      </c>
      <c r="Q113" s="12">
        <f t="shared" si="11"/>
        <v>8420</v>
      </c>
      <c r="R113" s="20">
        <f t="shared" si="6"/>
        <v>423</v>
      </c>
      <c r="S113" s="43">
        <f t="shared" si="7"/>
        <v>1.3657957244655582E-2</v>
      </c>
      <c r="T113" s="35">
        <f t="shared" si="8"/>
        <v>2.3213371614252964E-2</v>
      </c>
      <c r="U113" s="87"/>
    </row>
    <row r="114" spans="1:22" x14ac:dyDescent="0.25">
      <c r="A114" s="2">
        <v>44005</v>
      </c>
      <c r="B114" s="156">
        <v>2285</v>
      </c>
      <c r="C114" s="156">
        <f>C113+B114</f>
        <v>47216</v>
      </c>
      <c r="D114" s="156">
        <v>35</v>
      </c>
      <c r="E114" s="156">
        <f>E113+D114</f>
        <v>1078</v>
      </c>
      <c r="F114" s="156">
        <f t="shared" si="5"/>
        <v>240</v>
      </c>
      <c r="G114" s="184">
        <v>13816</v>
      </c>
      <c r="H114" s="156">
        <v>433</v>
      </c>
      <c r="I114" s="156">
        <v>7832</v>
      </c>
      <c r="J114" s="12">
        <v>300343</v>
      </c>
      <c r="K114" s="14">
        <v>812</v>
      </c>
      <c r="L114" s="39">
        <v>202380</v>
      </c>
      <c r="M114" s="12">
        <v>203192</v>
      </c>
      <c r="N114" s="11">
        <v>1052</v>
      </c>
      <c r="O114" s="12">
        <v>17655</v>
      </c>
      <c r="P114" s="12">
        <v>19603</v>
      </c>
      <c r="Q114" s="12">
        <f t="shared" si="11"/>
        <v>8906</v>
      </c>
      <c r="R114" s="20">
        <f t="shared" si="6"/>
        <v>240</v>
      </c>
      <c r="S114" s="43">
        <f t="shared" si="7"/>
        <v>1.3396448239589135E-2</v>
      </c>
      <c r="T114" s="35">
        <f t="shared" si="8"/>
        <v>2.2831243646221619E-2</v>
      </c>
      <c r="U114" s="87"/>
    </row>
    <row r="115" spans="1:22" x14ac:dyDescent="0.25">
      <c r="A115" s="2">
        <v>44006</v>
      </c>
      <c r="B115" s="157">
        <v>2635</v>
      </c>
      <c r="C115" s="156">
        <v>49851</v>
      </c>
      <c r="D115" s="156">
        <v>38</v>
      </c>
      <c r="E115" s="156">
        <v>1116</v>
      </c>
      <c r="F115" s="156">
        <f t="shared" si="5"/>
        <v>972</v>
      </c>
      <c r="G115" s="184">
        <v>14788</v>
      </c>
      <c r="H115" s="156">
        <v>457</v>
      </c>
      <c r="I115" s="156">
        <v>9258</v>
      </c>
      <c r="J115" s="4">
        <v>309601</v>
      </c>
      <c r="K115" s="14">
        <v>832.92800000001444</v>
      </c>
      <c r="L115" s="14">
        <v>207399.07199999999</v>
      </c>
      <c r="M115" s="1">
        <v>208232</v>
      </c>
      <c r="N115" s="10">
        <v>1060</v>
      </c>
      <c r="O115" s="10">
        <v>18460</v>
      </c>
      <c r="P115" s="10">
        <v>20816</v>
      </c>
      <c r="Q115" s="12">
        <f t="shared" si="11"/>
        <v>9515</v>
      </c>
      <c r="R115" s="20">
        <f t="shared" si="6"/>
        <v>972</v>
      </c>
      <c r="S115" s="43">
        <f t="shared" si="7"/>
        <v>1.3462161604854627E-2</v>
      </c>
      <c r="T115" s="35">
        <f t="shared" si="8"/>
        <v>2.2386712402960824E-2</v>
      </c>
      <c r="U115" s="87"/>
    </row>
    <row r="116" spans="1:22" x14ac:dyDescent="0.25">
      <c r="A116" s="2">
        <v>44007</v>
      </c>
      <c r="B116" s="156">
        <v>2606</v>
      </c>
      <c r="C116" s="159">
        <v>52457</v>
      </c>
      <c r="D116" s="156">
        <v>34</v>
      </c>
      <c r="E116" s="156">
        <v>1150</v>
      </c>
      <c r="F116" s="156">
        <f t="shared" si="5"/>
        <v>3628</v>
      </c>
      <c r="G116" s="184">
        <v>18416</v>
      </c>
      <c r="H116" s="156">
        <v>472</v>
      </c>
      <c r="I116" s="156">
        <v>9120</v>
      </c>
      <c r="J116" s="4">
        <v>318721</v>
      </c>
      <c r="K116" s="7">
        <v>852</v>
      </c>
      <c r="L116" s="7">
        <v>212323</v>
      </c>
      <c r="M116" s="4">
        <v>213175</v>
      </c>
      <c r="N116" s="4">
        <v>1061</v>
      </c>
      <c r="O116" s="4">
        <v>19202</v>
      </c>
      <c r="P116" s="4">
        <v>22078</v>
      </c>
      <c r="Q116" s="12">
        <f t="shared" si="11"/>
        <v>10116</v>
      </c>
      <c r="R116" s="20">
        <f t="shared" si="6"/>
        <v>3628</v>
      </c>
      <c r="S116" s="43">
        <f t="shared" si="7"/>
        <v>1.4350430208871728E-2</v>
      </c>
      <c r="T116" s="35">
        <f t="shared" si="8"/>
        <v>2.1922717654459842E-2</v>
      </c>
      <c r="U116" s="87"/>
    </row>
    <row r="117" spans="1:22" x14ac:dyDescent="0.25">
      <c r="A117" s="2">
        <v>44008</v>
      </c>
      <c r="B117" s="157">
        <v>2886</v>
      </c>
      <c r="C117" s="156">
        <v>55343</v>
      </c>
      <c r="D117" s="159">
        <v>34</v>
      </c>
      <c r="E117" s="159">
        <v>1184</v>
      </c>
      <c r="F117" s="156">
        <f t="shared" si="5"/>
        <v>727</v>
      </c>
      <c r="G117" s="184">
        <v>19143</v>
      </c>
      <c r="H117" s="156">
        <v>507</v>
      </c>
      <c r="I117" s="156">
        <v>10315</v>
      </c>
      <c r="J117" s="4">
        <v>329036</v>
      </c>
      <c r="K117" s="7">
        <v>874</v>
      </c>
      <c r="L117" s="7">
        <v>217766</v>
      </c>
      <c r="M117" s="4">
        <v>218640</v>
      </c>
      <c r="N117" s="11">
        <v>1061</v>
      </c>
      <c r="O117" s="11">
        <v>20095</v>
      </c>
      <c r="P117" s="11">
        <v>23464</v>
      </c>
      <c r="Q117" s="12">
        <f t="shared" si="11"/>
        <v>10723</v>
      </c>
      <c r="R117" s="20">
        <f t="shared" si="6"/>
        <v>727</v>
      </c>
      <c r="S117" s="43">
        <f t="shared" si="7"/>
        <v>1.4479095270733379E-2</v>
      </c>
      <c r="T117" s="35">
        <f t="shared" si="8"/>
        <v>2.1393852881123176E-2</v>
      </c>
      <c r="U117" s="87"/>
    </row>
    <row r="118" spans="1:22" x14ac:dyDescent="0.25">
      <c r="A118" s="2">
        <v>44009</v>
      </c>
      <c r="B118" s="159">
        <v>2401</v>
      </c>
      <c r="C118" s="156">
        <v>57744</v>
      </c>
      <c r="D118" s="156">
        <v>23</v>
      </c>
      <c r="E118" s="159">
        <v>1207</v>
      </c>
      <c r="F118" s="156">
        <f t="shared" si="5"/>
        <v>991</v>
      </c>
      <c r="G118" s="184">
        <v>20134</v>
      </c>
      <c r="H118" s="156">
        <v>542</v>
      </c>
      <c r="I118" s="156">
        <v>7915</v>
      </c>
      <c r="J118" s="4">
        <v>336951</v>
      </c>
      <c r="K118" s="7">
        <v>892.88399999999092</v>
      </c>
      <c r="L118" s="7">
        <v>222328.11600000001</v>
      </c>
      <c r="M118" s="4">
        <v>223221</v>
      </c>
      <c r="N118" s="11">
        <v>1062</v>
      </c>
      <c r="O118" s="4">
        <v>20807</v>
      </c>
      <c r="P118" s="4">
        <v>24743</v>
      </c>
      <c r="Q118" s="12">
        <f t="shared" si="11"/>
        <v>11132</v>
      </c>
      <c r="R118" s="20">
        <f t="shared" si="6"/>
        <v>991</v>
      </c>
      <c r="S118" s="43">
        <f t="shared" si="7"/>
        <v>1.4888882784385903E-2</v>
      </c>
      <c r="T118" s="35">
        <f t="shared" si="8"/>
        <v>2.090260459961208E-2</v>
      </c>
      <c r="U118" s="87"/>
    </row>
    <row r="119" spans="1:22" x14ac:dyDescent="0.25">
      <c r="A119" s="2">
        <v>44010</v>
      </c>
      <c r="B119" s="157">
        <v>2189</v>
      </c>
      <c r="C119" s="156">
        <f>C118+B119</f>
        <v>59933</v>
      </c>
      <c r="D119" s="156">
        <v>26</v>
      </c>
      <c r="E119" s="156">
        <f>E118+D119</f>
        <v>1233</v>
      </c>
      <c r="F119" s="156">
        <f t="shared" si="5"/>
        <v>1004</v>
      </c>
      <c r="G119" s="184">
        <v>21138</v>
      </c>
      <c r="H119" s="156">
        <v>535</v>
      </c>
      <c r="I119" s="156">
        <v>7458</v>
      </c>
      <c r="J119" s="4">
        <v>344409</v>
      </c>
      <c r="K119" s="7">
        <v>908</v>
      </c>
      <c r="L119" s="7">
        <v>226138</v>
      </c>
      <c r="M119" s="4">
        <v>227046</v>
      </c>
      <c r="N119" s="4">
        <v>1063</v>
      </c>
      <c r="O119" s="4">
        <v>21599</v>
      </c>
      <c r="P119" s="4">
        <v>25600</v>
      </c>
      <c r="Q119" s="12">
        <f t="shared" si="11"/>
        <v>11671</v>
      </c>
      <c r="R119" s="20">
        <f t="shared" si="6"/>
        <v>1004</v>
      </c>
      <c r="S119" s="43">
        <f t="shared" si="7"/>
        <v>1.4243118044832543E-2</v>
      </c>
      <c r="T119" s="35">
        <f t="shared" si="8"/>
        <v>2.057297315335458E-2</v>
      </c>
      <c r="U119" s="87"/>
      <c r="V119" s="261"/>
    </row>
    <row r="120" spans="1:22" x14ac:dyDescent="0.25">
      <c r="A120" s="44">
        <v>44011</v>
      </c>
      <c r="B120" s="159">
        <v>2335</v>
      </c>
      <c r="C120" s="156">
        <f>C119+B120</f>
        <v>62268</v>
      </c>
      <c r="D120" s="156">
        <v>48</v>
      </c>
      <c r="E120" s="156">
        <f>E119+D120</f>
        <v>1281</v>
      </c>
      <c r="F120" s="156">
        <f t="shared" si="5"/>
        <v>890</v>
      </c>
      <c r="G120" s="184">
        <v>22028</v>
      </c>
      <c r="H120" s="156">
        <v>555</v>
      </c>
      <c r="I120" s="156">
        <v>7933</v>
      </c>
      <c r="J120" s="4">
        <v>350402</v>
      </c>
      <c r="K120" s="7">
        <v>928</v>
      </c>
      <c r="L120" s="7">
        <f>M120-K120</f>
        <v>231088</v>
      </c>
      <c r="M120" s="4">
        <v>232016</v>
      </c>
      <c r="N120" s="4">
        <v>1064</v>
      </c>
      <c r="O120" s="4">
        <v>22481</v>
      </c>
      <c r="P120" s="4">
        <v>27136</v>
      </c>
      <c r="Q120" s="12">
        <f t="shared" si="11"/>
        <v>11587</v>
      </c>
      <c r="R120" s="20">
        <f t="shared" si="6"/>
        <v>890</v>
      </c>
      <c r="S120" s="43">
        <f t="shared" si="7"/>
        <v>1.4245745527349264E-2</v>
      </c>
      <c r="T120" s="35">
        <f t="shared" si="8"/>
        <v>2.0572364617460013E-2</v>
      </c>
      <c r="U120" s="87"/>
      <c r="V120" s="261"/>
    </row>
    <row r="121" spans="1:22" x14ac:dyDescent="0.25">
      <c r="A121" s="2">
        <v>44012</v>
      </c>
      <c r="B121" s="156">
        <v>2262</v>
      </c>
      <c r="C121" s="156">
        <v>64530</v>
      </c>
      <c r="D121" s="156">
        <v>27</v>
      </c>
      <c r="E121" s="156">
        <v>1307</v>
      </c>
      <c r="F121" s="156">
        <f t="shared" si="5"/>
        <v>1012</v>
      </c>
      <c r="G121" s="184">
        <v>23040</v>
      </c>
      <c r="H121" s="156">
        <v>576</v>
      </c>
      <c r="I121" s="156">
        <v>10506</v>
      </c>
      <c r="J121" s="4">
        <v>362908</v>
      </c>
      <c r="K121" s="7">
        <v>946</v>
      </c>
      <c r="L121" s="7">
        <f>M121-K121</f>
        <v>235617</v>
      </c>
      <c r="M121" s="4">
        <v>236563</v>
      </c>
      <c r="N121" s="12">
        <v>1065</v>
      </c>
      <c r="O121" s="4">
        <v>23565</v>
      </c>
      <c r="P121" s="12">
        <v>28732</v>
      </c>
      <c r="Q121" s="12">
        <f t="shared" si="11"/>
        <v>11168</v>
      </c>
      <c r="R121" s="20">
        <f t="shared" si="6"/>
        <v>1012</v>
      </c>
      <c r="S121" s="43">
        <f t="shared" si="7"/>
        <v>1.4334420028370206E-2</v>
      </c>
      <c r="T121" s="35">
        <f t="shared" si="8"/>
        <v>2.0254145358747869E-2</v>
      </c>
      <c r="U121" s="87"/>
      <c r="V121" s="261"/>
    </row>
    <row r="122" spans="1:22" x14ac:dyDescent="0.25">
      <c r="A122" s="2">
        <v>44013</v>
      </c>
      <c r="B122" s="159">
        <v>2667</v>
      </c>
      <c r="C122" s="156">
        <f>C121+B122</f>
        <v>67197</v>
      </c>
      <c r="D122" s="156">
        <v>44</v>
      </c>
      <c r="E122" s="156">
        <f>E121+D122</f>
        <v>1351</v>
      </c>
      <c r="F122" s="156">
        <f t="shared" si="5"/>
        <v>1146</v>
      </c>
      <c r="G122" s="184">
        <v>24186</v>
      </c>
      <c r="H122" s="156">
        <v>594</v>
      </c>
      <c r="I122" s="156">
        <v>9200</v>
      </c>
      <c r="J122" s="4">
        <v>372108</v>
      </c>
      <c r="K122" s="7">
        <v>966</v>
      </c>
      <c r="L122" s="7">
        <v>240610</v>
      </c>
      <c r="M122" s="4">
        <v>246576</v>
      </c>
      <c r="N122" s="11">
        <v>1066</v>
      </c>
      <c r="O122" s="11">
        <v>24124</v>
      </c>
      <c r="P122" s="11">
        <v>30493</v>
      </c>
      <c r="Q122" s="12">
        <f t="shared" si="11"/>
        <v>11514</v>
      </c>
      <c r="R122" s="20">
        <f t="shared" si="6"/>
        <v>1146</v>
      </c>
      <c r="S122" s="43">
        <f t="shared" si="7"/>
        <v>1.4258281325012001E-2</v>
      </c>
      <c r="T122" s="35">
        <f t="shared" si="8"/>
        <v>2.0105064214176228E-2</v>
      </c>
      <c r="U122" s="87"/>
      <c r="V122" s="261"/>
    </row>
    <row r="123" spans="1:22" x14ac:dyDescent="0.25">
      <c r="A123" s="2">
        <v>44014</v>
      </c>
      <c r="B123" s="159">
        <v>2744</v>
      </c>
      <c r="C123" s="156">
        <f>C122+B123</f>
        <v>69941</v>
      </c>
      <c r="D123" s="156">
        <v>34</v>
      </c>
      <c r="E123" s="156">
        <f>D123+E122</f>
        <v>1385</v>
      </c>
      <c r="F123" s="156">
        <f t="shared" si="5"/>
        <v>1038</v>
      </c>
      <c r="G123" s="184">
        <v>25224</v>
      </c>
      <c r="H123" s="156">
        <v>620</v>
      </c>
      <c r="I123" s="156">
        <v>9323</v>
      </c>
      <c r="J123" s="4">
        <v>381431</v>
      </c>
      <c r="K123" s="7">
        <f>M123-L123</f>
        <v>737.55600000001141</v>
      </c>
      <c r="L123" s="7">
        <f>M123*0.997</f>
        <v>245114.44399999999</v>
      </c>
      <c r="M123" s="4">
        <v>245852</v>
      </c>
      <c r="N123" s="4">
        <v>1067</v>
      </c>
      <c r="O123" s="4">
        <v>24969</v>
      </c>
      <c r="P123" s="4">
        <v>32144</v>
      </c>
      <c r="Q123" s="12">
        <f t="shared" si="11"/>
        <v>11761</v>
      </c>
      <c r="R123" s="20">
        <f t="shared" si="6"/>
        <v>1038</v>
      </c>
      <c r="S123" s="43">
        <f t="shared" si="7"/>
        <v>1.4308132557924859E-2</v>
      </c>
      <c r="T123" s="35">
        <f t="shared" si="8"/>
        <v>1.9802404884116612E-2</v>
      </c>
      <c r="U123" s="87"/>
      <c r="V123" s="261"/>
    </row>
    <row r="124" spans="1:22" ht="16.5" customHeight="1" x14ac:dyDescent="0.25">
      <c r="A124" s="2">
        <v>44015</v>
      </c>
      <c r="B124" s="157">
        <v>2845</v>
      </c>
      <c r="C124" s="154">
        <f>C123+B124</f>
        <v>72786</v>
      </c>
      <c r="D124" s="154">
        <v>52</v>
      </c>
      <c r="E124" s="154">
        <f>E123+D124</f>
        <v>1437</v>
      </c>
      <c r="F124" s="156">
        <f t="shared" si="5"/>
        <v>706</v>
      </c>
      <c r="G124" s="184">
        <v>25930</v>
      </c>
      <c r="H124" s="154">
        <v>637</v>
      </c>
      <c r="I124" s="156">
        <v>8951</v>
      </c>
      <c r="J124" s="4">
        <v>390382</v>
      </c>
      <c r="K124" s="7">
        <v>751</v>
      </c>
      <c r="L124" s="7">
        <v>249794</v>
      </c>
      <c r="M124" s="4">
        <f>L124+K124</f>
        <v>250545</v>
      </c>
      <c r="N124" s="11">
        <v>1068</v>
      </c>
      <c r="O124" s="11">
        <v>25848</v>
      </c>
      <c r="P124" s="11">
        <v>33867</v>
      </c>
      <c r="Q124" s="12">
        <f t="shared" si="11"/>
        <v>12003</v>
      </c>
      <c r="R124" s="20">
        <f t="shared" si="6"/>
        <v>706</v>
      </c>
      <c r="S124" s="43">
        <f t="shared" si="7"/>
        <v>1.4024967524604241E-2</v>
      </c>
      <c r="T124" s="35">
        <f t="shared" si="8"/>
        <v>1.9742807682796144E-2</v>
      </c>
      <c r="U124" s="87"/>
      <c r="V124" s="261"/>
    </row>
    <row r="125" spans="1:22" x14ac:dyDescent="0.25">
      <c r="A125" s="2">
        <v>44016</v>
      </c>
      <c r="B125" s="157">
        <v>2590</v>
      </c>
      <c r="C125" s="154">
        <f>C124+B125</f>
        <v>75376</v>
      </c>
      <c r="D125" s="154">
        <v>44</v>
      </c>
      <c r="E125" s="154">
        <f>E124+D125</f>
        <v>1481</v>
      </c>
      <c r="F125" s="156">
        <f t="shared" si="5"/>
        <v>1667</v>
      </c>
      <c r="G125" s="184">
        <v>27597</v>
      </c>
      <c r="H125" s="154">
        <v>658</v>
      </c>
      <c r="I125" s="156">
        <v>9072</v>
      </c>
      <c r="J125" s="4">
        <v>399454</v>
      </c>
      <c r="K125" s="7">
        <v>765</v>
      </c>
      <c r="L125" s="7">
        <v>254498</v>
      </c>
      <c r="M125" s="4">
        <v>255263</v>
      </c>
      <c r="N125" s="4">
        <v>1069</v>
      </c>
      <c r="O125" s="4">
        <v>26548</v>
      </c>
      <c r="P125" s="4">
        <v>35186</v>
      </c>
      <c r="Q125" s="12">
        <f>C125-P125-O125-N125</f>
        <v>12573</v>
      </c>
      <c r="R125" s="20">
        <f t="shared" si="6"/>
        <v>1667</v>
      </c>
      <c r="S125" s="43">
        <f t="shared" si="7"/>
        <v>1.4212276988206833E-2</v>
      </c>
      <c r="T125" s="35">
        <f t="shared" si="8"/>
        <v>1.9648163871789429E-2</v>
      </c>
      <c r="U125" s="87"/>
      <c r="V125" s="261"/>
    </row>
    <row r="126" spans="1:22" x14ac:dyDescent="0.25">
      <c r="A126" s="2">
        <v>44017</v>
      </c>
      <c r="B126" s="159">
        <v>2439</v>
      </c>
      <c r="C126" s="156">
        <v>77815</v>
      </c>
      <c r="D126" s="156">
        <v>26</v>
      </c>
      <c r="E126" s="156">
        <f>E125+D126</f>
        <v>1507</v>
      </c>
      <c r="F126" s="156">
        <f t="shared" si="5"/>
        <v>934</v>
      </c>
      <c r="G126" s="184">
        <v>28531</v>
      </c>
      <c r="H126" s="154">
        <v>676</v>
      </c>
      <c r="I126" s="156">
        <v>6756</v>
      </c>
      <c r="J126" s="4">
        <v>406210</v>
      </c>
      <c r="K126" s="7">
        <v>776</v>
      </c>
      <c r="L126" s="7">
        <v>258025</v>
      </c>
      <c r="M126" s="4">
        <v>258801</v>
      </c>
      <c r="N126" s="11">
        <v>1072</v>
      </c>
      <c r="O126" s="11">
        <v>27239</v>
      </c>
      <c r="P126" s="11">
        <v>36235</v>
      </c>
      <c r="Q126" s="4">
        <f>77815-P126-O126-N126</f>
        <v>13269</v>
      </c>
      <c r="R126" s="20">
        <f t="shared" si="6"/>
        <v>934</v>
      </c>
      <c r="S126" s="43">
        <f t="shared" si="7"/>
        <v>1.4149067542960001E-2</v>
      </c>
      <c r="T126" s="35">
        <f t="shared" si="8"/>
        <v>1.9366446057957978E-2</v>
      </c>
      <c r="U126" s="87"/>
      <c r="V126" s="261"/>
    </row>
    <row r="127" spans="1:22" x14ac:dyDescent="0.25">
      <c r="A127" s="44">
        <v>44018</v>
      </c>
      <c r="B127" s="156">
        <v>2632</v>
      </c>
      <c r="C127" s="156">
        <v>80447</v>
      </c>
      <c r="D127" s="156">
        <v>75</v>
      </c>
      <c r="E127" s="156">
        <v>1582</v>
      </c>
      <c r="F127" s="156">
        <f t="shared" si="5"/>
        <v>1564</v>
      </c>
      <c r="G127" s="184">
        <v>30095</v>
      </c>
      <c r="H127" s="154">
        <v>688</v>
      </c>
      <c r="I127" s="156">
        <v>8487</v>
      </c>
      <c r="J127" s="13">
        <v>414697</v>
      </c>
      <c r="K127" s="7">
        <v>789</v>
      </c>
      <c r="L127" s="7">
        <f>M127-K127</f>
        <v>262367</v>
      </c>
      <c r="M127" s="4">
        <v>263156</v>
      </c>
      <c r="N127" s="4">
        <v>1073</v>
      </c>
      <c r="O127" s="4">
        <v>27991</v>
      </c>
      <c r="P127" s="4">
        <v>38006</v>
      </c>
      <c r="Q127" s="4">
        <f>80447-P127-O127-N127</f>
        <v>13377</v>
      </c>
      <c r="R127" s="20">
        <f t="shared" si="6"/>
        <v>1564</v>
      </c>
      <c r="S127" s="43">
        <f t="shared" si="7"/>
        <v>1.41070330120976E-2</v>
      </c>
      <c r="T127" s="35">
        <f t="shared" si="8"/>
        <v>1.966512113565453E-2</v>
      </c>
      <c r="U127" s="87"/>
      <c r="V127" s="261"/>
    </row>
    <row r="128" spans="1:22" x14ac:dyDescent="0.25">
      <c r="A128" s="2">
        <v>44019</v>
      </c>
      <c r="B128" s="156">
        <v>2979</v>
      </c>
      <c r="C128" s="156">
        <v>83426</v>
      </c>
      <c r="D128" s="156">
        <v>62</v>
      </c>
      <c r="E128" s="159">
        <v>1644</v>
      </c>
      <c r="F128" s="156">
        <f t="shared" si="5"/>
        <v>6407</v>
      </c>
      <c r="G128" s="184">
        <v>36502</v>
      </c>
      <c r="H128" s="156">
        <v>646</v>
      </c>
      <c r="I128" s="156">
        <v>9805</v>
      </c>
      <c r="J128" s="13">
        <v>423782</v>
      </c>
      <c r="K128" s="7">
        <v>803</v>
      </c>
      <c r="L128" s="7">
        <v>266938</v>
      </c>
      <c r="M128" s="4">
        <v>267741</v>
      </c>
      <c r="N128" s="11">
        <v>1074</v>
      </c>
      <c r="O128" s="11">
        <v>28792</v>
      </c>
      <c r="P128" s="11">
        <v>39718</v>
      </c>
      <c r="Q128" s="4">
        <f>83426-P128-O128-N128</f>
        <v>13842</v>
      </c>
      <c r="R128" s="20">
        <f t="shared" si="6"/>
        <v>6407</v>
      </c>
      <c r="S128" s="43">
        <f t="shared" si="7"/>
        <v>1.4266784452296819E-2</v>
      </c>
      <c r="T128" s="35">
        <f t="shared" si="8"/>
        <v>1.9706086831443436E-2</v>
      </c>
      <c r="U128" s="87"/>
      <c r="V128" s="261"/>
    </row>
    <row r="129" spans="1:22" x14ac:dyDescent="0.25">
      <c r="A129" s="2">
        <v>44020</v>
      </c>
      <c r="B129" s="156">
        <v>3604</v>
      </c>
      <c r="C129" s="159">
        <v>87030</v>
      </c>
      <c r="D129" s="156">
        <v>51</v>
      </c>
      <c r="E129" s="174">
        <v>1695</v>
      </c>
      <c r="F129" s="156">
        <f t="shared" si="5"/>
        <v>1811</v>
      </c>
      <c r="G129" s="184">
        <v>38313</v>
      </c>
      <c r="H129" s="156">
        <v>671</v>
      </c>
      <c r="I129" s="156">
        <v>10910</v>
      </c>
      <c r="J129" s="13">
        <v>434692</v>
      </c>
      <c r="K129" s="7">
        <v>819</v>
      </c>
      <c r="L129" s="7">
        <v>272349</v>
      </c>
      <c r="M129" s="4">
        <v>273168</v>
      </c>
      <c r="N129" s="11">
        <v>1074</v>
      </c>
      <c r="O129" s="11">
        <v>29747</v>
      </c>
      <c r="P129" s="11">
        <v>41495</v>
      </c>
      <c r="Q129" s="4">
        <f>87030-P129-O129-N129</f>
        <v>14714</v>
      </c>
      <c r="R129" s="20">
        <f t="shared" si="6"/>
        <v>1811</v>
      </c>
      <c r="S129" s="43">
        <f t="shared" si="7"/>
        <v>1.4269916209433882E-2</v>
      </c>
      <c r="T129" s="35">
        <f t="shared" si="8"/>
        <v>1.9476042743881421E-2</v>
      </c>
      <c r="U129" s="87"/>
      <c r="V129" s="261"/>
    </row>
    <row r="130" spans="1:22" x14ac:dyDescent="0.25">
      <c r="A130" s="2">
        <v>44021</v>
      </c>
      <c r="B130" s="159">
        <v>3663</v>
      </c>
      <c r="C130" s="159">
        <v>90693</v>
      </c>
      <c r="D130" s="156">
        <v>26</v>
      </c>
      <c r="E130" s="159">
        <v>1721</v>
      </c>
      <c r="F130" s="156">
        <f t="shared" si="5"/>
        <v>671</v>
      </c>
      <c r="G130" s="184">
        <v>38984</v>
      </c>
      <c r="H130" s="156">
        <v>662</v>
      </c>
      <c r="I130" s="156">
        <v>11041</v>
      </c>
      <c r="J130" s="13">
        <v>445733</v>
      </c>
      <c r="K130" s="7">
        <v>836</v>
      </c>
      <c r="L130" s="7">
        <v>277811</v>
      </c>
      <c r="M130" s="4">
        <v>278647</v>
      </c>
      <c r="N130" s="11">
        <v>1076</v>
      </c>
      <c r="O130" s="11">
        <v>30597</v>
      </c>
      <c r="P130" s="11">
        <v>43374</v>
      </c>
      <c r="Q130" s="4">
        <f>90693-P130-O130-N130</f>
        <v>15646</v>
      </c>
      <c r="R130" s="20">
        <f t="shared" si="6"/>
        <v>671</v>
      </c>
      <c r="S130" s="43">
        <f t="shared" si="7"/>
        <v>1.3243178362807074E-2</v>
      </c>
      <c r="T130" s="35">
        <f t="shared" si="8"/>
        <v>1.8976106204447972E-2</v>
      </c>
      <c r="U130" s="87"/>
      <c r="V130" s="261"/>
    </row>
    <row r="131" spans="1:22" x14ac:dyDescent="0.25">
      <c r="A131" s="2">
        <v>44022</v>
      </c>
      <c r="B131" s="159">
        <v>3367</v>
      </c>
      <c r="C131" s="156">
        <v>94060</v>
      </c>
      <c r="D131" s="156">
        <v>54</v>
      </c>
      <c r="E131" s="159">
        <v>1775</v>
      </c>
      <c r="F131" s="156">
        <f t="shared" ref="F131:F194" si="12">G131-G130</f>
        <v>2424</v>
      </c>
      <c r="G131" s="184">
        <v>41408</v>
      </c>
      <c r="H131" s="156">
        <v>686</v>
      </c>
      <c r="I131" s="156">
        <v>10309</v>
      </c>
      <c r="J131" s="13">
        <v>456042</v>
      </c>
      <c r="K131" s="7">
        <v>851</v>
      </c>
      <c r="L131" s="7">
        <v>283021</v>
      </c>
      <c r="M131" s="4">
        <f>L131+K131</f>
        <v>283872</v>
      </c>
      <c r="N131" s="4">
        <v>1078</v>
      </c>
      <c r="O131" s="4">
        <v>31739</v>
      </c>
      <c r="P131" s="4">
        <v>45328</v>
      </c>
      <c r="Q131" s="4">
        <v>15915</v>
      </c>
      <c r="R131" s="20">
        <f t="shared" si="6"/>
        <v>2424</v>
      </c>
      <c r="S131" s="43">
        <f t="shared" si="7"/>
        <v>1.3483499420170214E-2</v>
      </c>
      <c r="T131" s="35">
        <f t="shared" si="8"/>
        <v>1.8870933446736127E-2</v>
      </c>
      <c r="U131" s="87"/>
      <c r="V131" s="261"/>
    </row>
    <row r="132" spans="1:22" x14ac:dyDescent="0.25">
      <c r="A132" s="2">
        <v>44023</v>
      </c>
      <c r="B132" s="159">
        <v>3449</v>
      </c>
      <c r="C132" s="159">
        <v>97509</v>
      </c>
      <c r="D132" s="156">
        <v>36</v>
      </c>
      <c r="E132" s="159">
        <v>1811</v>
      </c>
      <c r="F132" s="156">
        <f t="shared" si="12"/>
        <v>1286</v>
      </c>
      <c r="G132" s="184">
        <v>42694</v>
      </c>
      <c r="H132" s="156">
        <v>701</v>
      </c>
      <c r="I132" s="156">
        <v>10266</v>
      </c>
      <c r="J132" s="4">
        <v>466308</v>
      </c>
      <c r="K132" s="7">
        <v>867</v>
      </c>
      <c r="L132" s="7">
        <v>288165</v>
      </c>
      <c r="M132" s="4">
        <f>L132+K132</f>
        <v>289032</v>
      </c>
      <c r="N132" s="11">
        <v>1080</v>
      </c>
      <c r="O132" s="11">
        <v>32616</v>
      </c>
      <c r="P132" s="11">
        <v>46824</v>
      </c>
      <c r="Q132" s="11">
        <v>16989</v>
      </c>
      <c r="R132" s="20">
        <f t="shared" si="6"/>
        <v>1286</v>
      </c>
      <c r="S132" s="43">
        <f t="shared" si="7"/>
        <v>1.3225416949664176E-2</v>
      </c>
      <c r="T132" s="35">
        <f t="shared" si="8"/>
        <v>1.8572644576398074E-2</v>
      </c>
      <c r="U132" s="87"/>
      <c r="V132" s="261"/>
    </row>
    <row r="133" spans="1:22" x14ac:dyDescent="0.25">
      <c r="A133" s="2">
        <v>44024</v>
      </c>
      <c r="B133" s="159">
        <v>2657</v>
      </c>
      <c r="C133" s="159">
        <v>100166</v>
      </c>
      <c r="D133" s="159">
        <v>34</v>
      </c>
      <c r="E133" s="159">
        <v>1845</v>
      </c>
      <c r="F133" s="156">
        <f t="shared" si="12"/>
        <v>1479</v>
      </c>
      <c r="G133" s="184">
        <v>44173</v>
      </c>
      <c r="H133" s="156">
        <v>735</v>
      </c>
      <c r="I133" s="156">
        <v>8114</v>
      </c>
      <c r="J133" s="4">
        <v>474422</v>
      </c>
      <c r="K133" s="7">
        <v>879</v>
      </c>
      <c r="L133" s="7">
        <v>292418</v>
      </c>
      <c r="M133" s="4">
        <f>L133+K133</f>
        <v>293297</v>
      </c>
      <c r="N133" s="11">
        <v>1081</v>
      </c>
      <c r="O133" s="11">
        <v>33376</v>
      </c>
      <c r="P133" s="11">
        <v>48213</v>
      </c>
      <c r="Q133" s="4">
        <f>100166-P133-O133-N133</f>
        <v>17496</v>
      </c>
      <c r="R133" s="20">
        <f t="shared" si="6"/>
        <v>1479</v>
      </c>
      <c r="S133" s="43">
        <f t="shared" si="7"/>
        <v>1.3573908546945408E-2</v>
      </c>
      <c r="T133" s="35">
        <f t="shared" si="8"/>
        <v>1.8419423756564104E-2</v>
      </c>
      <c r="U133" s="87"/>
      <c r="V133" s="261"/>
    </row>
    <row r="134" spans="1:22" x14ac:dyDescent="0.25">
      <c r="A134" s="44">
        <v>44025</v>
      </c>
      <c r="B134" s="156">
        <v>3099</v>
      </c>
      <c r="C134" s="156">
        <v>103265</v>
      </c>
      <c r="D134" s="156">
        <v>58</v>
      </c>
      <c r="E134" s="156">
        <v>1903</v>
      </c>
      <c r="F134" s="156">
        <f t="shared" si="12"/>
        <v>1294</v>
      </c>
      <c r="G134" s="184">
        <v>45467</v>
      </c>
      <c r="H134" s="156">
        <v>752</v>
      </c>
      <c r="I134" s="156">
        <v>9377</v>
      </c>
      <c r="J134" s="4">
        <v>483799</v>
      </c>
      <c r="K134" s="7">
        <v>894</v>
      </c>
      <c r="L134" s="7">
        <f>M134-K134</f>
        <v>297192</v>
      </c>
      <c r="M134" s="4">
        <v>298086</v>
      </c>
      <c r="N134" s="4">
        <v>1082</v>
      </c>
      <c r="O134" s="4">
        <v>34293</v>
      </c>
      <c r="P134" s="4">
        <v>50637</v>
      </c>
      <c r="Q134" s="4">
        <f>103265-P134-O134-N134</f>
        <v>17253</v>
      </c>
      <c r="R134" s="20">
        <f t="shared" ref="R134:R157" si="13">G134-G133</f>
        <v>1294</v>
      </c>
      <c r="S134" s="43">
        <f t="shared" si="7"/>
        <v>1.3453797298506128E-2</v>
      </c>
      <c r="T134" s="35">
        <f t="shared" si="8"/>
        <v>1.8428315498958989E-2</v>
      </c>
      <c r="U134" s="87"/>
      <c r="V134" s="261"/>
    </row>
    <row r="135" spans="1:22" x14ac:dyDescent="0.25">
      <c r="A135" s="2">
        <v>44026</v>
      </c>
      <c r="B135" s="156">
        <v>3645</v>
      </c>
      <c r="C135" s="159">
        <v>106910</v>
      </c>
      <c r="D135" s="156">
        <v>65</v>
      </c>
      <c r="E135" s="156">
        <v>1968</v>
      </c>
      <c r="F135" s="156">
        <f t="shared" si="12"/>
        <v>1831</v>
      </c>
      <c r="G135" s="184">
        <v>47298</v>
      </c>
      <c r="H135" s="156">
        <v>772</v>
      </c>
      <c r="I135" s="156">
        <v>11266</v>
      </c>
      <c r="J135" s="4">
        <v>495065</v>
      </c>
      <c r="K135" s="7">
        <v>912</v>
      </c>
      <c r="L135" s="7">
        <f>M135-K135</f>
        <v>303075</v>
      </c>
      <c r="M135" s="4">
        <v>303987</v>
      </c>
      <c r="N135" s="4">
        <v>1083</v>
      </c>
      <c r="O135" s="4">
        <v>35260</v>
      </c>
      <c r="P135" s="4">
        <v>53247</v>
      </c>
      <c r="Q135" s="4">
        <f>106910-P135-O135-N135</f>
        <v>17320</v>
      </c>
      <c r="R135" s="20">
        <f t="shared" si="13"/>
        <v>1831</v>
      </c>
      <c r="S135" s="43">
        <f t="shared" si="7"/>
        <v>1.3392547359655818E-2</v>
      </c>
      <c r="T135" s="35">
        <f t="shared" si="8"/>
        <v>1.840800673463661E-2</v>
      </c>
      <c r="U135" s="87"/>
      <c r="V135" s="261"/>
    </row>
    <row r="136" spans="1:22" x14ac:dyDescent="0.25">
      <c r="A136" s="2">
        <v>44027</v>
      </c>
      <c r="B136" s="159">
        <v>4250</v>
      </c>
      <c r="C136" s="156">
        <f>C135+B136</f>
        <v>111160</v>
      </c>
      <c r="D136" s="156">
        <v>82</v>
      </c>
      <c r="E136" s="156">
        <v>2050</v>
      </c>
      <c r="F136" s="156">
        <f t="shared" si="12"/>
        <v>1822</v>
      </c>
      <c r="G136" s="184">
        <v>49120</v>
      </c>
      <c r="H136" s="156">
        <v>783</v>
      </c>
      <c r="I136" s="156">
        <v>13163</v>
      </c>
      <c r="J136" s="4">
        <v>508228</v>
      </c>
      <c r="K136" s="7">
        <v>932</v>
      </c>
      <c r="L136" s="7">
        <f>M136-K136</f>
        <v>308815</v>
      </c>
      <c r="M136" s="4">
        <v>309747</v>
      </c>
      <c r="N136" s="4">
        <v>1085</v>
      </c>
      <c r="O136" s="4">
        <v>36398</v>
      </c>
      <c r="P136" s="4">
        <v>55836</v>
      </c>
      <c r="Q136" s="4">
        <v>17841</v>
      </c>
      <c r="R136" s="20">
        <f t="shared" si="13"/>
        <v>1822</v>
      </c>
      <c r="S136" s="43">
        <f t="shared" si="7"/>
        <v>1.3052175362560427E-2</v>
      </c>
      <c r="T136" s="35">
        <f t="shared" si="8"/>
        <v>1.8441885570349047E-2</v>
      </c>
      <c r="U136" s="87"/>
      <c r="V136" s="261"/>
    </row>
    <row r="137" spans="1:22" s="23" customFormat="1" x14ac:dyDescent="0.25">
      <c r="A137" s="2">
        <v>44028</v>
      </c>
      <c r="B137" s="156">
        <v>3624</v>
      </c>
      <c r="C137" s="157">
        <v>114783</v>
      </c>
      <c r="D137" s="156">
        <v>62</v>
      </c>
      <c r="E137" s="156">
        <v>2112</v>
      </c>
      <c r="F137" s="156">
        <f t="shared" si="12"/>
        <v>660</v>
      </c>
      <c r="G137" s="184">
        <v>49780</v>
      </c>
      <c r="H137" s="156">
        <v>793</v>
      </c>
      <c r="I137" s="156">
        <v>11053</v>
      </c>
      <c r="J137" s="7">
        <v>519281</v>
      </c>
      <c r="K137" s="7">
        <f>M137-L137</f>
        <v>949.03800000000047</v>
      </c>
      <c r="L137" s="7">
        <f>M137*0.997</f>
        <v>315396.962</v>
      </c>
      <c r="M137" s="7">
        <v>316346</v>
      </c>
      <c r="N137" s="7">
        <v>1086</v>
      </c>
      <c r="O137" s="7">
        <v>37225</v>
      </c>
      <c r="P137" s="7">
        <v>57961</v>
      </c>
      <c r="Q137" s="7">
        <f>114783-P137-O137-N137</f>
        <v>18511</v>
      </c>
      <c r="R137" s="20">
        <f t="shared" si="13"/>
        <v>660</v>
      </c>
      <c r="S137" s="43">
        <f t="shared" si="7"/>
        <v>1.2609117361784675E-2</v>
      </c>
      <c r="T137" s="35">
        <f t="shared" si="8"/>
        <v>1.8399937272941116E-2</v>
      </c>
      <c r="U137" s="87"/>
      <c r="V137" s="261"/>
    </row>
    <row r="138" spans="1:22" x14ac:dyDescent="0.25">
      <c r="A138" s="2">
        <v>44029</v>
      </c>
      <c r="B138" s="159">
        <v>4518</v>
      </c>
      <c r="C138" s="156">
        <f>C137+B138</f>
        <v>119301</v>
      </c>
      <c r="D138" s="156">
        <v>66</v>
      </c>
      <c r="E138" s="156">
        <v>2178</v>
      </c>
      <c r="F138" s="156">
        <f t="shared" si="12"/>
        <v>0</v>
      </c>
      <c r="G138" s="184">
        <v>49780</v>
      </c>
      <c r="H138" s="156">
        <v>823</v>
      </c>
      <c r="I138" s="156">
        <v>12472</v>
      </c>
      <c r="J138" s="7">
        <v>531753</v>
      </c>
      <c r="K138" s="7">
        <v>967</v>
      </c>
      <c r="L138" s="7">
        <v>321616</v>
      </c>
      <c r="M138" s="7">
        <v>322583</v>
      </c>
      <c r="N138" s="7">
        <v>1093</v>
      </c>
      <c r="O138" s="7">
        <v>38304</v>
      </c>
      <c r="P138" s="7">
        <v>60041</v>
      </c>
      <c r="Q138" s="4">
        <f>119301-P138-O138-N138</f>
        <v>19863</v>
      </c>
      <c r="R138" s="20">
        <f t="shared" si="13"/>
        <v>0</v>
      </c>
      <c r="S138" s="43">
        <f t="shared" si="7"/>
        <v>1.2221017774675913E-2</v>
      </c>
      <c r="T138" s="35">
        <f t="shared" si="8"/>
        <v>1.825634319913496E-2</v>
      </c>
      <c r="U138" s="87"/>
      <c r="V138" s="261"/>
    </row>
    <row r="139" spans="1:22" x14ac:dyDescent="0.25">
      <c r="A139" s="2">
        <v>44030</v>
      </c>
      <c r="B139" s="156">
        <f>3223+82</f>
        <v>3305</v>
      </c>
      <c r="C139" s="156">
        <f>C138+B139</f>
        <v>122606</v>
      </c>
      <c r="D139" s="156">
        <v>42</v>
      </c>
      <c r="E139" s="156">
        <v>2220</v>
      </c>
      <c r="F139" s="156">
        <f t="shared" si="12"/>
        <v>2827</v>
      </c>
      <c r="G139" s="184">
        <v>52607</v>
      </c>
      <c r="H139" s="156">
        <v>824</v>
      </c>
      <c r="I139" s="257">
        <v>9485</v>
      </c>
      <c r="J139" s="7">
        <v>541238</v>
      </c>
      <c r="K139" s="7">
        <v>980</v>
      </c>
      <c r="L139" s="7">
        <f>M139-K139</f>
        <v>325386</v>
      </c>
      <c r="M139" s="7">
        <v>326366</v>
      </c>
      <c r="N139" s="7">
        <v>1093</v>
      </c>
      <c r="O139" s="7">
        <v>39113</v>
      </c>
      <c r="P139" s="7">
        <v>62057</v>
      </c>
      <c r="Q139" s="7">
        <v>20261</v>
      </c>
      <c r="R139" s="20">
        <f t="shared" si="13"/>
        <v>2827</v>
      </c>
      <c r="S139" s="43">
        <f t="shared" si="7"/>
        <v>1.2157157821744199E-2</v>
      </c>
      <c r="T139" s="35">
        <f t="shared" si="8"/>
        <v>1.8106781071073195E-2</v>
      </c>
      <c r="U139" s="87"/>
      <c r="V139" s="261"/>
    </row>
    <row r="140" spans="1:22" x14ac:dyDescent="0.25">
      <c r="A140" s="2">
        <v>44031</v>
      </c>
      <c r="B140" s="156">
        <v>4231</v>
      </c>
      <c r="C140" s="156">
        <f>C139+B140</f>
        <v>126837</v>
      </c>
      <c r="D140" s="156">
        <v>40</v>
      </c>
      <c r="E140" s="156">
        <v>2260</v>
      </c>
      <c r="F140" s="156">
        <f t="shared" si="12"/>
        <v>3306</v>
      </c>
      <c r="G140" s="184">
        <v>55913</v>
      </c>
      <c r="H140" s="156">
        <v>842</v>
      </c>
      <c r="I140" s="257">
        <v>11068</v>
      </c>
      <c r="J140" s="4">
        <v>552306</v>
      </c>
      <c r="K140" s="7">
        <v>997</v>
      </c>
      <c r="L140" s="7">
        <v>331436</v>
      </c>
      <c r="M140" s="4">
        <v>332433</v>
      </c>
      <c r="N140" s="4">
        <v>1095</v>
      </c>
      <c r="O140" s="4">
        <v>40138</v>
      </c>
      <c r="P140" s="4">
        <v>63648</v>
      </c>
      <c r="Q140" s="4">
        <f>126755-P140-O140-N140</f>
        <v>21874</v>
      </c>
      <c r="R140" s="20">
        <f t="shared" si="13"/>
        <v>3306</v>
      </c>
      <c r="S140" s="43">
        <f t="shared" si="7"/>
        <v>1.2262612140277292E-2</v>
      </c>
      <c r="T140" s="35">
        <f t="shared" si="8"/>
        <v>1.7818144547726608E-2</v>
      </c>
      <c r="U140" s="87"/>
      <c r="V140" s="261"/>
    </row>
    <row r="141" spans="1:22" x14ac:dyDescent="0.25">
      <c r="A141" s="44">
        <v>44032</v>
      </c>
      <c r="B141" s="156">
        <v>3937</v>
      </c>
      <c r="C141" s="156">
        <v>130774</v>
      </c>
      <c r="D141" s="156">
        <v>113</v>
      </c>
      <c r="E141" s="156">
        <f t="shared" ref="E141:E146" si="14">E140+D141</f>
        <v>2373</v>
      </c>
      <c r="F141" s="156">
        <f t="shared" si="12"/>
        <v>2685</v>
      </c>
      <c r="G141" s="184">
        <v>58598</v>
      </c>
      <c r="H141" s="156">
        <v>853</v>
      </c>
      <c r="I141" s="156">
        <v>11207</v>
      </c>
      <c r="J141" s="4">
        <v>563513</v>
      </c>
      <c r="K141" s="7">
        <v>1014</v>
      </c>
      <c r="L141" s="7">
        <v>337237</v>
      </c>
      <c r="M141" s="4">
        <v>338251</v>
      </c>
      <c r="N141" s="4">
        <v>1095</v>
      </c>
      <c r="O141" s="4">
        <v>41086</v>
      </c>
      <c r="P141" s="4">
        <v>66293</v>
      </c>
      <c r="Q141" s="4">
        <f>130744-P141-N141-O141</f>
        <v>22270</v>
      </c>
      <c r="R141" s="20">
        <f t="shared" si="13"/>
        <v>2685</v>
      </c>
      <c r="S141" s="43">
        <f t="shared" si="7"/>
        <v>1.2220105153073649E-2</v>
      </c>
      <c r="T141" s="35">
        <f t="shared" si="8"/>
        <v>1.8145808799914356E-2</v>
      </c>
      <c r="U141" s="87"/>
      <c r="V141" s="261"/>
    </row>
    <row r="142" spans="1:22" x14ac:dyDescent="0.25">
      <c r="A142" s="2">
        <v>44033</v>
      </c>
      <c r="B142" s="156">
        <v>5344</v>
      </c>
      <c r="C142" s="156">
        <f t="shared" ref="C142:C154" si="15">C141+B142</f>
        <v>136118</v>
      </c>
      <c r="D142" s="156">
        <v>117</v>
      </c>
      <c r="E142" s="156">
        <f t="shared" si="14"/>
        <v>2490</v>
      </c>
      <c r="F142" s="156">
        <f t="shared" si="12"/>
        <v>1933</v>
      </c>
      <c r="G142" s="184">
        <v>60531</v>
      </c>
      <c r="H142" s="156">
        <v>890</v>
      </c>
      <c r="I142" s="156">
        <v>14689</v>
      </c>
      <c r="J142" s="4">
        <v>578202</v>
      </c>
      <c r="K142" s="7">
        <v>1037</v>
      </c>
      <c r="L142" s="7">
        <v>344681</v>
      </c>
      <c r="M142" s="4">
        <v>345718</v>
      </c>
      <c r="N142" s="4">
        <v>1096</v>
      </c>
      <c r="O142" s="4">
        <v>42253</v>
      </c>
      <c r="P142" s="4">
        <v>69442</v>
      </c>
      <c r="Q142" s="4">
        <v>23327</v>
      </c>
      <c r="R142" s="20">
        <f t="shared" si="13"/>
        <v>1933</v>
      </c>
      <c r="S142" s="43">
        <f t="shared" ref="S142:S147" si="16">H142/(C142-E142-G142)</f>
        <v>1.2175602281899393E-2</v>
      </c>
      <c r="T142" s="35">
        <f t="shared" si="8"/>
        <v>1.8292951703668875E-2</v>
      </c>
      <c r="U142" s="87"/>
      <c r="V142" s="261"/>
    </row>
    <row r="143" spans="1:22" x14ac:dyDescent="0.25">
      <c r="A143" s="2">
        <v>44034</v>
      </c>
      <c r="B143" s="156">
        <v>5782</v>
      </c>
      <c r="C143" s="156">
        <f t="shared" si="15"/>
        <v>141900</v>
      </c>
      <c r="D143" s="156">
        <v>98</v>
      </c>
      <c r="E143" s="156">
        <f t="shared" si="14"/>
        <v>2588</v>
      </c>
      <c r="F143" s="156">
        <f t="shared" si="12"/>
        <v>2284</v>
      </c>
      <c r="G143" s="184">
        <v>62815</v>
      </c>
      <c r="H143" s="156">
        <v>902</v>
      </c>
      <c r="I143" s="156">
        <v>14842</v>
      </c>
      <c r="J143" s="4">
        <f>J142+I143</f>
        <v>593044</v>
      </c>
      <c r="K143" s="7">
        <v>1058</v>
      </c>
      <c r="L143" s="7">
        <v>351858</v>
      </c>
      <c r="M143" s="4">
        <v>352916</v>
      </c>
      <c r="N143" s="4">
        <v>1096</v>
      </c>
      <c r="O143" s="4">
        <v>43748</v>
      </c>
      <c r="P143" s="4">
        <v>72527</v>
      </c>
      <c r="Q143" s="4">
        <f>141900-P143-O143-N143</f>
        <v>24529</v>
      </c>
      <c r="R143" s="20">
        <f t="shared" si="13"/>
        <v>2284</v>
      </c>
      <c r="S143" s="43">
        <f t="shared" si="16"/>
        <v>1.1791312077597814E-2</v>
      </c>
      <c r="T143" s="35">
        <f t="shared" ref="T143:T196" si="17">E143/C143</f>
        <v>1.8238195912614517E-2</v>
      </c>
      <c r="U143" s="87"/>
      <c r="V143" s="261"/>
    </row>
    <row r="144" spans="1:22" x14ac:dyDescent="0.25">
      <c r="A144" s="2">
        <v>44035</v>
      </c>
      <c r="B144" s="160">
        <v>6127</v>
      </c>
      <c r="C144" s="156">
        <f t="shared" si="15"/>
        <v>148027</v>
      </c>
      <c r="D144" s="156">
        <f>29+85</f>
        <v>114</v>
      </c>
      <c r="E144" s="156">
        <f t="shared" si="14"/>
        <v>2702</v>
      </c>
      <c r="F144" s="156">
        <f t="shared" si="12"/>
        <v>2632</v>
      </c>
      <c r="G144" s="184">
        <v>65447</v>
      </c>
      <c r="H144" s="156">
        <v>913</v>
      </c>
      <c r="I144" s="159">
        <v>16218</v>
      </c>
      <c r="J144" s="4">
        <v>609262</v>
      </c>
      <c r="K144" s="7">
        <v>1082</v>
      </c>
      <c r="L144" s="7">
        <v>359756</v>
      </c>
      <c r="M144" s="4">
        <v>360838</v>
      </c>
      <c r="N144" s="4">
        <v>1101</v>
      </c>
      <c r="O144" s="4">
        <v>45026</v>
      </c>
      <c r="P144" s="4">
        <v>76114</v>
      </c>
      <c r="Q144" s="4">
        <f>148027-P144-O144-N144</f>
        <v>25786</v>
      </c>
      <c r="R144" s="20">
        <f t="shared" si="13"/>
        <v>2632</v>
      </c>
      <c r="S144" s="43">
        <f t="shared" si="16"/>
        <v>1.1429930644232455E-2</v>
      </c>
      <c r="T144" s="35">
        <f t="shared" si="17"/>
        <v>1.8253426739716402E-2</v>
      </c>
      <c r="U144" s="87"/>
      <c r="V144" s="261"/>
    </row>
    <row r="145" spans="1:22" x14ac:dyDescent="0.25">
      <c r="A145" s="2">
        <v>44036</v>
      </c>
      <c r="B145" s="156">
        <v>5493</v>
      </c>
      <c r="C145" s="156">
        <f t="shared" si="15"/>
        <v>153520</v>
      </c>
      <c r="D145" s="156">
        <f>20+85</f>
        <v>105</v>
      </c>
      <c r="E145" s="156">
        <f t="shared" si="14"/>
        <v>2807</v>
      </c>
      <c r="F145" s="156">
        <f t="shared" si="12"/>
        <v>2575</v>
      </c>
      <c r="G145" s="184">
        <v>68022</v>
      </c>
      <c r="H145" s="156">
        <v>955</v>
      </c>
      <c r="I145" s="257">
        <v>14631</v>
      </c>
      <c r="J145" s="4">
        <f>J144+I145</f>
        <v>623893</v>
      </c>
      <c r="K145" s="7">
        <v>736</v>
      </c>
      <c r="L145" s="7">
        <v>367243</v>
      </c>
      <c r="M145" s="4">
        <v>367979</v>
      </c>
      <c r="N145" s="4">
        <v>1105</v>
      </c>
      <c r="O145" s="4">
        <v>46528</v>
      </c>
      <c r="P145" s="4">
        <v>79424</v>
      </c>
      <c r="Q145" s="4">
        <f>153520-P145-O145-N145</f>
        <v>26463</v>
      </c>
      <c r="R145" s="20">
        <f t="shared" si="13"/>
        <v>2575</v>
      </c>
      <c r="S145" s="43">
        <f t="shared" si="16"/>
        <v>1.1549019844964991E-2</v>
      </c>
      <c r="T145" s="35">
        <f t="shared" si="17"/>
        <v>1.8284262636789995E-2</v>
      </c>
      <c r="U145" s="87"/>
      <c r="V145" s="261"/>
    </row>
    <row r="146" spans="1:22" x14ac:dyDescent="0.25">
      <c r="A146" s="2">
        <v>44037</v>
      </c>
      <c r="B146" s="156">
        <v>4814</v>
      </c>
      <c r="C146" s="156">
        <f t="shared" si="15"/>
        <v>158334</v>
      </c>
      <c r="D146" s="156">
        <v>86</v>
      </c>
      <c r="E146" s="156">
        <f t="shared" si="14"/>
        <v>2893</v>
      </c>
      <c r="F146" s="156">
        <f t="shared" si="12"/>
        <v>2496</v>
      </c>
      <c r="G146" s="184">
        <v>70518</v>
      </c>
      <c r="H146" s="156">
        <v>980</v>
      </c>
      <c r="I146" s="156">
        <v>12951</v>
      </c>
      <c r="J146" s="4">
        <v>636844</v>
      </c>
      <c r="K146" s="7">
        <f>M146-L146</f>
        <v>748.94599999999627</v>
      </c>
      <c r="L146" s="7">
        <f>M146*0.998</f>
        <v>373724.054</v>
      </c>
      <c r="M146" s="4">
        <v>374473</v>
      </c>
      <c r="N146" s="4">
        <v>1107</v>
      </c>
      <c r="O146" s="4">
        <v>47659</v>
      </c>
      <c r="P146" s="4">
        <v>81828</v>
      </c>
      <c r="Q146" s="4">
        <f>158334-P146-O146-N146</f>
        <v>27740</v>
      </c>
      <c r="R146" s="20">
        <f t="shared" si="13"/>
        <v>2496</v>
      </c>
      <c r="S146" s="43">
        <f t="shared" si="16"/>
        <v>1.1539865525240512E-2</v>
      </c>
      <c r="T146" s="35">
        <f t="shared" si="17"/>
        <v>1.8271502014728359E-2</v>
      </c>
      <c r="U146" s="87"/>
      <c r="V146" s="261"/>
    </row>
    <row r="147" spans="1:22" x14ac:dyDescent="0.25">
      <c r="A147" s="2">
        <v>44038</v>
      </c>
      <c r="B147" s="156">
        <v>4192</v>
      </c>
      <c r="C147" s="156">
        <f t="shared" si="15"/>
        <v>162526</v>
      </c>
      <c r="D147" s="156">
        <v>45</v>
      </c>
      <c r="E147" s="156">
        <f>E146+D147</f>
        <v>2938</v>
      </c>
      <c r="F147" s="156">
        <f t="shared" si="12"/>
        <v>2057</v>
      </c>
      <c r="G147" s="184">
        <v>72575</v>
      </c>
      <c r="H147" s="156">
        <v>993</v>
      </c>
      <c r="I147" s="156">
        <v>10870</v>
      </c>
      <c r="J147" s="13">
        <v>647714</v>
      </c>
      <c r="K147" s="7">
        <f>M147-L147</f>
        <v>759.3979999999865</v>
      </c>
      <c r="L147" s="7">
        <f>0.998*M147</f>
        <v>378939.60200000001</v>
      </c>
      <c r="M147" s="4">
        <v>379699</v>
      </c>
      <c r="N147" s="4">
        <v>1109</v>
      </c>
      <c r="O147" s="4">
        <v>46698</v>
      </c>
      <c r="P147" s="4">
        <v>84358</v>
      </c>
      <c r="Q147" s="4">
        <f>162526-P147-O147-N147</f>
        <v>30361</v>
      </c>
      <c r="R147" s="20">
        <f t="shared" si="13"/>
        <v>2057</v>
      </c>
      <c r="S147" s="43">
        <f t="shared" si="16"/>
        <v>1.1412087848942112E-2</v>
      </c>
      <c r="T147" s="35">
        <f t="shared" si="17"/>
        <v>1.8077107662773956E-2</v>
      </c>
      <c r="U147" s="87"/>
      <c r="V147" s="261"/>
    </row>
    <row r="148" spans="1:22" x14ac:dyDescent="0.25">
      <c r="A148" s="44">
        <v>44039</v>
      </c>
      <c r="B148" s="156">
        <v>4890</v>
      </c>
      <c r="C148" s="156">
        <f t="shared" si="15"/>
        <v>167416</v>
      </c>
      <c r="D148" s="156">
        <f>17+104</f>
        <v>121</v>
      </c>
      <c r="E148" s="156">
        <f>E147+D148</f>
        <v>3059</v>
      </c>
      <c r="F148" s="156">
        <f t="shared" si="12"/>
        <v>2508</v>
      </c>
      <c r="G148" s="184">
        <v>75083</v>
      </c>
      <c r="H148" s="156">
        <v>1002</v>
      </c>
      <c r="I148" s="156">
        <v>12398</v>
      </c>
      <c r="J148" s="13">
        <f>J147+I148</f>
        <v>660112</v>
      </c>
      <c r="K148" s="7">
        <v>771</v>
      </c>
      <c r="L148" s="7">
        <f>M148-K148</f>
        <v>384872</v>
      </c>
      <c r="M148" s="4">
        <v>385643</v>
      </c>
      <c r="N148" s="4">
        <v>1112</v>
      </c>
      <c r="O148" s="4">
        <v>49648</v>
      </c>
      <c r="P148" s="4">
        <v>88238</v>
      </c>
      <c r="Q148" s="4">
        <f>167416-P148-O148-N148</f>
        <v>28418</v>
      </c>
      <c r="R148" s="20">
        <f t="shared" si="13"/>
        <v>2508</v>
      </c>
      <c r="S148" s="43">
        <f t="shared" ref="S148:S160" si="18">H148/(C148-E148-G148)</f>
        <v>1.1223872572081458E-2</v>
      </c>
      <c r="T148" s="35">
        <f t="shared" si="17"/>
        <v>1.8271849763463469E-2</v>
      </c>
      <c r="U148" s="87"/>
      <c r="V148" s="261"/>
    </row>
    <row r="149" spans="1:22" x14ac:dyDescent="0.25">
      <c r="A149" s="2">
        <v>44040</v>
      </c>
      <c r="B149" s="156">
        <v>5939</v>
      </c>
      <c r="C149" s="156">
        <f t="shared" si="15"/>
        <v>173355</v>
      </c>
      <c r="D149" s="156">
        <f>23+97</f>
        <v>120</v>
      </c>
      <c r="E149" s="156">
        <v>3178</v>
      </c>
      <c r="F149" s="156">
        <f t="shared" si="12"/>
        <v>2772</v>
      </c>
      <c r="G149" s="184">
        <v>77855</v>
      </c>
      <c r="H149" s="156">
        <v>1024</v>
      </c>
      <c r="I149" s="156">
        <v>14899</v>
      </c>
      <c r="J149" s="13">
        <v>675011</v>
      </c>
      <c r="K149" s="7">
        <f t="shared" ref="K149:K180" si="19">M149-L149</f>
        <v>785.48800000001211</v>
      </c>
      <c r="L149" s="7">
        <f t="shared" ref="L149:L160" si="20">0.998*M149</f>
        <v>391958.51199999999</v>
      </c>
      <c r="M149" s="4">
        <v>392744</v>
      </c>
      <c r="N149" s="4">
        <v>1119</v>
      </c>
      <c r="O149" s="4">
        <v>51090</v>
      </c>
      <c r="P149" s="4">
        <v>92345</v>
      </c>
      <c r="Q149" s="4">
        <f>173355-P149-O149-N149</f>
        <v>28801</v>
      </c>
      <c r="R149" s="20">
        <f t="shared" si="13"/>
        <v>2772</v>
      </c>
      <c r="S149" s="43">
        <f t="shared" si="18"/>
        <v>1.1091614133142696E-2</v>
      </c>
      <c r="T149" s="35">
        <f t="shared" si="17"/>
        <v>1.8332323844134867E-2</v>
      </c>
      <c r="U149" s="87"/>
      <c r="V149" s="261"/>
    </row>
    <row r="150" spans="1:22" x14ac:dyDescent="0.25">
      <c r="A150" s="2">
        <v>44041</v>
      </c>
      <c r="B150" s="156">
        <v>5641</v>
      </c>
      <c r="C150" s="156">
        <f t="shared" si="15"/>
        <v>178996</v>
      </c>
      <c r="D150" s="156">
        <v>110</v>
      </c>
      <c r="E150" s="156">
        <f>E149+D150</f>
        <v>3288</v>
      </c>
      <c r="F150" s="156">
        <f t="shared" si="12"/>
        <v>2741</v>
      </c>
      <c r="G150" s="184">
        <v>80596</v>
      </c>
      <c r="H150" s="156">
        <v>1057</v>
      </c>
      <c r="I150" s="156">
        <v>15812</v>
      </c>
      <c r="J150" s="13">
        <v>690823</v>
      </c>
      <c r="K150" s="7">
        <f t="shared" si="19"/>
        <v>801.66200000001118</v>
      </c>
      <c r="L150" s="7">
        <f t="shared" si="20"/>
        <v>400029.33799999999</v>
      </c>
      <c r="M150" s="4">
        <v>400831</v>
      </c>
      <c r="N150" s="4">
        <v>1115</v>
      </c>
      <c r="O150" s="4">
        <v>52375</v>
      </c>
      <c r="P150" s="4">
        <v>96710</v>
      </c>
      <c r="Q150" s="4">
        <f>178996-P150-O150-N150</f>
        <v>28796</v>
      </c>
      <c r="R150" s="20">
        <f t="shared" si="13"/>
        <v>2741</v>
      </c>
      <c r="S150" s="43">
        <f t="shared" si="18"/>
        <v>1.1113213895197241E-2</v>
      </c>
      <c r="T150" s="35">
        <f t="shared" si="17"/>
        <v>1.8369125567051777E-2</v>
      </c>
      <c r="U150" s="87"/>
      <c r="V150" s="261"/>
    </row>
    <row r="151" spans="1:22" x14ac:dyDescent="0.25">
      <c r="A151" s="2">
        <v>44042</v>
      </c>
      <c r="B151" s="156">
        <v>6377</v>
      </c>
      <c r="C151" s="156">
        <f t="shared" si="15"/>
        <v>185373</v>
      </c>
      <c r="D151" s="156">
        <f>23+131</f>
        <v>154</v>
      </c>
      <c r="E151" s="156">
        <f>E150+D151</f>
        <v>3442</v>
      </c>
      <c r="F151" s="156">
        <f t="shared" si="12"/>
        <v>3184</v>
      </c>
      <c r="G151" s="184">
        <v>83780</v>
      </c>
      <c r="H151" s="156">
        <v>1076</v>
      </c>
      <c r="I151" s="156">
        <v>16685</v>
      </c>
      <c r="J151" s="4">
        <v>707508</v>
      </c>
      <c r="K151" s="7">
        <f t="shared" si="19"/>
        <v>818.0800000000163</v>
      </c>
      <c r="L151" s="7">
        <f t="shared" si="20"/>
        <v>408221.92</v>
      </c>
      <c r="M151" s="4">
        <v>409040</v>
      </c>
      <c r="N151" s="4">
        <v>1117</v>
      </c>
      <c r="O151" s="4">
        <v>53660</v>
      </c>
      <c r="P151" s="4">
        <v>100811</v>
      </c>
      <c r="Q151" s="4">
        <f>185373-P151-O151-N151</f>
        <v>29785</v>
      </c>
      <c r="R151" s="20">
        <f t="shared" si="13"/>
        <v>3184</v>
      </c>
      <c r="S151" s="43">
        <f t="shared" si="18"/>
        <v>1.0962700329084777E-2</v>
      </c>
      <c r="T151" s="35">
        <f t="shared" si="17"/>
        <v>1.8567968366482713E-2</v>
      </c>
      <c r="U151" s="87"/>
      <c r="V151" s="261"/>
    </row>
    <row r="152" spans="1:22" x14ac:dyDescent="0.25">
      <c r="A152" s="2">
        <v>44043</v>
      </c>
      <c r="B152" s="156">
        <v>5929</v>
      </c>
      <c r="C152" s="156">
        <f t="shared" si="15"/>
        <v>191302</v>
      </c>
      <c r="D152" s="156">
        <f>25+77</f>
        <v>102</v>
      </c>
      <c r="E152" s="156">
        <f>E151+D152</f>
        <v>3544</v>
      </c>
      <c r="F152" s="156">
        <f t="shared" si="12"/>
        <v>2719</v>
      </c>
      <c r="G152" s="184">
        <v>86499</v>
      </c>
      <c r="H152" s="156">
        <v>1104</v>
      </c>
      <c r="I152" s="156">
        <v>15442</v>
      </c>
      <c r="J152" s="4">
        <f>J151+I152</f>
        <v>722950</v>
      </c>
      <c r="K152" s="7">
        <f t="shared" si="19"/>
        <v>833.97600000002421</v>
      </c>
      <c r="L152" s="7">
        <f t="shared" si="20"/>
        <v>416154.02399999998</v>
      </c>
      <c r="M152" s="4">
        <v>416988</v>
      </c>
      <c r="N152" s="4">
        <v>1122</v>
      </c>
      <c r="O152" s="4">
        <v>54915</v>
      </c>
      <c r="P152" s="4">
        <v>104695</v>
      </c>
      <c r="Q152" s="4">
        <f>191302-P152-O152-N152</f>
        <v>30570</v>
      </c>
      <c r="R152" s="20">
        <f t="shared" si="13"/>
        <v>2719</v>
      </c>
      <c r="S152" s="43">
        <f t="shared" si="18"/>
        <v>1.0902734571741771E-2</v>
      </c>
      <c r="T152" s="35">
        <f t="shared" si="17"/>
        <v>1.852568190609612E-2</v>
      </c>
      <c r="U152" s="87"/>
      <c r="V152" s="261"/>
    </row>
    <row r="153" spans="1:22" x14ac:dyDescent="0.25">
      <c r="A153" s="2">
        <v>44044</v>
      </c>
      <c r="B153" s="156">
        <v>5241</v>
      </c>
      <c r="C153" s="156">
        <f t="shared" si="15"/>
        <v>196543</v>
      </c>
      <c r="D153" s="156">
        <f>15+38</f>
        <v>53</v>
      </c>
      <c r="E153" s="156">
        <v>3596</v>
      </c>
      <c r="F153" s="156">
        <f t="shared" si="12"/>
        <v>2527</v>
      </c>
      <c r="G153" s="184">
        <v>89026</v>
      </c>
      <c r="H153" s="156">
        <v>1128</v>
      </c>
      <c r="I153" s="156">
        <v>13057</v>
      </c>
      <c r="J153" s="4">
        <v>736007</v>
      </c>
      <c r="K153" s="7">
        <f t="shared" si="19"/>
        <v>846.24599999998463</v>
      </c>
      <c r="L153" s="7">
        <f t="shared" si="20"/>
        <v>422276.75400000002</v>
      </c>
      <c r="M153" s="4">
        <v>423123</v>
      </c>
      <c r="N153" s="4">
        <v>1123</v>
      </c>
      <c r="O153" s="4">
        <v>55946</v>
      </c>
      <c r="P153" s="4">
        <v>107909</v>
      </c>
      <c r="Q153" s="4">
        <f>196543-P153-O153-N153</f>
        <v>31565</v>
      </c>
      <c r="R153" s="20">
        <f t="shared" si="13"/>
        <v>2527</v>
      </c>
      <c r="S153" s="43">
        <f t="shared" si="18"/>
        <v>1.0854399014636118E-2</v>
      </c>
      <c r="T153" s="35">
        <f t="shared" si="17"/>
        <v>1.8296250693232523E-2</v>
      </c>
      <c r="U153" s="87"/>
      <c r="V153" s="261"/>
    </row>
    <row r="154" spans="1:22" x14ac:dyDescent="0.25">
      <c r="A154" s="2">
        <v>44045</v>
      </c>
      <c r="B154" s="156">
        <v>5376</v>
      </c>
      <c r="C154" s="156">
        <f t="shared" si="15"/>
        <v>201919</v>
      </c>
      <c r="D154" s="156">
        <f>15+36</f>
        <v>51</v>
      </c>
      <c r="E154" s="156">
        <f t="shared" ref="E154:E159" si="21">E153+D154</f>
        <v>3647</v>
      </c>
      <c r="F154" s="156">
        <f t="shared" si="12"/>
        <v>2276</v>
      </c>
      <c r="G154" s="184">
        <v>91302</v>
      </c>
      <c r="H154" s="156">
        <v>1112</v>
      </c>
      <c r="I154" s="156">
        <v>11900</v>
      </c>
      <c r="J154" s="4">
        <v>747907</v>
      </c>
      <c r="K154" s="7">
        <f t="shared" si="19"/>
        <v>856.68800000002375</v>
      </c>
      <c r="L154" s="7">
        <f t="shared" si="20"/>
        <v>427487.31199999998</v>
      </c>
      <c r="M154" s="4">
        <v>428344</v>
      </c>
      <c r="N154" s="4">
        <v>1123</v>
      </c>
      <c r="O154" s="4">
        <v>56975</v>
      </c>
      <c r="P154" s="4">
        <v>110459</v>
      </c>
      <c r="Q154" s="4">
        <f>201919-P154-O154-N154</f>
        <v>33362</v>
      </c>
      <c r="R154" s="20">
        <f t="shared" si="13"/>
        <v>2276</v>
      </c>
      <c r="S154" s="43">
        <f t="shared" si="18"/>
        <v>1.0395437973263533E-2</v>
      </c>
      <c r="T154" s="35">
        <f t="shared" si="17"/>
        <v>1.8061698007616915E-2</v>
      </c>
      <c r="U154" s="87"/>
      <c r="V154" s="261"/>
    </row>
    <row r="155" spans="1:22" x14ac:dyDescent="0.25">
      <c r="A155" s="44">
        <v>44046</v>
      </c>
      <c r="B155" s="159">
        <v>4824</v>
      </c>
      <c r="C155" s="156">
        <f>C154+B155</f>
        <v>206743</v>
      </c>
      <c r="D155" s="156">
        <v>164</v>
      </c>
      <c r="E155" s="156">
        <f t="shared" si="21"/>
        <v>3811</v>
      </c>
      <c r="F155" s="156">
        <f t="shared" si="12"/>
        <v>2827</v>
      </c>
      <c r="G155" s="184">
        <v>94129</v>
      </c>
      <c r="H155" s="156">
        <v>1150</v>
      </c>
      <c r="I155" s="156">
        <v>12839</v>
      </c>
      <c r="J155" s="4">
        <v>760746</v>
      </c>
      <c r="K155" s="7">
        <f t="shared" si="19"/>
        <v>869.87800000002608</v>
      </c>
      <c r="L155" s="7">
        <f t="shared" si="20"/>
        <v>434069.12199999997</v>
      </c>
      <c r="M155" s="4">
        <v>434939</v>
      </c>
      <c r="N155" s="4">
        <v>1123</v>
      </c>
      <c r="O155" s="4">
        <v>58084</v>
      </c>
      <c r="P155" s="4">
        <v>114826</v>
      </c>
      <c r="Q155" s="4">
        <f>206743-N155-O155-P155</f>
        <v>32710</v>
      </c>
      <c r="R155" s="20">
        <f t="shared" si="13"/>
        <v>2827</v>
      </c>
      <c r="S155" s="43">
        <f t="shared" si="18"/>
        <v>1.0569561501061552E-2</v>
      </c>
      <c r="T155" s="35">
        <f t="shared" si="17"/>
        <v>1.8433514073027867E-2</v>
      </c>
      <c r="U155" s="87"/>
      <c r="V155" s="261"/>
    </row>
    <row r="156" spans="1:22" x14ac:dyDescent="0.25">
      <c r="A156" s="2">
        <v>44047</v>
      </c>
      <c r="B156" s="159">
        <v>6792</v>
      </c>
      <c r="C156" s="156">
        <f>C155+B156</f>
        <v>213535</v>
      </c>
      <c r="D156" s="175">
        <f>116+52</f>
        <v>168</v>
      </c>
      <c r="E156" s="156">
        <f t="shared" si="21"/>
        <v>3979</v>
      </c>
      <c r="F156" s="156">
        <f t="shared" si="12"/>
        <v>2819</v>
      </c>
      <c r="G156" s="184">
        <v>96948</v>
      </c>
      <c r="H156" s="156">
        <v>1207</v>
      </c>
      <c r="I156" s="156">
        <v>16532</v>
      </c>
      <c r="J156" s="4">
        <f>J155+I156</f>
        <v>777278</v>
      </c>
      <c r="K156" s="7">
        <f t="shared" si="19"/>
        <v>885.76199999998789</v>
      </c>
      <c r="L156" s="7">
        <f t="shared" si="20"/>
        <v>441995.23800000001</v>
      </c>
      <c r="M156" s="4">
        <v>442881</v>
      </c>
      <c r="N156" s="4">
        <v>1123</v>
      </c>
      <c r="O156" s="4">
        <v>59408</v>
      </c>
      <c r="P156" s="4">
        <v>119544</v>
      </c>
      <c r="Q156" s="4">
        <f>213535-P156-O156-N156</f>
        <v>33460</v>
      </c>
      <c r="R156" s="20">
        <f t="shared" si="13"/>
        <v>2819</v>
      </c>
      <c r="S156" s="43">
        <f t="shared" si="18"/>
        <v>1.0718599033816426E-2</v>
      </c>
      <c r="T156" s="35">
        <f t="shared" si="17"/>
        <v>1.8633947596412764E-2</v>
      </c>
      <c r="U156" s="87"/>
      <c r="V156" s="261"/>
    </row>
    <row r="157" spans="1:22" x14ac:dyDescent="0.25">
      <c r="A157" s="2">
        <v>44048</v>
      </c>
      <c r="B157" s="159">
        <v>7147</v>
      </c>
      <c r="C157" s="156">
        <f>C156+B157</f>
        <v>220682</v>
      </c>
      <c r="D157" s="156">
        <f>30+97</f>
        <v>127</v>
      </c>
      <c r="E157" s="156">
        <f t="shared" si="21"/>
        <v>4106</v>
      </c>
      <c r="F157" s="156">
        <f t="shared" si="12"/>
        <v>2904</v>
      </c>
      <c r="G157" s="184">
        <v>99852</v>
      </c>
      <c r="H157" s="156">
        <v>1219</v>
      </c>
      <c r="I157" s="156">
        <v>17266</v>
      </c>
      <c r="J157" s="4">
        <f>J156+I157</f>
        <v>794544</v>
      </c>
      <c r="K157" s="7">
        <f t="shared" si="19"/>
        <v>902.90999999997439</v>
      </c>
      <c r="L157" s="7">
        <f t="shared" si="20"/>
        <v>450552.09</v>
      </c>
      <c r="M157" s="4">
        <v>451455</v>
      </c>
      <c r="N157" s="4">
        <v>1124</v>
      </c>
      <c r="O157" s="4">
        <v>60922</v>
      </c>
      <c r="P157" s="4">
        <v>124163</v>
      </c>
      <c r="Q157" s="4">
        <f>220682-P157-O157-N157</f>
        <v>34473</v>
      </c>
      <c r="R157" s="20">
        <f t="shared" si="13"/>
        <v>2904</v>
      </c>
      <c r="S157" s="43">
        <f t="shared" si="18"/>
        <v>1.0443439224152702E-2</v>
      </c>
      <c r="T157" s="35">
        <f t="shared" si="17"/>
        <v>1.8605957894164454E-2</v>
      </c>
      <c r="U157" s="87"/>
      <c r="V157" s="261"/>
    </row>
    <row r="158" spans="1:22" x14ac:dyDescent="0.25">
      <c r="A158" s="2">
        <v>44049</v>
      </c>
      <c r="B158" s="159">
        <v>7513</v>
      </c>
      <c r="C158" s="156">
        <f>C157+B158</f>
        <v>228195</v>
      </c>
      <c r="D158" s="156">
        <v>145</v>
      </c>
      <c r="E158" s="156">
        <f t="shared" si="21"/>
        <v>4251</v>
      </c>
      <c r="F158" s="156">
        <f t="shared" si="12"/>
        <v>3445</v>
      </c>
      <c r="G158" s="184">
        <v>103297</v>
      </c>
      <c r="H158" s="156">
        <v>1245</v>
      </c>
      <c r="I158" s="156">
        <v>18020</v>
      </c>
      <c r="J158" s="4">
        <v>812564</v>
      </c>
      <c r="K158" s="7">
        <f t="shared" si="19"/>
        <v>919.37199999997392</v>
      </c>
      <c r="L158" s="7">
        <f t="shared" si="20"/>
        <v>458766.62800000003</v>
      </c>
      <c r="M158" s="4">
        <v>459686</v>
      </c>
      <c r="N158" s="4">
        <v>1127</v>
      </c>
      <c r="O158" s="4">
        <v>62150</v>
      </c>
      <c r="P158" s="4">
        <v>128781</v>
      </c>
      <c r="Q158" s="4">
        <f>228195-P158-O158-N158</f>
        <v>36137</v>
      </c>
      <c r="R158" s="125">
        <f t="shared" ref="R158:R221" si="22">C158-E158-G158</f>
        <v>120647</v>
      </c>
      <c r="S158" s="43">
        <f t="shared" si="18"/>
        <v>1.0319361442887101E-2</v>
      </c>
      <c r="T158" s="35">
        <f t="shared" si="17"/>
        <v>1.8628804312101493E-2</v>
      </c>
      <c r="U158" s="87"/>
      <c r="V158" s="261"/>
    </row>
    <row r="159" spans="1:22" x14ac:dyDescent="0.25">
      <c r="A159" s="2">
        <v>44050</v>
      </c>
      <c r="B159" s="159">
        <v>7482</v>
      </c>
      <c r="C159" s="156">
        <f>C158+B159</f>
        <v>235677</v>
      </c>
      <c r="D159" s="156">
        <v>160</v>
      </c>
      <c r="E159" s="156">
        <f t="shared" si="21"/>
        <v>4411</v>
      </c>
      <c r="F159" s="156">
        <f t="shared" si="12"/>
        <v>4945</v>
      </c>
      <c r="G159" s="184">
        <v>108242</v>
      </c>
      <c r="H159" s="156">
        <v>1293</v>
      </c>
      <c r="I159" s="156">
        <v>17493</v>
      </c>
      <c r="J159" s="4">
        <f>J158+I159</f>
        <v>830057</v>
      </c>
      <c r="K159" s="7">
        <f t="shared" si="19"/>
        <v>940.32600000000093</v>
      </c>
      <c r="L159" s="7">
        <f t="shared" si="20"/>
        <v>469222.674</v>
      </c>
      <c r="M159" s="4">
        <v>470163</v>
      </c>
      <c r="N159" s="4">
        <v>1130</v>
      </c>
      <c r="O159" s="4">
        <v>63695</v>
      </c>
      <c r="P159" s="4">
        <v>133585</v>
      </c>
      <c r="Q159" s="4">
        <f>235677-P159-O159-N159</f>
        <v>37267</v>
      </c>
      <c r="R159" s="125">
        <f t="shared" si="22"/>
        <v>123024</v>
      </c>
      <c r="S159" s="43">
        <f t="shared" si="18"/>
        <v>1.0510144362075693E-2</v>
      </c>
      <c r="T159" s="35">
        <f t="shared" si="17"/>
        <v>1.8716293910733758E-2</v>
      </c>
      <c r="U159" s="87"/>
      <c r="V159" s="261"/>
    </row>
    <row r="160" spans="1:22" x14ac:dyDescent="0.25">
      <c r="A160" s="2">
        <v>44051</v>
      </c>
      <c r="B160" s="159">
        <v>6134</v>
      </c>
      <c r="C160" s="156">
        <f>B160+C159</f>
        <v>241811</v>
      </c>
      <c r="D160" s="156">
        <v>112</v>
      </c>
      <c r="E160" s="156">
        <f t="shared" ref="E160:E165" si="23">E159+D160</f>
        <v>4523</v>
      </c>
      <c r="F160" s="156">
        <f t="shared" si="12"/>
        <v>61867</v>
      </c>
      <c r="G160" s="184">
        <v>170109</v>
      </c>
      <c r="H160" s="156">
        <v>1502</v>
      </c>
      <c r="I160" s="156">
        <v>15163</v>
      </c>
      <c r="J160" s="4">
        <v>845220</v>
      </c>
      <c r="K160" s="7">
        <f t="shared" si="19"/>
        <v>955.79399999999441</v>
      </c>
      <c r="L160" s="7">
        <f t="shared" si="20"/>
        <v>476941.20600000001</v>
      </c>
      <c r="M160" s="4">
        <v>477897</v>
      </c>
      <c r="N160" s="4">
        <v>1130</v>
      </c>
      <c r="O160" s="4">
        <v>64762</v>
      </c>
      <c r="P160" s="4">
        <v>136987</v>
      </c>
      <c r="Q160" s="4">
        <f>241811-P160-O160-N160</f>
        <v>38932</v>
      </c>
      <c r="R160" s="125">
        <f t="shared" si="22"/>
        <v>67179</v>
      </c>
      <c r="S160" s="43">
        <f t="shared" si="18"/>
        <v>2.2358177406630049E-2</v>
      </c>
      <c r="T160" s="35">
        <f t="shared" si="17"/>
        <v>1.870469085360054E-2</v>
      </c>
      <c r="U160" s="87"/>
      <c r="V160" s="261"/>
    </row>
    <row r="161" spans="1:22" x14ac:dyDescent="0.25">
      <c r="A161" s="2">
        <v>44052</v>
      </c>
      <c r="B161" s="159">
        <v>4688</v>
      </c>
      <c r="C161" s="156">
        <f t="shared" ref="C161:C169" si="24">C160+B161</f>
        <v>246499</v>
      </c>
      <c r="D161" s="156">
        <v>83</v>
      </c>
      <c r="E161" s="156">
        <f t="shared" si="23"/>
        <v>4606</v>
      </c>
      <c r="F161" s="156">
        <f t="shared" si="12"/>
        <v>4865</v>
      </c>
      <c r="G161" s="184">
        <v>174974</v>
      </c>
      <c r="H161" s="156">
        <v>1565</v>
      </c>
      <c r="I161" s="156">
        <v>10835</v>
      </c>
      <c r="J161" s="4">
        <v>856055</v>
      </c>
      <c r="K161" s="7">
        <f t="shared" si="19"/>
        <v>966.1020000000135</v>
      </c>
      <c r="L161" s="7">
        <f t="shared" ref="L161:L178" si="25">0.998*M161</f>
        <v>482084.89799999999</v>
      </c>
      <c r="M161" s="4">
        <v>483051</v>
      </c>
      <c r="N161" s="4">
        <v>1131</v>
      </c>
      <c r="O161" s="4">
        <v>65737</v>
      </c>
      <c r="P161" s="4">
        <v>139746</v>
      </c>
      <c r="Q161" s="4">
        <f>246499-P161-O161-N161</f>
        <v>39885</v>
      </c>
      <c r="R161" s="125">
        <f t="shared" si="22"/>
        <v>66919</v>
      </c>
      <c r="S161" s="43">
        <f>H161/(C161-E161-G161)</f>
        <v>2.3386482165005454E-2</v>
      </c>
      <c r="T161" s="35">
        <f t="shared" si="17"/>
        <v>1.8685674181233999E-2</v>
      </c>
      <c r="U161" s="87"/>
      <c r="V161" s="261"/>
    </row>
    <row r="162" spans="1:22" x14ac:dyDescent="0.25">
      <c r="A162" s="44">
        <v>44053</v>
      </c>
      <c r="B162" s="159">
        <v>7369</v>
      </c>
      <c r="C162" s="156">
        <f t="shared" si="24"/>
        <v>253868</v>
      </c>
      <c r="D162" s="156">
        <f>27+131</f>
        <v>158</v>
      </c>
      <c r="E162" s="156">
        <f t="shared" si="23"/>
        <v>4764</v>
      </c>
      <c r="F162" s="156">
        <f t="shared" si="12"/>
        <v>6424</v>
      </c>
      <c r="G162" s="184">
        <v>181398</v>
      </c>
      <c r="H162" s="156">
        <v>1569</v>
      </c>
      <c r="I162" s="156">
        <v>16588</v>
      </c>
      <c r="J162" s="4">
        <v>872643</v>
      </c>
      <c r="K162" s="7">
        <f t="shared" si="19"/>
        <v>983.05200000002515</v>
      </c>
      <c r="L162" s="7">
        <f t="shared" si="25"/>
        <v>490542.94799999997</v>
      </c>
      <c r="M162" s="4">
        <v>491526</v>
      </c>
      <c r="N162" s="4">
        <v>1136</v>
      </c>
      <c r="O162" s="4">
        <v>67245</v>
      </c>
      <c r="P162" s="4">
        <v>144896</v>
      </c>
      <c r="Q162" s="4">
        <f>253686-P162-O162-N162</f>
        <v>40409</v>
      </c>
      <c r="R162" s="125">
        <f t="shared" si="22"/>
        <v>67706</v>
      </c>
      <c r="S162" s="43">
        <f t="shared" ref="S162:S205" si="26">H162/(C162-E162-G162)</f>
        <v>2.3173721679024015E-2</v>
      </c>
      <c r="T162" s="35">
        <f t="shared" si="17"/>
        <v>1.8765657743394205E-2</v>
      </c>
      <c r="U162" s="87"/>
      <c r="V162" s="261"/>
    </row>
    <row r="163" spans="1:22" x14ac:dyDescent="0.25">
      <c r="A163" s="2">
        <v>44054</v>
      </c>
      <c r="B163" s="159">
        <v>7043</v>
      </c>
      <c r="C163" s="156">
        <f t="shared" si="24"/>
        <v>260911</v>
      </c>
      <c r="D163" s="156">
        <f>21+220</f>
        <v>241</v>
      </c>
      <c r="E163" s="156">
        <f t="shared" si="23"/>
        <v>5005</v>
      </c>
      <c r="F163" s="156">
        <f t="shared" si="12"/>
        <v>5885</v>
      </c>
      <c r="G163" s="184">
        <v>187283</v>
      </c>
      <c r="H163" s="156">
        <v>1585</v>
      </c>
      <c r="I163" s="156">
        <v>19174</v>
      </c>
      <c r="J163" s="4">
        <f>J162+I163</f>
        <v>891817</v>
      </c>
      <c r="K163" s="7">
        <f t="shared" si="19"/>
        <v>1003.3040000000037</v>
      </c>
      <c r="L163" s="7">
        <f t="shared" si="25"/>
        <v>500648.696</v>
      </c>
      <c r="M163" s="4">
        <v>501652</v>
      </c>
      <c r="N163" s="4">
        <v>1137</v>
      </c>
      <c r="O163" s="4">
        <v>68717</v>
      </c>
      <c r="P163" s="4">
        <v>151086</v>
      </c>
      <c r="Q163" s="4">
        <f>260911-P163-O163-N163</f>
        <v>39971</v>
      </c>
      <c r="R163" s="125">
        <f t="shared" si="22"/>
        <v>68623</v>
      </c>
      <c r="S163" s="43">
        <f t="shared" si="26"/>
        <v>2.3097212304912348E-2</v>
      </c>
      <c r="T163" s="35">
        <f t="shared" si="17"/>
        <v>1.9182786467416092E-2</v>
      </c>
      <c r="U163" s="87"/>
      <c r="V163" s="261"/>
    </row>
    <row r="164" spans="1:22" x14ac:dyDescent="0.25">
      <c r="A164" s="2">
        <v>44055</v>
      </c>
      <c r="B164" s="159">
        <v>7663</v>
      </c>
      <c r="C164" s="156">
        <f t="shared" si="24"/>
        <v>268574</v>
      </c>
      <c r="D164" s="156">
        <f>84+125</f>
        <v>209</v>
      </c>
      <c r="E164" s="156">
        <f t="shared" si="23"/>
        <v>5214</v>
      </c>
      <c r="F164" s="156">
        <f t="shared" si="12"/>
        <v>5151</v>
      </c>
      <c r="G164" s="184">
        <v>192434</v>
      </c>
      <c r="H164" s="156">
        <v>1662</v>
      </c>
      <c r="I164" s="156">
        <v>19779</v>
      </c>
      <c r="J164" s="4">
        <v>911596</v>
      </c>
      <c r="K164" s="7">
        <f t="shared" si="19"/>
        <v>1024.2339999999967</v>
      </c>
      <c r="L164" s="7">
        <f t="shared" si="25"/>
        <v>511092.766</v>
      </c>
      <c r="M164" s="4">
        <v>512117</v>
      </c>
      <c r="N164" s="4">
        <v>1142</v>
      </c>
      <c r="O164" s="4">
        <v>70280</v>
      </c>
      <c r="P164" s="4">
        <v>156764</v>
      </c>
      <c r="Q164" s="4">
        <f>268574-P164-O164-N164</f>
        <v>40388</v>
      </c>
      <c r="R164" s="125">
        <f t="shared" si="22"/>
        <v>70926</v>
      </c>
      <c r="S164" s="43">
        <f t="shared" si="26"/>
        <v>2.3432873699348617E-2</v>
      </c>
      <c r="T164" s="35">
        <f t="shared" si="17"/>
        <v>1.9413643911919992E-2</v>
      </c>
      <c r="U164" s="87"/>
      <c r="V164" s="261"/>
    </row>
    <row r="165" spans="1:22" x14ac:dyDescent="0.25">
      <c r="A165" s="2">
        <v>44056</v>
      </c>
      <c r="B165" s="159">
        <v>7498</v>
      </c>
      <c r="C165" s="156">
        <f t="shared" si="24"/>
        <v>276072</v>
      </c>
      <c r="D165" s="156">
        <f>33+116</f>
        <v>149</v>
      </c>
      <c r="E165" s="156">
        <f t="shared" si="23"/>
        <v>5363</v>
      </c>
      <c r="F165" s="156">
        <f t="shared" si="12"/>
        <v>6571</v>
      </c>
      <c r="G165" s="184">
        <v>199005</v>
      </c>
      <c r="H165" s="156">
        <v>1682</v>
      </c>
      <c r="I165" s="156">
        <v>18501</v>
      </c>
      <c r="J165" s="4">
        <v>930097</v>
      </c>
      <c r="K165" s="7">
        <f t="shared" si="19"/>
        <v>1045.8319999999949</v>
      </c>
      <c r="L165" s="7">
        <f t="shared" si="25"/>
        <v>521870.16800000001</v>
      </c>
      <c r="M165" s="4">
        <v>522916</v>
      </c>
      <c r="N165" s="4">
        <v>1143</v>
      </c>
      <c r="O165" s="4">
        <v>71620</v>
      </c>
      <c r="P165" s="4">
        <v>162959</v>
      </c>
      <c r="Q165" s="4">
        <f>276072-P165-O165-N165</f>
        <v>40350</v>
      </c>
      <c r="R165" s="125">
        <f t="shared" si="22"/>
        <v>71704</v>
      </c>
      <c r="S165" s="43">
        <f t="shared" si="26"/>
        <v>2.3457547696083901E-2</v>
      </c>
      <c r="T165" s="35">
        <f t="shared" si="17"/>
        <v>1.9426091744182677E-2</v>
      </c>
      <c r="U165" s="87"/>
      <c r="V165" s="261"/>
    </row>
    <row r="166" spans="1:22" x14ac:dyDescent="0.25">
      <c r="A166" s="2">
        <v>44057</v>
      </c>
      <c r="B166" s="159">
        <v>6365</v>
      </c>
      <c r="C166" s="156">
        <f t="shared" si="24"/>
        <v>282437</v>
      </c>
      <c r="D166" s="156">
        <f>66+99</f>
        <v>165</v>
      </c>
      <c r="E166" s="156">
        <f t="shared" ref="E166:E171" si="27">E165+D166</f>
        <v>5528</v>
      </c>
      <c r="F166" s="156">
        <f t="shared" si="12"/>
        <v>6692</v>
      </c>
      <c r="G166" s="184">
        <v>205697</v>
      </c>
      <c r="H166" s="156">
        <v>1718</v>
      </c>
      <c r="I166" s="156">
        <v>19073</v>
      </c>
      <c r="J166" s="4">
        <v>949170</v>
      </c>
      <c r="K166" s="7">
        <f t="shared" si="19"/>
        <v>1066.9579999999842</v>
      </c>
      <c r="L166" s="7">
        <f t="shared" si="25"/>
        <v>532412.04200000002</v>
      </c>
      <c r="M166" s="4">
        <v>533479</v>
      </c>
      <c r="N166" s="4">
        <v>1148</v>
      </c>
      <c r="O166" s="4">
        <v>72902</v>
      </c>
      <c r="P166" s="4">
        <v>168252</v>
      </c>
      <c r="Q166" s="4">
        <f>282437-P166-O166-N166</f>
        <v>40135</v>
      </c>
      <c r="R166" s="125">
        <f t="shared" si="22"/>
        <v>71212</v>
      </c>
      <c r="S166" s="43">
        <f t="shared" si="26"/>
        <v>2.4125147447059483E-2</v>
      </c>
      <c r="T166" s="35">
        <f t="shared" si="17"/>
        <v>1.9572506435063395E-2</v>
      </c>
      <c r="U166" s="87"/>
      <c r="V166" s="261"/>
    </row>
    <row r="167" spans="1:22" x14ac:dyDescent="0.25">
      <c r="A167" s="37">
        <v>44058</v>
      </c>
      <c r="B167" s="156">
        <v>6663</v>
      </c>
      <c r="C167" s="156">
        <f t="shared" si="24"/>
        <v>289100</v>
      </c>
      <c r="D167" s="156">
        <f>38+72-1</f>
        <v>109</v>
      </c>
      <c r="E167" s="156">
        <f t="shared" si="27"/>
        <v>5637</v>
      </c>
      <c r="F167" s="156">
        <f t="shared" si="12"/>
        <v>6005</v>
      </c>
      <c r="G167" s="184">
        <v>211702</v>
      </c>
      <c r="H167" s="156">
        <v>1716</v>
      </c>
      <c r="I167" s="156">
        <v>17756</v>
      </c>
      <c r="J167" s="4">
        <f>J166+I167</f>
        <v>966926</v>
      </c>
      <c r="K167" s="7">
        <f t="shared" si="19"/>
        <v>1086.1879999999655</v>
      </c>
      <c r="L167" s="7">
        <f t="shared" si="25"/>
        <v>542007.81200000003</v>
      </c>
      <c r="M167" s="4">
        <v>543094</v>
      </c>
      <c r="N167" s="4">
        <v>1151</v>
      </c>
      <c r="O167" s="4">
        <v>74109</v>
      </c>
      <c r="P167" s="4">
        <v>171954</v>
      </c>
      <c r="Q167" s="4">
        <f>289100-P167-O167-N167</f>
        <v>41886</v>
      </c>
      <c r="R167" s="125">
        <f t="shared" si="22"/>
        <v>71761</v>
      </c>
      <c r="S167" s="43">
        <f t="shared" si="26"/>
        <v>2.3912710246512731E-2</v>
      </c>
      <c r="T167" s="35">
        <f t="shared" si="17"/>
        <v>1.9498443445174679E-2</v>
      </c>
      <c r="U167" s="87"/>
      <c r="V167" s="261"/>
    </row>
    <row r="168" spans="1:22" x14ac:dyDescent="0.25">
      <c r="A168" s="37">
        <v>44059</v>
      </c>
      <c r="B168" s="156">
        <v>5469</v>
      </c>
      <c r="C168" s="156">
        <f t="shared" si="24"/>
        <v>294569</v>
      </c>
      <c r="D168" s="156">
        <f>20+46</f>
        <v>66</v>
      </c>
      <c r="E168" s="156">
        <f t="shared" si="27"/>
        <v>5703</v>
      </c>
      <c r="F168" s="156">
        <f t="shared" si="12"/>
        <v>6148</v>
      </c>
      <c r="G168" s="184">
        <v>217850</v>
      </c>
      <c r="H168" s="156">
        <v>1708</v>
      </c>
      <c r="I168" s="156">
        <v>14533</v>
      </c>
      <c r="J168" s="288">
        <v>981459</v>
      </c>
      <c r="K168" s="7">
        <f t="shared" si="19"/>
        <v>1101.25</v>
      </c>
      <c r="L168" s="7">
        <f t="shared" si="25"/>
        <v>549523.75</v>
      </c>
      <c r="M168" s="4">
        <v>550625</v>
      </c>
      <c r="N168" s="4">
        <v>1154</v>
      </c>
      <c r="O168" s="4">
        <v>75051</v>
      </c>
      <c r="P168" s="4">
        <v>175520</v>
      </c>
      <c r="Q168" s="4">
        <f>294569-P168-O168-N168</f>
        <v>42844</v>
      </c>
      <c r="R168" s="125">
        <f t="shared" si="22"/>
        <v>71016</v>
      </c>
      <c r="S168" s="43">
        <f t="shared" si="26"/>
        <v>2.4050918102962712E-2</v>
      </c>
      <c r="T168" s="35">
        <f t="shared" si="17"/>
        <v>1.9360489392977537E-2</v>
      </c>
      <c r="U168" s="87"/>
      <c r="V168" s="261"/>
    </row>
    <row r="169" spans="1:22" x14ac:dyDescent="0.25">
      <c r="A169" s="44">
        <v>44060</v>
      </c>
      <c r="B169" s="156">
        <v>4557</v>
      </c>
      <c r="C169" s="156">
        <f t="shared" si="24"/>
        <v>299126</v>
      </c>
      <c r="D169" s="156">
        <f>47+64</f>
        <v>111</v>
      </c>
      <c r="E169" s="156">
        <f t="shared" si="27"/>
        <v>5814</v>
      </c>
      <c r="F169" s="156">
        <f t="shared" si="12"/>
        <v>5681</v>
      </c>
      <c r="G169" s="184">
        <v>223531</v>
      </c>
      <c r="H169" s="163">
        <v>1749</v>
      </c>
      <c r="I169" s="163">
        <v>13483</v>
      </c>
      <c r="J169" s="28">
        <f>J168+I169</f>
        <v>994942</v>
      </c>
      <c r="K169" s="7">
        <f t="shared" si="19"/>
        <v>1116.6300000000047</v>
      </c>
      <c r="L169" s="7">
        <f t="shared" si="25"/>
        <v>557198.37</v>
      </c>
      <c r="M169" s="4">
        <v>558315</v>
      </c>
      <c r="N169" s="4">
        <v>1157</v>
      </c>
      <c r="O169" s="4">
        <v>76226</v>
      </c>
      <c r="P169" s="4">
        <v>180483</v>
      </c>
      <c r="Q169" s="4">
        <f>299126-P169-O169-N169</f>
        <v>41260</v>
      </c>
      <c r="R169" s="125">
        <f t="shared" si="22"/>
        <v>69781</v>
      </c>
      <c r="S169" s="43">
        <f t="shared" si="26"/>
        <v>2.5064129204224645E-2</v>
      </c>
      <c r="T169" s="35">
        <f t="shared" si="17"/>
        <v>1.9436625368573778E-2</v>
      </c>
      <c r="U169" s="87"/>
      <c r="V169" s="261"/>
    </row>
    <row r="170" spans="1:22" x14ac:dyDescent="0.25">
      <c r="A170" s="2">
        <v>44061</v>
      </c>
      <c r="B170" s="156">
        <v>6840</v>
      </c>
      <c r="C170" s="156">
        <f t="shared" ref="C170:C177" si="28">C169+B170</f>
        <v>305966</v>
      </c>
      <c r="D170" s="156">
        <f>63+170</f>
        <v>233</v>
      </c>
      <c r="E170" s="156">
        <f t="shared" si="27"/>
        <v>6047</v>
      </c>
      <c r="F170" s="156">
        <f t="shared" si="12"/>
        <v>5194</v>
      </c>
      <c r="G170" s="184">
        <v>228725</v>
      </c>
      <c r="H170" s="156">
        <v>1799</v>
      </c>
      <c r="I170" s="156">
        <v>18037</v>
      </c>
      <c r="J170" s="4">
        <f t="shared" ref="J170:J233" si="29">J171-I171</f>
        <v>969683</v>
      </c>
      <c r="K170" s="7">
        <f t="shared" si="19"/>
        <v>1136.4399999999441</v>
      </c>
      <c r="L170" s="7">
        <f t="shared" si="25"/>
        <v>567083.56000000006</v>
      </c>
      <c r="M170" s="4">
        <v>568220</v>
      </c>
      <c r="N170" s="4">
        <v>1161</v>
      </c>
      <c r="O170" s="4">
        <v>77895</v>
      </c>
      <c r="P170" s="4">
        <v>185880</v>
      </c>
      <c r="Q170" s="4">
        <f>305966-P170-O170-N170</f>
        <v>41030</v>
      </c>
      <c r="R170" s="125">
        <f t="shared" si="22"/>
        <v>71194</v>
      </c>
      <c r="S170" s="43">
        <f t="shared" si="26"/>
        <v>2.5268983341292805E-2</v>
      </c>
      <c r="T170" s="35">
        <f t="shared" si="17"/>
        <v>1.9763633867815378E-2</v>
      </c>
      <c r="U170" s="87"/>
      <c r="V170" s="261"/>
    </row>
    <row r="171" spans="1:22" x14ac:dyDescent="0.25">
      <c r="A171" s="2">
        <v>44062</v>
      </c>
      <c r="B171" s="156">
        <v>6693</v>
      </c>
      <c r="C171" s="156">
        <f t="shared" si="28"/>
        <v>312659</v>
      </c>
      <c r="D171" s="156">
        <f>217+66</f>
        <v>283</v>
      </c>
      <c r="E171" s="156">
        <f t="shared" si="27"/>
        <v>6330</v>
      </c>
      <c r="F171" s="156">
        <f t="shared" si="12"/>
        <v>4926</v>
      </c>
      <c r="G171" s="184">
        <v>233651</v>
      </c>
      <c r="H171" s="156">
        <v>1795</v>
      </c>
      <c r="I171" s="156">
        <v>18013</v>
      </c>
      <c r="J171" s="4">
        <f t="shared" si="29"/>
        <v>987696</v>
      </c>
      <c r="K171" s="7">
        <f t="shared" si="19"/>
        <v>1156.0860000000102</v>
      </c>
      <c r="L171" s="7">
        <f t="shared" si="25"/>
        <v>576886.91399999999</v>
      </c>
      <c r="M171" s="4">
        <v>578043</v>
      </c>
      <c r="N171" s="4">
        <v>1163</v>
      </c>
      <c r="O171" s="4">
        <v>79219</v>
      </c>
      <c r="P171" s="4">
        <v>191037</v>
      </c>
      <c r="Q171" s="7">
        <f>C171-P171-O171-N171</f>
        <v>41240</v>
      </c>
      <c r="R171" s="125">
        <f t="shared" si="22"/>
        <v>72678</v>
      </c>
      <c r="S171" s="43">
        <f t="shared" si="26"/>
        <v>2.4697982883403507E-2</v>
      </c>
      <c r="T171" s="35">
        <f t="shared" si="17"/>
        <v>2.0245698988354724E-2</v>
      </c>
      <c r="U171" s="87"/>
      <c r="V171" s="261"/>
    </row>
    <row r="172" spans="1:22" x14ac:dyDescent="0.25">
      <c r="A172" s="2">
        <v>44063</v>
      </c>
      <c r="B172" s="161">
        <v>8225</v>
      </c>
      <c r="C172" s="156">
        <f t="shared" si="28"/>
        <v>320884</v>
      </c>
      <c r="D172" s="156">
        <f>111+75</f>
        <v>186</v>
      </c>
      <c r="E172" s="156">
        <f>E171+D172</f>
        <v>6516</v>
      </c>
      <c r="F172" s="156">
        <f t="shared" si="12"/>
        <v>6155</v>
      </c>
      <c r="G172" s="184">
        <v>239806</v>
      </c>
      <c r="H172" s="156">
        <v>1832</v>
      </c>
      <c r="I172" s="156">
        <v>21695</v>
      </c>
      <c r="J172" s="4">
        <f t="shared" si="29"/>
        <v>1009391</v>
      </c>
      <c r="K172" s="7">
        <f t="shared" si="19"/>
        <v>1178.905999999959</v>
      </c>
      <c r="L172" s="7">
        <f t="shared" si="25"/>
        <v>588274.09400000004</v>
      </c>
      <c r="M172" s="4">
        <v>589453</v>
      </c>
      <c r="N172" s="4">
        <v>1172</v>
      </c>
      <c r="O172" s="4">
        <v>80662</v>
      </c>
      <c r="P172" s="4">
        <v>196370</v>
      </c>
      <c r="Q172" s="7">
        <f>C172-P172-O172-N172</f>
        <v>42680</v>
      </c>
      <c r="R172" s="125">
        <f t="shared" si="22"/>
        <v>74562</v>
      </c>
      <c r="S172" s="43">
        <f t="shared" si="26"/>
        <v>2.4570156379925431E-2</v>
      </c>
      <c r="T172" s="35">
        <f t="shared" si="17"/>
        <v>2.0306403560165043E-2</v>
      </c>
      <c r="U172" s="87"/>
      <c r="V172" s="261"/>
    </row>
    <row r="173" spans="1:22" x14ac:dyDescent="0.25">
      <c r="A173" s="2">
        <v>44064</v>
      </c>
      <c r="B173" s="156">
        <v>8159</v>
      </c>
      <c r="C173" s="156">
        <f t="shared" si="28"/>
        <v>329043</v>
      </c>
      <c r="D173" s="156">
        <f>50+164</f>
        <v>214</v>
      </c>
      <c r="E173" s="156">
        <f>E172+D173</f>
        <v>6730</v>
      </c>
      <c r="F173" s="156">
        <f t="shared" si="12"/>
        <v>5975</v>
      </c>
      <c r="G173" s="184">
        <v>245781</v>
      </c>
      <c r="H173" s="163">
        <v>1853</v>
      </c>
      <c r="I173" s="163">
        <v>21032</v>
      </c>
      <c r="J173" s="4">
        <f t="shared" si="29"/>
        <v>1030423</v>
      </c>
      <c r="K173" s="7">
        <f t="shared" si="19"/>
        <v>1201.0119999999879</v>
      </c>
      <c r="L173" s="7">
        <f t="shared" si="25"/>
        <v>599304.98800000001</v>
      </c>
      <c r="M173" s="4">
        <v>600506</v>
      </c>
      <c r="N173" s="4">
        <v>1175</v>
      </c>
      <c r="O173" s="4">
        <v>82187</v>
      </c>
      <c r="P173" s="4">
        <v>201933</v>
      </c>
      <c r="Q173" s="7">
        <f>C173-P173-O173-N173</f>
        <v>43748</v>
      </c>
      <c r="R173" s="125">
        <f t="shared" si="22"/>
        <v>76532</v>
      </c>
      <c r="S173" s="43">
        <f t="shared" si="26"/>
        <v>2.4212094287356923E-2</v>
      </c>
      <c r="T173" s="35">
        <f t="shared" si="17"/>
        <v>2.0453253830046529E-2</v>
      </c>
      <c r="U173" s="87"/>
      <c r="V173" s="261"/>
    </row>
    <row r="174" spans="1:22" x14ac:dyDescent="0.25">
      <c r="A174" s="2">
        <v>44065</v>
      </c>
      <c r="B174" s="156">
        <v>7759</v>
      </c>
      <c r="C174" s="156">
        <f t="shared" si="28"/>
        <v>336802</v>
      </c>
      <c r="D174" s="156">
        <v>118</v>
      </c>
      <c r="E174" s="156">
        <f>E173+D174</f>
        <v>6848</v>
      </c>
      <c r="F174" s="156">
        <f t="shared" si="12"/>
        <v>5619</v>
      </c>
      <c r="G174" s="184">
        <v>251400</v>
      </c>
      <c r="H174" s="163">
        <v>1907</v>
      </c>
      <c r="I174" s="163">
        <v>18837</v>
      </c>
      <c r="J174" s="4">
        <f t="shared" si="29"/>
        <v>1049260</v>
      </c>
      <c r="K174" s="7">
        <f t="shared" si="19"/>
        <v>1220.3220000000438</v>
      </c>
      <c r="L174" s="7">
        <f t="shared" si="25"/>
        <v>608940.67799999996</v>
      </c>
      <c r="M174" s="4">
        <v>610161</v>
      </c>
      <c r="N174" s="4">
        <v>1178</v>
      </c>
      <c r="O174" s="4">
        <v>83443</v>
      </c>
      <c r="P174" s="4">
        <v>205996</v>
      </c>
      <c r="Q174" s="7">
        <f>C174-P174-O174-N174</f>
        <v>46185</v>
      </c>
      <c r="R174" s="125">
        <f t="shared" si="22"/>
        <v>78554</v>
      </c>
      <c r="S174" s="43">
        <f t="shared" si="26"/>
        <v>2.4276294014308628E-2</v>
      </c>
      <c r="T174" s="35">
        <f t="shared" si="17"/>
        <v>2.0332420828854936E-2</v>
      </c>
      <c r="U174" s="87"/>
      <c r="V174" s="261"/>
    </row>
    <row r="175" spans="1:22" x14ac:dyDescent="0.25">
      <c r="A175" s="2">
        <v>44066</v>
      </c>
      <c r="B175" s="156">
        <v>5352</v>
      </c>
      <c r="C175" s="156">
        <f t="shared" si="28"/>
        <v>342154</v>
      </c>
      <c r="D175" s="156">
        <f>99+37</f>
        <v>136</v>
      </c>
      <c r="E175" s="156">
        <f>E174+D175</f>
        <v>6984</v>
      </c>
      <c r="F175" s="156">
        <f t="shared" si="12"/>
        <v>5389</v>
      </c>
      <c r="G175" s="184">
        <v>256789</v>
      </c>
      <c r="H175" s="156">
        <v>1922</v>
      </c>
      <c r="I175" s="156">
        <v>13322</v>
      </c>
      <c r="J175" s="4">
        <f t="shared" si="29"/>
        <v>1062582</v>
      </c>
      <c r="K175" s="7">
        <f t="shared" si="19"/>
        <v>1234.4039999999804</v>
      </c>
      <c r="L175" s="7">
        <f t="shared" si="25"/>
        <v>615967.59600000002</v>
      </c>
      <c r="M175" s="4">
        <v>617202</v>
      </c>
      <c r="N175" s="4">
        <v>1179</v>
      </c>
      <c r="O175" s="4">
        <v>84223</v>
      </c>
      <c r="P175" s="4">
        <v>209236</v>
      </c>
      <c r="Q175" s="7">
        <f t="shared" ref="Q175:Q198" si="30">C175-P175-O175-N175</f>
        <v>47516</v>
      </c>
      <c r="R175" s="125">
        <f t="shared" si="22"/>
        <v>78381</v>
      </c>
      <c r="S175" s="43">
        <f t="shared" si="26"/>
        <v>2.4521248772023833E-2</v>
      </c>
      <c r="T175" s="35">
        <f t="shared" si="17"/>
        <v>2.041186132560192E-2</v>
      </c>
      <c r="U175" s="87"/>
      <c r="V175" s="261"/>
    </row>
    <row r="176" spans="1:22" x14ac:dyDescent="0.25">
      <c r="A176" s="44">
        <v>44067</v>
      </c>
      <c r="B176" s="156">
        <v>8713</v>
      </c>
      <c r="C176" s="156">
        <f t="shared" si="28"/>
        <v>350867</v>
      </c>
      <c r="D176" s="156">
        <f>95+286</f>
        <v>381</v>
      </c>
      <c r="E176" s="156">
        <f>D176+E175</f>
        <v>7365</v>
      </c>
      <c r="F176" s="156">
        <f t="shared" si="12"/>
        <v>6413</v>
      </c>
      <c r="G176" s="184">
        <v>263202</v>
      </c>
      <c r="H176" s="156">
        <v>1960</v>
      </c>
      <c r="I176" s="156">
        <v>21220</v>
      </c>
      <c r="J176" s="4">
        <f t="shared" si="29"/>
        <v>1083802</v>
      </c>
      <c r="K176" s="7">
        <f t="shared" si="19"/>
        <v>1256.7859999999637</v>
      </c>
      <c r="L176" s="7">
        <f t="shared" si="25"/>
        <v>627136.21400000004</v>
      </c>
      <c r="M176" s="4">
        <v>628393</v>
      </c>
      <c r="N176" s="4">
        <v>1180</v>
      </c>
      <c r="O176" s="4">
        <v>85600</v>
      </c>
      <c r="P176" s="4">
        <v>213348</v>
      </c>
      <c r="Q176" s="7">
        <f t="shared" si="30"/>
        <v>50739</v>
      </c>
      <c r="R176" s="125">
        <f t="shared" si="22"/>
        <v>80300</v>
      </c>
      <c r="S176" s="43">
        <f t="shared" si="26"/>
        <v>2.4408468244084682E-2</v>
      </c>
      <c r="T176" s="35">
        <f t="shared" si="17"/>
        <v>2.0990859784476738E-2</v>
      </c>
      <c r="U176" s="87"/>
      <c r="V176" s="261"/>
    </row>
    <row r="177" spans="1:22" s="40" customFormat="1" x14ac:dyDescent="0.25">
      <c r="A177" s="2">
        <v>44068</v>
      </c>
      <c r="B177" s="156">
        <v>8771</v>
      </c>
      <c r="C177" s="156">
        <f t="shared" si="28"/>
        <v>359638</v>
      </c>
      <c r="D177" s="156">
        <f>36+162</f>
        <v>198</v>
      </c>
      <c r="E177" s="156">
        <f t="shared" ref="E177:E192" si="31">E176+D177</f>
        <v>7563</v>
      </c>
      <c r="F177" s="156">
        <f t="shared" si="12"/>
        <v>5599</v>
      </c>
      <c r="G177" s="184">
        <v>268801</v>
      </c>
      <c r="H177" s="156">
        <v>1990</v>
      </c>
      <c r="I177" s="156">
        <v>21476</v>
      </c>
      <c r="J177" s="4">
        <f t="shared" si="29"/>
        <v>1105278</v>
      </c>
      <c r="K177" s="7">
        <f t="shared" si="19"/>
        <v>1278.204000000027</v>
      </c>
      <c r="L177" s="7">
        <f t="shared" si="25"/>
        <v>637823.79599999997</v>
      </c>
      <c r="M177" s="4">
        <v>639102</v>
      </c>
      <c r="N177" s="4">
        <v>1183</v>
      </c>
      <c r="O177" s="4">
        <v>87216</v>
      </c>
      <c r="P177" s="4">
        <v>219449</v>
      </c>
      <c r="Q177" s="4">
        <f t="shared" si="30"/>
        <v>51790</v>
      </c>
      <c r="R177" s="125">
        <f t="shared" si="22"/>
        <v>83274</v>
      </c>
      <c r="S177" s="43">
        <f t="shared" si="26"/>
        <v>2.3897014674448207E-2</v>
      </c>
      <c r="T177" s="35">
        <f t="shared" si="17"/>
        <v>2.1029479643419217E-2</v>
      </c>
      <c r="U177" s="87"/>
      <c r="V177" s="261"/>
    </row>
    <row r="178" spans="1:22" x14ac:dyDescent="0.25">
      <c r="A178" s="2">
        <v>44069</v>
      </c>
      <c r="B178" s="156">
        <v>10550</v>
      </c>
      <c r="C178" s="156">
        <f t="shared" ref="C178:C192" si="32">C177+B178</f>
        <v>370188</v>
      </c>
      <c r="D178" s="156">
        <f>98+178</f>
        <v>276</v>
      </c>
      <c r="E178" s="156">
        <f t="shared" si="31"/>
        <v>7839</v>
      </c>
      <c r="F178" s="156">
        <f t="shared" si="12"/>
        <v>5657</v>
      </c>
      <c r="G178" s="184">
        <v>274458</v>
      </c>
      <c r="H178" s="156">
        <v>2022</v>
      </c>
      <c r="I178" s="156">
        <v>24237</v>
      </c>
      <c r="J178" s="4">
        <f t="shared" si="29"/>
        <v>1129515</v>
      </c>
      <c r="K178" s="7">
        <f t="shared" si="19"/>
        <v>1301.7900000000373</v>
      </c>
      <c r="L178" s="7">
        <f t="shared" si="25"/>
        <v>649593.21</v>
      </c>
      <c r="M178" s="4">
        <v>650895</v>
      </c>
      <c r="N178" s="4">
        <v>1187</v>
      </c>
      <c r="O178" s="4">
        <v>88811</v>
      </c>
      <c r="P178" s="4">
        <v>226073</v>
      </c>
      <c r="Q178" s="4">
        <f t="shared" si="30"/>
        <v>54117</v>
      </c>
      <c r="R178" s="125">
        <f t="shared" si="22"/>
        <v>87891</v>
      </c>
      <c r="S178" s="43">
        <f t="shared" si="26"/>
        <v>2.300576850872103E-2</v>
      </c>
      <c r="T178" s="35">
        <f t="shared" si="17"/>
        <v>2.1175726927939318E-2</v>
      </c>
      <c r="U178" s="87"/>
      <c r="V178" s="261"/>
    </row>
    <row r="179" spans="1:22" x14ac:dyDescent="0.25">
      <c r="A179" s="2">
        <v>44070</v>
      </c>
      <c r="B179" s="156">
        <v>10104</v>
      </c>
      <c r="C179" s="156">
        <f t="shared" si="32"/>
        <v>380292</v>
      </c>
      <c r="D179" s="156">
        <f>105+106</f>
        <v>211</v>
      </c>
      <c r="E179" s="156">
        <f t="shared" si="31"/>
        <v>8050</v>
      </c>
      <c r="F179" s="156">
        <f t="shared" si="12"/>
        <v>0</v>
      </c>
      <c r="G179" s="184">
        <v>274458</v>
      </c>
      <c r="H179" s="156">
        <v>2075</v>
      </c>
      <c r="I179" s="156">
        <v>24067</v>
      </c>
      <c r="J179" s="4">
        <f t="shared" si="29"/>
        <v>1153582</v>
      </c>
      <c r="K179" s="7">
        <f t="shared" si="19"/>
        <v>1061.1663999999873</v>
      </c>
      <c r="L179" s="7">
        <f t="shared" ref="L179:L190" si="33">0.9984*M179</f>
        <v>662167.83360000001</v>
      </c>
      <c r="M179" s="4">
        <v>663229</v>
      </c>
      <c r="N179" s="4">
        <v>1187</v>
      </c>
      <c r="O179" s="4">
        <v>90269</v>
      </c>
      <c r="P179" s="4">
        <v>232379</v>
      </c>
      <c r="Q179" s="4">
        <f t="shared" si="30"/>
        <v>56457</v>
      </c>
      <c r="R179" s="125">
        <f t="shared" si="22"/>
        <v>97784</v>
      </c>
      <c r="S179" s="43">
        <f t="shared" si="26"/>
        <v>2.1220240530148083E-2</v>
      </c>
      <c r="T179" s="35">
        <f t="shared" si="17"/>
        <v>2.1167944632019604E-2</v>
      </c>
      <c r="U179" s="87"/>
      <c r="V179" s="261"/>
    </row>
    <row r="180" spans="1:22" x14ac:dyDescent="0.25">
      <c r="A180" s="2">
        <v>44071</v>
      </c>
      <c r="B180" s="162">
        <v>11717</v>
      </c>
      <c r="C180" s="163">
        <f t="shared" si="32"/>
        <v>392009</v>
      </c>
      <c r="D180" s="163">
        <f>80+142</f>
        <v>222</v>
      </c>
      <c r="E180" s="163">
        <f t="shared" si="31"/>
        <v>8272</v>
      </c>
      <c r="F180" s="156">
        <f t="shared" si="12"/>
        <v>12762</v>
      </c>
      <c r="G180" s="184">
        <v>287220</v>
      </c>
      <c r="H180" s="163">
        <v>2114</v>
      </c>
      <c r="I180" s="163">
        <v>25481</v>
      </c>
      <c r="J180" s="4">
        <f t="shared" si="29"/>
        <v>1179063</v>
      </c>
      <c r="K180" s="7">
        <f t="shared" si="19"/>
        <v>1081.8352000000887</v>
      </c>
      <c r="L180" s="7">
        <f t="shared" si="33"/>
        <v>675065.16479999991</v>
      </c>
      <c r="M180" s="4">
        <v>676147</v>
      </c>
      <c r="N180" s="4">
        <v>1190</v>
      </c>
      <c r="O180" s="4">
        <v>92043</v>
      </c>
      <c r="P180" s="4">
        <v>239019</v>
      </c>
      <c r="Q180" s="4">
        <f t="shared" si="30"/>
        <v>59757</v>
      </c>
      <c r="R180" s="125">
        <f t="shared" si="22"/>
        <v>96517</v>
      </c>
      <c r="S180" s="43">
        <f t="shared" si="26"/>
        <v>2.1902877213340655E-2</v>
      </c>
      <c r="T180" s="35">
        <f t="shared" si="17"/>
        <v>2.1101556341818681E-2</v>
      </c>
      <c r="U180" s="87"/>
      <c r="V180" s="261"/>
    </row>
    <row r="181" spans="1:22" x14ac:dyDescent="0.25">
      <c r="A181" s="42">
        <v>44072</v>
      </c>
      <c r="B181" s="163">
        <v>9230</v>
      </c>
      <c r="C181" s="163">
        <f t="shared" si="32"/>
        <v>401239</v>
      </c>
      <c r="D181" s="163">
        <f>34+47</f>
        <v>81</v>
      </c>
      <c r="E181" s="163">
        <f t="shared" si="31"/>
        <v>8353</v>
      </c>
      <c r="F181" s="156">
        <f t="shared" si="12"/>
        <v>6787</v>
      </c>
      <c r="G181" s="184">
        <v>294007</v>
      </c>
      <c r="H181" s="163">
        <v>2192</v>
      </c>
      <c r="I181" s="163">
        <v>19910</v>
      </c>
      <c r="J181" s="4">
        <f t="shared" si="29"/>
        <v>1198973</v>
      </c>
      <c r="K181" s="7">
        <f t="shared" ref="K181:K193" si="34">M181-L181</f>
        <v>1097.3584000000264</v>
      </c>
      <c r="L181" s="7">
        <f t="shared" si="33"/>
        <v>684751.64159999997</v>
      </c>
      <c r="M181" s="7">
        <v>685849</v>
      </c>
      <c r="N181" s="4">
        <v>1191</v>
      </c>
      <c r="O181" s="4">
        <v>93278</v>
      </c>
      <c r="P181" s="4">
        <v>244308</v>
      </c>
      <c r="Q181" s="4">
        <f t="shared" si="30"/>
        <v>62462</v>
      </c>
      <c r="R181" s="125">
        <f t="shared" si="22"/>
        <v>98879</v>
      </c>
      <c r="S181" s="43">
        <f t="shared" si="26"/>
        <v>2.2168508985730032E-2</v>
      </c>
      <c r="T181" s="35">
        <f t="shared" si="17"/>
        <v>2.0818016194836492E-2</v>
      </c>
      <c r="U181" s="87"/>
      <c r="V181" s="261"/>
    </row>
    <row r="182" spans="1:22" x14ac:dyDescent="0.25">
      <c r="A182" s="2">
        <v>44073</v>
      </c>
      <c r="B182" s="156">
        <v>7187</v>
      </c>
      <c r="C182" s="156">
        <f t="shared" si="32"/>
        <v>408426</v>
      </c>
      <c r="D182" s="156">
        <f>48+55</f>
        <v>103</v>
      </c>
      <c r="E182" s="156">
        <f t="shared" si="31"/>
        <v>8456</v>
      </c>
      <c r="F182" s="156">
        <f t="shared" si="12"/>
        <v>6188</v>
      </c>
      <c r="G182" s="184">
        <v>300195</v>
      </c>
      <c r="H182" s="156">
        <v>2232</v>
      </c>
      <c r="I182" s="156">
        <v>15637</v>
      </c>
      <c r="J182" s="4">
        <f t="shared" si="29"/>
        <v>1214610</v>
      </c>
      <c r="K182" s="7">
        <f t="shared" si="34"/>
        <v>1109.0415999999968</v>
      </c>
      <c r="L182" s="7">
        <f t="shared" si="33"/>
        <v>692041.9584</v>
      </c>
      <c r="M182" s="4">
        <v>693151</v>
      </c>
      <c r="N182" s="4">
        <v>1191</v>
      </c>
      <c r="O182" s="4">
        <v>94301</v>
      </c>
      <c r="P182" s="4">
        <v>247931</v>
      </c>
      <c r="Q182" s="4">
        <f t="shared" si="30"/>
        <v>65003</v>
      </c>
      <c r="R182" s="125">
        <f t="shared" si="22"/>
        <v>99775</v>
      </c>
      <c r="S182" s="43">
        <f t="shared" si="26"/>
        <v>2.2370333249812076E-2</v>
      </c>
      <c r="T182" s="35">
        <f t="shared" si="17"/>
        <v>2.0703872917003326E-2</v>
      </c>
      <c r="U182" s="87"/>
      <c r="V182" s="261"/>
    </row>
    <row r="183" spans="1:22" x14ac:dyDescent="0.25">
      <c r="A183" s="44">
        <v>44074</v>
      </c>
      <c r="B183" s="163">
        <v>9309</v>
      </c>
      <c r="C183" s="163">
        <f t="shared" si="32"/>
        <v>417735</v>
      </c>
      <c r="D183" s="163">
        <f>41+162</f>
        <v>203</v>
      </c>
      <c r="E183" s="163">
        <f t="shared" si="31"/>
        <v>8659</v>
      </c>
      <c r="F183" s="156">
        <f t="shared" si="12"/>
        <v>8181</v>
      </c>
      <c r="G183" s="184">
        <v>308376</v>
      </c>
      <c r="H183" s="163">
        <v>2273</v>
      </c>
      <c r="I183" s="163">
        <v>19845</v>
      </c>
      <c r="J183" s="4">
        <f t="shared" si="29"/>
        <v>1234455</v>
      </c>
      <c r="K183" s="7">
        <f t="shared" si="34"/>
        <v>1125.2863999999827</v>
      </c>
      <c r="L183" s="7">
        <f t="shared" si="33"/>
        <v>702178.71360000002</v>
      </c>
      <c r="M183" s="4">
        <v>703304</v>
      </c>
      <c r="N183" s="4">
        <v>1197</v>
      </c>
      <c r="O183" s="4">
        <v>95857</v>
      </c>
      <c r="P183" s="4">
        <v>255688</v>
      </c>
      <c r="Q183" s="4">
        <f t="shared" si="30"/>
        <v>64993</v>
      </c>
      <c r="R183" s="125">
        <f t="shared" si="22"/>
        <v>100700</v>
      </c>
      <c r="S183" s="43">
        <f t="shared" si="26"/>
        <v>2.2571996027805363E-2</v>
      </c>
      <c r="T183" s="35">
        <f t="shared" si="17"/>
        <v>2.0728452248435014E-2</v>
      </c>
      <c r="U183" s="87"/>
      <c r="V183" s="261"/>
    </row>
    <row r="184" spans="1:22" x14ac:dyDescent="0.25">
      <c r="A184" s="46">
        <v>44075</v>
      </c>
      <c r="B184" s="156">
        <v>10504</v>
      </c>
      <c r="C184" s="156">
        <f t="shared" si="32"/>
        <v>428239</v>
      </c>
      <c r="D184" s="156">
        <f>70+189</f>
        <v>259</v>
      </c>
      <c r="E184" s="156">
        <f t="shared" si="31"/>
        <v>8918</v>
      </c>
      <c r="F184" s="156">
        <f t="shared" si="12"/>
        <v>7154</v>
      </c>
      <c r="G184" s="184">
        <v>315530</v>
      </c>
      <c r="H184" s="156">
        <v>2314</v>
      </c>
      <c r="I184" s="156">
        <v>23115</v>
      </c>
      <c r="J184" s="4">
        <f t="shared" si="29"/>
        <v>1257570</v>
      </c>
      <c r="K184" s="7">
        <f t="shared" si="34"/>
        <v>1148.1040000000503</v>
      </c>
      <c r="L184" s="7">
        <f t="shared" si="33"/>
        <v>716416.89599999995</v>
      </c>
      <c r="M184" s="4">
        <v>717565</v>
      </c>
      <c r="N184" s="4">
        <v>1200</v>
      </c>
      <c r="O184" s="4">
        <v>97726</v>
      </c>
      <c r="P184" s="4">
        <v>263555</v>
      </c>
      <c r="Q184" s="4">
        <f t="shared" si="30"/>
        <v>65758</v>
      </c>
      <c r="R184" s="125">
        <f t="shared" si="22"/>
        <v>103791</v>
      </c>
      <c r="S184" s="43">
        <f t="shared" si="26"/>
        <v>2.2294803981077357E-2</v>
      </c>
      <c r="T184" s="35">
        <f t="shared" si="17"/>
        <v>2.0824819785213396E-2</v>
      </c>
      <c r="U184" s="87"/>
      <c r="V184" s="261"/>
    </row>
    <row r="185" spans="1:22" x14ac:dyDescent="0.25">
      <c r="A185" s="46">
        <v>44076</v>
      </c>
      <c r="B185" s="156">
        <v>10933</v>
      </c>
      <c r="C185" s="156">
        <f t="shared" si="32"/>
        <v>439172</v>
      </c>
      <c r="D185" s="156">
        <f>52+146</f>
        <v>198</v>
      </c>
      <c r="E185" s="156">
        <f t="shared" si="31"/>
        <v>9116</v>
      </c>
      <c r="F185" s="156">
        <f t="shared" si="12"/>
        <v>6931</v>
      </c>
      <c r="G185" s="184">
        <v>322461</v>
      </c>
      <c r="H185" s="156">
        <v>2359</v>
      </c>
      <c r="I185" s="156">
        <v>23821</v>
      </c>
      <c r="J185" s="4">
        <f t="shared" si="29"/>
        <v>1281391</v>
      </c>
      <c r="K185" s="7">
        <f t="shared" si="34"/>
        <v>1166.611200000043</v>
      </c>
      <c r="L185" s="7">
        <f t="shared" si="33"/>
        <v>727965.38879999996</v>
      </c>
      <c r="M185" s="4">
        <v>729132</v>
      </c>
      <c r="N185" s="4">
        <v>1200</v>
      </c>
      <c r="O185" s="4">
        <v>99630</v>
      </c>
      <c r="P185" s="4">
        <v>272419</v>
      </c>
      <c r="Q185" s="4">
        <f t="shared" si="30"/>
        <v>65923</v>
      </c>
      <c r="R185" s="125">
        <f t="shared" si="22"/>
        <v>107595</v>
      </c>
      <c r="S185" s="43">
        <f t="shared" si="26"/>
        <v>2.1924810632464334E-2</v>
      </c>
      <c r="T185" s="35">
        <f t="shared" si="17"/>
        <v>2.075724317579445E-2</v>
      </c>
      <c r="U185" s="87"/>
      <c r="V185" s="261"/>
    </row>
    <row r="186" spans="1:22" x14ac:dyDescent="0.25">
      <c r="A186" s="46">
        <v>44077</v>
      </c>
      <c r="B186" s="164">
        <v>12026</v>
      </c>
      <c r="C186" s="156">
        <f t="shared" si="32"/>
        <v>451198</v>
      </c>
      <c r="D186" s="156">
        <f>38+206</f>
        <v>244</v>
      </c>
      <c r="E186" s="156">
        <f t="shared" si="31"/>
        <v>9360</v>
      </c>
      <c r="F186" s="156">
        <f t="shared" si="12"/>
        <v>9160</v>
      </c>
      <c r="G186" s="184">
        <v>331621</v>
      </c>
      <c r="H186" s="156">
        <v>2394</v>
      </c>
      <c r="I186" s="156">
        <v>25351</v>
      </c>
      <c r="J186" s="4">
        <f t="shared" si="29"/>
        <v>1306742</v>
      </c>
      <c r="K186" s="7">
        <f t="shared" si="34"/>
        <v>1185.8656000000192</v>
      </c>
      <c r="L186" s="7">
        <f t="shared" si="33"/>
        <v>739980.13439999998</v>
      </c>
      <c r="M186" s="4">
        <v>741166</v>
      </c>
      <c r="N186" s="4">
        <v>1202</v>
      </c>
      <c r="O186" s="4">
        <v>101394</v>
      </c>
      <c r="P186" s="4">
        <v>280927</v>
      </c>
      <c r="Q186" s="4">
        <f t="shared" si="30"/>
        <v>67675</v>
      </c>
      <c r="R186" s="125">
        <f t="shared" si="22"/>
        <v>110217</v>
      </c>
      <c r="S186" s="43">
        <f t="shared" si="26"/>
        <v>2.1720787174392336E-2</v>
      </c>
      <c r="T186" s="35">
        <f t="shared" si="17"/>
        <v>2.0744772804843992E-2</v>
      </c>
      <c r="U186" s="87"/>
      <c r="V186" s="261"/>
    </row>
    <row r="187" spans="1:22" x14ac:dyDescent="0.25">
      <c r="A187" s="46">
        <v>44078</v>
      </c>
      <c r="B187" s="156">
        <v>10684</v>
      </c>
      <c r="C187" s="156">
        <f t="shared" si="32"/>
        <v>461882</v>
      </c>
      <c r="D187" s="156">
        <f>107+155</f>
        <v>262</v>
      </c>
      <c r="E187" s="156">
        <f t="shared" si="31"/>
        <v>9622</v>
      </c>
      <c r="F187" s="156">
        <f t="shared" si="12"/>
        <v>8760</v>
      </c>
      <c r="G187" s="184">
        <v>340381</v>
      </c>
      <c r="H187" s="156">
        <v>2425</v>
      </c>
      <c r="I187" s="156">
        <v>24486</v>
      </c>
      <c r="J187" s="4">
        <f t="shared" si="29"/>
        <v>1331228</v>
      </c>
      <c r="K187" s="7">
        <f t="shared" si="34"/>
        <v>1205.8336000000127</v>
      </c>
      <c r="L187" s="7">
        <f t="shared" si="33"/>
        <v>752440.16639999999</v>
      </c>
      <c r="M187" s="4">
        <v>753646</v>
      </c>
      <c r="N187" s="4">
        <v>1205</v>
      </c>
      <c r="O187" s="4">
        <v>103049</v>
      </c>
      <c r="P187" s="4">
        <v>289005</v>
      </c>
      <c r="Q187" s="4">
        <f t="shared" si="30"/>
        <v>68623</v>
      </c>
      <c r="R187" s="125">
        <f t="shared" si="22"/>
        <v>111879</v>
      </c>
      <c r="S187" s="43">
        <f t="shared" si="26"/>
        <v>2.167520267431779E-2</v>
      </c>
      <c r="T187" s="35">
        <f t="shared" si="17"/>
        <v>2.0832160595130357E-2</v>
      </c>
      <c r="U187" s="87"/>
      <c r="V187" s="261"/>
    </row>
    <row r="188" spans="1:22" x14ac:dyDescent="0.25">
      <c r="A188" s="46">
        <v>44079</v>
      </c>
      <c r="B188" s="163">
        <v>9924</v>
      </c>
      <c r="C188" s="163">
        <f t="shared" si="32"/>
        <v>471806</v>
      </c>
      <c r="D188" s="163">
        <f>62+55</f>
        <v>117</v>
      </c>
      <c r="E188" s="163">
        <f t="shared" si="31"/>
        <v>9739</v>
      </c>
      <c r="F188" s="156">
        <f t="shared" si="12"/>
        <v>8751</v>
      </c>
      <c r="G188" s="184">
        <v>349132</v>
      </c>
      <c r="H188" s="163">
        <v>2456</v>
      </c>
      <c r="I188" s="163">
        <v>22363</v>
      </c>
      <c r="J188" s="4">
        <f t="shared" si="29"/>
        <v>1353591</v>
      </c>
      <c r="K188" s="7">
        <f t="shared" si="34"/>
        <v>1223.704000000027</v>
      </c>
      <c r="L188" s="7">
        <f t="shared" si="33"/>
        <v>763591.29599999997</v>
      </c>
      <c r="M188" s="7">
        <v>764815</v>
      </c>
      <c r="N188" s="4">
        <v>1207</v>
      </c>
      <c r="O188" s="4">
        <v>104581</v>
      </c>
      <c r="P188" s="4">
        <v>294844</v>
      </c>
      <c r="Q188" s="4">
        <f t="shared" si="30"/>
        <v>71174</v>
      </c>
      <c r="R188" s="125">
        <f t="shared" si="22"/>
        <v>112935</v>
      </c>
      <c r="S188" s="43">
        <f t="shared" si="26"/>
        <v>2.1747022623633063E-2</v>
      </c>
      <c r="T188" s="35">
        <f t="shared" si="17"/>
        <v>2.0641958771189853E-2</v>
      </c>
      <c r="U188" s="87"/>
      <c r="V188" s="261"/>
    </row>
    <row r="189" spans="1:22" x14ac:dyDescent="0.25">
      <c r="A189" s="46">
        <v>44080</v>
      </c>
      <c r="B189" s="156">
        <v>6986</v>
      </c>
      <c r="C189" s="156">
        <f t="shared" si="32"/>
        <v>478792</v>
      </c>
      <c r="D189" s="156">
        <f>67+51+1</f>
        <v>119</v>
      </c>
      <c r="E189" s="156">
        <f t="shared" si="31"/>
        <v>9858</v>
      </c>
      <c r="F189" s="156">
        <f t="shared" si="12"/>
        <v>8256</v>
      </c>
      <c r="G189" s="184">
        <v>357388</v>
      </c>
      <c r="H189" s="156">
        <v>2512</v>
      </c>
      <c r="I189" s="156">
        <v>15262</v>
      </c>
      <c r="J189" s="4">
        <f t="shared" si="29"/>
        <v>1368853</v>
      </c>
      <c r="K189" s="7">
        <f t="shared" si="34"/>
        <v>1235.9904000000097</v>
      </c>
      <c r="L189" s="7">
        <f t="shared" si="33"/>
        <v>771258.00959999999</v>
      </c>
      <c r="M189" s="7">
        <v>772494</v>
      </c>
      <c r="N189" s="4">
        <v>1210</v>
      </c>
      <c r="O189" s="4">
        <v>105702</v>
      </c>
      <c r="P189" s="4">
        <v>299270</v>
      </c>
      <c r="Q189" s="4">
        <f t="shared" si="30"/>
        <v>72610</v>
      </c>
      <c r="R189" s="125">
        <f t="shared" si="22"/>
        <v>111546</v>
      </c>
      <c r="S189" s="43">
        <f t="shared" si="26"/>
        <v>2.2519857278611513E-2</v>
      </c>
      <c r="T189" s="35">
        <f t="shared" si="17"/>
        <v>2.0589316446390081E-2</v>
      </c>
      <c r="U189" s="87"/>
      <c r="V189" s="261"/>
    </row>
    <row r="190" spans="1:22" x14ac:dyDescent="0.25">
      <c r="A190" s="49">
        <v>44081</v>
      </c>
      <c r="B190" s="163">
        <v>9215</v>
      </c>
      <c r="C190" s="163">
        <f t="shared" si="32"/>
        <v>488007</v>
      </c>
      <c r="D190" s="163">
        <f>53+215</f>
        <v>268</v>
      </c>
      <c r="E190" s="163">
        <f t="shared" si="31"/>
        <v>10126</v>
      </c>
      <c r="F190" s="156">
        <f t="shared" si="12"/>
        <v>9202</v>
      </c>
      <c r="G190" s="184">
        <v>366590</v>
      </c>
      <c r="H190" s="163">
        <v>2698</v>
      </c>
      <c r="I190" s="163">
        <v>20475</v>
      </c>
      <c r="J190" s="4">
        <f t="shared" si="29"/>
        <v>1389328</v>
      </c>
      <c r="K190" s="7">
        <f t="shared" si="34"/>
        <v>1252.6800000000512</v>
      </c>
      <c r="L190" s="7">
        <f t="shared" si="33"/>
        <v>781672.32</v>
      </c>
      <c r="M190" s="4">
        <v>782925</v>
      </c>
      <c r="N190" s="4">
        <v>1217</v>
      </c>
      <c r="O190" s="4">
        <v>107504</v>
      </c>
      <c r="P190" s="4">
        <v>307566</v>
      </c>
      <c r="Q190" s="4">
        <f t="shared" si="30"/>
        <v>71720</v>
      </c>
      <c r="R190" s="125">
        <f t="shared" si="22"/>
        <v>111291</v>
      </c>
      <c r="S190" s="43">
        <f t="shared" si="26"/>
        <v>2.4242750986153416E-2</v>
      </c>
      <c r="T190" s="35">
        <f t="shared" si="17"/>
        <v>2.074970236082679E-2</v>
      </c>
      <c r="U190" s="87"/>
      <c r="V190" s="261"/>
    </row>
    <row r="191" spans="1:22" x14ac:dyDescent="0.25">
      <c r="A191" s="46">
        <v>44082</v>
      </c>
      <c r="B191" s="156">
        <v>12027</v>
      </c>
      <c r="C191" s="156">
        <f t="shared" si="32"/>
        <v>500034</v>
      </c>
      <c r="D191" s="156">
        <f>50+227</f>
        <v>277</v>
      </c>
      <c r="E191" s="156">
        <f t="shared" si="31"/>
        <v>10403</v>
      </c>
      <c r="F191" s="156">
        <f t="shared" si="12"/>
        <v>15900</v>
      </c>
      <c r="G191" s="184">
        <v>382490</v>
      </c>
      <c r="H191" s="156">
        <v>2719</v>
      </c>
      <c r="I191" s="156">
        <v>25995</v>
      </c>
      <c r="J191" s="4">
        <f t="shared" si="29"/>
        <v>1415323</v>
      </c>
      <c r="K191" s="7">
        <f t="shared" si="34"/>
        <v>1273.516799999983</v>
      </c>
      <c r="L191" s="7">
        <f t="shared" ref="L191:L202" si="35">0.9984*M191</f>
        <v>794674.48320000002</v>
      </c>
      <c r="M191" s="4">
        <v>795948</v>
      </c>
      <c r="N191" s="4">
        <v>1221</v>
      </c>
      <c r="O191" s="4">
        <v>109701</v>
      </c>
      <c r="P191" s="4">
        <v>316074</v>
      </c>
      <c r="Q191" s="4">
        <f t="shared" si="30"/>
        <v>73038</v>
      </c>
      <c r="R191" s="125">
        <f t="shared" si="22"/>
        <v>107141</v>
      </c>
      <c r="S191" s="43">
        <f t="shared" si="26"/>
        <v>2.5377773214735722E-2</v>
      </c>
      <c r="T191" s="35">
        <f t="shared" si="17"/>
        <v>2.0804585288200401E-2</v>
      </c>
      <c r="U191" s="87"/>
      <c r="V191" s="261"/>
    </row>
    <row r="192" spans="1:22" x14ac:dyDescent="0.25">
      <c r="A192" s="46">
        <v>44083</v>
      </c>
      <c r="B192" s="156">
        <v>12259</v>
      </c>
      <c r="C192" s="156">
        <f t="shared" si="32"/>
        <v>512293</v>
      </c>
      <c r="D192" s="156">
        <f>52+202</f>
        <v>254</v>
      </c>
      <c r="E192" s="156">
        <f t="shared" si="31"/>
        <v>10657</v>
      </c>
      <c r="F192" s="156">
        <f t="shared" si="12"/>
        <v>7608</v>
      </c>
      <c r="G192" s="184">
        <v>390098</v>
      </c>
      <c r="H192" s="156">
        <v>2829</v>
      </c>
      <c r="I192" s="156">
        <v>27171</v>
      </c>
      <c r="J192" s="4">
        <f t="shared" si="29"/>
        <v>1442494</v>
      </c>
      <c r="K192" s="7">
        <f t="shared" si="34"/>
        <v>1293.7232000000076</v>
      </c>
      <c r="L192" s="7">
        <f t="shared" si="35"/>
        <v>807283.27679999999</v>
      </c>
      <c r="M192" s="4">
        <v>808577</v>
      </c>
      <c r="N192" s="4">
        <v>1222</v>
      </c>
      <c r="O192" s="4">
        <v>112220</v>
      </c>
      <c r="P192" s="4">
        <v>324064</v>
      </c>
      <c r="Q192" s="4">
        <f t="shared" si="30"/>
        <v>74787</v>
      </c>
      <c r="R192" s="125">
        <f t="shared" si="22"/>
        <v>111538</v>
      </c>
      <c r="S192" s="43">
        <f t="shared" si="26"/>
        <v>2.5363553228496118E-2</v>
      </c>
      <c r="T192" s="35">
        <f t="shared" si="17"/>
        <v>2.0802548541557272E-2</v>
      </c>
      <c r="U192" s="87"/>
      <c r="V192" s="261"/>
    </row>
    <row r="193" spans="1:22" x14ac:dyDescent="0.25">
      <c r="A193" s="46">
        <v>44084</v>
      </c>
      <c r="B193" s="156">
        <v>11905</v>
      </c>
      <c r="C193" s="156">
        <f t="shared" ref="C193:C207" si="36">C192+B193</f>
        <v>524198</v>
      </c>
      <c r="D193" s="156">
        <f>55+195</f>
        <v>250</v>
      </c>
      <c r="E193" s="156">
        <f t="shared" ref="E193:E206" si="37">E192+D193</f>
        <v>10907</v>
      </c>
      <c r="F193" s="156">
        <f t="shared" si="12"/>
        <v>10023</v>
      </c>
      <c r="G193" s="184">
        <v>400121</v>
      </c>
      <c r="H193" s="156">
        <v>2880</v>
      </c>
      <c r="I193" s="156">
        <v>28057</v>
      </c>
      <c r="J193" s="4">
        <f t="shared" si="29"/>
        <v>1470551</v>
      </c>
      <c r="K193" s="7">
        <f t="shared" si="34"/>
        <v>1315.7488000000594</v>
      </c>
      <c r="L193" s="7">
        <f t="shared" si="35"/>
        <v>821027.25119999994</v>
      </c>
      <c r="M193" s="4">
        <v>822343</v>
      </c>
      <c r="N193" s="4">
        <v>1227</v>
      </c>
      <c r="O193" s="4">
        <v>114335</v>
      </c>
      <c r="P193" s="4">
        <v>332280</v>
      </c>
      <c r="Q193" s="4">
        <f t="shared" si="30"/>
        <v>76356</v>
      </c>
      <c r="R193" s="125">
        <f t="shared" si="22"/>
        <v>113170</v>
      </c>
      <c r="S193" s="43">
        <f t="shared" si="26"/>
        <v>2.5448440399399135E-2</v>
      </c>
      <c r="T193" s="35">
        <f t="shared" si="17"/>
        <v>2.0807023300355974E-2</v>
      </c>
      <c r="U193" s="87"/>
      <c r="V193" s="261"/>
    </row>
    <row r="194" spans="1:22" s="51" customFormat="1" x14ac:dyDescent="0.25">
      <c r="A194" s="49">
        <v>44085</v>
      </c>
      <c r="B194" s="154">
        <v>11507</v>
      </c>
      <c r="C194" s="154">
        <f t="shared" si="36"/>
        <v>535705</v>
      </c>
      <c r="D194" s="154">
        <f>87+154</f>
        <v>241</v>
      </c>
      <c r="E194" s="154">
        <f t="shared" si="37"/>
        <v>11148</v>
      </c>
      <c r="F194" s="156">
        <f t="shared" si="12"/>
        <v>9650</v>
      </c>
      <c r="G194" s="184">
        <v>409771</v>
      </c>
      <c r="H194" s="154">
        <v>3093</v>
      </c>
      <c r="I194" s="156">
        <v>26254</v>
      </c>
      <c r="J194" s="4">
        <f t="shared" si="29"/>
        <v>1496805</v>
      </c>
      <c r="K194" s="7">
        <f t="shared" ref="K194:K202" si="38">M194-L194</f>
        <v>1338.017600000021</v>
      </c>
      <c r="L194" s="7">
        <f t="shared" si="35"/>
        <v>834922.98239999998</v>
      </c>
      <c r="M194" s="4">
        <v>836261</v>
      </c>
      <c r="N194" s="4">
        <v>1229</v>
      </c>
      <c r="O194" s="4">
        <v>116159</v>
      </c>
      <c r="P194" s="4">
        <v>340885</v>
      </c>
      <c r="Q194" s="4">
        <f t="shared" si="30"/>
        <v>77432</v>
      </c>
      <c r="R194" s="125">
        <f t="shared" si="22"/>
        <v>114786</v>
      </c>
      <c r="S194" s="43">
        <f t="shared" si="26"/>
        <v>2.6945794783335947E-2</v>
      </c>
      <c r="T194" s="35">
        <f t="shared" si="17"/>
        <v>2.0809960705985571E-2</v>
      </c>
      <c r="U194" s="87"/>
      <c r="V194" s="261"/>
    </row>
    <row r="195" spans="1:22" x14ac:dyDescent="0.25">
      <c r="A195" s="46">
        <v>44086</v>
      </c>
      <c r="B195" s="154">
        <v>10776</v>
      </c>
      <c r="C195" s="154">
        <f t="shared" si="36"/>
        <v>546481</v>
      </c>
      <c r="D195" s="154">
        <f>57+58</f>
        <v>115</v>
      </c>
      <c r="E195" s="154">
        <f t="shared" si="37"/>
        <v>11263</v>
      </c>
      <c r="F195" s="156">
        <f t="shared" ref="F195:F258" si="39">G195-G194</f>
        <v>9742</v>
      </c>
      <c r="G195" s="184">
        <v>419513</v>
      </c>
      <c r="H195" s="154">
        <v>2962</v>
      </c>
      <c r="I195" s="156">
        <v>23140</v>
      </c>
      <c r="J195" s="4">
        <f t="shared" si="29"/>
        <v>1519945</v>
      </c>
      <c r="K195" s="7">
        <f t="shared" si="38"/>
        <v>1355.5903999999864</v>
      </c>
      <c r="L195" s="7">
        <f t="shared" si="35"/>
        <v>845888.40960000001</v>
      </c>
      <c r="M195" s="4">
        <v>847244</v>
      </c>
      <c r="N195" s="4">
        <v>1232</v>
      </c>
      <c r="O195" s="4">
        <v>117339</v>
      </c>
      <c r="P195" s="4">
        <v>347893</v>
      </c>
      <c r="Q195" s="4">
        <f t="shared" si="30"/>
        <v>80017</v>
      </c>
      <c r="R195" s="125">
        <f t="shared" si="22"/>
        <v>115705</v>
      </c>
      <c r="S195" s="43">
        <f t="shared" si="26"/>
        <v>2.5599585151894904E-2</v>
      </c>
      <c r="T195" s="35">
        <f t="shared" si="17"/>
        <v>2.0610048656769402E-2</v>
      </c>
      <c r="U195" s="87"/>
      <c r="V195" s="261"/>
    </row>
    <row r="196" spans="1:22" ht="16.5" x14ac:dyDescent="0.25">
      <c r="A196" s="46">
        <v>44087</v>
      </c>
      <c r="B196" s="154">
        <v>9056</v>
      </c>
      <c r="C196" s="176">
        <f t="shared" si="36"/>
        <v>555537</v>
      </c>
      <c r="D196" s="154">
        <f>44+45</f>
        <v>89</v>
      </c>
      <c r="E196" s="154">
        <f t="shared" si="37"/>
        <v>11352</v>
      </c>
      <c r="F196" s="156">
        <f t="shared" si="39"/>
        <v>9440</v>
      </c>
      <c r="G196" s="184">
        <v>428953</v>
      </c>
      <c r="H196" s="154">
        <v>2984</v>
      </c>
      <c r="I196" s="156">
        <v>17955</v>
      </c>
      <c r="J196" s="4">
        <f t="shared" si="29"/>
        <v>1537900</v>
      </c>
      <c r="K196" s="7">
        <f t="shared" si="38"/>
        <v>1368.1983999999939</v>
      </c>
      <c r="L196" s="7">
        <f t="shared" si="35"/>
        <v>853755.80160000001</v>
      </c>
      <c r="M196" s="4">
        <v>855124</v>
      </c>
      <c r="N196" s="4">
        <v>1235</v>
      </c>
      <c r="O196" s="4">
        <v>118561</v>
      </c>
      <c r="P196" s="4">
        <v>353007</v>
      </c>
      <c r="Q196" s="4">
        <f t="shared" si="30"/>
        <v>82734</v>
      </c>
      <c r="R196" s="125">
        <f t="shared" si="22"/>
        <v>115232</v>
      </c>
      <c r="S196" s="43">
        <f t="shared" si="26"/>
        <v>2.5895584559844486E-2</v>
      </c>
      <c r="T196" s="35">
        <f t="shared" si="17"/>
        <v>2.0434282505035668E-2</v>
      </c>
      <c r="U196" s="87"/>
      <c r="V196" s="261"/>
    </row>
    <row r="197" spans="1:22" ht="16.5" x14ac:dyDescent="0.25">
      <c r="A197" s="49">
        <v>44088</v>
      </c>
      <c r="B197" s="156">
        <v>9909</v>
      </c>
      <c r="C197" s="176">
        <f t="shared" si="36"/>
        <v>565446</v>
      </c>
      <c r="D197" s="156">
        <f>60+254</f>
        <v>314</v>
      </c>
      <c r="E197" s="156">
        <f t="shared" si="37"/>
        <v>11666</v>
      </c>
      <c r="F197" s="156">
        <f t="shared" si="39"/>
        <v>9930</v>
      </c>
      <c r="G197" s="184">
        <v>438883</v>
      </c>
      <c r="H197" s="156">
        <v>2992</v>
      </c>
      <c r="I197" s="156">
        <v>21207</v>
      </c>
      <c r="J197" s="4">
        <f t="shared" si="29"/>
        <v>1559107</v>
      </c>
      <c r="K197" s="7">
        <f t="shared" si="38"/>
        <v>1385.3168000000296</v>
      </c>
      <c r="L197" s="7">
        <f t="shared" si="35"/>
        <v>864437.68319999997</v>
      </c>
      <c r="M197" s="4">
        <v>865823</v>
      </c>
      <c r="N197" s="4">
        <v>1236</v>
      </c>
      <c r="O197" s="4">
        <v>120192</v>
      </c>
      <c r="P197" s="4">
        <v>361677</v>
      </c>
      <c r="Q197" s="4">
        <f t="shared" si="30"/>
        <v>82341</v>
      </c>
      <c r="R197" s="125">
        <f t="shared" si="22"/>
        <v>114897</v>
      </c>
      <c r="S197" s="43">
        <f t="shared" si="26"/>
        <v>2.6040714727103405E-2</v>
      </c>
      <c r="T197" s="35">
        <f t="shared" ref="T197:T210" si="40">E197/C187</f>
        <v>2.525753330937339E-2</v>
      </c>
      <c r="U197" s="87"/>
      <c r="V197" s="261"/>
    </row>
    <row r="198" spans="1:22" ht="16.5" x14ac:dyDescent="0.25">
      <c r="A198" s="46">
        <v>44089</v>
      </c>
      <c r="B198" s="156">
        <v>11892</v>
      </c>
      <c r="C198" s="176">
        <f t="shared" si="36"/>
        <v>577338</v>
      </c>
      <c r="D198" s="156">
        <f>43+142</f>
        <v>185</v>
      </c>
      <c r="E198" s="156">
        <f t="shared" si="37"/>
        <v>11851</v>
      </c>
      <c r="F198" s="156">
        <f t="shared" si="39"/>
        <v>9380</v>
      </c>
      <c r="G198" s="184">
        <v>448263</v>
      </c>
      <c r="H198" s="156">
        <v>3049</v>
      </c>
      <c r="I198" s="156">
        <v>25791</v>
      </c>
      <c r="J198" s="4">
        <f t="shared" si="29"/>
        <v>1584898</v>
      </c>
      <c r="K198" s="7">
        <f t="shared" si="38"/>
        <v>1407.344000000041</v>
      </c>
      <c r="L198" s="7">
        <f t="shared" si="35"/>
        <v>878182.65599999996</v>
      </c>
      <c r="M198" s="4">
        <v>879590</v>
      </c>
      <c r="N198" s="4">
        <v>1242</v>
      </c>
      <c r="O198" s="4">
        <v>125970</v>
      </c>
      <c r="P198" s="4">
        <v>371507</v>
      </c>
      <c r="Q198" s="4">
        <f t="shared" si="30"/>
        <v>78619</v>
      </c>
      <c r="R198" s="125">
        <f t="shared" si="22"/>
        <v>117224</v>
      </c>
      <c r="S198" s="43">
        <f t="shared" si="26"/>
        <v>2.6010032075342932E-2</v>
      </c>
      <c r="T198" s="35">
        <f t="shared" si="40"/>
        <v>2.5118374925287089E-2</v>
      </c>
      <c r="U198" s="87"/>
      <c r="V198" s="261"/>
    </row>
    <row r="199" spans="1:22" ht="16.5" x14ac:dyDescent="0.25">
      <c r="A199" s="46">
        <v>44090</v>
      </c>
      <c r="B199" s="156">
        <v>11674</v>
      </c>
      <c r="C199" s="176">
        <f t="shared" si="36"/>
        <v>589012</v>
      </c>
      <c r="D199" s="156">
        <f>58+206</f>
        <v>264</v>
      </c>
      <c r="E199" s="156">
        <f t="shared" si="37"/>
        <v>12115</v>
      </c>
      <c r="F199" s="156">
        <f t="shared" si="39"/>
        <v>8084</v>
      </c>
      <c r="G199" s="184">
        <v>456347</v>
      </c>
      <c r="H199" s="156">
        <v>3118</v>
      </c>
      <c r="I199" s="156">
        <v>25422</v>
      </c>
      <c r="J199" s="4">
        <f t="shared" si="29"/>
        <v>1610320</v>
      </c>
      <c r="K199" s="7">
        <f t="shared" si="38"/>
        <v>1429.5023999999976</v>
      </c>
      <c r="L199" s="7">
        <f t="shared" si="35"/>
        <v>892009.4976</v>
      </c>
      <c r="M199" s="4">
        <v>893439</v>
      </c>
      <c r="N199" s="4">
        <v>1247</v>
      </c>
      <c r="O199" s="4">
        <v>128236</v>
      </c>
      <c r="P199" s="4">
        <v>380805</v>
      </c>
      <c r="Q199" s="7">
        <f>C199-P199-O199-N199</f>
        <v>78724</v>
      </c>
      <c r="R199" s="125">
        <f t="shared" si="22"/>
        <v>120550</v>
      </c>
      <c r="S199" s="43">
        <f t="shared" si="26"/>
        <v>2.5864786395686436E-2</v>
      </c>
      <c r="T199" s="35">
        <f t="shared" si="40"/>
        <v>2.530326321241792E-2</v>
      </c>
      <c r="U199" s="87"/>
      <c r="V199" s="261"/>
    </row>
    <row r="200" spans="1:22" ht="16.5" x14ac:dyDescent="0.25">
      <c r="A200" s="46">
        <v>44091</v>
      </c>
      <c r="B200" s="156">
        <v>12701</v>
      </c>
      <c r="C200" s="176">
        <f t="shared" si="36"/>
        <v>601713</v>
      </c>
      <c r="D200" s="156">
        <v>345</v>
      </c>
      <c r="E200" s="156">
        <f t="shared" si="37"/>
        <v>12460</v>
      </c>
      <c r="F200" s="156">
        <f t="shared" si="39"/>
        <v>10939</v>
      </c>
      <c r="G200" s="184">
        <v>467286</v>
      </c>
      <c r="H200" s="156">
        <v>3108</v>
      </c>
      <c r="I200" s="156">
        <v>28633</v>
      </c>
      <c r="J200" s="4">
        <f t="shared" si="29"/>
        <v>1638953</v>
      </c>
      <c r="K200" s="7">
        <f t="shared" si="38"/>
        <v>1451.9024000000209</v>
      </c>
      <c r="L200" s="7">
        <f t="shared" si="35"/>
        <v>905987.09759999998</v>
      </c>
      <c r="M200" s="4">
        <v>907439</v>
      </c>
      <c r="N200" s="4">
        <v>1251</v>
      </c>
      <c r="O200" s="4">
        <v>130230</v>
      </c>
      <c r="P200" s="4">
        <v>390634</v>
      </c>
      <c r="Q200" s="4">
        <f>C200-P200-O200-N200</f>
        <v>79598</v>
      </c>
      <c r="R200" s="125">
        <f t="shared" si="22"/>
        <v>121967</v>
      </c>
      <c r="S200" s="43">
        <f t="shared" si="26"/>
        <v>2.5482302590044848E-2</v>
      </c>
      <c r="T200" s="35">
        <f t="shared" si="40"/>
        <v>2.5532420641507191E-2</v>
      </c>
      <c r="U200" s="87"/>
      <c r="V200" s="261"/>
    </row>
    <row r="201" spans="1:22" ht="16.5" x14ac:dyDescent="0.25">
      <c r="A201" s="46">
        <v>44092</v>
      </c>
      <c r="B201" s="156">
        <v>11945</v>
      </c>
      <c r="C201" s="176">
        <f t="shared" si="36"/>
        <v>613658</v>
      </c>
      <c r="D201" s="156">
        <f>31+166</f>
        <v>197</v>
      </c>
      <c r="E201" s="156">
        <f t="shared" si="37"/>
        <v>12657</v>
      </c>
      <c r="F201" s="156">
        <f t="shared" si="39"/>
        <v>10791</v>
      </c>
      <c r="G201" s="184">
        <v>478077</v>
      </c>
      <c r="H201" s="156">
        <v>3225</v>
      </c>
      <c r="I201" s="156">
        <v>25698</v>
      </c>
      <c r="J201" s="4">
        <f t="shared" si="29"/>
        <v>1664651</v>
      </c>
      <c r="K201" s="7">
        <f t="shared" si="38"/>
        <v>1474.3456000000006</v>
      </c>
      <c r="L201" s="7">
        <f t="shared" si="35"/>
        <v>919991.6544</v>
      </c>
      <c r="M201" s="4">
        <v>921466</v>
      </c>
      <c r="N201" s="4">
        <v>1254</v>
      </c>
      <c r="O201" s="4">
        <v>132427</v>
      </c>
      <c r="P201" s="4">
        <v>400216</v>
      </c>
      <c r="Q201" s="4">
        <f>C201-P201-O201-N201</f>
        <v>79761</v>
      </c>
      <c r="R201" s="125">
        <f t="shared" si="22"/>
        <v>122924</v>
      </c>
      <c r="S201" s="43">
        <f t="shared" si="26"/>
        <v>2.6235722885685465E-2</v>
      </c>
      <c r="T201" s="35">
        <f t="shared" si="40"/>
        <v>2.5312278765043977E-2</v>
      </c>
      <c r="U201" s="87"/>
      <c r="V201" s="261"/>
    </row>
    <row r="202" spans="1:22" x14ac:dyDescent="0.25">
      <c r="A202" s="46">
        <v>44093</v>
      </c>
      <c r="B202" s="156">
        <v>9276</v>
      </c>
      <c r="C202" s="156">
        <f t="shared" si="36"/>
        <v>622934</v>
      </c>
      <c r="D202" s="156">
        <f>49+94</f>
        <v>143</v>
      </c>
      <c r="E202" s="156">
        <f t="shared" si="37"/>
        <v>12800</v>
      </c>
      <c r="F202" s="156">
        <f t="shared" si="39"/>
        <v>10154</v>
      </c>
      <c r="G202" s="184">
        <v>488231</v>
      </c>
      <c r="H202" s="156">
        <v>3213</v>
      </c>
      <c r="I202" s="156">
        <v>21093</v>
      </c>
      <c r="J202" s="4">
        <f t="shared" si="29"/>
        <v>1685744</v>
      </c>
      <c r="K202" s="7">
        <f t="shared" si="38"/>
        <v>1492.0336000000825</v>
      </c>
      <c r="L202" s="7">
        <f t="shared" si="35"/>
        <v>931028.96639999992</v>
      </c>
      <c r="M202" s="4">
        <v>932521</v>
      </c>
      <c r="N202" s="28">
        <v>1261</v>
      </c>
      <c r="O202" s="28">
        <v>133793</v>
      </c>
      <c r="P202" s="28">
        <v>406757</v>
      </c>
      <c r="Q202" s="28">
        <f>C202-P202-O202-N202</f>
        <v>81123</v>
      </c>
      <c r="R202" s="125">
        <f t="shared" si="22"/>
        <v>121903</v>
      </c>
      <c r="S202" s="90">
        <f t="shared" si="26"/>
        <v>2.6357021566327327E-2</v>
      </c>
      <c r="T202" s="91">
        <f t="shared" si="40"/>
        <v>2.4985701541891066E-2</v>
      </c>
      <c r="U202" s="87"/>
      <c r="V202" s="261"/>
    </row>
    <row r="203" spans="1:22" x14ac:dyDescent="0.25">
      <c r="A203" s="46">
        <v>44094</v>
      </c>
      <c r="B203" s="156">
        <v>8431</v>
      </c>
      <c r="C203" s="156">
        <f t="shared" si="36"/>
        <v>631365</v>
      </c>
      <c r="D203" s="156">
        <f>110+143</f>
        <v>253</v>
      </c>
      <c r="E203" s="156">
        <f t="shared" si="37"/>
        <v>13053</v>
      </c>
      <c r="F203" s="156">
        <f t="shared" si="39"/>
        <v>10148</v>
      </c>
      <c r="G203" s="184">
        <v>498379</v>
      </c>
      <c r="H203" s="156">
        <v>3261</v>
      </c>
      <c r="I203" s="156">
        <v>15454</v>
      </c>
      <c r="J203" s="4">
        <f t="shared" si="29"/>
        <v>1701198</v>
      </c>
      <c r="K203" s="7">
        <v>1348</v>
      </c>
      <c r="L203" s="7">
        <v>939868</v>
      </c>
      <c r="M203" s="89">
        <f t="shared" ref="M203:M213" si="41">L203+K203</f>
        <v>941216</v>
      </c>
      <c r="N203" s="96">
        <v>1262</v>
      </c>
      <c r="O203" s="96">
        <v>134820</v>
      </c>
      <c r="P203" s="96">
        <v>412203</v>
      </c>
      <c r="Q203" s="96">
        <f>C203-P203-O203-N203</f>
        <v>83080</v>
      </c>
      <c r="R203" s="125">
        <f t="shared" si="22"/>
        <v>119933</v>
      </c>
      <c r="S203" s="109">
        <f t="shared" si="26"/>
        <v>2.7190181184494677E-2</v>
      </c>
      <c r="T203" s="110">
        <f t="shared" si="40"/>
        <v>2.4900896226235127E-2</v>
      </c>
      <c r="U203" s="87"/>
      <c r="V203" s="261"/>
    </row>
    <row r="204" spans="1:22" x14ac:dyDescent="0.25">
      <c r="A204" s="46">
        <v>44095</v>
      </c>
      <c r="B204" s="156">
        <v>8782</v>
      </c>
      <c r="C204" s="156">
        <f t="shared" si="36"/>
        <v>640147</v>
      </c>
      <c r="D204" s="156">
        <v>427</v>
      </c>
      <c r="E204" s="156">
        <f t="shared" si="37"/>
        <v>13480</v>
      </c>
      <c r="F204" s="156">
        <f t="shared" si="39"/>
        <v>10184</v>
      </c>
      <c r="G204" s="184">
        <v>508563</v>
      </c>
      <c r="H204" s="156">
        <v>3387</v>
      </c>
      <c r="I204" s="156">
        <v>18575</v>
      </c>
      <c r="J204" s="4">
        <f t="shared" si="29"/>
        <v>1719773</v>
      </c>
      <c r="K204" s="7">
        <v>1383</v>
      </c>
      <c r="L204" s="7">
        <v>949102</v>
      </c>
      <c r="M204" s="89">
        <f t="shared" si="41"/>
        <v>950485</v>
      </c>
      <c r="N204" s="111">
        <v>6401</v>
      </c>
      <c r="O204" s="111">
        <v>138272</v>
      </c>
      <c r="P204" s="123">
        <v>417376</v>
      </c>
      <c r="Q204" s="96">
        <f t="shared" ref="Q204:Q231" si="42">C204-P204-O204-N204</f>
        <v>78098</v>
      </c>
      <c r="R204" s="125">
        <f t="shared" si="22"/>
        <v>118104</v>
      </c>
      <c r="S204" s="109">
        <f t="shared" si="26"/>
        <v>2.8678114204429995E-2</v>
      </c>
      <c r="T204" s="110">
        <f t="shared" si="40"/>
        <v>2.5163102827115671E-2</v>
      </c>
      <c r="U204" s="87"/>
      <c r="V204" s="261"/>
    </row>
    <row r="205" spans="1:22" x14ac:dyDescent="0.25">
      <c r="A205" s="46">
        <v>44096</v>
      </c>
      <c r="B205" s="156">
        <v>12027</v>
      </c>
      <c r="C205" s="156">
        <f t="shared" si="36"/>
        <v>652174</v>
      </c>
      <c r="D205" s="156">
        <v>469</v>
      </c>
      <c r="E205" s="156">
        <f t="shared" si="37"/>
        <v>13949</v>
      </c>
      <c r="F205" s="156">
        <f t="shared" si="39"/>
        <v>8665</v>
      </c>
      <c r="G205" s="184">
        <v>517228</v>
      </c>
      <c r="H205" s="156">
        <v>3362</v>
      </c>
      <c r="I205" s="156">
        <v>25766</v>
      </c>
      <c r="J205" s="4">
        <f t="shared" si="29"/>
        <v>1745539</v>
      </c>
      <c r="K205" s="7">
        <v>1448</v>
      </c>
      <c r="L205" s="7">
        <v>961776</v>
      </c>
      <c r="M205" s="89">
        <f t="shared" si="41"/>
        <v>963224</v>
      </c>
      <c r="N205" s="112">
        <v>6521</v>
      </c>
      <c r="O205" s="112">
        <v>140870</v>
      </c>
      <c r="P205" s="112">
        <v>425218</v>
      </c>
      <c r="Q205" s="96">
        <f t="shared" si="42"/>
        <v>79565</v>
      </c>
      <c r="R205" s="125">
        <f t="shared" si="22"/>
        <v>120997</v>
      </c>
      <c r="S205" s="109">
        <f t="shared" si="26"/>
        <v>2.7785812871393506E-2</v>
      </c>
      <c r="T205" s="110">
        <f t="shared" si="40"/>
        <v>2.5525132621262221E-2</v>
      </c>
      <c r="U205" s="87"/>
      <c r="V205" s="261"/>
    </row>
    <row r="206" spans="1:22" x14ac:dyDescent="0.25">
      <c r="A206" s="46">
        <v>44097</v>
      </c>
      <c r="B206" s="156">
        <v>12625</v>
      </c>
      <c r="C206" s="156">
        <f t="shared" si="36"/>
        <v>664799</v>
      </c>
      <c r="D206" s="156">
        <v>423</v>
      </c>
      <c r="E206" s="156">
        <f t="shared" si="37"/>
        <v>14372</v>
      </c>
      <c r="F206" s="156">
        <f t="shared" si="39"/>
        <v>8258</v>
      </c>
      <c r="G206" s="184">
        <v>525486</v>
      </c>
      <c r="H206" s="156">
        <v>3511</v>
      </c>
      <c r="I206" s="156">
        <v>24903</v>
      </c>
      <c r="J206" s="4">
        <f t="shared" si="29"/>
        <v>1770442</v>
      </c>
      <c r="K206" s="7">
        <v>1456</v>
      </c>
      <c r="L206" s="7">
        <v>974788</v>
      </c>
      <c r="M206" s="89">
        <f t="shared" si="41"/>
        <v>976244</v>
      </c>
      <c r="N206" s="112">
        <v>6647</v>
      </c>
      <c r="O206" s="112">
        <v>143597</v>
      </c>
      <c r="P206" s="112">
        <v>433450</v>
      </c>
      <c r="Q206" s="96">
        <f t="shared" si="42"/>
        <v>81105</v>
      </c>
      <c r="R206" s="125">
        <f t="shared" si="22"/>
        <v>124941</v>
      </c>
      <c r="S206" s="109">
        <f t="shared" ref="S206:S211" si="43">H206/(C206-E206-G206)</f>
        <v>2.8101263796511955E-2</v>
      </c>
      <c r="T206" s="110">
        <f t="shared" si="40"/>
        <v>2.5870464073500056E-2</v>
      </c>
      <c r="U206" s="87"/>
      <c r="V206" s="261"/>
    </row>
    <row r="207" spans="1:22" x14ac:dyDescent="0.25">
      <c r="A207" s="46">
        <v>44098</v>
      </c>
      <c r="B207" s="165">
        <v>13467</v>
      </c>
      <c r="C207" s="166">
        <f t="shared" si="36"/>
        <v>678266</v>
      </c>
      <c r="D207" s="156">
        <v>391</v>
      </c>
      <c r="E207" s="156">
        <f t="shared" ref="E207:E230" si="44">E206+D207</f>
        <v>14763</v>
      </c>
      <c r="F207" s="156">
        <f t="shared" si="39"/>
        <v>11103</v>
      </c>
      <c r="G207" s="184">
        <v>536589</v>
      </c>
      <c r="H207" s="156">
        <v>3527</v>
      </c>
      <c r="I207" s="156">
        <v>27253</v>
      </c>
      <c r="J207" s="4">
        <f t="shared" si="29"/>
        <v>1797695</v>
      </c>
      <c r="K207" s="7">
        <v>1488</v>
      </c>
      <c r="L207" s="7">
        <v>988976</v>
      </c>
      <c r="M207" s="26">
        <f t="shared" si="41"/>
        <v>990464</v>
      </c>
      <c r="N207" s="112">
        <v>6740</v>
      </c>
      <c r="O207" s="112">
        <v>143045</v>
      </c>
      <c r="P207" s="112">
        <v>449054</v>
      </c>
      <c r="Q207" s="96">
        <f t="shared" si="42"/>
        <v>79427</v>
      </c>
      <c r="R207" s="125">
        <f t="shared" si="22"/>
        <v>126914</v>
      </c>
      <c r="S207" s="109">
        <f t="shared" si="43"/>
        <v>2.7790472288321225E-2</v>
      </c>
      <c r="T207" s="110">
        <f t="shared" si="40"/>
        <v>2.6108593924088243E-2</v>
      </c>
      <c r="U207" s="87"/>
      <c r="V207" s="261"/>
    </row>
    <row r="208" spans="1:22" x14ac:dyDescent="0.25">
      <c r="A208" s="46">
        <v>44099</v>
      </c>
      <c r="B208" s="156">
        <v>12969</v>
      </c>
      <c r="C208" s="156">
        <f t="shared" ref="C208:C230" si="45">C207+B208</f>
        <v>691235</v>
      </c>
      <c r="D208" s="156">
        <v>442</v>
      </c>
      <c r="E208" s="156">
        <f t="shared" si="44"/>
        <v>15205</v>
      </c>
      <c r="F208" s="156">
        <f t="shared" si="39"/>
        <v>10335</v>
      </c>
      <c r="G208" s="184">
        <v>546924</v>
      </c>
      <c r="H208" s="156">
        <v>3595</v>
      </c>
      <c r="I208" s="156">
        <v>25098</v>
      </c>
      <c r="J208" s="4">
        <f t="shared" si="29"/>
        <v>1822793</v>
      </c>
      <c r="K208" s="7">
        <v>1500</v>
      </c>
      <c r="L208" s="7">
        <v>1001959</v>
      </c>
      <c r="M208" s="26">
        <f t="shared" si="41"/>
        <v>1003459</v>
      </c>
      <c r="N208" s="112">
        <v>6798</v>
      </c>
      <c r="O208" s="112">
        <v>145075</v>
      </c>
      <c r="P208" s="112">
        <v>458440</v>
      </c>
      <c r="Q208" s="96">
        <f t="shared" si="42"/>
        <v>80922</v>
      </c>
      <c r="R208" s="125">
        <f t="shared" si="22"/>
        <v>129106</v>
      </c>
      <c r="S208" s="109">
        <f t="shared" si="43"/>
        <v>2.7845336390252971E-2</v>
      </c>
      <c r="T208" s="110">
        <f t="shared" si="40"/>
        <v>2.633639220006305E-2</v>
      </c>
      <c r="U208" s="87"/>
      <c r="V208" s="261"/>
    </row>
    <row r="209" spans="1:22" x14ac:dyDescent="0.25">
      <c r="A209" s="46">
        <v>44100</v>
      </c>
      <c r="B209" s="156">
        <v>11249</v>
      </c>
      <c r="C209" s="156">
        <f t="shared" si="45"/>
        <v>702484</v>
      </c>
      <c r="D209" s="156">
        <v>337</v>
      </c>
      <c r="E209" s="156">
        <f t="shared" si="44"/>
        <v>15542</v>
      </c>
      <c r="F209" s="156">
        <f t="shared" si="39"/>
        <v>9565</v>
      </c>
      <c r="G209" s="184">
        <v>556489</v>
      </c>
      <c r="H209" s="156">
        <v>3633</v>
      </c>
      <c r="I209" s="156">
        <v>22101</v>
      </c>
      <c r="J209" s="4">
        <f t="shared" si="29"/>
        <v>1844894</v>
      </c>
      <c r="K209" s="7">
        <v>1537</v>
      </c>
      <c r="L209" s="7">
        <v>1014163</v>
      </c>
      <c r="M209" s="26">
        <f t="shared" si="41"/>
        <v>1015700</v>
      </c>
      <c r="N209" s="112">
        <v>6835</v>
      </c>
      <c r="O209" s="112">
        <v>146416</v>
      </c>
      <c r="P209" s="112">
        <v>464913</v>
      </c>
      <c r="Q209" s="96">
        <f t="shared" si="42"/>
        <v>84320</v>
      </c>
      <c r="R209" s="125">
        <f t="shared" si="22"/>
        <v>130453</v>
      </c>
      <c r="S209" s="109">
        <f t="shared" si="43"/>
        <v>2.7849110407579741E-2</v>
      </c>
      <c r="T209" s="110">
        <f t="shared" si="40"/>
        <v>2.6386559187249158E-2</v>
      </c>
      <c r="U209" s="87"/>
      <c r="V209" s="261"/>
    </row>
    <row r="210" spans="1:22" x14ac:dyDescent="0.25">
      <c r="A210" s="46">
        <v>44101</v>
      </c>
      <c r="B210" s="156">
        <v>8841</v>
      </c>
      <c r="C210" s="156">
        <f t="shared" si="45"/>
        <v>711325</v>
      </c>
      <c r="D210" s="156">
        <v>206</v>
      </c>
      <c r="E210" s="156">
        <f t="shared" si="44"/>
        <v>15748</v>
      </c>
      <c r="F210" s="156">
        <f t="shared" si="39"/>
        <v>9446</v>
      </c>
      <c r="G210" s="184">
        <v>565935</v>
      </c>
      <c r="H210" s="156">
        <v>3604</v>
      </c>
      <c r="I210" s="156">
        <v>15171</v>
      </c>
      <c r="J210" s="4">
        <f t="shared" si="29"/>
        <v>1860065</v>
      </c>
      <c r="K210" s="7">
        <v>1567</v>
      </c>
      <c r="L210" s="7">
        <v>1021244</v>
      </c>
      <c r="M210" s="26">
        <f t="shared" si="41"/>
        <v>1022811</v>
      </c>
      <c r="N210" s="112">
        <v>6874</v>
      </c>
      <c r="O210" s="112">
        <v>147538</v>
      </c>
      <c r="P210" s="112">
        <v>469799</v>
      </c>
      <c r="Q210" s="96">
        <f t="shared" si="42"/>
        <v>87114</v>
      </c>
      <c r="R210" s="125">
        <f t="shared" si="22"/>
        <v>129642</v>
      </c>
      <c r="S210" s="109">
        <f t="shared" si="43"/>
        <v>2.779963283503803E-2</v>
      </c>
      <c r="T210" s="110">
        <f t="shared" si="40"/>
        <v>2.6171945761517535E-2</v>
      </c>
      <c r="U210" s="87"/>
      <c r="V210" s="261"/>
    </row>
    <row r="211" spans="1:22" x14ac:dyDescent="0.25">
      <c r="A211" s="46">
        <v>44102</v>
      </c>
      <c r="B211" s="156">
        <v>11807</v>
      </c>
      <c r="C211" s="156">
        <f t="shared" si="45"/>
        <v>723132</v>
      </c>
      <c r="D211" s="156">
        <v>365</v>
      </c>
      <c r="E211" s="156">
        <f t="shared" si="44"/>
        <v>16113</v>
      </c>
      <c r="F211" s="156">
        <f t="shared" si="39"/>
        <v>10780</v>
      </c>
      <c r="G211" s="184">
        <v>576715</v>
      </c>
      <c r="H211" s="156">
        <v>3678</v>
      </c>
      <c r="I211" s="156">
        <v>21356</v>
      </c>
      <c r="J211" s="4">
        <f t="shared" si="29"/>
        <v>1881421</v>
      </c>
      <c r="K211" s="7">
        <v>1611</v>
      </c>
      <c r="L211" s="7">
        <v>1031143</v>
      </c>
      <c r="M211" s="26">
        <f t="shared" si="41"/>
        <v>1032754</v>
      </c>
      <c r="N211" s="112">
        <v>6984</v>
      </c>
      <c r="O211" s="112">
        <v>149538</v>
      </c>
      <c r="P211" s="112">
        <v>478119</v>
      </c>
      <c r="Q211" s="96">
        <f t="shared" si="42"/>
        <v>88491</v>
      </c>
      <c r="R211" s="125">
        <f t="shared" si="22"/>
        <v>130304</v>
      </c>
      <c r="S211" s="109">
        <f t="shared" si="43"/>
        <v>2.8226301571709234E-2</v>
      </c>
      <c r="T211" s="110">
        <f>E211/C201</f>
        <v>2.6257296409400676E-2</v>
      </c>
      <c r="U211" s="87"/>
      <c r="V211" s="261"/>
    </row>
    <row r="212" spans="1:22" x14ac:dyDescent="0.25">
      <c r="A212" s="46">
        <v>44103</v>
      </c>
      <c r="B212" s="156">
        <v>13477</v>
      </c>
      <c r="C212" s="156">
        <f t="shared" si="45"/>
        <v>736609</v>
      </c>
      <c r="D212" s="156">
        <v>405</v>
      </c>
      <c r="E212" s="156">
        <f t="shared" si="44"/>
        <v>16518</v>
      </c>
      <c r="F212" s="156">
        <f t="shared" si="39"/>
        <v>9142</v>
      </c>
      <c r="G212" s="184">
        <v>585857</v>
      </c>
      <c r="H212" s="156">
        <v>3768</v>
      </c>
      <c r="I212" s="156">
        <v>25072</v>
      </c>
      <c r="J212" s="4">
        <f t="shared" si="29"/>
        <v>1906493</v>
      </c>
      <c r="K212" s="7">
        <v>1774</v>
      </c>
      <c r="L212" s="38">
        <v>1043210</v>
      </c>
      <c r="M212" s="26">
        <f t="shared" si="41"/>
        <v>1044984</v>
      </c>
      <c r="N212" s="112">
        <v>7083</v>
      </c>
      <c r="O212" s="112">
        <v>151787</v>
      </c>
      <c r="P212" s="112">
        <v>487971</v>
      </c>
      <c r="Q212" s="96">
        <f t="shared" si="42"/>
        <v>89768</v>
      </c>
      <c r="R212" s="125">
        <f t="shared" si="22"/>
        <v>134234</v>
      </c>
      <c r="S212" s="109">
        <f t="shared" ref="S212:S220" si="46">H212/(C212-E212-G212)</f>
        <v>2.8070384552348882E-2</v>
      </c>
      <c r="T212" s="110">
        <f>E212/C202</f>
        <v>2.6516452786330493E-2</v>
      </c>
      <c r="U212" s="87"/>
      <c r="V212" s="261"/>
    </row>
    <row r="213" spans="1:22" x14ac:dyDescent="0.25">
      <c r="A213" s="46">
        <v>44104</v>
      </c>
      <c r="B213" s="156">
        <v>14392</v>
      </c>
      <c r="C213" s="156">
        <f t="shared" si="45"/>
        <v>751001</v>
      </c>
      <c r="D213" s="156">
        <v>418</v>
      </c>
      <c r="E213" s="156">
        <f t="shared" si="44"/>
        <v>16936</v>
      </c>
      <c r="F213" s="156">
        <f t="shared" si="39"/>
        <v>8788</v>
      </c>
      <c r="G213" s="184">
        <v>594645</v>
      </c>
      <c r="H213" s="156">
        <v>3792</v>
      </c>
      <c r="I213" s="156">
        <v>26524</v>
      </c>
      <c r="J213" s="4">
        <f t="shared" si="29"/>
        <v>1933017</v>
      </c>
      <c r="K213" s="89">
        <v>2013</v>
      </c>
      <c r="L213" s="8">
        <v>1055774</v>
      </c>
      <c r="M213" s="106">
        <f t="shared" si="41"/>
        <v>1057787</v>
      </c>
      <c r="N213" s="112">
        <v>7162</v>
      </c>
      <c r="O213" s="112">
        <v>153949</v>
      </c>
      <c r="P213" s="112">
        <v>498519</v>
      </c>
      <c r="Q213" s="96">
        <f t="shared" si="42"/>
        <v>91371</v>
      </c>
      <c r="R213" s="125">
        <f t="shared" si="22"/>
        <v>139420</v>
      </c>
      <c r="S213" s="109">
        <f t="shared" si="46"/>
        <v>2.7198393343853107E-2</v>
      </c>
      <c r="T213" s="110">
        <f>E213/C203</f>
        <v>2.682442010564412E-2</v>
      </c>
      <c r="U213" s="87"/>
      <c r="V213" s="261"/>
    </row>
    <row r="214" spans="1:22" x14ac:dyDescent="0.25">
      <c r="A214" s="46">
        <v>44105</v>
      </c>
      <c r="B214" s="156">
        <v>14001</v>
      </c>
      <c r="C214" s="156">
        <f t="shared" si="45"/>
        <v>765002</v>
      </c>
      <c r="D214" s="169">
        <v>3350</v>
      </c>
      <c r="E214" s="156">
        <f t="shared" si="44"/>
        <v>20286</v>
      </c>
      <c r="F214" s="156">
        <f t="shared" si="39"/>
        <v>8495</v>
      </c>
      <c r="G214" s="184">
        <v>603140</v>
      </c>
      <c r="H214" s="167">
        <v>3799</v>
      </c>
      <c r="I214" s="156">
        <v>26662</v>
      </c>
      <c r="J214" s="4">
        <f t="shared" si="29"/>
        <v>1959679</v>
      </c>
      <c r="K214" s="89">
        <v>1482</v>
      </c>
      <c r="L214" s="8">
        <v>1068705</v>
      </c>
      <c r="M214" s="106">
        <f t="shared" ref="M214:M225" si="47">L214+K214</f>
        <v>1070187</v>
      </c>
      <c r="N214" s="112">
        <v>7226</v>
      </c>
      <c r="O214" s="112">
        <v>155848</v>
      </c>
      <c r="P214" s="112">
        <v>508945</v>
      </c>
      <c r="Q214" s="96">
        <f t="shared" si="42"/>
        <v>92983</v>
      </c>
      <c r="R214" s="125">
        <f t="shared" si="22"/>
        <v>141576</v>
      </c>
      <c r="S214" s="109">
        <f t="shared" si="46"/>
        <v>2.6833644120472396E-2</v>
      </c>
      <c r="T214" s="110">
        <f>E214/C204</f>
        <v>3.1689596295850796E-2</v>
      </c>
      <c r="U214" s="87"/>
      <c r="V214" s="261"/>
    </row>
    <row r="215" spans="1:22" x14ac:dyDescent="0.25">
      <c r="A215" s="46">
        <v>44106</v>
      </c>
      <c r="B215" s="165">
        <v>14687</v>
      </c>
      <c r="C215" s="156">
        <f t="shared" si="45"/>
        <v>779689</v>
      </c>
      <c r="D215" s="156">
        <v>309</v>
      </c>
      <c r="E215" s="156">
        <f t="shared" si="44"/>
        <v>20595</v>
      </c>
      <c r="F215" s="156">
        <f t="shared" si="39"/>
        <v>11375</v>
      </c>
      <c r="G215" s="184">
        <v>614515</v>
      </c>
      <c r="H215" s="167">
        <v>3828</v>
      </c>
      <c r="I215" s="156">
        <v>27537</v>
      </c>
      <c r="J215" s="4">
        <f t="shared" si="29"/>
        <v>1987216</v>
      </c>
      <c r="K215" s="7">
        <v>1492</v>
      </c>
      <c r="L215" s="8">
        <v>1082729</v>
      </c>
      <c r="M215" s="26">
        <f t="shared" si="47"/>
        <v>1084221</v>
      </c>
      <c r="N215" s="112">
        <v>7323</v>
      </c>
      <c r="O215" s="112">
        <v>158001</v>
      </c>
      <c r="P215" s="112">
        <v>520163</v>
      </c>
      <c r="Q215" s="96">
        <f t="shared" si="42"/>
        <v>94202</v>
      </c>
      <c r="R215" s="125">
        <f t="shared" si="22"/>
        <v>144579</v>
      </c>
      <c r="S215" s="109">
        <f t="shared" si="46"/>
        <v>2.6476874234847386E-2</v>
      </c>
      <c r="T215" s="35">
        <f t="shared" ref="T215:T232" si="48">E215/C195</f>
        <v>3.7686580137278332E-2</v>
      </c>
      <c r="U215" s="87"/>
      <c r="V215" s="261"/>
    </row>
    <row r="216" spans="1:22" x14ac:dyDescent="0.25">
      <c r="A216" s="49">
        <v>44107</v>
      </c>
      <c r="B216" s="163">
        <v>11129</v>
      </c>
      <c r="C216" s="163">
        <f t="shared" si="45"/>
        <v>790818</v>
      </c>
      <c r="D216" s="163">
        <v>195</v>
      </c>
      <c r="E216" s="163">
        <f t="shared" si="44"/>
        <v>20790</v>
      </c>
      <c r="F216" s="156">
        <f t="shared" si="39"/>
        <v>11599</v>
      </c>
      <c r="G216" s="184">
        <v>626114</v>
      </c>
      <c r="H216" s="167">
        <v>3820</v>
      </c>
      <c r="I216" s="163">
        <v>20525</v>
      </c>
      <c r="J216" s="4">
        <f t="shared" si="29"/>
        <v>2007741</v>
      </c>
      <c r="K216" s="38">
        <v>1499</v>
      </c>
      <c r="L216" s="38">
        <v>1095695</v>
      </c>
      <c r="M216" s="107">
        <f t="shared" si="47"/>
        <v>1097194</v>
      </c>
      <c r="N216" s="112">
        <v>7387</v>
      </c>
      <c r="O216" s="112">
        <v>159347</v>
      </c>
      <c r="P216" s="112">
        <v>527803</v>
      </c>
      <c r="Q216" s="96">
        <f t="shared" si="42"/>
        <v>96281</v>
      </c>
      <c r="R216" s="125">
        <f t="shared" si="22"/>
        <v>143914</v>
      </c>
      <c r="S216" s="109">
        <f t="shared" si="46"/>
        <v>2.6543630223605764E-2</v>
      </c>
      <c r="T216" s="35">
        <f t="shared" si="48"/>
        <v>3.742324993654788E-2</v>
      </c>
      <c r="U216" s="87"/>
      <c r="V216" s="261"/>
    </row>
    <row r="217" spans="1:22" x14ac:dyDescent="0.25">
      <c r="A217" s="46">
        <v>44108</v>
      </c>
      <c r="B217" s="156">
        <v>7668</v>
      </c>
      <c r="C217" s="156">
        <f t="shared" si="45"/>
        <v>798486</v>
      </c>
      <c r="D217" s="156">
        <v>222</v>
      </c>
      <c r="E217" s="156">
        <f t="shared" si="44"/>
        <v>21012</v>
      </c>
      <c r="F217" s="156">
        <f t="shared" si="39"/>
        <v>10558</v>
      </c>
      <c r="G217" s="184">
        <v>636672</v>
      </c>
      <c r="H217" s="167">
        <v>3950</v>
      </c>
      <c r="I217" s="156">
        <v>13213</v>
      </c>
      <c r="J217" s="4">
        <f t="shared" si="29"/>
        <v>2020954</v>
      </c>
      <c r="K217" s="7">
        <v>1504</v>
      </c>
      <c r="L217" s="7">
        <v>1103068</v>
      </c>
      <c r="M217" s="26">
        <f t="shared" si="47"/>
        <v>1104572</v>
      </c>
      <c r="N217" s="112">
        <v>7425</v>
      </c>
      <c r="O217" s="112">
        <v>160401</v>
      </c>
      <c r="P217" s="112">
        <v>533573</v>
      </c>
      <c r="Q217" s="96">
        <f t="shared" si="42"/>
        <v>97087</v>
      </c>
      <c r="R217" s="125">
        <f t="shared" si="22"/>
        <v>140802</v>
      </c>
      <c r="S217" s="109">
        <f t="shared" si="46"/>
        <v>2.8053578784392266E-2</v>
      </c>
      <c r="T217" s="35">
        <f t="shared" si="48"/>
        <v>3.7160047113252194E-2</v>
      </c>
      <c r="U217" s="87"/>
      <c r="V217" s="261"/>
    </row>
    <row r="218" spans="1:22" x14ac:dyDescent="0.25">
      <c r="A218" s="46">
        <v>44109</v>
      </c>
      <c r="B218" s="166">
        <v>11242</v>
      </c>
      <c r="C218" s="156">
        <f t="shared" si="45"/>
        <v>809728</v>
      </c>
      <c r="D218" s="156">
        <v>450</v>
      </c>
      <c r="E218" s="156">
        <f t="shared" si="44"/>
        <v>21462</v>
      </c>
      <c r="F218" s="156">
        <f t="shared" si="39"/>
        <v>12345</v>
      </c>
      <c r="G218" s="184">
        <v>649017</v>
      </c>
      <c r="H218" s="167">
        <v>3978</v>
      </c>
      <c r="I218" s="156">
        <v>20263</v>
      </c>
      <c r="J218" s="4">
        <f t="shared" si="29"/>
        <v>2041217</v>
      </c>
      <c r="K218" s="7">
        <v>1508</v>
      </c>
      <c r="L218" s="7">
        <v>1113469</v>
      </c>
      <c r="M218" s="26">
        <f t="shared" si="47"/>
        <v>1114977</v>
      </c>
      <c r="N218" s="112">
        <v>7503</v>
      </c>
      <c r="O218" s="112">
        <v>162682</v>
      </c>
      <c r="P218" s="112">
        <v>544916</v>
      </c>
      <c r="Q218" s="96">
        <f t="shared" si="42"/>
        <v>94627</v>
      </c>
      <c r="R218" s="125">
        <f t="shared" si="22"/>
        <v>139249</v>
      </c>
      <c r="S218" s="109">
        <f t="shared" si="46"/>
        <v>2.8567530107936143E-2</v>
      </c>
      <c r="T218" s="35">
        <f t="shared" si="48"/>
        <v>3.7174064412874262E-2</v>
      </c>
      <c r="U218" s="87"/>
      <c r="V218" s="261"/>
    </row>
    <row r="219" spans="1:22" x14ac:dyDescent="0.25">
      <c r="A219" s="46">
        <v>44110</v>
      </c>
      <c r="B219" s="166">
        <v>14740</v>
      </c>
      <c r="C219" s="156">
        <f t="shared" si="45"/>
        <v>824468</v>
      </c>
      <c r="D219" s="156">
        <v>359</v>
      </c>
      <c r="E219" s="156">
        <f t="shared" si="44"/>
        <v>21821</v>
      </c>
      <c r="F219" s="156">
        <f t="shared" si="39"/>
        <v>11255</v>
      </c>
      <c r="G219" s="184">
        <v>660272</v>
      </c>
      <c r="H219" s="167">
        <v>4007</v>
      </c>
      <c r="I219" s="156">
        <v>26481</v>
      </c>
      <c r="J219" s="4">
        <f t="shared" si="29"/>
        <v>2067698</v>
      </c>
      <c r="K219" s="7">
        <v>1528</v>
      </c>
      <c r="L219" s="7">
        <v>1127417</v>
      </c>
      <c r="M219" s="26">
        <f t="shared" si="47"/>
        <v>1128945</v>
      </c>
      <c r="N219" s="112">
        <v>7581</v>
      </c>
      <c r="O219" s="112">
        <v>165737</v>
      </c>
      <c r="P219" s="112">
        <v>556132</v>
      </c>
      <c r="Q219" s="96">
        <f t="shared" si="42"/>
        <v>95018</v>
      </c>
      <c r="R219" s="125">
        <f t="shared" si="22"/>
        <v>142375</v>
      </c>
      <c r="S219" s="109">
        <f t="shared" si="46"/>
        <v>2.8143985952589993E-2</v>
      </c>
      <c r="T219" s="35">
        <f t="shared" si="48"/>
        <v>3.7046783427162777E-2</v>
      </c>
      <c r="U219" s="87"/>
      <c r="V219" s="261"/>
    </row>
    <row r="220" spans="1:22" x14ac:dyDescent="0.25">
      <c r="A220" s="46">
        <v>44111</v>
      </c>
      <c r="B220" s="166">
        <v>16447</v>
      </c>
      <c r="C220" s="156">
        <f t="shared" si="45"/>
        <v>840915</v>
      </c>
      <c r="D220" s="156">
        <v>401</v>
      </c>
      <c r="E220" s="156">
        <f t="shared" si="44"/>
        <v>22222</v>
      </c>
      <c r="F220" s="156">
        <f t="shared" si="39"/>
        <v>10453</v>
      </c>
      <c r="G220" s="184">
        <v>670725</v>
      </c>
      <c r="H220" s="167">
        <v>3997</v>
      </c>
      <c r="I220" s="258">
        <v>29441</v>
      </c>
      <c r="J220" s="4">
        <f t="shared" si="29"/>
        <v>2097139</v>
      </c>
      <c r="K220" s="7">
        <v>1542</v>
      </c>
      <c r="L220" s="7">
        <v>1142661</v>
      </c>
      <c r="M220" s="26">
        <f t="shared" si="47"/>
        <v>1144203</v>
      </c>
      <c r="N220" s="112">
        <v>7669</v>
      </c>
      <c r="O220" s="112">
        <v>168593</v>
      </c>
      <c r="P220" s="112">
        <v>568246</v>
      </c>
      <c r="Q220" s="96">
        <f t="shared" si="42"/>
        <v>96407</v>
      </c>
      <c r="R220" s="125">
        <f t="shared" si="22"/>
        <v>147968</v>
      </c>
      <c r="S220" s="109">
        <f t="shared" si="46"/>
        <v>2.7012597318339101E-2</v>
      </c>
      <c r="T220" s="35">
        <f t="shared" si="48"/>
        <v>3.6931228010696128E-2</v>
      </c>
      <c r="U220" s="87"/>
      <c r="V220" s="261"/>
    </row>
    <row r="221" spans="1:22" x14ac:dyDescent="0.25">
      <c r="A221" s="46">
        <v>44112</v>
      </c>
      <c r="B221" s="156">
        <v>15454</v>
      </c>
      <c r="C221" s="156">
        <f t="shared" si="45"/>
        <v>856369</v>
      </c>
      <c r="D221" s="156">
        <v>484</v>
      </c>
      <c r="E221" s="156">
        <f t="shared" si="44"/>
        <v>22706</v>
      </c>
      <c r="F221" s="156">
        <f t="shared" si="39"/>
        <v>14119</v>
      </c>
      <c r="G221" s="184">
        <v>684844</v>
      </c>
      <c r="H221" s="167">
        <v>4043</v>
      </c>
      <c r="I221" s="156">
        <v>25841</v>
      </c>
      <c r="J221" s="4">
        <f t="shared" si="29"/>
        <v>2122980</v>
      </c>
      <c r="K221" s="7">
        <v>1544</v>
      </c>
      <c r="L221" s="7">
        <v>1155668</v>
      </c>
      <c r="M221" s="26">
        <f t="shared" si="47"/>
        <v>1157212</v>
      </c>
      <c r="N221" s="112">
        <v>7761</v>
      </c>
      <c r="O221" s="112">
        <v>171322</v>
      </c>
      <c r="P221" s="112">
        <v>578517</v>
      </c>
      <c r="Q221" s="96">
        <f t="shared" si="42"/>
        <v>98769</v>
      </c>
      <c r="R221" s="125">
        <f t="shared" si="22"/>
        <v>148819</v>
      </c>
      <c r="S221" s="109">
        <f t="shared" ref="S221:S227" si="49">H221/(C221-E221-G221)</f>
        <v>2.7167229990794187E-2</v>
      </c>
      <c r="T221" s="35">
        <f t="shared" si="48"/>
        <v>3.7001065740200567E-2</v>
      </c>
      <c r="U221" s="87"/>
      <c r="V221" s="261"/>
    </row>
    <row r="222" spans="1:22" x14ac:dyDescent="0.25">
      <c r="A222" s="94">
        <v>44113</v>
      </c>
      <c r="B222" s="163">
        <v>15099</v>
      </c>
      <c r="C222" s="156">
        <f t="shared" si="45"/>
        <v>871468</v>
      </c>
      <c r="D222" s="177">
        <v>514</v>
      </c>
      <c r="E222" s="163">
        <f t="shared" si="44"/>
        <v>23220</v>
      </c>
      <c r="F222" s="156">
        <f t="shared" si="39"/>
        <v>12297</v>
      </c>
      <c r="G222" s="184">
        <v>697141</v>
      </c>
      <c r="H222" s="167">
        <v>4092</v>
      </c>
      <c r="I222" s="163">
        <v>25174</v>
      </c>
      <c r="J222" s="4">
        <f t="shared" si="29"/>
        <v>2148154</v>
      </c>
      <c r="K222" s="38">
        <v>1564</v>
      </c>
      <c r="L222" s="38">
        <v>1172099</v>
      </c>
      <c r="M222" s="107">
        <f t="shared" si="47"/>
        <v>1173663</v>
      </c>
      <c r="N222" s="112">
        <v>7817</v>
      </c>
      <c r="O222" s="112">
        <v>174267</v>
      </c>
      <c r="P222" s="112">
        <v>588788</v>
      </c>
      <c r="Q222" s="96">
        <f t="shared" si="42"/>
        <v>100596</v>
      </c>
      <c r="R222" s="125">
        <f t="shared" ref="R222:R247" si="50">C222-E222-G222</f>
        <v>151107</v>
      </c>
      <c r="S222" s="109">
        <f t="shared" si="49"/>
        <v>2.7080148504040183E-2</v>
      </c>
      <c r="T222" s="35">
        <f t="shared" si="48"/>
        <v>3.7275216957173632E-2</v>
      </c>
      <c r="U222" s="87"/>
      <c r="V222" s="261"/>
    </row>
    <row r="223" spans="1:22" x14ac:dyDescent="0.25">
      <c r="A223" s="95">
        <v>44114</v>
      </c>
      <c r="B223" s="167">
        <v>12414</v>
      </c>
      <c r="C223" s="156">
        <f t="shared" si="45"/>
        <v>883882</v>
      </c>
      <c r="D223" s="167">
        <v>357</v>
      </c>
      <c r="E223" s="167">
        <f t="shared" si="44"/>
        <v>23577</v>
      </c>
      <c r="F223" s="156">
        <f t="shared" si="39"/>
        <v>12323</v>
      </c>
      <c r="G223" s="184">
        <v>709464</v>
      </c>
      <c r="H223" s="167">
        <v>4200</v>
      </c>
      <c r="I223" s="167">
        <v>19871</v>
      </c>
      <c r="J223" s="4">
        <f t="shared" si="29"/>
        <v>2168025</v>
      </c>
      <c r="K223" s="97">
        <v>1566</v>
      </c>
      <c r="L223" s="97">
        <v>1182752</v>
      </c>
      <c r="M223" s="108">
        <f t="shared" si="47"/>
        <v>1184318</v>
      </c>
      <c r="N223" s="112">
        <v>7886</v>
      </c>
      <c r="O223" s="112">
        <v>176230</v>
      </c>
      <c r="P223" s="112">
        <v>594738</v>
      </c>
      <c r="Q223" s="96">
        <f t="shared" si="42"/>
        <v>105028</v>
      </c>
      <c r="R223" s="125">
        <f t="shared" si="50"/>
        <v>150841</v>
      </c>
      <c r="S223" s="109">
        <f t="shared" si="49"/>
        <v>2.7843888597927618E-2</v>
      </c>
      <c r="T223" s="35">
        <f t="shared" si="48"/>
        <v>3.7342899907343616E-2</v>
      </c>
      <c r="U223" s="87"/>
      <c r="V223" s="261"/>
    </row>
    <row r="224" spans="1:22" x14ac:dyDescent="0.25">
      <c r="A224" s="114">
        <v>44115</v>
      </c>
      <c r="B224" s="168">
        <v>10324</v>
      </c>
      <c r="C224" s="163">
        <f t="shared" si="45"/>
        <v>894206</v>
      </c>
      <c r="D224" s="168">
        <v>283</v>
      </c>
      <c r="E224" s="168">
        <f t="shared" si="44"/>
        <v>23860</v>
      </c>
      <c r="F224" s="156">
        <f t="shared" si="39"/>
        <v>11916</v>
      </c>
      <c r="G224" s="184">
        <v>721380</v>
      </c>
      <c r="H224" s="168">
        <v>4237</v>
      </c>
      <c r="I224" s="168">
        <v>14237</v>
      </c>
      <c r="J224" s="4">
        <f t="shared" si="29"/>
        <v>2182262</v>
      </c>
      <c r="K224" s="116">
        <v>1567</v>
      </c>
      <c r="L224" s="116">
        <v>1189378</v>
      </c>
      <c r="M224" s="121">
        <f t="shared" si="47"/>
        <v>1190945</v>
      </c>
      <c r="N224" s="117">
        <v>7932</v>
      </c>
      <c r="O224" s="117">
        <v>177557</v>
      </c>
      <c r="P224" s="117">
        <v>599352</v>
      </c>
      <c r="Q224" s="115">
        <f t="shared" si="42"/>
        <v>109365</v>
      </c>
      <c r="R224" s="125">
        <f t="shared" si="50"/>
        <v>148966</v>
      </c>
      <c r="S224" s="118">
        <f t="shared" si="49"/>
        <v>2.8442731898554032E-2</v>
      </c>
      <c r="T224" s="91">
        <f t="shared" si="48"/>
        <v>3.7272688929261562E-2</v>
      </c>
      <c r="U224" s="87"/>
      <c r="V224" s="261"/>
    </row>
    <row r="225" spans="1:22" x14ac:dyDescent="0.25">
      <c r="A225" s="93">
        <v>44116</v>
      </c>
      <c r="B225" s="156">
        <v>9524</v>
      </c>
      <c r="C225" s="156">
        <f t="shared" si="45"/>
        <v>903730</v>
      </c>
      <c r="D225" s="156">
        <v>318</v>
      </c>
      <c r="E225" s="156">
        <f t="shared" si="44"/>
        <v>24178</v>
      </c>
      <c r="F225" s="156">
        <f t="shared" si="39"/>
        <v>11202</v>
      </c>
      <c r="G225" s="185">
        <v>732582</v>
      </c>
      <c r="H225" s="156">
        <v>4287</v>
      </c>
      <c r="I225" s="156">
        <v>13956</v>
      </c>
      <c r="J225" s="4">
        <f t="shared" si="29"/>
        <v>2196218</v>
      </c>
      <c r="K225" s="7">
        <v>1567</v>
      </c>
      <c r="L225" s="7">
        <v>1196534</v>
      </c>
      <c r="M225" s="11">
        <f t="shared" si="47"/>
        <v>1198101</v>
      </c>
      <c r="N225" s="8">
        <v>7963</v>
      </c>
      <c r="O225" s="8">
        <v>179298</v>
      </c>
      <c r="P225" s="8">
        <v>608522</v>
      </c>
      <c r="Q225" s="4">
        <f t="shared" si="42"/>
        <v>107947</v>
      </c>
      <c r="R225" s="125">
        <f t="shared" si="50"/>
        <v>146970</v>
      </c>
      <c r="S225" s="43">
        <f t="shared" si="49"/>
        <v>2.9169218207797509E-2</v>
      </c>
      <c r="T225" s="35">
        <f t="shared" si="48"/>
        <v>3.7072928390276212E-2</v>
      </c>
      <c r="U225" s="87"/>
      <c r="V225" s="261"/>
    </row>
    <row r="226" spans="1:22" x14ac:dyDescent="0.25">
      <c r="A226" s="93">
        <v>44117</v>
      </c>
      <c r="B226" s="156">
        <v>13305</v>
      </c>
      <c r="C226" s="156">
        <f t="shared" si="45"/>
        <v>917035</v>
      </c>
      <c r="D226" s="156">
        <v>384</v>
      </c>
      <c r="E226" s="156">
        <f t="shared" si="44"/>
        <v>24562</v>
      </c>
      <c r="F226" s="156">
        <f t="shared" si="39"/>
        <v>9653</v>
      </c>
      <c r="G226" s="185">
        <v>742235</v>
      </c>
      <c r="H226" s="156">
        <v>4294</v>
      </c>
      <c r="I226" s="156">
        <v>20544</v>
      </c>
      <c r="J226" s="4">
        <f t="shared" si="29"/>
        <v>2216762</v>
      </c>
      <c r="K226" s="7">
        <v>1574</v>
      </c>
      <c r="L226" s="7">
        <v>1207475</v>
      </c>
      <c r="M226" s="7">
        <f t="shared" ref="M226:M231" si="51">K226+L226</f>
        <v>1209049</v>
      </c>
      <c r="N226" s="8">
        <v>8033</v>
      </c>
      <c r="O226" s="8">
        <v>182045</v>
      </c>
      <c r="P226" s="8">
        <v>619199</v>
      </c>
      <c r="Q226" s="4">
        <f t="shared" si="42"/>
        <v>107758</v>
      </c>
      <c r="R226" s="125">
        <f t="shared" si="50"/>
        <v>150238</v>
      </c>
      <c r="S226" s="43">
        <f t="shared" si="49"/>
        <v>2.8581317642673625E-2</v>
      </c>
      <c r="T226" s="35">
        <f t="shared" si="48"/>
        <v>3.694650563553796E-2</v>
      </c>
      <c r="U226" s="87"/>
      <c r="V226" s="261"/>
    </row>
    <row r="227" spans="1:22" x14ac:dyDescent="0.25">
      <c r="A227" s="93">
        <v>44118</v>
      </c>
      <c r="B227" s="156">
        <v>14932</v>
      </c>
      <c r="C227" s="156">
        <f t="shared" si="45"/>
        <v>931967</v>
      </c>
      <c r="D227" s="156">
        <v>350</v>
      </c>
      <c r="E227" s="156">
        <f t="shared" si="44"/>
        <v>24912</v>
      </c>
      <c r="F227" s="156">
        <f t="shared" si="39"/>
        <v>8911</v>
      </c>
      <c r="G227" s="185">
        <v>751146</v>
      </c>
      <c r="H227" s="156">
        <v>4316</v>
      </c>
      <c r="I227" s="156">
        <v>23519</v>
      </c>
      <c r="J227" s="4">
        <f t="shared" si="29"/>
        <v>2240281</v>
      </c>
      <c r="K227" s="7">
        <v>1574</v>
      </c>
      <c r="L227" s="7">
        <v>1219715</v>
      </c>
      <c r="M227" s="7">
        <f t="shared" si="51"/>
        <v>1221289</v>
      </c>
      <c r="N227" s="8">
        <v>8098</v>
      </c>
      <c r="O227" s="8">
        <v>184890</v>
      </c>
      <c r="P227" s="8">
        <v>629734</v>
      </c>
      <c r="Q227" s="4">
        <f t="shared" si="42"/>
        <v>109245</v>
      </c>
      <c r="R227" s="125">
        <f t="shared" si="50"/>
        <v>155909</v>
      </c>
      <c r="S227" s="43">
        <f t="shared" si="49"/>
        <v>2.7682814975402318E-2</v>
      </c>
      <c r="T227" s="35">
        <f t="shared" si="48"/>
        <v>3.6728952947663603E-2</v>
      </c>
      <c r="U227" s="87"/>
      <c r="V227" s="261"/>
    </row>
    <row r="228" spans="1:22" x14ac:dyDescent="0.25">
      <c r="A228" s="93">
        <v>44119</v>
      </c>
      <c r="B228" s="169">
        <v>17096</v>
      </c>
      <c r="C228" s="156">
        <f t="shared" si="45"/>
        <v>949063</v>
      </c>
      <c r="D228" s="156">
        <v>421</v>
      </c>
      <c r="E228" s="156">
        <f t="shared" si="44"/>
        <v>25333</v>
      </c>
      <c r="F228" s="156">
        <f t="shared" si="39"/>
        <v>13713</v>
      </c>
      <c r="G228" s="185">
        <v>764859</v>
      </c>
      <c r="H228" s="156">
        <v>4278</v>
      </c>
      <c r="I228" s="156">
        <v>27662</v>
      </c>
      <c r="J228" s="4">
        <f t="shared" si="29"/>
        <v>2267943</v>
      </c>
      <c r="K228" s="7">
        <v>1575</v>
      </c>
      <c r="L228" s="7">
        <v>1234321</v>
      </c>
      <c r="M228" s="7">
        <f t="shared" si="51"/>
        <v>1235896</v>
      </c>
      <c r="N228" s="8">
        <v>8172</v>
      </c>
      <c r="O228" s="8">
        <v>187747</v>
      </c>
      <c r="P228" s="8">
        <v>642465</v>
      </c>
      <c r="Q228" s="4">
        <f t="shared" si="42"/>
        <v>110679</v>
      </c>
      <c r="R228" s="125">
        <f t="shared" si="50"/>
        <v>158871</v>
      </c>
      <c r="S228" s="43">
        <f t="shared" ref="S228:S245" si="52">H228/(C228-E228-G228)</f>
        <v>2.6927507222841172E-2</v>
      </c>
      <c r="T228" s="35">
        <f t="shared" si="48"/>
        <v>3.6648896540250421E-2</v>
      </c>
      <c r="U228" s="87"/>
      <c r="V228" s="261"/>
    </row>
    <row r="229" spans="1:22" x14ac:dyDescent="0.25">
      <c r="A229" s="93">
        <v>44120</v>
      </c>
      <c r="B229" s="156">
        <v>16546</v>
      </c>
      <c r="C229" s="156">
        <f t="shared" si="45"/>
        <v>965609</v>
      </c>
      <c r="D229" s="156">
        <v>379</v>
      </c>
      <c r="E229" s="156">
        <f t="shared" si="44"/>
        <v>25712</v>
      </c>
      <c r="F229" s="156">
        <f t="shared" si="39"/>
        <v>13642</v>
      </c>
      <c r="G229" s="185">
        <v>778501</v>
      </c>
      <c r="H229" s="156">
        <v>4346</v>
      </c>
      <c r="I229" s="156">
        <v>27412</v>
      </c>
      <c r="J229" s="4">
        <f t="shared" si="29"/>
        <v>2295355</v>
      </c>
      <c r="K229" s="7">
        <v>1597</v>
      </c>
      <c r="L229" s="7">
        <v>1248101</v>
      </c>
      <c r="M229" s="7">
        <f t="shared" si="51"/>
        <v>1249698</v>
      </c>
      <c r="N229" s="8">
        <v>8249</v>
      </c>
      <c r="O229" s="8">
        <v>190484</v>
      </c>
      <c r="P229" s="8">
        <v>653179</v>
      </c>
      <c r="Q229" s="4">
        <f t="shared" si="42"/>
        <v>113697</v>
      </c>
      <c r="R229" s="125">
        <f t="shared" si="50"/>
        <v>161396</v>
      </c>
      <c r="S229" s="43">
        <f t="shared" si="52"/>
        <v>2.6927557064611266E-2</v>
      </c>
      <c r="T229" s="35">
        <f t="shared" si="48"/>
        <v>3.6601545373275403E-2</v>
      </c>
      <c r="U229" s="87"/>
      <c r="V229" s="261"/>
    </row>
    <row r="230" spans="1:22" x14ac:dyDescent="0.25">
      <c r="A230" s="93">
        <v>44121</v>
      </c>
      <c r="B230" s="156">
        <v>13510</v>
      </c>
      <c r="C230" s="156">
        <f t="shared" si="45"/>
        <v>979119</v>
      </c>
      <c r="D230" s="156">
        <v>383</v>
      </c>
      <c r="E230" s="156">
        <f t="shared" si="44"/>
        <v>26095</v>
      </c>
      <c r="F230" s="156">
        <f t="shared" si="39"/>
        <v>12673</v>
      </c>
      <c r="G230" s="185">
        <v>791174</v>
      </c>
      <c r="H230" s="156">
        <v>4386</v>
      </c>
      <c r="I230" s="156">
        <v>20955</v>
      </c>
      <c r="J230" s="4">
        <f t="shared" si="29"/>
        <v>2316310</v>
      </c>
      <c r="K230" s="7">
        <v>1611</v>
      </c>
      <c r="L230" s="7">
        <v>1260920</v>
      </c>
      <c r="M230" s="7">
        <f t="shared" si="51"/>
        <v>1262531</v>
      </c>
      <c r="N230" s="8">
        <v>8311</v>
      </c>
      <c r="O230" s="8">
        <v>192192</v>
      </c>
      <c r="P230" s="8">
        <v>661955</v>
      </c>
      <c r="Q230" s="4">
        <f t="shared" si="42"/>
        <v>116661</v>
      </c>
      <c r="R230" s="125">
        <f t="shared" si="50"/>
        <v>161850</v>
      </c>
      <c r="S230" s="43">
        <f t="shared" si="52"/>
        <v>2.7099165894346616E-2</v>
      </c>
      <c r="T230" s="35">
        <f t="shared" si="48"/>
        <v>3.6685059571925631E-2</v>
      </c>
      <c r="U230" s="87"/>
      <c r="V230" s="261"/>
    </row>
    <row r="231" spans="1:22" x14ac:dyDescent="0.25">
      <c r="A231" s="93">
        <v>44122</v>
      </c>
      <c r="B231" s="156">
        <v>10561</v>
      </c>
      <c r="C231" s="156">
        <f t="shared" ref="C231:C241" si="53">C230+B231</f>
        <v>989680</v>
      </c>
      <c r="D231" s="156">
        <v>159</v>
      </c>
      <c r="E231" s="156">
        <f t="shared" ref="E231:E239" si="54">E230+D231</f>
        <v>26254</v>
      </c>
      <c r="F231" s="156">
        <f t="shared" si="39"/>
        <v>12791</v>
      </c>
      <c r="G231" s="185">
        <v>803965</v>
      </c>
      <c r="H231" s="156">
        <v>4387</v>
      </c>
      <c r="I231" s="156">
        <v>13890</v>
      </c>
      <c r="J231" s="4">
        <f t="shared" si="29"/>
        <v>2330200</v>
      </c>
      <c r="K231" s="7">
        <v>1617</v>
      </c>
      <c r="L231" s="7">
        <v>1269203</v>
      </c>
      <c r="M231" s="4">
        <f t="shared" si="51"/>
        <v>1270820</v>
      </c>
      <c r="N231" s="8">
        <v>8370</v>
      </c>
      <c r="O231" s="8">
        <v>193297</v>
      </c>
      <c r="P231" s="8">
        <v>669231</v>
      </c>
      <c r="Q231" s="4">
        <f t="shared" si="42"/>
        <v>118782</v>
      </c>
      <c r="R231" s="125">
        <f t="shared" si="50"/>
        <v>159461</v>
      </c>
      <c r="S231" s="43">
        <f t="shared" si="52"/>
        <v>2.7511429126871146E-2</v>
      </c>
      <c r="T231" s="35">
        <f t="shared" si="48"/>
        <v>3.630595797171194E-2</v>
      </c>
      <c r="U231" s="87"/>
      <c r="V231" s="261"/>
    </row>
    <row r="232" spans="1:22" x14ac:dyDescent="0.25">
      <c r="A232" s="93">
        <v>44123</v>
      </c>
      <c r="B232" s="156">
        <v>12982</v>
      </c>
      <c r="C232" s="156">
        <f t="shared" si="53"/>
        <v>1002662</v>
      </c>
      <c r="D232" s="156">
        <v>448</v>
      </c>
      <c r="E232" s="156">
        <f t="shared" si="54"/>
        <v>26702</v>
      </c>
      <c r="F232" s="156">
        <f t="shared" si="39"/>
        <v>12282</v>
      </c>
      <c r="G232" s="185">
        <v>816247</v>
      </c>
      <c r="H232" s="156">
        <v>4392</v>
      </c>
      <c r="I232" s="156">
        <v>28395</v>
      </c>
      <c r="J232" s="4">
        <f t="shared" si="29"/>
        <v>2358595</v>
      </c>
      <c r="K232" s="7">
        <v>1656</v>
      </c>
      <c r="L232" s="7">
        <v>1281757</v>
      </c>
      <c r="M232" s="4">
        <v>1283413</v>
      </c>
      <c r="N232" s="4">
        <v>8406</v>
      </c>
      <c r="O232" s="4">
        <v>195959</v>
      </c>
      <c r="P232" s="4">
        <v>676839</v>
      </c>
      <c r="Q232" s="4">
        <v>121458</v>
      </c>
      <c r="R232" s="125">
        <f t="shared" si="50"/>
        <v>159713</v>
      </c>
      <c r="S232" s="43">
        <f t="shared" si="52"/>
        <v>2.7499326917658551E-2</v>
      </c>
      <c r="T232" s="35">
        <f t="shared" si="48"/>
        <v>3.624989648510947E-2</v>
      </c>
      <c r="U232" s="87"/>
      <c r="V232" s="261"/>
    </row>
    <row r="233" spans="1:22" x14ac:dyDescent="0.25">
      <c r="A233" s="93">
        <v>44124</v>
      </c>
      <c r="B233" s="156">
        <v>16337</v>
      </c>
      <c r="C233" s="156">
        <f t="shared" si="53"/>
        <v>1018999</v>
      </c>
      <c r="D233" s="156">
        <v>381</v>
      </c>
      <c r="E233" s="156">
        <f t="shared" si="54"/>
        <v>27083</v>
      </c>
      <c r="F233" s="156">
        <f t="shared" si="39"/>
        <v>13400</v>
      </c>
      <c r="G233" s="185">
        <v>829647</v>
      </c>
      <c r="H233" s="156">
        <v>4451</v>
      </c>
      <c r="I233" s="156">
        <v>37474</v>
      </c>
      <c r="J233" s="4">
        <f t="shared" si="29"/>
        <v>2396069</v>
      </c>
      <c r="K233" s="7">
        <v>1707</v>
      </c>
      <c r="L233" s="7">
        <v>1298433</v>
      </c>
      <c r="M233" s="4">
        <v>1283413</v>
      </c>
      <c r="N233" s="4">
        <v>8482</v>
      </c>
      <c r="O233" s="4">
        <v>199382</v>
      </c>
      <c r="P233" s="4">
        <v>689632</v>
      </c>
      <c r="Q233" s="12">
        <f>C233-N233-O233-P233</f>
        <v>121503</v>
      </c>
      <c r="R233" s="125">
        <f t="shared" si="50"/>
        <v>162269</v>
      </c>
      <c r="S233" s="43">
        <f t="shared" si="52"/>
        <v>2.7429761692005252E-2</v>
      </c>
      <c r="T233" s="35">
        <f t="shared" ref="T233:T245" si="55">E233/C213</f>
        <v>3.6062535203015708E-2</v>
      </c>
      <c r="U233" s="87"/>
      <c r="V233" s="261"/>
    </row>
    <row r="234" spans="1:22" x14ac:dyDescent="0.25">
      <c r="A234" s="93">
        <v>44125</v>
      </c>
      <c r="B234" s="169">
        <v>18326</v>
      </c>
      <c r="C234" s="156">
        <f t="shared" si="53"/>
        <v>1037325</v>
      </c>
      <c r="D234" s="156">
        <v>421</v>
      </c>
      <c r="E234" s="156">
        <f t="shared" si="54"/>
        <v>27504</v>
      </c>
      <c r="F234" s="156">
        <f t="shared" si="39"/>
        <v>10873</v>
      </c>
      <c r="G234" s="185">
        <v>840520</v>
      </c>
      <c r="H234" s="156">
        <v>4573</v>
      </c>
      <c r="I234" s="156">
        <v>38340</v>
      </c>
      <c r="J234" s="4">
        <f t="shared" ref="J234:J297" si="56">J235-I235</f>
        <v>2434409</v>
      </c>
      <c r="K234" s="7">
        <v>1753</v>
      </c>
      <c r="L234" s="7">
        <v>1314443</v>
      </c>
      <c r="M234" s="7">
        <f>K234+L234</f>
        <v>1316196</v>
      </c>
      <c r="N234" s="4">
        <v>8552</v>
      </c>
      <c r="O234" s="4">
        <v>202216</v>
      </c>
      <c r="P234" s="4">
        <v>702103</v>
      </c>
      <c r="Q234" s="12">
        <f>C234-N234-O234-P234</f>
        <v>124454</v>
      </c>
      <c r="R234" s="125">
        <f t="shared" si="50"/>
        <v>169301</v>
      </c>
      <c r="S234" s="43">
        <f t="shared" si="52"/>
        <v>2.7011063136071257E-2</v>
      </c>
      <c r="T234" s="35">
        <f t="shared" si="55"/>
        <v>3.5952847182098874E-2</v>
      </c>
      <c r="U234" s="87"/>
      <c r="V234" s="261"/>
    </row>
    <row r="235" spans="1:22" x14ac:dyDescent="0.25">
      <c r="A235" s="93">
        <v>44126</v>
      </c>
      <c r="B235" s="156">
        <v>16325</v>
      </c>
      <c r="C235" s="156">
        <f t="shared" si="53"/>
        <v>1053650</v>
      </c>
      <c r="D235" s="154">
        <v>437</v>
      </c>
      <c r="E235" s="154">
        <f t="shared" si="54"/>
        <v>27941</v>
      </c>
      <c r="F235" s="156">
        <f t="shared" si="39"/>
        <v>11334</v>
      </c>
      <c r="G235" s="179">
        <v>851854</v>
      </c>
      <c r="H235" s="154">
        <v>4611</v>
      </c>
      <c r="I235" s="154">
        <v>39196</v>
      </c>
      <c r="J235" s="4">
        <f t="shared" si="56"/>
        <v>2473605</v>
      </c>
      <c r="K235" s="124">
        <v>1832</v>
      </c>
      <c r="L235" s="124">
        <v>1332741</v>
      </c>
      <c r="M235" s="124">
        <f>L235+K235</f>
        <v>1334573</v>
      </c>
      <c r="N235" s="124">
        <v>8614</v>
      </c>
      <c r="O235" s="124">
        <v>205085</v>
      </c>
      <c r="P235" s="124">
        <v>714929</v>
      </c>
      <c r="Q235" s="124">
        <f>C235-N235-O235-P235</f>
        <v>125022</v>
      </c>
      <c r="R235" s="125">
        <f t="shared" si="50"/>
        <v>173855</v>
      </c>
      <c r="S235" s="43">
        <f t="shared" si="52"/>
        <v>2.652210175145955E-2</v>
      </c>
      <c r="T235" s="35">
        <f t="shared" si="55"/>
        <v>3.5836083361442832E-2</v>
      </c>
      <c r="U235" s="87"/>
      <c r="V235" s="261"/>
    </row>
    <row r="236" spans="1:22" x14ac:dyDescent="0.25">
      <c r="A236" s="93">
        <v>44127</v>
      </c>
      <c r="B236" s="156">
        <v>15718</v>
      </c>
      <c r="C236" s="156">
        <f t="shared" si="53"/>
        <v>1069368</v>
      </c>
      <c r="D236" s="154">
        <v>380</v>
      </c>
      <c r="E236" s="154">
        <f t="shared" si="54"/>
        <v>28321</v>
      </c>
      <c r="F236" s="156">
        <f t="shared" si="39"/>
        <v>14841</v>
      </c>
      <c r="G236" s="179">
        <v>866695</v>
      </c>
      <c r="H236" s="154">
        <v>4696</v>
      </c>
      <c r="I236" s="154">
        <v>35671</v>
      </c>
      <c r="J236" s="4">
        <f t="shared" si="56"/>
        <v>2509276</v>
      </c>
      <c r="K236" s="124">
        <v>1839</v>
      </c>
      <c r="L236" s="124">
        <v>1348372</v>
      </c>
      <c r="M236" s="124">
        <f t="shared" ref="M236:M299" si="57">L236+K236</f>
        <v>1350211</v>
      </c>
      <c r="N236" s="124">
        <v>8671</v>
      </c>
      <c r="O236" s="126">
        <v>208116</v>
      </c>
      <c r="P236" s="126">
        <v>727467</v>
      </c>
      <c r="Q236" s="124">
        <f t="shared" ref="Q236:Q299" si="58">C236-N236-O236-P236</f>
        <v>125114</v>
      </c>
      <c r="R236" s="125">
        <f t="shared" si="50"/>
        <v>174352</v>
      </c>
      <c r="S236" s="43">
        <f t="shared" si="52"/>
        <v>2.6934018537212077E-2</v>
      </c>
      <c r="T236" s="35">
        <f t="shared" si="55"/>
        <v>3.581228550690551E-2</v>
      </c>
      <c r="U236" s="87"/>
      <c r="V236" s="261"/>
    </row>
    <row r="237" spans="1:22" x14ac:dyDescent="0.25">
      <c r="A237" s="93">
        <v>44128</v>
      </c>
      <c r="B237" s="156">
        <v>11968</v>
      </c>
      <c r="C237" s="156">
        <f t="shared" si="53"/>
        <v>1081336</v>
      </c>
      <c r="D237" s="154">
        <v>273</v>
      </c>
      <c r="E237" s="154">
        <f t="shared" si="54"/>
        <v>28594</v>
      </c>
      <c r="F237" s="156">
        <f t="shared" si="39"/>
        <v>14418</v>
      </c>
      <c r="G237" s="179">
        <v>881113</v>
      </c>
      <c r="H237" s="154">
        <v>4850</v>
      </c>
      <c r="I237" s="154">
        <v>27027</v>
      </c>
      <c r="J237" s="4">
        <f t="shared" si="56"/>
        <v>2536303</v>
      </c>
      <c r="K237" s="124">
        <v>1868</v>
      </c>
      <c r="L237" s="124">
        <v>1359984</v>
      </c>
      <c r="M237" s="124">
        <f t="shared" si="57"/>
        <v>1361852</v>
      </c>
      <c r="N237" s="124">
        <v>8708</v>
      </c>
      <c r="O237" s="126">
        <v>210053</v>
      </c>
      <c r="P237" s="126">
        <v>735763</v>
      </c>
      <c r="Q237" s="124">
        <f t="shared" si="58"/>
        <v>126812</v>
      </c>
      <c r="R237" s="125">
        <f t="shared" si="50"/>
        <v>171629</v>
      </c>
      <c r="S237" s="43">
        <f t="shared" si="52"/>
        <v>2.8258627621206206E-2</v>
      </c>
      <c r="T237" s="35">
        <f t="shared" si="55"/>
        <v>3.5810270937749689E-2</v>
      </c>
      <c r="U237" s="87"/>
      <c r="V237" s="261"/>
    </row>
    <row r="238" spans="1:22" x14ac:dyDescent="0.25">
      <c r="A238" s="93">
        <v>44129</v>
      </c>
      <c r="B238" s="156">
        <v>9253</v>
      </c>
      <c r="C238" s="156">
        <f t="shared" si="53"/>
        <v>1090589</v>
      </c>
      <c r="D238" s="154">
        <v>282</v>
      </c>
      <c r="E238" s="154">
        <f t="shared" si="54"/>
        <v>28876</v>
      </c>
      <c r="F238" s="156">
        <f t="shared" si="39"/>
        <v>13706</v>
      </c>
      <c r="G238" s="179">
        <v>894819</v>
      </c>
      <c r="H238" s="154">
        <v>4863</v>
      </c>
      <c r="I238" s="154">
        <v>20303</v>
      </c>
      <c r="J238" s="4">
        <f t="shared" si="56"/>
        <v>2556606</v>
      </c>
      <c r="K238" s="124">
        <v>1904</v>
      </c>
      <c r="L238" s="124">
        <v>1367953</v>
      </c>
      <c r="M238" s="124">
        <f t="shared" si="57"/>
        <v>1369857</v>
      </c>
      <c r="N238" s="124">
        <v>8749</v>
      </c>
      <c r="O238" s="124">
        <v>211123</v>
      </c>
      <c r="P238" s="124">
        <v>741313</v>
      </c>
      <c r="Q238" s="124">
        <f t="shared" si="58"/>
        <v>129404</v>
      </c>
      <c r="R238" s="125">
        <f t="shared" si="50"/>
        <v>166894</v>
      </c>
      <c r="S238" s="43">
        <f t="shared" si="52"/>
        <v>2.9138255419607656E-2</v>
      </c>
      <c r="T238" s="35">
        <f t="shared" si="55"/>
        <v>3.5661357888080933E-2</v>
      </c>
      <c r="U238" s="87"/>
      <c r="V238" s="261"/>
    </row>
    <row r="239" spans="1:22" x14ac:dyDescent="0.25">
      <c r="A239" s="93">
        <v>44130</v>
      </c>
      <c r="B239" s="156">
        <v>11712</v>
      </c>
      <c r="C239" s="156">
        <f t="shared" si="53"/>
        <v>1102301</v>
      </c>
      <c r="D239" s="154">
        <v>405</v>
      </c>
      <c r="E239" s="154">
        <f t="shared" si="54"/>
        <v>29281</v>
      </c>
      <c r="F239" s="156">
        <f t="shared" si="39"/>
        <v>14767</v>
      </c>
      <c r="G239" s="179">
        <v>909586</v>
      </c>
      <c r="H239" s="154">
        <v>5038</v>
      </c>
      <c r="I239" s="154">
        <v>26448</v>
      </c>
      <c r="J239" s="4">
        <f t="shared" si="56"/>
        <v>2583054</v>
      </c>
      <c r="K239" s="124">
        <v>1956</v>
      </c>
      <c r="L239" s="124">
        <v>1378916</v>
      </c>
      <c r="M239" s="124">
        <f t="shared" si="57"/>
        <v>1380872</v>
      </c>
      <c r="N239" s="126">
        <v>8816</v>
      </c>
      <c r="O239" s="126">
        <v>213578</v>
      </c>
      <c r="P239" s="126">
        <v>753406</v>
      </c>
      <c r="Q239" s="124">
        <f t="shared" si="58"/>
        <v>126501</v>
      </c>
      <c r="R239" s="125">
        <f t="shared" si="50"/>
        <v>163434</v>
      </c>
      <c r="S239" s="43">
        <f t="shared" si="52"/>
        <v>3.082589913971389E-2</v>
      </c>
      <c r="T239" s="35">
        <f t="shared" si="55"/>
        <v>3.5515023020905603E-2</v>
      </c>
      <c r="U239" s="87"/>
      <c r="V239" s="261"/>
    </row>
    <row r="240" spans="1:22" x14ac:dyDescent="0.25">
      <c r="A240" s="93">
        <v>44131</v>
      </c>
      <c r="B240" s="156">
        <v>14308</v>
      </c>
      <c r="C240" s="156">
        <f t="shared" si="53"/>
        <v>1116609</v>
      </c>
      <c r="D240" s="154">
        <v>425</v>
      </c>
      <c r="E240" s="154">
        <f>E239+D240</f>
        <v>29706</v>
      </c>
      <c r="F240" s="156">
        <f t="shared" si="39"/>
        <v>11758</v>
      </c>
      <c r="G240" s="179">
        <v>921344</v>
      </c>
      <c r="H240" s="154">
        <v>4952</v>
      </c>
      <c r="I240" s="154">
        <v>32847</v>
      </c>
      <c r="J240" s="4">
        <f t="shared" si="56"/>
        <v>2615901</v>
      </c>
      <c r="K240" s="124">
        <v>2043</v>
      </c>
      <c r="L240" s="124">
        <v>1392805</v>
      </c>
      <c r="M240" s="124">
        <f t="shared" si="57"/>
        <v>1394848</v>
      </c>
      <c r="N240" s="124">
        <v>8868</v>
      </c>
      <c r="O240" s="124">
        <v>216480</v>
      </c>
      <c r="P240" s="124">
        <v>765831</v>
      </c>
      <c r="Q240" s="124">
        <f t="shared" si="58"/>
        <v>125430</v>
      </c>
      <c r="R240" s="125">
        <f t="shared" si="50"/>
        <v>165559</v>
      </c>
      <c r="S240" s="43">
        <f t="shared" si="52"/>
        <v>2.9910787091006832E-2</v>
      </c>
      <c r="T240" s="35">
        <f t="shared" si="55"/>
        <v>3.5325805818661814E-2</v>
      </c>
      <c r="U240" s="87"/>
      <c r="V240" s="261"/>
    </row>
    <row r="241" spans="1:24" x14ac:dyDescent="0.25">
      <c r="A241" s="93">
        <v>44132</v>
      </c>
      <c r="B241" s="156">
        <v>13924</v>
      </c>
      <c r="C241" s="156">
        <f t="shared" si="53"/>
        <v>1130533</v>
      </c>
      <c r="D241" s="154">
        <v>345</v>
      </c>
      <c r="E241" s="154">
        <f t="shared" ref="E241:E256" si="59">E240+D241</f>
        <v>30051</v>
      </c>
      <c r="F241" s="156">
        <f t="shared" si="39"/>
        <v>9803</v>
      </c>
      <c r="G241" s="179">
        <v>931147</v>
      </c>
      <c r="H241" s="154">
        <v>5037</v>
      </c>
      <c r="I241" s="154">
        <v>32827</v>
      </c>
      <c r="J241" s="4">
        <f t="shared" si="56"/>
        <v>2648728</v>
      </c>
      <c r="K241" s="124">
        <v>2109</v>
      </c>
      <c r="L241" s="124">
        <v>1406416</v>
      </c>
      <c r="M241" s="124">
        <f t="shared" si="57"/>
        <v>1408525</v>
      </c>
      <c r="N241" s="126">
        <v>8959</v>
      </c>
      <c r="O241" s="126">
        <v>219233</v>
      </c>
      <c r="P241" s="126">
        <v>777424</v>
      </c>
      <c r="Q241" s="124">
        <f t="shared" si="58"/>
        <v>124917</v>
      </c>
      <c r="R241" s="125">
        <f t="shared" si="50"/>
        <v>169335</v>
      </c>
      <c r="S241" s="43">
        <f t="shared" si="52"/>
        <v>2.9745770218797058E-2</v>
      </c>
      <c r="T241" s="35">
        <f t="shared" si="55"/>
        <v>3.5091181488353738E-2</v>
      </c>
      <c r="U241" s="87"/>
      <c r="V241" s="261"/>
      <c r="W241" s="51"/>
      <c r="X241" s="130"/>
    </row>
    <row r="242" spans="1:24" x14ac:dyDescent="0.25">
      <c r="A242" s="93">
        <v>44133</v>
      </c>
      <c r="B242" s="156">
        <v>13267</v>
      </c>
      <c r="C242" s="156">
        <f>C241+B242</f>
        <v>1143800</v>
      </c>
      <c r="D242" s="154">
        <v>370</v>
      </c>
      <c r="E242" s="154">
        <f t="shared" si="59"/>
        <v>30421</v>
      </c>
      <c r="F242" s="156">
        <f t="shared" si="39"/>
        <v>14987</v>
      </c>
      <c r="G242" s="179">
        <v>946134</v>
      </c>
      <c r="H242" s="154">
        <v>4981</v>
      </c>
      <c r="I242" s="154">
        <v>31568</v>
      </c>
      <c r="J242" s="4">
        <f t="shared" si="56"/>
        <v>2680296</v>
      </c>
      <c r="K242" s="124">
        <v>2160</v>
      </c>
      <c r="L242" s="124">
        <v>1420288</v>
      </c>
      <c r="M242" s="124">
        <f t="shared" si="57"/>
        <v>1422448</v>
      </c>
      <c r="N242" s="124">
        <v>9010</v>
      </c>
      <c r="O242" s="124">
        <v>221851</v>
      </c>
      <c r="P242" s="124">
        <v>788337</v>
      </c>
      <c r="Q242" s="124">
        <f t="shared" si="58"/>
        <v>124602</v>
      </c>
      <c r="R242" s="125">
        <f t="shared" si="50"/>
        <v>167245</v>
      </c>
      <c r="S242" s="43">
        <f t="shared" si="52"/>
        <v>2.9782654189960837E-2</v>
      </c>
      <c r="T242" s="35">
        <f t="shared" si="55"/>
        <v>3.4907764829001181E-2</v>
      </c>
      <c r="U242" s="87"/>
      <c r="V242" s="261"/>
      <c r="W242" s="51"/>
      <c r="X242" s="130"/>
    </row>
    <row r="243" spans="1:24" x14ac:dyDescent="0.25">
      <c r="A243" s="93">
        <v>44134</v>
      </c>
      <c r="B243" s="156">
        <v>13379</v>
      </c>
      <c r="C243" s="156">
        <f>C242+B243</f>
        <v>1157179</v>
      </c>
      <c r="D243" s="154">
        <v>349</v>
      </c>
      <c r="E243" s="154">
        <f t="shared" si="59"/>
        <v>30770</v>
      </c>
      <c r="F243" s="156">
        <f t="shared" si="39"/>
        <v>14967</v>
      </c>
      <c r="G243" s="179">
        <v>961101</v>
      </c>
      <c r="H243" s="154">
        <v>4981</v>
      </c>
      <c r="I243" s="154">
        <v>32761</v>
      </c>
      <c r="J243" s="4">
        <f t="shared" si="56"/>
        <v>2713057</v>
      </c>
      <c r="K243" s="124">
        <v>2198</v>
      </c>
      <c r="L243" s="124">
        <v>1435121</v>
      </c>
      <c r="M243" s="124">
        <f t="shared" si="57"/>
        <v>1437319</v>
      </c>
      <c r="N243" s="124">
        <v>9073</v>
      </c>
      <c r="O243" s="124">
        <v>224367</v>
      </c>
      <c r="P243" s="124">
        <v>799735</v>
      </c>
      <c r="Q243" s="124">
        <f t="shared" si="58"/>
        <v>124004</v>
      </c>
      <c r="R243" s="125">
        <f t="shared" si="50"/>
        <v>165308</v>
      </c>
      <c r="S243" s="43">
        <f t="shared" si="52"/>
        <v>3.0131633072809545E-2</v>
      </c>
      <c r="T243" s="35">
        <f t="shared" si="55"/>
        <v>3.4812339203649359E-2</v>
      </c>
      <c r="U243" s="87"/>
      <c r="V243" s="261"/>
      <c r="W243" s="51"/>
      <c r="X243" s="130"/>
    </row>
    <row r="244" spans="1:24" x14ac:dyDescent="0.25">
      <c r="A244" s="134">
        <v>44135</v>
      </c>
      <c r="B244" s="156">
        <v>9745</v>
      </c>
      <c r="C244" s="156">
        <f t="shared" ref="C244:C256" si="60">C243+B244</f>
        <v>1166924</v>
      </c>
      <c r="D244" s="154">
        <v>210</v>
      </c>
      <c r="E244" s="154">
        <f t="shared" si="59"/>
        <v>30980</v>
      </c>
      <c r="F244" s="156">
        <f t="shared" si="39"/>
        <v>12838</v>
      </c>
      <c r="G244" s="179">
        <v>973939</v>
      </c>
      <c r="H244" s="154">
        <v>4969</v>
      </c>
      <c r="I244" s="154">
        <v>26699</v>
      </c>
      <c r="J244" s="4">
        <f t="shared" si="56"/>
        <v>2739756</v>
      </c>
      <c r="K244" s="126">
        <v>2357</v>
      </c>
      <c r="L244" s="127">
        <v>1447945</v>
      </c>
      <c r="M244" s="124">
        <f t="shared" si="57"/>
        <v>1450302</v>
      </c>
      <c r="N244" s="126">
        <v>9103</v>
      </c>
      <c r="O244" s="126">
        <v>225845</v>
      </c>
      <c r="P244" s="126">
        <v>808139</v>
      </c>
      <c r="Q244" s="124">
        <f t="shared" si="58"/>
        <v>123837</v>
      </c>
      <c r="R244" s="125">
        <f t="shared" si="50"/>
        <v>162005</v>
      </c>
      <c r="S244" s="43">
        <f t="shared" si="52"/>
        <v>3.0671892842813492E-2</v>
      </c>
      <c r="T244" s="35">
        <f t="shared" si="55"/>
        <v>3.4645260711737562E-2</v>
      </c>
      <c r="U244" s="87"/>
      <c r="V244" s="261"/>
      <c r="W244" s="51"/>
      <c r="X244" s="130"/>
    </row>
    <row r="245" spans="1:24" x14ac:dyDescent="0.25">
      <c r="A245" s="134">
        <v>44136</v>
      </c>
      <c r="B245" s="156">
        <v>6609</v>
      </c>
      <c r="C245" s="156">
        <f t="shared" si="60"/>
        <v>1173533</v>
      </c>
      <c r="D245" s="154">
        <v>135</v>
      </c>
      <c r="E245" s="154">
        <f t="shared" si="59"/>
        <v>31115</v>
      </c>
      <c r="F245" s="156">
        <f t="shared" si="39"/>
        <v>11377</v>
      </c>
      <c r="G245" s="179">
        <v>985316</v>
      </c>
      <c r="H245" s="154">
        <v>5119</v>
      </c>
      <c r="I245" s="154">
        <v>15645</v>
      </c>
      <c r="J245" s="4">
        <f t="shared" si="56"/>
        <v>2755401</v>
      </c>
      <c r="K245" s="126">
        <v>2393</v>
      </c>
      <c r="L245" s="126">
        <v>1455146</v>
      </c>
      <c r="M245" s="124">
        <f t="shared" si="57"/>
        <v>1457539</v>
      </c>
      <c r="N245" s="126">
        <v>9123</v>
      </c>
      <c r="O245" s="126">
        <v>226864</v>
      </c>
      <c r="P245" s="126">
        <v>813376</v>
      </c>
      <c r="Q245" s="124">
        <f t="shared" si="58"/>
        <v>124170</v>
      </c>
      <c r="R245" s="125">
        <f t="shared" si="50"/>
        <v>157102</v>
      </c>
      <c r="S245" s="43">
        <f t="shared" si="52"/>
        <v>3.2583926366309787E-2</v>
      </c>
      <c r="T245" s="35">
        <f t="shared" si="55"/>
        <v>3.4429530943976633E-2</v>
      </c>
      <c r="U245" s="87"/>
      <c r="V245" s="261"/>
      <c r="W245" s="51"/>
      <c r="X245" s="130"/>
    </row>
    <row r="246" spans="1:24" x14ac:dyDescent="0.25">
      <c r="A246" s="93">
        <v>44137</v>
      </c>
      <c r="B246" s="156">
        <v>9598</v>
      </c>
      <c r="C246" s="156">
        <f t="shared" si="60"/>
        <v>1183131</v>
      </c>
      <c r="D246" s="154">
        <v>479</v>
      </c>
      <c r="E246" s="154">
        <f t="shared" si="59"/>
        <v>31594</v>
      </c>
      <c r="F246" s="156">
        <f t="shared" si="39"/>
        <v>12700</v>
      </c>
      <c r="G246" s="179">
        <v>998016</v>
      </c>
      <c r="H246" s="154">
        <v>4992</v>
      </c>
      <c r="I246" s="154">
        <v>249864</v>
      </c>
      <c r="J246" s="4">
        <f t="shared" si="56"/>
        <v>3005265</v>
      </c>
      <c r="K246" s="126">
        <v>2514</v>
      </c>
      <c r="L246" s="126">
        <v>1467420</v>
      </c>
      <c r="M246" s="124">
        <f t="shared" si="57"/>
        <v>1469934</v>
      </c>
      <c r="N246" s="126">
        <v>9159</v>
      </c>
      <c r="O246" s="126">
        <v>229301</v>
      </c>
      <c r="P246" s="126">
        <v>822808</v>
      </c>
      <c r="Q246" s="124">
        <f t="shared" si="58"/>
        <v>121863</v>
      </c>
      <c r="R246" s="125">
        <f t="shared" si="50"/>
        <v>153521</v>
      </c>
      <c r="S246" s="8">
        <f t="shared" ref="S246:S252" si="61">H246-H245</f>
        <v>-127</v>
      </c>
      <c r="T246" s="4"/>
      <c r="U246" s="87"/>
      <c r="V246" s="261"/>
      <c r="W246" s="51"/>
      <c r="X246" s="130"/>
    </row>
    <row r="247" spans="1:24" x14ac:dyDescent="0.25">
      <c r="A247" s="93">
        <v>44138</v>
      </c>
      <c r="B247" s="156">
        <v>12145</v>
      </c>
      <c r="C247" s="156">
        <f t="shared" si="60"/>
        <v>1195276</v>
      </c>
      <c r="D247" s="154">
        <v>429</v>
      </c>
      <c r="E247" s="154">
        <f t="shared" si="59"/>
        <v>32023</v>
      </c>
      <c r="F247" s="156">
        <f t="shared" si="39"/>
        <v>11262</v>
      </c>
      <c r="G247" s="179">
        <v>1009278</v>
      </c>
      <c r="H247" s="154">
        <v>4854</v>
      </c>
      <c r="I247" s="154">
        <v>30999</v>
      </c>
      <c r="J247" s="4">
        <f t="shared" si="56"/>
        <v>3036264</v>
      </c>
      <c r="K247" s="126">
        <v>2583</v>
      </c>
      <c r="L247" s="126">
        <v>1482833</v>
      </c>
      <c r="M247" s="124">
        <f t="shared" si="57"/>
        <v>1485416</v>
      </c>
      <c r="N247" s="126">
        <v>9211</v>
      </c>
      <c r="O247" s="126">
        <v>232229</v>
      </c>
      <c r="P247" s="126">
        <v>832741</v>
      </c>
      <c r="Q247" s="124">
        <f t="shared" si="58"/>
        <v>121095</v>
      </c>
      <c r="R247" s="125">
        <f t="shared" si="50"/>
        <v>153975</v>
      </c>
      <c r="S247" s="8">
        <f t="shared" si="61"/>
        <v>-138</v>
      </c>
      <c r="T247" s="4"/>
      <c r="U247" s="87"/>
      <c r="V247" s="261"/>
      <c r="W247" s="51"/>
      <c r="X247" s="130"/>
    </row>
    <row r="248" spans="1:24" x14ac:dyDescent="0.25">
      <c r="A248" s="93">
        <v>44139</v>
      </c>
      <c r="B248" s="156">
        <v>10652</v>
      </c>
      <c r="C248" s="156">
        <f t="shared" si="60"/>
        <v>1205928</v>
      </c>
      <c r="D248" s="154">
        <v>464</v>
      </c>
      <c r="E248" s="154">
        <f t="shared" si="59"/>
        <v>32487</v>
      </c>
      <c r="F248" s="156">
        <f t="shared" si="39"/>
        <v>8369</v>
      </c>
      <c r="G248" s="179">
        <v>1017647</v>
      </c>
      <c r="H248" s="154">
        <v>4816</v>
      </c>
      <c r="I248" s="154">
        <v>36435</v>
      </c>
      <c r="J248" s="4">
        <f t="shared" si="56"/>
        <v>3072699</v>
      </c>
      <c r="K248" s="126">
        <v>2640</v>
      </c>
      <c r="L248" s="126">
        <v>1503103</v>
      </c>
      <c r="M248" s="124">
        <f t="shared" si="57"/>
        <v>1505743</v>
      </c>
      <c r="N248" s="126">
        <v>9251</v>
      </c>
      <c r="O248" s="126">
        <v>234718</v>
      </c>
      <c r="P248" s="126">
        <v>842950</v>
      </c>
      <c r="Q248" s="124">
        <f t="shared" si="58"/>
        <v>119009</v>
      </c>
      <c r="R248" s="125">
        <f t="shared" ref="R248:R309" si="62">C248-E248-G248</f>
        <v>155794</v>
      </c>
      <c r="S248" s="47">
        <f t="shared" si="61"/>
        <v>-38</v>
      </c>
      <c r="T248" s="4"/>
      <c r="U248" s="87"/>
      <c r="V248" s="261"/>
      <c r="W248" s="51"/>
      <c r="X248" s="130"/>
    </row>
    <row r="249" spans="1:24" x14ac:dyDescent="0.25">
      <c r="A249" s="93">
        <v>44140</v>
      </c>
      <c r="B249" s="156">
        <v>11100</v>
      </c>
      <c r="C249" s="156">
        <f t="shared" si="60"/>
        <v>1217028</v>
      </c>
      <c r="D249" s="154">
        <v>246</v>
      </c>
      <c r="E249" s="154">
        <f t="shared" si="59"/>
        <v>32733</v>
      </c>
      <c r="F249" s="156">
        <f t="shared" si="39"/>
        <v>12490</v>
      </c>
      <c r="G249" s="179">
        <v>1030137</v>
      </c>
      <c r="H249" s="154">
        <v>4713</v>
      </c>
      <c r="I249" s="154">
        <v>28900</v>
      </c>
      <c r="J249" s="4">
        <f t="shared" si="56"/>
        <v>3101599</v>
      </c>
      <c r="K249" s="126">
        <v>2667</v>
      </c>
      <c r="L249" s="126">
        <v>1516132</v>
      </c>
      <c r="M249" s="124">
        <f t="shared" si="57"/>
        <v>1518799</v>
      </c>
      <c r="N249" s="126">
        <v>9294</v>
      </c>
      <c r="O249" s="126">
        <v>237018</v>
      </c>
      <c r="P249" s="126">
        <v>851916</v>
      </c>
      <c r="Q249" s="124">
        <f t="shared" si="58"/>
        <v>118800</v>
      </c>
      <c r="R249" s="125">
        <f t="shared" si="62"/>
        <v>154158</v>
      </c>
      <c r="S249" s="47">
        <f t="shared" si="61"/>
        <v>-103</v>
      </c>
      <c r="T249" s="4"/>
      <c r="U249" s="87"/>
      <c r="V249" s="261"/>
      <c r="W249" s="51"/>
      <c r="X249" s="130"/>
    </row>
    <row r="250" spans="1:24" x14ac:dyDescent="0.25">
      <c r="A250" s="93">
        <v>44141</v>
      </c>
      <c r="B250" s="156">
        <v>11786</v>
      </c>
      <c r="C250" s="156">
        <f t="shared" si="60"/>
        <v>1228814</v>
      </c>
      <c r="D250" s="154">
        <v>369</v>
      </c>
      <c r="E250" s="154">
        <f t="shared" si="59"/>
        <v>33102</v>
      </c>
      <c r="F250" s="156">
        <f t="shared" si="39"/>
        <v>12100</v>
      </c>
      <c r="G250" s="179">
        <v>1042237</v>
      </c>
      <c r="H250" s="154">
        <v>4666</v>
      </c>
      <c r="I250" s="154">
        <v>34727</v>
      </c>
      <c r="J250" s="4">
        <f t="shared" si="56"/>
        <v>3136326</v>
      </c>
      <c r="K250" s="126">
        <v>2702</v>
      </c>
      <c r="L250" s="126">
        <v>1534460</v>
      </c>
      <c r="M250" s="124">
        <f t="shared" si="57"/>
        <v>1537162</v>
      </c>
      <c r="N250" s="126">
        <v>9349</v>
      </c>
      <c r="O250" s="126">
        <v>239488</v>
      </c>
      <c r="P250" s="126">
        <v>861070</v>
      </c>
      <c r="Q250" s="124">
        <f t="shared" si="58"/>
        <v>118907</v>
      </c>
      <c r="R250" s="125">
        <f t="shared" si="62"/>
        <v>153475</v>
      </c>
      <c r="S250" s="47">
        <f t="shared" si="61"/>
        <v>-47</v>
      </c>
      <c r="T250" s="4"/>
      <c r="U250" s="87"/>
      <c r="V250" s="261"/>
      <c r="W250" s="51"/>
      <c r="X250" s="130"/>
    </row>
    <row r="251" spans="1:24" x14ac:dyDescent="0.25">
      <c r="A251" s="134">
        <v>44142</v>
      </c>
      <c r="B251" s="156">
        <v>8037</v>
      </c>
      <c r="C251" s="156">
        <f t="shared" si="60"/>
        <v>1236851</v>
      </c>
      <c r="D251" s="154">
        <v>212</v>
      </c>
      <c r="E251" s="154">
        <f t="shared" si="59"/>
        <v>33314</v>
      </c>
      <c r="F251" s="156">
        <f t="shared" si="39"/>
        <v>11076</v>
      </c>
      <c r="G251" s="179">
        <v>1053313</v>
      </c>
      <c r="H251" s="154">
        <v>4593</v>
      </c>
      <c r="I251" s="154">
        <v>37062</v>
      </c>
      <c r="J251" s="4">
        <f t="shared" si="56"/>
        <v>3173388</v>
      </c>
      <c r="K251" s="126">
        <v>2727</v>
      </c>
      <c r="L251" s="126">
        <v>1559126</v>
      </c>
      <c r="M251" s="124">
        <f t="shared" si="57"/>
        <v>1561853</v>
      </c>
      <c r="N251" s="126">
        <v>9387</v>
      </c>
      <c r="O251" s="126">
        <v>240865</v>
      </c>
      <c r="P251" s="126">
        <v>866690</v>
      </c>
      <c r="Q251" s="124">
        <f t="shared" si="58"/>
        <v>119909</v>
      </c>
      <c r="R251" s="125">
        <f t="shared" si="62"/>
        <v>150224</v>
      </c>
      <c r="S251" s="47">
        <f t="shared" si="61"/>
        <v>-73</v>
      </c>
      <c r="T251" s="4"/>
      <c r="U251" s="87"/>
      <c r="V251" s="261"/>
      <c r="W251" s="51"/>
      <c r="X251" s="130"/>
    </row>
    <row r="252" spans="1:24" x14ac:dyDescent="0.25">
      <c r="A252" s="134">
        <v>44143</v>
      </c>
      <c r="B252" s="156">
        <v>5331</v>
      </c>
      <c r="C252" s="156">
        <f t="shared" si="60"/>
        <v>1242182</v>
      </c>
      <c r="D252" s="154">
        <v>211</v>
      </c>
      <c r="E252" s="154">
        <f t="shared" si="59"/>
        <v>33525</v>
      </c>
      <c r="F252" s="156">
        <f t="shared" si="39"/>
        <v>9598</v>
      </c>
      <c r="G252" s="179">
        <v>1062911</v>
      </c>
      <c r="H252" s="154">
        <v>4608</v>
      </c>
      <c r="I252" s="154">
        <v>14025</v>
      </c>
      <c r="J252" s="4">
        <f t="shared" si="56"/>
        <v>3187413</v>
      </c>
      <c r="K252" s="126">
        <v>2760</v>
      </c>
      <c r="L252" s="126">
        <v>1566231</v>
      </c>
      <c r="M252" s="124">
        <f t="shared" si="57"/>
        <v>1568991</v>
      </c>
      <c r="N252" s="126">
        <v>9403</v>
      </c>
      <c r="O252" s="126">
        <v>241673</v>
      </c>
      <c r="P252" s="126">
        <v>871132</v>
      </c>
      <c r="Q252" s="124">
        <f t="shared" si="58"/>
        <v>119974</v>
      </c>
      <c r="R252" s="125">
        <f t="shared" si="62"/>
        <v>145746</v>
      </c>
      <c r="S252" s="47">
        <f t="shared" si="61"/>
        <v>15</v>
      </c>
      <c r="T252" s="4"/>
      <c r="U252" s="87"/>
      <c r="V252" s="261"/>
      <c r="W252" s="51"/>
      <c r="X252" s="130"/>
    </row>
    <row r="253" spans="1:24" x14ac:dyDescent="0.25">
      <c r="A253" s="93">
        <v>44144</v>
      </c>
      <c r="B253" s="156">
        <v>8317</v>
      </c>
      <c r="C253" s="156">
        <f t="shared" si="60"/>
        <v>1250499</v>
      </c>
      <c r="D253" s="154">
        <v>348</v>
      </c>
      <c r="E253" s="154">
        <f t="shared" si="59"/>
        <v>33873</v>
      </c>
      <c r="F253" s="156">
        <f t="shared" si="39"/>
        <v>10666</v>
      </c>
      <c r="G253" s="179">
        <v>1073577</v>
      </c>
      <c r="H253" s="154">
        <v>4577</v>
      </c>
      <c r="I253" s="154">
        <v>29570</v>
      </c>
      <c r="J253" s="4">
        <f t="shared" si="56"/>
        <v>3216983</v>
      </c>
      <c r="K253" s="126">
        <v>2798</v>
      </c>
      <c r="L253" s="126">
        <v>1581460</v>
      </c>
      <c r="M253" s="124">
        <f t="shared" si="57"/>
        <v>1584258</v>
      </c>
      <c r="N253" s="126">
        <v>9444</v>
      </c>
      <c r="O253" s="126">
        <v>243982</v>
      </c>
      <c r="P253" s="126">
        <v>878724</v>
      </c>
      <c r="Q253" s="124">
        <f t="shared" si="58"/>
        <v>118349</v>
      </c>
      <c r="R253" s="125">
        <f t="shared" si="62"/>
        <v>143049</v>
      </c>
      <c r="S253" s="47">
        <f t="shared" ref="S253:S261" si="63">H253-H252</f>
        <v>-31</v>
      </c>
      <c r="T253" s="4"/>
      <c r="U253" s="87"/>
      <c r="V253" s="261"/>
      <c r="W253" s="51"/>
      <c r="X253" s="130"/>
    </row>
    <row r="254" spans="1:24" x14ac:dyDescent="0.25">
      <c r="A254" s="93">
        <v>44145</v>
      </c>
      <c r="B254" s="156">
        <v>11977</v>
      </c>
      <c r="C254" s="156">
        <f t="shared" si="60"/>
        <v>1262476</v>
      </c>
      <c r="D254" s="156">
        <v>279</v>
      </c>
      <c r="E254" s="154">
        <f t="shared" si="59"/>
        <v>34152</v>
      </c>
      <c r="F254" s="156">
        <f t="shared" si="39"/>
        <v>8320</v>
      </c>
      <c r="G254" s="179">
        <v>1081897</v>
      </c>
      <c r="H254" s="156">
        <v>4494</v>
      </c>
      <c r="I254" s="156">
        <v>31535</v>
      </c>
      <c r="J254" s="4">
        <f t="shared" si="56"/>
        <v>3248518</v>
      </c>
      <c r="K254" s="7">
        <v>2879</v>
      </c>
      <c r="L254" s="7">
        <v>1599337</v>
      </c>
      <c r="M254" s="129">
        <f t="shared" si="57"/>
        <v>1602216</v>
      </c>
      <c r="N254" s="28">
        <v>9481</v>
      </c>
      <c r="O254" s="28">
        <v>246898</v>
      </c>
      <c r="P254" s="28">
        <v>885833</v>
      </c>
      <c r="Q254" s="129">
        <f t="shared" si="58"/>
        <v>120264</v>
      </c>
      <c r="R254" s="125">
        <f t="shared" si="62"/>
        <v>146427</v>
      </c>
      <c r="S254" s="81">
        <f t="shared" si="63"/>
        <v>-83</v>
      </c>
      <c r="T254" s="4"/>
      <c r="U254" s="87"/>
      <c r="V254" s="261"/>
      <c r="W254" s="51"/>
      <c r="X254" s="130"/>
    </row>
    <row r="255" spans="1:24" x14ac:dyDescent="0.25">
      <c r="A255" s="93">
        <v>44146</v>
      </c>
      <c r="B255" s="156">
        <v>10880</v>
      </c>
      <c r="C255" s="156">
        <f t="shared" si="60"/>
        <v>1273356</v>
      </c>
      <c r="D255" s="156">
        <v>348</v>
      </c>
      <c r="E255" s="154">
        <f t="shared" si="59"/>
        <v>34500</v>
      </c>
      <c r="F255" s="156">
        <f t="shared" si="39"/>
        <v>7632</v>
      </c>
      <c r="G255" s="185">
        <v>1089529</v>
      </c>
      <c r="H255" s="156">
        <v>4418</v>
      </c>
      <c r="I255" s="156">
        <v>56473</v>
      </c>
      <c r="J255" s="4">
        <f t="shared" si="56"/>
        <v>3304991</v>
      </c>
      <c r="K255" s="7">
        <v>2939</v>
      </c>
      <c r="L255" s="7">
        <v>1635003</v>
      </c>
      <c r="M255" s="124">
        <f t="shared" si="57"/>
        <v>1637942</v>
      </c>
      <c r="N255" s="4">
        <v>9521</v>
      </c>
      <c r="O255" s="4">
        <v>249148</v>
      </c>
      <c r="P255" s="4">
        <v>892532</v>
      </c>
      <c r="Q255" s="124">
        <f t="shared" si="58"/>
        <v>122155</v>
      </c>
      <c r="R255" s="125">
        <f t="shared" si="62"/>
        <v>149327</v>
      </c>
      <c r="S255" s="47">
        <f t="shared" si="63"/>
        <v>-76</v>
      </c>
      <c r="T255" s="4"/>
      <c r="U255" s="87"/>
      <c r="V255" s="261"/>
      <c r="W255" s="51"/>
      <c r="X255" s="130"/>
    </row>
    <row r="256" spans="1:24" x14ac:dyDescent="0.25">
      <c r="A256" s="93">
        <v>44147</v>
      </c>
      <c r="B256" s="156">
        <v>11163</v>
      </c>
      <c r="C256" s="156">
        <f t="shared" si="60"/>
        <v>1284519</v>
      </c>
      <c r="D256" s="156">
        <v>249</v>
      </c>
      <c r="E256" s="154">
        <f t="shared" si="59"/>
        <v>34749</v>
      </c>
      <c r="F256" s="156">
        <f t="shared" si="39"/>
        <v>10651</v>
      </c>
      <c r="G256" s="185">
        <v>1100180</v>
      </c>
      <c r="H256" s="156">
        <v>4397</v>
      </c>
      <c r="I256" s="156">
        <v>31520</v>
      </c>
      <c r="J256" s="4">
        <f t="shared" si="56"/>
        <v>3336511</v>
      </c>
      <c r="K256" s="7">
        <v>2991</v>
      </c>
      <c r="L256" s="7">
        <v>1655824</v>
      </c>
      <c r="M256" s="124">
        <f t="shared" si="57"/>
        <v>1658815</v>
      </c>
      <c r="N256" s="4">
        <v>9553</v>
      </c>
      <c r="O256" s="4">
        <v>251515</v>
      </c>
      <c r="P256" s="4">
        <v>901700</v>
      </c>
      <c r="Q256" s="124">
        <f t="shared" si="58"/>
        <v>121751</v>
      </c>
      <c r="R256" s="125">
        <f t="shared" si="62"/>
        <v>149590</v>
      </c>
      <c r="S256" s="47">
        <f t="shared" si="63"/>
        <v>-21</v>
      </c>
      <c r="T256" s="4"/>
      <c r="U256" s="87"/>
      <c r="V256" s="261"/>
      <c r="W256" s="51"/>
      <c r="X256" s="130"/>
    </row>
    <row r="257" spans="1:24" x14ac:dyDescent="0.25">
      <c r="A257" s="93">
        <v>44148</v>
      </c>
      <c r="B257" s="156">
        <v>11859</v>
      </c>
      <c r="C257" s="156">
        <f t="shared" ref="C257:C282" si="64">C256+B257</f>
        <v>1296378</v>
      </c>
      <c r="D257" s="156">
        <v>264</v>
      </c>
      <c r="E257" s="156">
        <f t="shared" ref="E257:E282" si="65">E256+D257</f>
        <v>35013</v>
      </c>
      <c r="F257" s="156">
        <f t="shared" si="39"/>
        <v>10297</v>
      </c>
      <c r="G257" s="185">
        <v>1110477</v>
      </c>
      <c r="H257" s="156">
        <v>4381</v>
      </c>
      <c r="I257" s="156">
        <v>31738</v>
      </c>
      <c r="J257" s="4">
        <f t="shared" si="56"/>
        <v>3368249</v>
      </c>
      <c r="K257" s="128">
        <v>3104</v>
      </c>
      <c r="L257" s="128">
        <v>1671421</v>
      </c>
      <c r="M257" s="124">
        <f t="shared" si="57"/>
        <v>1674525</v>
      </c>
      <c r="N257" s="8">
        <v>9613</v>
      </c>
      <c r="O257" s="8">
        <v>253981</v>
      </c>
      <c r="P257" s="8">
        <v>910204</v>
      </c>
      <c r="Q257" s="124">
        <f t="shared" si="58"/>
        <v>122580</v>
      </c>
      <c r="R257" s="125">
        <f t="shared" si="62"/>
        <v>150888</v>
      </c>
      <c r="S257" s="47">
        <f t="shared" si="63"/>
        <v>-16</v>
      </c>
      <c r="T257" s="4"/>
      <c r="U257" s="87"/>
      <c r="V257" s="261"/>
      <c r="W257" s="51"/>
      <c r="X257" s="130"/>
    </row>
    <row r="258" spans="1:24" x14ac:dyDescent="0.25">
      <c r="A258" s="134">
        <v>44149</v>
      </c>
      <c r="B258" s="156">
        <v>8468</v>
      </c>
      <c r="C258" s="156">
        <f t="shared" si="64"/>
        <v>1304846</v>
      </c>
      <c r="D258" s="156">
        <v>262</v>
      </c>
      <c r="E258" s="156">
        <f t="shared" si="65"/>
        <v>35275</v>
      </c>
      <c r="F258" s="156">
        <f t="shared" si="39"/>
        <v>8889</v>
      </c>
      <c r="G258" s="185">
        <v>1119366</v>
      </c>
      <c r="H258" s="156">
        <v>4346</v>
      </c>
      <c r="I258" s="156">
        <v>25314</v>
      </c>
      <c r="J258" s="4">
        <f t="shared" si="56"/>
        <v>3393563</v>
      </c>
      <c r="K258" s="8">
        <v>3156</v>
      </c>
      <c r="L258" s="8">
        <v>1683861</v>
      </c>
      <c r="M258" s="124">
        <f t="shared" si="57"/>
        <v>1687017</v>
      </c>
      <c r="N258" s="8">
        <v>9646</v>
      </c>
      <c r="O258" s="8">
        <v>255493</v>
      </c>
      <c r="P258" s="8">
        <v>915339</v>
      </c>
      <c r="Q258" s="124">
        <f t="shared" si="58"/>
        <v>124368</v>
      </c>
      <c r="R258" s="125">
        <f t="shared" si="62"/>
        <v>150205</v>
      </c>
      <c r="S258" s="47">
        <f t="shared" si="63"/>
        <v>-35</v>
      </c>
      <c r="T258" s="4"/>
      <c r="U258" s="87"/>
      <c r="V258" s="261"/>
      <c r="W258" s="51"/>
      <c r="X258" s="130"/>
    </row>
    <row r="259" spans="1:24" x14ac:dyDescent="0.25">
      <c r="A259" s="134">
        <v>44150</v>
      </c>
      <c r="B259" s="156">
        <v>5645</v>
      </c>
      <c r="C259" s="156">
        <f t="shared" si="64"/>
        <v>1310491</v>
      </c>
      <c r="D259" s="156">
        <v>128</v>
      </c>
      <c r="E259" s="156">
        <f t="shared" si="65"/>
        <v>35403</v>
      </c>
      <c r="F259" s="156">
        <f t="shared" ref="F259:F286" si="66">G259-G258</f>
        <v>9736</v>
      </c>
      <c r="G259" s="185">
        <v>1129102</v>
      </c>
      <c r="H259" s="156">
        <v>4365</v>
      </c>
      <c r="I259" s="156">
        <v>17718</v>
      </c>
      <c r="J259" s="4">
        <f t="shared" si="56"/>
        <v>3411281</v>
      </c>
      <c r="K259" s="8">
        <v>3168</v>
      </c>
      <c r="L259" s="8">
        <v>1693448</v>
      </c>
      <c r="M259" s="124">
        <f t="shared" si="57"/>
        <v>1696616</v>
      </c>
      <c r="N259" s="8">
        <v>9672</v>
      </c>
      <c r="O259" s="8">
        <v>256696</v>
      </c>
      <c r="P259" s="8">
        <v>918729</v>
      </c>
      <c r="Q259" s="124">
        <f t="shared" si="58"/>
        <v>125394</v>
      </c>
      <c r="R259" s="125">
        <f t="shared" si="62"/>
        <v>145986</v>
      </c>
      <c r="S259" s="47">
        <f t="shared" si="63"/>
        <v>19</v>
      </c>
      <c r="T259" s="4"/>
      <c r="U259" s="87"/>
      <c r="V259" s="261"/>
      <c r="W259" s="51"/>
      <c r="X259" s="130"/>
    </row>
    <row r="260" spans="1:24" x14ac:dyDescent="0.25">
      <c r="A260" s="93">
        <v>44151</v>
      </c>
      <c r="B260" s="156">
        <v>7893</v>
      </c>
      <c r="C260" s="156">
        <f t="shared" si="64"/>
        <v>1318384</v>
      </c>
      <c r="D260" s="156">
        <v>292</v>
      </c>
      <c r="E260" s="156">
        <f t="shared" si="65"/>
        <v>35695</v>
      </c>
      <c r="F260" s="156">
        <f t="shared" si="66"/>
        <v>11094</v>
      </c>
      <c r="G260" s="185">
        <v>1140196</v>
      </c>
      <c r="H260" s="156">
        <v>4322</v>
      </c>
      <c r="I260" s="156">
        <v>21572</v>
      </c>
      <c r="J260" s="4">
        <f t="shared" si="56"/>
        <v>3432853</v>
      </c>
      <c r="K260" s="7">
        <v>3225</v>
      </c>
      <c r="L260" s="7">
        <v>1704129</v>
      </c>
      <c r="M260" s="124">
        <f t="shared" si="57"/>
        <v>1707354</v>
      </c>
      <c r="N260" s="4">
        <v>9692</v>
      </c>
      <c r="O260" s="4">
        <v>258870</v>
      </c>
      <c r="P260" s="4">
        <v>926820</v>
      </c>
      <c r="Q260" s="124">
        <f t="shared" si="58"/>
        <v>123002</v>
      </c>
      <c r="R260" s="125">
        <f t="shared" si="62"/>
        <v>142493</v>
      </c>
      <c r="S260" s="47">
        <f t="shared" si="63"/>
        <v>-43</v>
      </c>
      <c r="T260" s="4"/>
      <c r="U260" s="87"/>
      <c r="V260" s="261"/>
      <c r="W260" s="51"/>
      <c r="X260" s="130"/>
    </row>
    <row r="261" spans="1:24" x14ac:dyDescent="0.25">
      <c r="A261" s="93">
        <v>44152</v>
      </c>
      <c r="B261" s="156">
        <v>10621</v>
      </c>
      <c r="C261" s="156">
        <f t="shared" si="64"/>
        <v>1329005</v>
      </c>
      <c r="D261" s="156">
        <v>378</v>
      </c>
      <c r="E261" s="156">
        <f t="shared" si="65"/>
        <v>36073</v>
      </c>
      <c r="F261" s="156">
        <f t="shared" si="66"/>
        <v>8637</v>
      </c>
      <c r="G261" s="185">
        <v>1148833</v>
      </c>
      <c r="H261" s="156">
        <v>4379</v>
      </c>
      <c r="I261" s="156">
        <v>34573</v>
      </c>
      <c r="J261" s="4">
        <f t="shared" si="56"/>
        <v>3467426</v>
      </c>
      <c r="K261" s="7">
        <v>3279</v>
      </c>
      <c r="L261" s="7">
        <v>1716729</v>
      </c>
      <c r="M261" s="124">
        <f t="shared" si="57"/>
        <v>1720008</v>
      </c>
      <c r="N261" s="4">
        <v>9722</v>
      </c>
      <c r="O261" s="4">
        <v>261348</v>
      </c>
      <c r="P261" s="4">
        <v>934997</v>
      </c>
      <c r="Q261" s="124">
        <f t="shared" si="58"/>
        <v>122938</v>
      </c>
      <c r="R261" s="125">
        <f t="shared" si="62"/>
        <v>144099</v>
      </c>
      <c r="S261" s="47">
        <f t="shared" si="63"/>
        <v>57</v>
      </c>
      <c r="T261" s="4"/>
      <c r="U261" s="87"/>
      <c r="V261" s="261"/>
      <c r="W261" s="51"/>
      <c r="X261" s="130"/>
    </row>
    <row r="262" spans="1:24" x14ac:dyDescent="0.25">
      <c r="A262" s="93">
        <v>44153</v>
      </c>
      <c r="B262" s="156">
        <v>10332</v>
      </c>
      <c r="C262" s="156">
        <f t="shared" si="64"/>
        <v>1339337</v>
      </c>
      <c r="D262" s="156">
        <v>240</v>
      </c>
      <c r="E262" s="156">
        <f t="shared" si="65"/>
        <v>36313</v>
      </c>
      <c r="F262" s="156">
        <f t="shared" si="66"/>
        <v>7641</v>
      </c>
      <c r="G262" s="185">
        <v>1156474</v>
      </c>
      <c r="H262" s="156">
        <v>4267</v>
      </c>
      <c r="I262" s="156">
        <v>34573</v>
      </c>
      <c r="J262" s="4">
        <f t="shared" si="56"/>
        <v>3501999</v>
      </c>
      <c r="K262" s="7">
        <v>3346</v>
      </c>
      <c r="L262" s="7">
        <v>1734731</v>
      </c>
      <c r="M262" s="124">
        <f t="shared" si="57"/>
        <v>1738077</v>
      </c>
      <c r="N262" s="4">
        <v>9766</v>
      </c>
      <c r="O262" s="4">
        <v>264014</v>
      </c>
      <c r="P262" s="4">
        <v>943339</v>
      </c>
      <c r="Q262" s="124">
        <f t="shared" si="58"/>
        <v>122218</v>
      </c>
      <c r="R262" s="125">
        <f t="shared" si="62"/>
        <v>146550</v>
      </c>
      <c r="S262" s="47">
        <f t="shared" ref="S262:S287" si="67">H262-H261</f>
        <v>-112</v>
      </c>
      <c r="T262" s="4"/>
      <c r="U262" s="87"/>
      <c r="V262" s="261"/>
      <c r="W262" s="51"/>
      <c r="X262" s="130"/>
    </row>
    <row r="263" spans="1:24" x14ac:dyDescent="0.25">
      <c r="A263" s="93">
        <v>44154</v>
      </c>
      <c r="B263" s="156">
        <v>10097</v>
      </c>
      <c r="C263" s="156">
        <f t="shared" si="64"/>
        <v>1349434</v>
      </c>
      <c r="D263" s="156">
        <v>184</v>
      </c>
      <c r="E263" s="156">
        <f t="shared" si="65"/>
        <v>36497</v>
      </c>
      <c r="F263" s="156">
        <f t="shared" si="66"/>
        <v>11040</v>
      </c>
      <c r="G263" s="185">
        <v>1167514</v>
      </c>
      <c r="H263" s="156">
        <v>4292</v>
      </c>
      <c r="I263" s="156">
        <v>48691</v>
      </c>
      <c r="J263" s="4">
        <f t="shared" si="56"/>
        <v>3550690</v>
      </c>
      <c r="K263" s="7">
        <v>3474</v>
      </c>
      <c r="L263" s="7">
        <v>1767560</v>
      </c>
      <c r="M263" s="124">
        <f t="shared" si="57"/>
        <v>1771034</v>
      </c>
      <c r="N263" s="4">
        <v>9802</v>
      </c>
      <c r="O263" s="4">
        <v>266642</v>
      </c>
      <c r="P263" s="4">
        <v>951081</v>
      </c>
      <c r="Q263" s="124">
        <f t="shared" si="58"/>
        <v>121909</v>
      </c>
      <c r="R263" s="125">
        <f t="shared" si="62"/>
        <v>145423</v>
      </c>
      <c r="S263" s="47">
        <f t="shared" si="67"/>
        <v>25</v>
      </c>
      <c r="T263" s="4"/>
      <c r="U263" s="87"/>
      <c r="V263" s="261"/>
      <c r="W263" s="51"/>
      <c r="X263" s="130"/>
    </row>
    <row r="264" spans="1:24" x14ac:dyDescent="0.25">
      <c r="A264" s="93">
        <v>44155</v>
      </c>
      <c r="B264" s="156">
        <v>9608</v>
      </c>
      <c r="C264" s="156">
        <f t="shared" si="64"/>
        <v>1359042</v>
      </c>
      <c r="D264" s="156">
        <v>261</v>
      </c>
      <c r="E264" s="156">
        <f t="shared" si="65"/>
        <v>36758</v>
      </c>
      <c r="F264" s="156">
        <f t="shared" si="66"/>
        <v>10305</v>
      </c>
      <c r="G264" s="185">
        <v>1177819</v>
      </c>
      <c r="H264" s="156">
        <v>4187</v>
      </c>
      <c r="I264" s="156">
        <v>37816</v>
      </c>
      <c r="J264" s="4">
        <f t="shared" si="56"/>
        <v>3588506</v>
      </c>
      <c r="K264" s="7">
        <v>3601</v>
      </c>
      <c r="L264" s="7">
        <v>1789964</v>
      </c>
      <c r="M264" s="124">
        <f t="shared" si="57"/>
        <v>1793565</v>
      </c>
      <c r="N264" s="4">
        <v>9840</v>
      </c>
      <c r="O264" s="4">
        <v>268940</v>
      </c>
      <c r="P264" s="4">
        <v>957937</v>
      </c>
      <c r="Q264" s="124">
        <f t="shared" si="58"/>
        <v>122325</v>
      </c>
      <c r="R264" s="125">
        <f t="shared" si="62"/>
        <v>144465</v>
      </c>
      <c r="S264" s="47">
        <f t="shared" si="67"/>
        <v>-105</v>
      </c>
      <c r="T264" s="4"/>
      <c r="U264" s="87"/>
      <c r="V264" s="261"/>
      <c r="W264" s="51"/>
      <c r="X264" s="130"/>
    </row>
    <row r="265" spans="1:24" x14ac:dyDescent="0.25">
      <c r="A265" s="134">
        <v>44156</v>
      </c>
      <c r="B265" s="156">
        <v>7140</v>
      </c>
      <c r="C265" s="156">
        <f t="shared" si="64"/>
        <v>1366182</v>
      </c>
      <c r="D265" s="156">
        <v>112</v>
      </c>
      <c r="E265" s="156">
        <f t="shared" si="65"/>
        <v>36870</v>
      </c>
      <c r="F265" s="156">
        <f t="shared" si="66"/>
        <v>9234</v>
      </c>
      <c r="G265" s="185">
        <v>1187053</v>
      </c>
      <c r="H265" s="156">
        <v>4132</v>
      </c>
      <c r="I265" s="156">
        <v>39055</v>
      </c>
      <c r="J265" s="4">
        <f t="shared" si="56"/>
        <v>3627561</v>
      </c>
      <c r="K265" s="7">
        <v>3625</v>
      </c>
      <c r="L265" s="7">
        <v>1815364</v>
      </c>
      <c r="M265" s="124">
        <f t="shared" si="57"/>
        <v>1818989</v>
      </c>
      <c r="N265" s="4">
        <v>9862</v>
      </c>
      <c r="O265" s="4">
        <v>270149</v>
      </c>
      <c r="P265" s="4">
        <v>962192</v>
      </c>
      <c r="Q265" s="124">
        <f t="shared" si="58"/>
        <v>123979</v>
      </c>
      <c r="R265" s="125">
        <f t="shared" si="62"/>
        <v>142259</v>
      </c>
      <c r="S265" s="47">
        <f t="shared" si="67"/>
        <v>-55</v>
      </c>
      <c r="T265" s="4"/>
      <c r="U265" s="87"/>
      <c r="V265" s="261"/>
      <c r="W265" s="51"/>
      <c r="X265" s="130"/>
    </row>
    <row r="266" spans="1:24" x14ac:dyDescent="0.25">
      <c r="A266" s="134">
        <v>44157</v>
      </c>
      <c r="B266" s="156">
        <v>4184</v>
      </c>
      <c r="C266" s="156">
        <f t="shared" si="64"/>
        <v>1370366</v>
      </c>
      <c r="D266" s="156">
        <v>100</v>
      </c>
      <c r="E266" s="156">
        <f t="shared" si="65"/>
        <v>36970</v>
      </c>
      <c r="F266" s="156">
        <f t="shared" si="66"/>
        <v>8439</v>
      </c>
      <c r="G266" s="185">
        <v>1195492</v>
      </c>
      <c r="H266" s="156">
        <v>4245</v>
      </c>
      <c r="I266" s="156">
        <v>15740</v>
      </c>
      <c r="J266" s="4">
        <f t="shared" si="56"/>
        <v>3643301</v>
      </c>
      <c r="K266" s="7">
        <v>3691</v>
      </c>
      <c r="L266" s="7">
        <v>1823849</v>
      </c>
      <c r="M266" s="124">
        <f t="shared" si="57"/>
        <v>1827540</v>
      </c>
      <c r="N266" s="4">
        <v>9876</v>
      </c>
      <c r="O266" s="4">
        <v>270893</v>
      </c>
      <c r="P266" s="4">
        <v>965274</v>
      </c>
      <c r="Q266" s="124">
        <f t="shared" si="58"/>
        <v>124323</v>
      </c>
      <c r="R266" s="125">
        <f t="shared" si="62"/>
        <v>137904</v>
      </c>
      <c r="S266" s="47">
        <f t="shared" si="67"/>
        <v>113</v>
      </c>
      <c r="T266" s="4"/>
      <c r="U266" s="87"/>
      <c r="V266" s="261"/>
      <c r="W266" s="51"/>
      <c r="X266" s="130"/>
    </row>
    <row r="267" spans="1:24" x14ac:dyDescent="0.25">
      <c r="A267" s="93">
        <v>44158</v>
      </c>
      <c r="B267" s="156">
        <v>4265</v>
      </c>
      <c r="C267" s="156">
        <f t="shared" si="64"/>
        <v>1374631</v>
      </c>
      <c r="D267" s="156">
        <v>119</v>
      </c>
      <c r="E267" s="156">
        <f t="shared" si="65"/>
        <v>37089</v>
      </c>
      <c r="F267" s="156">
        <f t="shared" si="66"/>
        <v>8308</v>
      </c>
      <c r="G267" s="185">
        <v>1203800</v>
      </c>
      <c r="H267" s="156">
        <v>4165</v>
      </c>
      <c r="I267" s="156">
        <v>13149</v>
      </c>
      <c r="J267" s="4">
        <f t="shared" si="56"/>
        <v>3656450</v>
      </c>
      <c r="K267" s="7">
        <v>3798</v>
      </c>
      <c r="L267" s="7">
        <v>1830584</v>
      </c>
      <c r="M267" s="124">
        <f t="shared" si="57"/>
        <v>1834382</v>
      </c>
      <c r="N267" s="4">
        <v>9894</v>
      </c>
      <c r="O267" s="4">
        <v>272054</v>
      </c>
      <c r="P267" s="4">
        <v>972396</v>
      </c>
      <c r="Q267" s="124">
        <f t="shared" si="58"/>
        <v>120287</v>
      </c>
      <c r="R267" s="125">
        <f t="shared" si="62"/>
        <v>133742</v>
      </c>
      <c r="S267" s="47">
        <f t="shared" si="67"/>
        <v>-80</v>
      </c>
      <c r="T267" s="4"/>
      <c r="U267" s="87"/>
      <c r="V267" s="261"/>
      <c r="W267" s="51"/>
      <c r="X267" s="130"/>
    </row>
    <row r="268" spans="1:24" x14ac:dyDescent="0.25">
      <c r="A268" s="93">
        <v>44159</v>
      </c>
      <c r="B268" s="156">
        <v>7164</v>
      </c>
      <c r="C268" s="156">
        <f t="shared" si="64"/>
        <v>1381795</v>
      </c>
      <c r="D268" s="156">
        <v>311</v>
      </c>
      <c r="E268" s="156">
        <f t="shared" si="65"/>
        <v>37400</v>
      </c>
      <c r="F268" s="156">
        <f t="shared" si="66"/>
        <v>6834</v>
      </c>
      <c r="G268" s="185">
        <v>1210634</v>
      </c>
      <c r="H268" s="156">
        <v>4148</v>
      </c>
      <c r="I268" s="156">
        <v>22043</v>
      </c>
      <c r="J268" s="4">
        <f t="shared" si="56"/>
        <v>3678493</v>
      </c>
      <c r="K268" s="8">
        <v>3828</v>
      </c>
      <c r="L268" s="8">
        <v>1842058</v>
      </c>
      <c r="M268" s="124">
        <f t="shared" si="57"/>
        <v>1845886</v>
      </c>
      <c r="N268" s="4">
        <v>9912</v>
      </c>
      <c r="O268" s="4">
        <v>273939</v>
      </c>
      <c r="P268" s="4">
        <v>979797</v>
      </c>
      <c r="Q268" s="124">
        <f t="shared" si="58"/>
        <v>118147</v>
      </c>
      <c r="R268" s="125">
        <f t="shared" si="62"/>
        <v>133761</v>
      </c>
      <c r="S268" s="47">
        <f t="shared" si="67"/>
        <v>-17</v>
      </c>
      <c r="T268" s="4"/>
      <c r="U268" s="87"/>
      <c r="V268" s="261"/>
      <c r="W268" s="51"/>
      <c r="X268" s="130"/>
    </row>
    <row r="269" spans="1:24" x14ac:dyDescent="0.25">
      <c r="A269" s="93">
        <v>44160</v>
      </c>
      <c r="B269" s="156">
        <v>8593</v>
      </c>
      <c r="C269" s="156">
        <f t="shared" si="64"/>
        <v>1390388</v>
      </c>
      <c r="D269" s="156">
        <v>280</v>
      </c>
      <c r="E269" s="156">
        <f t="shared" si="65"/>
        <v>37680</v>
      </c>
      <c r="F269" s="156">
        <f t="shared" si="66"/>
        <v>6650</v>
      </c>
      <c r="G269" s="185">
        <v>1217284</v>
      </c>
      <c r="H269" s="156">
        <v>4039</v>
      </c>
      <c r="I269" s="156">
        <v>29437</v>
      </c>
      <c r="J269" s="4">
        <f t="shared" si="56"/>
        <v>3707930</v>
      </c>
      <c r="K269" s="8">
        <v>3872</v>
      </c>
      <c r="L269" s="8">
        <v>1855809</v>
      </c>
      <c r="M269" s="124">
        <f t="shared" si="57"/>
        <v>1859681</v>
      </c>
      <c r="N269" s="4">
        <v>9949</v>
      </c>
      <c r="O269" s="4">
        <v>275968</v>
      </c>
      <c r="P269" s="4">
        <v>986401</v>
      </c>
      <c r="Q269" s="124">
        <f t="shared" si="58"/>
        <v>118070</v>
      </c>
      <c r="R269" s="125">
        <f t="shared" si="62"/>
        <v>135424</v>
      </c>
      <c r="S269" s="47">
        <f t="shared" si="67"/>
        <v>-109</v>
      </c>
      <c r="T269" s="4"/>
      <c r="U269" s="87"/>
      <c r="V269" s="261"/>
      <c r="W269" s="51"/>
      <c r="X269" s="130"/>
    </row>
    <row r="270" spans="1:24" x14ac:dyDescent="0.25">
      <c r="A270" s="93">
        <v>44161</v>
      </c>
      <c r="B270" s="156">
        <v>9043</v>
      </c>
      <c r="C270" s="156">
        <f t="shared" si="64"/>
        <v>1399431</v>
      </c>
      <c r="D270" s="156">
        <v>229</v>
      </c>
      <c r="E270" s="156">
        <f t="shared" si="65"/>
        <v>37909</v>
      </c>
      <c r="F270" s="156">
        <f t="shared" si="66"/>
        <v>9378</v>
      </c>
      <c r="G270" s="185">
        <v>1226662</v>
      </c>
      <c r="H270" s="156">
        <v>3960</v>
      </c>
      <c r="I270" s="156">
        <v>32781</v>
      </c>
      <c r="J270" s="4">
        <f t="shared" si="56"/>
        <v>3740711</v>
      </c>
      <c r="K270" s="8">
        <v>3941</v>
      </c>
      <c r="L270" s="8">
        <v>1871509</v>
      </c>
      <c r="M270" s="124">
        <f t="shared" si="57"/>
        <v>1875450</v>
      </c>
      <c r="N270" s="4">
        <v>9979</v>
      </c>
      <c r="O270" s="4">
        <v>278371</v>
      </c>
      <c r="P270" s="4">
        <v>992925</v>
      </c>
      <c r="Q270" s="124">
        <f t="shared" si="58"/>
        <v>118156</v>
      </c>
      <c r="R270" s="125">
        <f t="shared" si="62"/>
        <v>134860</v>
      </c>
      <c r="S270" s="47">
        <f t="shared" si="67"/>
        <v>-79</v>
      </c>
      <c r="T270" s="4"/>
      <c r="U270" s="87"/>
      <c r="V270" s="261"/>
      <c r="W270" s="51"/>
      <c r="X270" s="130"/>
    </row>
    <row r="271" spans="1:24" x14ac:dyDescent="0.25">
      <c r="A271" s="93">
        <v>44162</v>
      </c>
      <c r="B271" s="156">
        <v>7846</v>
      </c>
      <c r="C271" s="156">
        <f t="shared" si="64"/>
        <v>1407277</v>
      </c>
      <c r="D271" s="156">
        <v>275</v>
      </c>
      <c r="E271" s="156">
        <f t="shared" si="65"/>
        <v>38184</v>
      </c>
      <c r="F271" s="156">
        <f t="shared" si="66"/>
        <v>8595</v>
      </c>
      <c r="G271" s="185">
        <v>1235257</v>
      </c>
      <c r="H271" s="156">
        <v>4120</v>
      </c>
      <c r="I271" s="156">
        <v>55323</v>
      </c>
      <c r="J271" s="4">
        <f t="shared" si="56"/>
        <v>3796034</v>
      </c>
      <c r="K271" s="7">
        <v>4020</v>
      </c>
      <c r="L271" s="8">
        <v>1912056</v>
      </c>
      <c r="M271" s="124">
        <f t="shared" si="57"/>
        <v>1916076</v>
      </c>
      <c r="N271" s="4">
        <v>10016</v>
      </c>
      <c r="O271" s="4">
        <v>280344</v>
      </c>
      <c r="P271" s="4">
        <v>999456</v>
      </c>
      <c r="Q271" s="124">
        <f t="shared" si="58"/>
        <v>117461</v>
      </c>
      <c r="R271" s="125">
        <f t="shared" si="62"/>
        <v>133836</v>
      </c>
      <c r="S271" s="47">
        <f t="shared" si="67"/>
        <v>160</v>
      </c>
      <c r="T271" s="4"/>
      <c r="U271" s="87"/>
      <c r="V271" s="261"/>
      <c r="W271" s="51"/>
      <c r="X271" s="130"/>
    </row>
    <row r="272" spans="1:24" x14ac:dyDescent="0.25">
      <c r="A272" s="134">
        <v>44163</v>
      </c>
      <c r="B272" s="156">
        <v>6098</v>
      </c>
      <c r="C272" s="156">
        <f t="shared" si="64"/>
        <v>1413375</v>
      </c>
      <c r="D272" s="156">
        <v>106</v>
      </c>
      <c r="E272" s="156">
        <f t="shared" si="65"/>
        <v>38290</v>
      </c>
      <c r="F272" s="156">
        <f t="shared" si="66"/>
        <v>7620</v>
      </c>
      <c r="G272" s="185">
        <v>1242877</v>
      </c>
      <c r="H272" s="156">
        <v>4021</v>
      </c>
      <c r="I272" s="156">
        <v>25472</v>
      </c>
      <c r="J272" s="4">
        <f t="shared" si="56"/>
        <v>3821506</v>
      </c>
      <c r="K272" s="7">
        <v>4105</v>
      </c>
      <c r="L272" s="8">
        <v>1926130</v>
      </c>
      <c r="M272" s="124">
        <f t="shared" si="57"/>
        <v>1930235</v>
      </c>
      <c r="N272" s="4">
        <v>10046</v>
      </c>
      <c r="O272" s="4">
        <v>281257</v>
      </c>
      <c r="P272" s="4">
        <v>1003512</v>
      </c>
      <c r="Q272" s="124">
        <f t="shared" si="58"/>
        <v>118560</v>
      </c>
      <c r="R272" s="125">
        <f t="shared" si="62"/>
        <v>132208</v>
      </c>
      <c r="S272" s="47">
        <f t="shared" si="67"/>
        <v>-99</v>
      </c>
      <c r="T272" s="4"/>
      <c r="U272" s="87"/>
      <c r="V272" s="261"/>
      <c r="W272" s="51"/>
      <c r="X272" s="130"/>
    </row>
    <row r="273" spans="1:25" x14ac:dyDescent="0.25">
      <c r="A273" s="134">
        <v>44164</v>
      </c>
      <c r="B273" s="156">
        <v>5432</v>
      </c>
      <c r="C273" s="156">
        <f t="shared" si="64"/>
        <v>1418807</v>
      </c>
      <c r="D273" s="156">
        <v>151</v>
      </c>
      <c r="E273" s="156">
        <f t="shared" si="65"/>
        <v>38441</v>
      </c>
      <c r="F273" s="156">
        <f t="shared" si="66"/>
        <v>6966</v>
      </c>
      <c r="G273" s="185">
        <v>1249843</v>
      </c>
      <c r="H273" s="156">
        <v>4013</v>
      </c>
      <c r="I273" s="156">
        <v>17338</v>
      </c>
      <c r="J273" s="4">
        <f t="shared" si="56"/>
        <v>3838844</v>
      </c>
      <c r="K273" s="7">
        <v>4139</v>
      </c>
      <c r="L273" s="7">
        <v>1935553</v>
      </c>
      <c r="M273" s="124">
        <f t="shared" si="57"/>
        <v>1939692</v>
      </c>
      <c r="N273" s="4">
        <v>10067</v>
      </c>
      <c r="O273" s="4">
        <v>281995</v>
      </c>
      <c r="P273" s="4">
        <v>1006055</v>
      </c>
      <c r="Q273" s="124">
        <f t="shared" si="58"/>
        <v>120690</v>
      </c>
      <c r="R273" s="125">
        <f t="shared" si="62"/>
        <v>130523</v>
      </c>
      <c r="S273" s="47">
        <f t="shared" si="67"/>
        <v>-8</v>
      </c>
      <c r="T273" s="4"/>
      <c r="U273" s="87"/>
      <c r="V273" s="261"/>
      <c r="W273" s="51"/>
      <c r="X273" s="130"/>
    </row>
    <row r="274" spans="1:25" x14ac:dyDescent="0.25">
      <c r="A274" s="93">
        <v>44165</v>
      </c>
      <c r="B274" s="156">
        <v>5726</v>
      </c>
      <c r="C274" s="156">
        <f t="shared" si="64"/>
        <v>1424533</v>
      </c>
      <c r="D274" s="156">
        <v>257</v>
      </c>
      <c r="E274" s="156">
        <f t="shared" si="65"/>
        <v>38698</v>
      </c>
      <c r="F274" s="156">
        <f t="shared" si="66"/>
        <v>7384</v>
      </c>
      <c r="G274" s="185">
        <v>1257227</v>
      </c>
      <c r="H274" s="156">
        <v>4062</v>
      </c>
      <c r="I274" s="156">
        <v>19291</v>
      </c>
      <c r="J274" s="4">
        <f t="shared" si="56"/>
        <v>3858135</v>
      </c>
      <c r="K274" s="7">
        <v>4209</v>
      </c>
      <c r="L274" s="7">
        <v>1945524</v>
      </c>
      <c r="M274" s="124">
        <f t="shared" si="57"/>
        <v>1949733</v>
      </c>
      <c r="N274" s="4">
        <v>10089</v>
      </c>
      <c r="O274" s="4">
        <v>283567</v>
      </c>
      <c r="P274" s="4">
        <v>1009382</v>
      </c>
      <c r="Q274" s="124">
        <f t="shared" si="58"/>
        <v>121495</v>
      </c>
      <c r="R274" s="125">
        <f t="shared" si="62"/>
        <v>128608</v>
      </c>
      <c r="S274" s="47">
        <f t="shared" si="67"/>
        <v>49</v>
      </c>
      <c r="T274" s="4"/>
      <c r="U274" s="87"/>
      <c r="V274" s="261"/>
      <c r="W274" s="51"/>
      <c r="X274" s="130"/>
    </row>
    <row r="275" spans="1:25" x14ac:dyDescent="0.25">
      <c r="A275" s="93">
        <v>44166</v>
      </c>
      <c r="B275" s="156">
        <v>8037</v>
      </c>
      <c r="C275" s="156">
        <f t="shared" si="64"/>
        <v>1432570</v>
      </c>
      <c r="D275" s="156">
        <v>198</v>
      </c>
      <c r="E275" s="156">
        <f t="shared" si="65"/>
        <v>38896</v>
      </c>
      <c r="F275" s="156">
        <f t="shared" si="66"/>
        <v>6024</v>
      </c>
      <c r="G275" s="185">
        <v>1263251</v>
      </c>
      <c r="H275" s="156">
        <v>3946</v>
      </c>
      <c r="I275" s="156">
        <v>33764</v>
      </c>
      <c r="J275" s="4">
        <f t="shared" si="56"/>
        <v>3891899</v>
      </c>
      <c r="K275" s="7">
        <v>4328</v>
      </c>
      <c r="L275" s="7">
        <v>1964346</v>
      </c>
      <c r="M275" s="124">
        <f t="shared" si="57"/>
        <v>1968674</v>
      </c>
      <c r="N275" s="4">
        <v>10120</v>
      </c>
      <c r="O275" s="4">
        <v>285518</v>
      </c>
      <c r="P275" s="4">
        <v>1015923</v>
      </c>
      <c r="Q275" s="124">
        <f t="shared" si="58"/>
        <v>121009</v>
      </c>
      <c r="R275" s="125">
        <f t="shared" si="62"/>
        <v>130423</v>
      </c>
      <c r="S275" s="47">
        <f t="shared" si="67"/>
        <v>-116</v>
      </c>
      <c r="T275" s="4"/>
      <c r="U275" s="87"/>
      <c r="V275" s="261"/>
      <c r="W275" s="51"/>
      <c r="X275" s="130"/>
    </row>
    <row r="276" spans="1:25" x14ac:dyDescent="0.25">
      <c r="A276" s="93">
        <v>44167</v>
      </c>
      <c r="B276" s="156">
        <v>7533</v>
      </c>
      <c r="C276" s="156">
        <f t="shared" si="64"/>
        <v>1440103</v>
      </c>
      <c r="D276" s="156">
        <v>228</v>
      </c>
      <c r="E276" s="156">
        <f t="shared" si="65"/>
        <v>39124</v>
      </c>
      <c r="F276" s="156">
        <f t="shared" si="66"/>
        <v>5107</v>
      </c>
      <c r="G276" s="185">
        <v>1268358</v>
      </c>
      <c r="H276" s="156">
        <v>3983</v>
      </c>
      <c r="I276" s="156">
        <v>49474</v>
      </c>
      <c r="J276" s="4">
        <f t="shared" si="56"/>
        <v>3941373</v>
      </c>
      <c r="K276" s="131">
        <v>4476</v>
      </c>
      <c r="L276" s="131">
        <v>2000098</v>
      </c>
      <c r="M276" s="132">
        <f t="shared" si="57"/>
        <v>2004574</v>
      </c>
      <c r="N276" s="88">
        <v>10155</v>
      </c>
      <c r="O276" s="88">
        <v>287233</v>
      </c>
      <c r="P276" s="88">
        <v>1022204</v>
      </c>
      <c r="Q276" s="132">
        <f t="shared" si="58"/>
        <v>120511</v>
      </c>
      <c r="R276" s="125">
        <f t="shared" si="62"/>
        <v>132621</v>
      </c>
      <c r="S276" s="133">
        <f t="shared" si="67"/>
        <v>37</v>
      </c>
      <c r="T276" s="4"/>
      <c r="U276" s="87"/>
      <c r="V276" s="261"/>
      <c r="W276" s="51"/>
      <c r="X276" s="130"/>
    </row>
    <row r="277" spans="1:25" x14ac:dyDescent="0.25">
      <c r="A277" s="93">
        <v>44168</v>
      </c>
      <c r="B277" s="156">
        <v>7629</v>
      </c>
      <c r="C277" s="156">
        <f t="shared" si="64"/>
        <v>1447732</v>
      </c>
      <c r="D277" s="156">
        <v>148</v>
      </c>
      <c r="E277" s="156">
        <f t="shared" si="65"/>
        <v>39272</v>
      </c>
      <c r="F277" s="156">
        <f t="shared" si="66"/>
        <v>6317</v>
      </c>
      <c r="G277" s="185">
        <v>1274675</v>
      </c>
      <c r="H277" s="156">
        <v>3916</v>
      </c>
      <c r="I277" s="156">
        <v>47112</v>
      </c>
      <c r="J277" s="4">
        <f t="shared" si="56"/>
        <v>3988485</v>
      </c>
      <c r="K277" s="131">
        <v>4554</v>
      </c>
      <c r="L277" s="131">
        <v>2033435</v>
      </c>
      <c r="M277" s="132">
        <f t="shared" si="57"/>
        <v>2037989</v>
      </c>
      <c r="N277" s="88">
        <v>10186</v>
      </c>
      <c r="O277" s="88">
        <v>288999</v>
      </c>
      <c r="P277" s="88">
        <v>1028077</v>
      </c>
      <c r="Q277" s="132">
        <f t="shared" si="58"/>
        <v>120470</v>
      </c>
      <c r="R277" s="125">
        <f t="shared" si="62"/>
        <v>133785</v>
      </c>
      <c r="S277" s="133">
        <f t="shared" si="67"/>
        <v>-67</v>
      </c>
      <c r="T277" s="4"/>
      <c r="U277" s="87"/>
      <c r="V277" s="261"/>
      <c r="W277" s="51"/>
      <c r="X277" s="130"/>
    </row>
    <row r="278" spans="1:25" x14ac:dyDescent="0.25">
      <c r="A278" s="93">
        <v>44169</v>
      </c>
      <c r="B278" s="156">
        <v>6899</v>
      </c>
      <c r="C278" s="156">
        <f t="shared" si="64"/>
        <v>1454631</v>
      </c>
      <c r="D278" s="174">
        <v>207</v>
      </c>
      <c r="E278" s="156">
        <f t="shared" si="65"/>
        <v>39479</v>
      </c>
      <c r="F278" s="156">
        <f t="shared" si="66"/>
        <v>7280</v>
      </c>
      <c r="G278" s="185">
        <v>1281955</v>
      </c>
      <c r="H278" s="156">
        <v>3929</v>
      </c>
      <c r="I278" s="156">
        <v>32923</v>
      </c>
      <c r="J278" s="4">
        <f t="shared" si="56"/>
        <v>4021408</v>
      </c>
      <c r="K278" s="131">
        <v>4609</v>
      </c>
      <c r="L278" s="131">
        <v>2054205</v>
      </c>
      <c r="M278" s="132">
        <f t="shared" si="57"/>
        <v>2058814</v>
      </c>
      <c r="N278" s="88">
        <v>10211</v>
      </c>
      <c r="O278" s="88">
        <v>290538</v>
      </c>
      <c r="P278" s="88">
        <v>1033772</v>
      </c>
      <c r="Q278" s="132">
        <f t="shared" si="58"/>
        <v>120110</v>
      </c>
      <c r="R278" s="125">
        <f t="shared" si="62"/>
        <v>133197</v>
      </c>
      <c r="S278" s="133">
        <f t="shared" si="67"/>
        <v>13</v>
      </c>
      <c r="T278" s="12">
        <f t="shared" ref="T278:T287" si="68">(C278-G278-E278)-(C277-E277-G277)</f>
        <v>-588</v>
      </c>
      <c r="U278" s="87"/>
      <c r="V278" s="261"/>
      <c r="W278" s="51"/>
      <c r="X278" s="130"/>
    </row>
    <row r="279" spans="1:25" x14ac:dyDescent="0.25">
      <c r="A279" s="134">
        <v>44170</v>
      </c>
      <c r="B279" s="156">
        <v>5201</v>
      </c>
      <c r="C279" s="156">
        <f t="shared" si="64"/>
        <v>1459832</v>
      </c>
      <c r="D279" s="156">
        <v>121</v>
      </c>
      <c r="E279" s="156">
        <f t="shared" si="65"/>
        <v>39600</v>
      </c>
      <c r="F279" s="156">
        <f t="shared" si="66"/>
        <v>6830</v>
      </c>
      <c r="G279" s="185">
        <v>1288785</v>
      </c>
      <c r="H279" s="156">
        <v>3757</v>
      </c>
      <c r="I279" s="156">
        <v>28567</v>
      </c>
      <c r="J279" s="4">
        <f t="shared" si="56"/>
        <v>4049975</v>
      </c>
      <c r="K279" s="131">
        <v>4687</v>
      </c>
      <c r="L279" s="131">
        <v>2072109</v>
      </c>
      <c r="M279" s="132">
        <f t="shared" si="57"/>
        <v>2076796</v>
      </c>
      <c r="N279" s="88">
        <v>10228</v>
      </c>
      <c r="O279" s="88">
        <v>291315</v>
      </c>
      <c r="P279" s="88">
        <v>1037782</v>
      </c>
      <c r="Q279" s="132">
        <f t="shared" si="58"/>
        <v>120507</v>
      </c>
      <c r="R279" s="125">
        <f t="shared" si="62"/>
        <v>131447</v>
      </c>
      <c r="S279" s="133">
        <f t="shared" si="67"/>
        <v>-172</v>
      </c>
      <c r="T279" s="12">
        <f t="shared" si="68"/>
        <v>-1750</v>
      </c>
      <c r="U279" s="87"/>
      <c r="V279" s="261"/>
      <c r="W279" s="51"/>
      <c r="X279" s="130"/>
    </row>
    <row r="280" spans="1:25" x14ac:dyDescent="0.25">
      <c r="A280" s="134">
        <v>44171</v>
      </c>
      <c r="B280" s="156">
        <v>3278</v>
      </c>
      <c r="C280" s="156">
        <f t="shared" si="64"/>
        <v>1463110</v>
      </c>
      <c r="D280" s="156">
        <v>138</v>
      </c>
      <c r="E280" s="156">
        <f t="shared" si="65"/>
        <v>39738</v>
      </c>
      <c r="F280" s="156">
        <f t="shared" si="66"/>
        <v>5907</v>
      </c>
      <c r="G280" s="185">
        <v>1294692</v>
      </c>
      <c r="H280" s="156">
        <v>3735</v>
      </c>
      <c r="I280" s="156">
        <v>16826</v>
      </c>
      <c r="J280" s="4">
        <f t="shared" si="56"/>
        <v>4066801</v>
      </c>
      <c r="K280" s="131">
        <v>4696</v>
      </c>
      <c r="L280" s="131">
        <v>2083087</v>
      </c>
      <c r="M280" s="132">
        <f t="shared" si="57"/>
        <v>2087783</v>
      </c>
      <c r="N280" s="88">
        <v>10245</v>
      </c>
      <c r="O280" s="88">
        <v>291769</v>
      </c>
      <c r="P280" s="88">
        <v>1041718</v>
      </c>
      <c r="Q280" s="132">
        <f t="shared" si="58"/>
        <v>119378</v>
      </c>
      <c r="R280" s="125">
        <f t="shared" si="62"/>
        <v>128680</v>
      </c>
      <c r="S280" s="133">
        <f t="shared" si="67"/>
        <v>-22</v>
      </c>
      <c r="T280" s="12">
        <f t="shared" si="68"/>
        <v>-2767</v>
      </c>
      <c r="U280" s="87"/>
      <c r="V280" s="261"/>
      <c r="W280" s="51"/>
      <c r="X280" s="130"/>
    </row>
    <row r="281" spans="1:25" x14ac:dyDescent="0.25">
      <c r="A281" s="134">
        <v>44172</v>
      </c>
      <c r="B281" s="156">
        <v>3199</v>
      </c>
      <c r="C281" s="178">
        <f t="shared" si="64"/>
        <v>1466309</v>
      </c>
      <c r="D281" s="156">
        <v>118</v>
      </c>
      <c r="E281" s="156">
        <f t="shared" si="65"/>
        <v>39856</v>
      </c>
      <c r="F281" s="156">
        <f t="shared" si="66"/>
        <v>6004</v>
      </c>
      <c r="G281" s="185">
        <v>1300696</v>
      </c>
      <c r="H281" s="156">
        <v>3723</v>
      </c>
      <c r="I281" s="156">
        <v>9951</v>
      </c>
      <c r="J281" s="4">
        <f t="shared" si="56"/>
        <v>4076752</v>
      </c>
      <c r="K281" s="7">
        <v>4703</v>
      </c>
      <c r="L281" s="7">
        <v>2088287</v>
      </c>
      <c r="M281" s="132">
        <f t="shared" si="57"/>
        <v>2092990</v>
      </c>
      <c r="N281" s="4">
        <v>10262</v>
      </c>
      <c r="O281" s="4">
        <v>292290</v>
      </c>
      <c r="P281" s="4">
        <v>1047405</v>
      </c>
      <c r="Q281" s="132">
        <f t="shared" si="58"/>
        <v>116352</v>
      </c>
      <c r="R281" s="125">
        <f t="shared" si="62"/>
        <v>125757</v>
      </c>
      <c r="S281" s="133">
        <f t="shared" si="67"/>
        <v>-12</v>
      </c>
      <c r="T281" s="12">
        <f t="shared" si="68"/>
        <v>-2923</v>
      </c>
      <c r="U281" s="87"/>
      <c r="V281" s="261"/>
      <c r="W281" s="51"/>
      <c r="X281" s="130"/>
    </row>
    <row r="282" spans="1:25" x14ac:dyDescent="0.25">
      <c r="A282" s="134">
        <v>44173</v>
      </c>
      <c r="B282" s="156">
        <v>3610</v>
      </c>
      <c r="C282" s="156">
        <f t="shared" si="64"/>
        <v>1469919</v>
      </c>
      <c r="D282" s="156">
        <v>120</v>
      </c>
      <c r="E282" s="156">
        <f t="shared" si="65"/>
        <v>39976</v>
      </c>
      <c r="F282" s="156">
        <f t="shared" si="66"/>
        <v>4891</v>
      </c>
      <c r="G282" s="185">
        <v>1305587</v>
      </c>
      <c r="H282" s="156">
        <v>3715</v>
      </c>
      <c r="I282" s="156">
        <v>13302</v>
      </c>
      <c r="J282" s="4">
        <f t="shared" si="56"/>
        <v>4090054</v>
      </c>
      <c r="K282" s="7">
        <v>4726</v>
      </c>
      <c r="L282" s="7">
        <v>2095475</v>
      </c>
      <c r="M282" s="132">
        <f t="shared" si="57"/>
        <v>2100201</v>
      </c>
      <c r="N282" s="4">
        <v>10276</v>
      </c>
      <c r="O282" s="4">
        <v>292866</v>
      </c>
      <c r="P282" s="4">
        <v>1053314</v>
      </c>
      <c r="Q282" s="132">
        <f t="shared" si="58"/>
        <v>113463</v>
      </c>
      <c r="R282" s="125">
        <f t="shared" si="62"/>
        <v>124356</v>
      </c>
      <c r="S282" s="133">
        <f t="shared" si="67"/>
        <v>-8</v>
      </c>
      <c r="T282" s="12">
        <f t="shared" si="68"/>
        <v>-1401</v>
      </c>
      <c r="U282" s="87"/>
      <c r="V282" s="261"/>
      <c r="X282" s="130"/>
    </row>
    <row r="283" spans="1:25" x14ac:dyDescent="0.25">
      <c r="A283" s="93">
        <v>44174</v>
      </c>
      <c r="B283" s="156">
        <v>5303</v>
      </c>
      <c r="C283" s="156">
        <f t="shared" ref="C283:C289" si="69">C282+B283</f>
        <v>1475222</v>
      </c>
      <c r="D283" s="156">
        <v>212</v>
      </c>
      <c r="E283" s="156">
        <f t="shared" ref="E283:E289" si="70">E282+D283</f>
        <v>40188</v>
      </c>
      <c r="F283" s="156">
        <f t="shared" si="66"/>
        <v>5901</v>
      </c>
      <c r="G283" s="185">
        <v>1311488</v>
      </c>
      <c r="H283" s="156">
        <v>3688</v>
      </c>
      <c r="I283" s="156">
        <v>20785</v>
      </c>
      <c r="J283" s="4">
        <f t="shared" si="56"/>
        <v>4110839</v>
      </c>
      <c r="K283" s="7">
        <v>4782</v>
      </c>
      <c r="L283" s="7">
        <v>2108441</v>
      </c>
      <c r="M283" s="132">
        <f t="shared" si="57"/>
        <v>2113223</v>
      </c>
      <c r="N283" s="4">
        <v>10316</v>
      </c>
      <c r="O283" s="4">
        <v>294068</v>
      </c>
      <c r="P283" s="4">
        <v>1058646</v>
      </c>
      <c r="Q283" s="132">
        <f t="shared" si="58"/>
        <v>112192</v>
      </c>
      <c r="R283" s="125">
        <f t="shared" si="62"/>
        <v>123546</v>
      </c>
      <c r="S283" s="133">
        <f t="shared" si="67"/>
        <v>-27</v>
      </c>
      <c r="T283" s="12">
        <f t="shared" si="68"/>
        <v>-810</v>
      </c>
      <c r="U283" s="87"/>
      <c r="V283" s="261"/>
      <c r="X283" s="45"/>
    </row>
    <row r="284" spans="1:25" x14ac:dyDescent="0.25">
      <c r="A284" s="93">
        <v>44175</v>
      </c>
      <c r="B284" s="156">
        <v>6994</v>
      </c>
      <c r="C284" s="156">
        <f t="shared" si="69"/>
        <v>1482216</v>
      </c>
      <c r="D284" s="156">
        <v>209</v>
      </c>
      <c r="E284" s="156">
        <f t="shared" si="70"/>
        <v>40397</v>
      </c>
      <c r="F284" s="156">
        <f t="shared" si="66"/>
        <v>6699</v>
      </c>
      <c r="G284" s="185">
        <v>1318187</v>
      </c>
      <c r="H284" s="156">
        <v>3665</v>
      </c>
      <c r="I284" s="156">
        <v>28166</v>
      </c>
      <c r="J284" s="4">
        <f t="shared" si="56"/>
        <v>4139005</v>
      </c>
      <c r="K284" s="7">
        <v>4881</v>
      </c>
      <c r="L284" s="7">
        <v>2124880</v>
      </c>
      <c r="M284" s="132">
        <f t="shared" si="57"/>
        <v>2129761</v>
      </c>
      <c r="N284" s="4">
        <v>10335</v>
      </c>
      <c r="O284" s="4">
        <v>295491</v>
      </c>
      <c r="P284" s="4">
        <v>1064115</v>
      </c>
      <c r="Q284" s="132">
        <f t="shared" si="58"/>
        <v>112275</v>
      </c>
      <c r="R284" s="125">
        <f t="shared" si="62"/>
        <v>123632</v>
      </c>
      <c r="S284" s="133">
        <f t="shared" si="67"/>
        <v>-23</v>
      </c>
      <c r="T284" s="12">
        <f t="shared" si="68"/>
        <v>86</v>
      </c>
      <c r="U284" s="87"/>
      <c r="V284" s="261"/>
      <c r="X284" s="45"/>
    </row>
    <row r="285" spans="1:25" x14ac:dyDescent="0.25">
      <c r="A285" s="93">
        <v>44176</v>
      </c>
      <c r="B285" s="156">
        <v>7112</v>
      </c>
      <c r="C285" s="156">
        <f t="shared" si="69"/>
        <v>1489328</v>
      </c>
      <c r="D285" s="156">
        <v>177</v>
      </c>
      <c r="E285" s="156">
        <f t="shared" si="70"/>
        <v>40574</v>
      </c>
      <c r="F285" s="156">
        <f t="shared" si="66"/>
        <v>6605</v>
      </c>
      <c r="G285" s="185">
        <v>1324792</v>
      </c>
      <c r="H285" s="156">
        <v>3620</v>
      </c>
      <c r="I285" s="156">
        <v>36805</v>
      </c>
      <c r="J285" s="4">
        <f t="shared" si="56"/>
        <v>4175810</v>
      </c>
      <c r="K285" s="7">
        <v>4940</v>
      </c>
      <c r="L285" s="7">
        <v>2147972</v>
      </c>
      <c r="M285" s="132">
        <f t="shared" si="57"/>
        <v>2152912</v>
      </c>
      <c r="N285" s="4">
        <v>10375</v>
      </c>
      <c r="O285" s="4">
        <v>296884</v>
      </c>
      <c r="P285" s="4">
        <v>1068414</v>
      </c>
      <c r="Q285" s="132">
        <f t="shared" si="58"/>
        <v>113655</v>
      </c>
      <c r="R285" s="125">
        <f t="shared" si="62"/>
        <v>123962</v>
      </c>
      <c r="S285" s="133">
        <f t="shared" si="67"/>
        <v>-45</v>
      </c>
      <c r="T285" s="12">
        <f t="shared" si="68"/>
        <v>330</v>
      </c>
      <c r="U285" s="87"/>
      <c r="V285" s="261"/>
      <c r="W285" s="51"/>
      <c r="X285" s="45"/>
      <c r="Y285" s="51"/>
    </row>
    <row r="286" spans="1:25" x14ac:dyDescent="0.25">
      <c r="A286" s="136">
        <v>44177</v>
      </c>
      <c r="B286" s="156">
        <v>5274</v>
      </c>
      <c r="C286" s="156">
        <f t="shared" si="69"/>
        <v>1494602</v>
      </c>
      <c r="D286" s="156">
        <v>62</v>
      </c>
      <c r="E286" s="156">
        <f t="shared" si="70"/>
        <v>40636</v>
      </c>
      <c r="F286" s="156">
        <f t="shared" si="66"/>
        <v>5368</v>
      </c>
      <c r="G286" s="185">
        <v>1330160</v>
      </c>
      <c r="H286" s="156">
        <v>3594</v>
      </c>
      <c r="I286" s="156">
        <v>27204</v>
      </c>
      <c r="J286" s="4">
        <f t="shared" si="56"/>
        <v>4203014</v>
      </c>
      <c r="K286" s="7">
        <v>4983</v>
      </c>
      <c r="L286" s="7">
        <v>2164993</v>
      </c>
      <c r="M286" s="132">
        <f t="shared" si="57"/>
        <v>2169976</v>
      </c>
      <c r="N286" s="4">
        <v>10396</v>
      </c>
      <c r="O286" s="4">
        <v>297737</v>
      </c>
      <c r="P286" s="4">
        <v>1071431</v>
      </c>
      <c r="Q286" s="132">
        <f t="shared" si="58"/>
        <v>115038</v>
      </c>
      <c r="R286" s="125">
        <f t="shared" si="62"/>
        <v>123806</v>
      </c>
      <c r="S286" s="133">
        <f t="shared" si="67"/>
        <v>-26</v>
      </c>
      <c r="T286" s="12">
        <f t="shared" si="68"/>
        <v>-156</v>
      </c>
      <c r="U286" s="87"/>
      <c r="V286" s="261"/>
    </row>
    <row r="287" spans="1:25" x14ac:dyDescent="0.25">
      <c r="A287" s="136">
        <v>44178</v>
      </c>
      <c r="B287" s="156">
        <v>3558</v>
      </c>
      <c r="C287" s="156">
        <f t="shared" si="69"/>
        <v>1498160</v>
      </c>
      <c r="D287" s="156">
        <v>98</v>
      </c>
      <c r="E287" s="156">
        <f t="shared" si="70"/>
        <v>40734</v>
      </c>
      <c r="F287" s="156">
        <f t="shared" ref="F287:F332" si="71">G287-G286</f>
        <v>5157</v>
      </c>
      <c r="G287" s="185">
        <v>1335317</v>
      </c>
      <c r="H287" s="156">
        <v>3537</v>
      </c>
      <c r="I287" s="156">
        <v>21793</v>
      </c>
      <c r="J287" s="4">
        <f t="shared" si="56"/>
        <v>4224807</v>
      </c>
      <c r="K287" s="7">
        <v>5042</v>
      </c>
      <c r="L287" s="7">
        <v>2180522</v>
      </c>
      <c r="M287" s="132">
        <f t="shared" si="57"/>
        <v>2185564</v>
      </c>
      <c r="N287" s="4">
        <v>10424</v>
      </c>
      <c r="O287" s="4">
        <v>298310</v>
      </c>
      <c r="P287" s="4">
        <v>1073462</v>
      </c>
      <c r="Q287" s="132">
        <f t="shared" si="58"/>
        <v>115964</v>
      </c>
      <c r="R287" s="125">
        <f t="shared" si="62"/>
        <v>122109</v>
      </c>
      <c r="S287" s="133">
        <f t="shared" si="67"/>
        <v>-57</v>
      </c>
      <c r="T287" s="12">
        <f t="shared" si="68"/>
        <v>-1697</v>
      </c>
      <c r="U287" s="87"/>
      <c r="V287" s="261"/>
    </row>
    <row r="288" spans="1:25" x14ac:dyDescent="0.25">
      <c r="A288" s="137">
        <v>44179</v>
      </c>
      <c r="B288" s="156">
        <v>5062</v>
      </c>
      <c r="C288" s="156">
        <f t="shared" si="69"/>
        <v>1503222</v>
      </c>
      <c r="D288" s="156">
        <v>274</v>
      </c>
      <c r="E288" s="156">
        <f t="shared" si="70"/>
        <v>41008</v>
      </c>
      <c r="F288" s="156">
        <f t="shared" si="71"/>
        <v>4803</v>
      </c>
      <c r="G288" s="185">
        <v>1340120</v>
      </c>
      <c r="H288" s="156">
        <v>3478</v>
      </c>
      <c r="I288" s="156">
        <v>43000</v>
      </c>
      <c r="J288" s="4">
        <f t="shared" si="56"/>
        <v>4267807</v>
      </c>
      <c r="K288" s="7">
        <v>5131</v>
      </c>
      <c r="L288" s="7">
        <v>2215097</v>
      </c>
      <c r="M288" s="132">
        <f t="shared" si="57"/>
        <v>2220228</v>
      </c>
      <c r="N288" s="4">
        <v>10451</v>
      </c>
      <c r="O288" s="4">
        <v>299430</v>
      </c>
      <c r="P288" s="4">
        <v>1076117</v>
      </c>
      <c r="Q288" s="132">
        <f t="shared" si="58"/>
        <v>117224</v>
      </c>
      <c r="R288" s="125">
        <f t="shared" si="62"/>
        <v>122094</v>
      </c>
      <c r="S288" s="133">
        <f t="shared" ref="S288:S295" si="72">H288-H287</f>
        <v>-59</v>
      </c>
      <c r="T288" s="12">
        <f t="shared" ref="T288:T295" si="73">(C288-G288-E288)-(C287-E287-G287)</f>
        <v>-15</v>
      </c>
      <c r="U288" s="87"/>
      <c r="V288" s="261"/>
    </row>
    <row r="289" spans="1:22" x14ac:dyDescent="0.25">
      <c r="A289" s="137">
        <v>44180</v>
      </c>
      <c r="B289" s="156">
        <v>6981</v>
      </c>
      <c r="C289" s="156">
        <f t="shared" si="69"/>
        <v>1510203</v>
      </c>
      <c r="D289" s="156">
        <v>165</v>
      </c>
      <c r="E289" s="156">
        <f t="shared" si="70"/>
        <v>41173</v>
      </c>
      <c r="F289" s="156">
        <f t="shared" si="71"/>
        <v>4180</v>
      </c>
      <c r="G289" s="185">
        <v>1344300</v>
      </c>
      <c r="H289" s="156">
        <v>3475</v>
      </c>
      <c r="I289" s="156">
        <v>36591</v>
      </c>
      <c r="J289" s="4">
        <f t="shared" si="56"/>
        <v>4304398</v>
      </c>
      <c r="K289" s="7">
        <v>5271</v>
      </c>
      <c r="L289" s="7">
        <v>2238751</v>
      </c>
      <c r="M289" s="132">
        <f t="shared" si="57"/>
        <v>2244022</v>
      </c>
      <c r="N289" s="4">
        <v>10483</v>
      </c>
      <c r="O289" s="4">
        <v>301009</v>
      </c>
      <c r="P289" s="4">
        <v>1078240</v>
      </c>
      <c r="Q289" s="132">
        <f t="shared" si="58"/>
        <v>120471</v>
      </c>
      <c r="R289" s="125">
        <f t="shared" si="62"/>
        <v>124730</v>
      </c>
      <c r="S289" s="133">
        <f t="shared" si="72"/>
        <v>-3</v>
      </c>
      <c r="T289" s="12">
        <f t="shared" si="73"/>
        <v>2636</v>
      </c>
      <c r="U289" s="87"/>
      <c r="V289" s="261"/>
    </row>
    <row r="290" spans="1:22" x14ac:dyDescent="0.25">
      <c r="A290" s="137">
        <v>44181</v>
      </c>
      <c r="B290" s="156">
        <v>6843</v>
      </c>
      <c r="C290" s="156">
        <f t="shared" ref="C290:C295" si="74">C289+B290</f>
        <v>1517046</v>
      </c>
      <c r="D290" s="156">
        <v>162</v>
      </c>
      <c r="E290" s="156">
        <f t="shared" ref="E290:E295" si="75">E289+D290</f>
        <v>41335</v>
      </c>
      <c r="F290" s="156">
        <f t="shared" si="71"/>
        <v>3614</v>
      </c>
      <c r="G290" s="185">
        <v>1347914</v>
      </c>
      <c r="H290" s="156">
        <v>3443</v>
      </c>
      <c r="I290" s="156">
        <v>34599</v>
      </c>
      <c r="J290" s="4">
        <f t="shared" si="56"/>
        <v>4338997</v>
      </c>
      <c r="K290" s="7">
        <v>5417</v>
      </c>
      <c r="L290" s="7">
        <v>2259690</v>
      </c>
      <c r="M290" s="132">
        <f t="shared" si="57"/>
        <v>2265107</v>
      </c>
      <c r="N290" s="4">
        <v>10548</v>
      </c>
      <c r="O290" s="4">
        <v>302498</v>
      </c>
      <c r="P290" s="4">
        <v>1083034</v>
      </c>
      <c r="Q290" s="132">
        <f t="shared" si="58"/>
        <v>120966</v>
      </c>
      <c r="R290" s="125">
        <f t="shared" si="62"/>
        <v>127797</v>
      </c>
      <c r="S290" s="133">
        <f t="shared" si="72"/>
        <v>-32</v>
      </c>
      <c r="T290" s="12">
        <f t="shared" si="73"/>
        <v>3067</v>
      </c>
      <c r="U290" s="87"/>
      <c r="V290" s="261"/>
    </row>
    <row r="291" spans="1:22" x14ac:dyDescent="0.25">
      <c r="A291" s="137">
        <v>44182</v>
      </c>
      <c r="B291" s="156">
        <v>7326</v>
      </c>
      <c r="C291" s="156">
        <f t="shared" si="74"/>
        <v>1524372</v>
      </c>
      <c r="D291" s="156">
        <v>169</v>
      </c>
      <c r="E291" s="156">
        <f t="shared" si="75"/>
        <v>41504</v>
      </c>
      <c r="F291" s="156">
        <f t="shared" si="71"/>
        <v>4642</v>
      </c>
      <c r="G291" s="185">
        <v>1352556</v>
      </c>
      <c r="H291" s="156">
        <v>3471</v>
      </c>
      <c r="I291" s="156">
        <v>31936</v>
      </c>
      <c r="J291" s="4">
        <f t="shared" si="56"/>
        <v>4370933</v>
      </c>
      <c r="K291" s="7">
        <v>5509</v>
      </c>
      <c r="L291" s="7">
        <v>2279140</v>
      </c>
      <c r="M291" s="132">
        <f t="shared" si="57"/>
        <v>2284649</v>
      </c>
      <c r="N291" s="4">
        <v>10614</v>
      </c>
      <c r="O291" s="4">
        <v>304151</v>
      </c>
      <c r="P291" s="4">
        <v>1088190</v>
      </c>
      <c r="Q291" s="132">
        <f t="shared" si="58"/>
        <v>121417</v>
      </c>
      <c r="R291" s="125">
        <f t="shared" si="62"/>
        <v>130312</v>
      </c>
      <c r="S291" s="133">
        <f t="shared" si="72"/>
        <v>28</v>
      </c>
      <c r="T291" s="12">
        <f t="shared" si="73"/>
        <v>2515</v>
      </c>
      <c r="U291" s="87"/>
      <c r="V291" s="261"/>
    </row>
    <row r="292" spans="1:22" x14ac:dyDescent="0.25">
      <c r="A292" s="139">
        <v>44183</v>
      </c>
      <c r="B292" s="163">
        <v>7002</v>
      </c>
      <c r="C292" s="163">
        <f t="shared" si="74"/>
        <v>1531374</v>
      </c>
      <c r="D292" s="163">
        <v>138</v>
      </c>
      <c r="E292" s="163">
        <f t="shared" si="75"/>
        <v>41642</v>
      </c>
      <c r="F292" s="163">
        <f t="shared" si="71"/>
        <v>4199</v>
      </c>
      <c r="G292" s="185">
        <v>1356755</v>
      </c>
      <c r="H292" s="163">
        <v>3434</v>
      </c>
      <c r="I292" s="163">
        <v>32002</v>
      </c>
      <c r="J292" s="4">
        <f t="shared" si="56"/>
        <v>4402935</v>
      </c>
      <c r="K292" s="38">
        <v>5573</v>
      </c>
      <c r="L292" s="38">
        <v>2298394</v>
      </c>
      <c r="M292" s="140">
        <f t="shared" si="57"/>
        <v>2303967</v>
      </c>
      <c r="N292" s="28">
        <v>10658</v>
      </c>
      <c r="O292" s="28">
        <v>305458</v>
      </c>
      <c r="P292" s="28">
        <v>1093180</v>
      </c>
      <c r="Q292" s="140">
        <f t="shared" si="58"/>
        <v>122078</v>
      </c>
      <c r="R292" s="125">
        <f t="shared" si="62"/>
        <v>132977</v>
      </c>
      <c r="S292" s="133">
        <f t="shared" si="72"/>
        <v>-37</v>
      </c>
      <c r="T292" s="12">
        <f t="shared" si="73"/>
        <v>2665</v>
      </c>
      <c r="U292" s="87"/>
      <c r="V292" s="261"/>
    </row>
    <row r="293" spans="1:22" x14ac:dyDescent="0.25">
      <c r="A293" s="144">
        <v>44184</v>
      </c>
      <c r="B293" s="170">
        <v>5795</v>
      </c>
      <c r="C293" s="170">
        <f t="shared" si="74"/>
        <v>1537169</v>
      </c>
      <c r="D293" s="170">
        <v>91</v>
      </c>
      <c r="E293" s="170">
        <f t="shared" si="75"/>
        <v>41733</v>
      </c>
      <c r="F293" s="170">
        <f t="shared" si="71"/>
        <v>5862</v>
      </c>
      <c r="G293" s="185">
        <v>1362617</v>
      </c>
      <c r="H293" s="170">
        <v>3452</v>
      </c>
      <c r="I293" s="170">
        <v>27403</v>
      </c>
      <c r="J293" s="4">
        <f t="shared" si="56"/>
        <v>4430338</v>
      </c>
      <c r="K293" s="142">
        <v>5632</v>
      </c>
      <c r="L293" s="142">
        <v>2314565</v>
      </c>
      <c r="M293" s="143">
        <f t="shared" si="57"/>
        <v>2320197</v>
      </c>
      <c r="N293" s="141">
        <v>10688</v>
      </c>
      <c r="O293" s="141">
        <v>306243</v>
      </c>
      <c r="P293" s="141">
        <v>1096091</v>
      </c>
      <c r="Q293" s="143">
        <f t="shared" si="58"/>
        <v>124147</v>
      </c>
      <c r="R293" s="125">
        <f t="shared" si="62"/>
        <v>132819</v>
      </c>
      <c r="S293" s="138">
        <f t="shared" si="72"/>
        <v>18</v>
      </c>
      <c r="T293" s="12">
        <f t="shared" si="73"/>
        <v>-158</v>
      </c>
      <c r="U293" s="87"/>
      <c r="V293" s="261"/>
    </row>
    <row r="294" spans="1:22" x14ac:dyDescent="0.25">
      <c r="A294" s="146">
        <v>44185</v>
      </c>
      <c r="B294" s="163">
        <v>4116</v>
      </c>
      <c r="C294" s="163">
        <f t="shared" si="74"/>
        <v>1541285</v>
      </c>
      <c r="D294" s="163">
        <v>50</v>
      </c>
      <c r="E294" s="163">
        <f t="shared" si="75"/>
        <v>41783</v>
      </c>
      <c r="F294" s="163">
        <f t="shared" si="71"/>
        <v>5729</v>
      </c>
      <c r="G294" s="185">
        <v>1368346</v>
      </c>
      <c r="H294" s="163">
        <v>3462</v>
      </c>
      <c r="I294" s="163">
        <v>32148</v>
      </c>
      <c r="J294" s="4">
        <f t="shared" si="56"/>
        <v>4462486</v>
      </c>
      <c r="K294" s="147">
        <v>5765</v>
      </c>
      <c r="L294" s="148">
        <v>2338847</v>
      </c>
      <c r="M294" s="149">
        <f t="shared" si="57"/>
        <v>2344612</v>
      </c>
      <c r="N294" s="145">
        <v>10715</v>
      </c>
      <c r="O294" s="145">
        <v>306830</v>
      </c>
      <c r="P294" s="145">
        <v>1098359</v>
      </c>
      <c r="Q294" s="149">
        <f t="shared" si="58"/>
        <v>125381</v>
      </c>
      <c r="R294" s="125">
        <f t="shared" si="62"/>
        <v>131156</v>
      </c>
      <c r="S294" s="150">
        <f t="shared" si="72"/>
        <v>10</v>
      </c>
      <c r="T294" s="120">
        <f t="shared" si="73"/>
        <v>-1663</v>
      </c>
      <c r="U294" s="87"/>
      <c r="V294" s="261"/>
    </row>
    <row r="295" spans="1:22" x14ac:dyDescent="0.25">
      <c r="A295" s="137">
        <v>44186</v>
      </c>
      <c r="B295" s="156">
        <v>5853</v>
      </c>
      <c r="C295" s="156">
        <f t="shared" si="74"/>
        <v>1547138</v>
      </c>
      <c r="D295" s="156">
        <v>184</v>
      </c>
      <c r="E295" s="156">
        <f t="shared" si="75"/>
        <v>41967</v>
      </c>
      <c r="F295" s="156">
        <f t="shared" si="71"/>
        <v>6055</v>
      </c>
      <c r="G295" s="185">
        <v>1374401</v>
      </c>
      <c r="H295" s="156">
        <v>3367</v>
      </c>
      <c r="I295" s="156">
        <v>24076</v>
      </c>
      <c r="J295" s="4">
        <f t="shared" si="56"/>
        <v>4486562</v>
      </c>
      <c r="K295" s="7">
        <v>5890</v>
      </c>
      <c r="L295" s="7">
        <v>2353622</v>
      </c>
      <c r="M295" s="132">
        <f t="shared" si="57"/>
        <v>2359512</v>
      </c>
      <c r="N295" s="4">
        <v>10750</v>
      </c>
      <c r="O295" s="4">
        <v>308256</v>
      </c>
      <c r="P295" s="4">
        <v>1103443</v>
      </c>
      <c r="Q295" s="132">
        <f t="shared" si="58"/>
        <v>124689</v>
      </c>
      <c r="R295" s="125">
        <f t="shared" si="62"/>
        <v>130770</v>
      </c>
      <c r="S295" s="133">
        <f t="shared" si="72"/>
        <v>-95</v>
      </c>
      <c r="T295" s="12">
        <f t="shared" si="73"/>
        <v>-386</v>
      </c>
      <c r="U295" s="87"/>
      <c r="V295" s="261"/>
    </row>
    <row r="296" spans="1:22" x14ac:dyDescent="0.25">
      <c r="A296" s="137">
        <v>44187</v>
      </c>
      <c r="B296" s="156">
        <v>8141</v>
      </c>
      <c r="C296" s="156">
        <f t="shared" ref="C296:C332" si="76">C295+B296</f>
        <v>1555279</v>
      </c>
      <c r="D296" s="156">
        <v>255</v>
      </c>
      <c r="E296" s="156">
        <f t="shared" ref="E296:E332" si="77">E295+D296</f>
        <v>42222</v>
      </c>
      <c r="F296" s="156">
        <f t="shared" si="71"/>
        <v>5325</v>
      </c>
      <c r="G296" s="185">
        <v>1379726</v>
      </c>
      <c r="H296" s="156">
        <v>3399</v>
      </c>
      <c r="I296" s="156">
        <v>37688</v>
      </c>
      <c r="J296" s="4">
        <f t="shared" si="56"/>
        <v>4524250</v>
      </c>
      <c r="K296" s="7">
        <v>5936</v>
      </c>
      <c r="L296" s="7">
        <v>2390200</v>
      </c>
      <c r="M296" s="132">
        <f t="shared" si="57"/>
        <v>2396136</v>
      </c>
      <c r="N296" s="4">
        <v>10808</v>
      </c>
      <c r="O296" s="4">
        <v>309842</v>
      </c>
      <c r="P296" s="4">
        <v>1109025</v>
      </c>
      <c r="Q296" s="132">
        <f t="shared" si="58"/>
        <v>125604</v>
      </c>
      <c r="R296" s="125">
        <f t="shared" si="62"/>
        <v>133331</v>
      </c>
      <c r="S296" s="47">
        <f>H296-H295</f>
        <v>32</v>
      </c>
      <c r="T296" s="119">
        <f t="shared" ref="T296:T306" si="78">(C296-G296-E296)-(C295-E295-G295)</f>
        <v>2561</v>
      </c>
      <c r="U296" s="87"/>
      <c r="V296" s="261"/>
    </row>
    <row r="297" spans="1:22" x14ac:dyDescent="0.25">
      <c r="A297" s="137">
        <v>44188</v>
      </c>
      <c r="B297" s="156">
        <v>8586</v>
      </c>
      <c r="C297" s="156">
        <f t="shared" si="76"/>
        <v>1563865</v>
      </c>
      <c r="D297" s="156">
        <v>60</v>
      </c>
      <c r="E297" s="156">
        <f t="shared" si="77"/>
        <v>42282</v>
      </c>
      <c r="F297" s="156">
        <f t="shared" si="71"/>
        <v>4551</v>
      </c>
      <c r="G297" s="185">
        <v>1384277</v>
      </c>
      <c r="H297" s="156">
        <v>3390</v>
      </c>
      <c r="I297" s="156">
        <v>39323</v>
      </c>
      <c r="J297" s="4">
        <f t="shared" si="56"/>
        <v>4563573</v>
      </c>
      <c r="K297" s="7">
        <v>5897</v>
      </c>
      <c r="L297" s="7">
        <v>2402139</v>
      </c>
      <c r="M297" s="132">
        <f t="shared" si="57"/>
        <v>2408036</v>
      </c>
      <c r="N297" s="4">
        <v>10873</v>
      </c>
      <c r="O297" s="4">
        <v>311072</v>
      </c>
      <c r="P297" s="4">
        <v>1114236</v>
      </c>
      <c r="Q297" s="132">
        <f t="shared" si="58"/>
        <v>127684</v>
      </c>
      <c r="R297" s="125">
        <f t="shared" si="62"/>
        <v>137306</v>
      </c>
      <c r="S297" s="47">
        <f>H297-H296</f>
        <v>-9</v>
      </c>
      <c r="T297" s="119">
        <f t="shared" si="78"/>
        <v>3975</v>
      </c>
      <c r="U297" s="87"/>
      <c r="V297" s="261"/>
    </row>
    <row r="298" spans="1:22" x14ac:dyDescent="0.25">
      <c r="A298" s="139">
        <v>44189</v>
      </c>
      <c r="B298" s="163">
        <v>7815</v>
      </c>
      <c r="C298" s="163">
        <f t="shared" si="76"/>
        <v>1571680</v>
      </c>
      <c r="D298" s="163">
        <v>78</v>
      </c>
      <c r="E298" s="163">
        <f t="shared" si="77"/>
        <v>42360</v>
      </c>
      <c r="F298" s="163">
        <f t="shared" si="71"/>
        <v>6439</v>
      </c>
      <c r="G298" s="186">
        <v>1390716</v>
      </c>
      <c r="H298" s="163">
        <v>3390</v>
      </c>
      <c r="I298" s="156">
        <v>24457</v>
      </c>
      <c r="J298" s="4">
        <f t="shared" ref="J298:J361" si="79">J299-I299</f>
        <v>4588030</v>
      </c>
      <c r="K298" s="7">
        <v>5908</v>
      </c>
      <c r="L298" s="7">
        <v>2423214</v>
      </c>
      <c r="M298" s="132">
        <f t="shared" si="57"/>
        <v>2429122</v>
      </c>
      <c r="N298" s="4">
        <v>10910</v>
      </c>
      <c r="O298" s="4">
        <v>311984</v>
      </c>
      <c r="P298" s="4">
        <v>1119801</v>
      </c>
      <c r="Q298" s="132">
        <f t="shared" si="58"/>
        <v>128985</v>
      </c>
      <c r="R298" s="125">
        <f t="shared" si="62"/>
        <v>138604</v>
      </c>
      <c r="S298" s="47">
        <f>H298-H297</f>
        <v>0</v>
      </c>
      <c r="T298" s="119">
        <f t="shared" si="78"/>
        <v>1298</v>
      </c>
      <c r="U298" s="87"/>
      <c r="V298" s="261"/>
    </row>
    <row r="299" spans="1:22" x14ac:dyDescent="0.25">
      <c r="A299" s="152">
        <v>44190</v>
      </c>
      <c r="B299" s="171">
        <v>2874</v>
      </c>
      <c r="C299" s="171">
        <f t="shared" si="76"/>
        <v>1574554</v>
      </c>
      <c r="D299" s="171">
        <v>30</v>
      </c>
      <c r="E299" s="171">
        <f t="shared" si="77"/>
        <v>42390</v>
      </c>
      <c r="F299" s="171">
        <f t="shared" si="71"/>
        <v>5946</v>
      </c>
      <c r="G299" s="187">
        <v>1396662</v>
      </c>
      <c r="H299" s="171">
        <v>3390</v>
      </c>
      <c r="I299" s="257">
        <v>24454</v>
      </c>
      <c r="J299" s="4">
        <f t="shared" si="79"/>
        <v>4612484</v>
      </c>
      <c r="K299" s="7">
        <v>5907</v>
      </c>
      <c r="L299" s="7">
        <v>2430506</v>
      </c>
      <c r="M299" s="132">
        <f t="shared" si="57"/>
        <v>2436413</v>
      </c>
      <c r="N299" s="4">
        <v>10934</v>
      </c>
      <c r="O299" s="4">
        <v>312308</v>
      </c>
      <c r="P299" s="4">
        <v>1125100</v>
      </c>
      <c r="Q299" s="132">
        <f t="shared" si="58"/>
        <v>126212</v>
      </c>
      <c r="R299" s="125">
        <f t="shared" si="62"/>
        <v>135502</v>
      </c>
      <c r="S299" s="47">
        <f>H299-H298</f>
        <v>0</v>
      </c>
      <c r="T299" s="119">
        <f t="shared" si="78"/>
        <v>-3102</v>
      </c>
      <c r="U299" s="87"/>
      <c r="V299" s="261"/>
    </row>
    <row r="300" spans="1:22" x14ac:dyDescent="0.25">
      <c r="A300" s="152">
        <v>44191</v>
      </c>
      <c r="B300" s="171">
        <v>3713</v>
      </c>
      <c r="C300" s="171">
        <f t="shared" si="76"/>
        <v>1578267</v>
      </c>
      <c r="D300" s="171">
        <v>79</v>
      </c>
      <c r="E300" s="171">
        <f t="shared" si="77"/>
        <v>42469</v>
      </c>
      <c r="F300" s="171">
        <f t="shared" si="71"/>
        <v>5565</v>
      </c>
      <c r="G300" s="187">
        <v>1402227</v>
      </c>
      <c r="H300" s="171">
        <v>3262</v>
      </c>
      <c r="I300" s="257">
        <v>14984</v>
      </c>
      <c r="J300" s="4">
        <f t="shared" si="79"/>
        <v>4627468</v>
      </c>
      <c r="K300" s="7">
        <v>5931</v>
      </c>
      <c r="L300" s="7">
        <v>2439459</v>
      </c>
      <c r="M300" s="132">
        <f>L300+K300</f>
        <v>2445390</v>
      </c>
      <c r="N300" s="4">
        <v>10957</v>
      </c>
      <c r="O300" s="4">
        <v>312971</v>
      </c>
      <c r="P300" s="4">
        <v>1128587</v>
      </c>
      <c r="Q300" s="132">
        <f>C300-N300-O300-P300</f>
        <v>125752</v>
      </c>
      <c r="R300" s="125">
        <f t="shared" si="62"/>
        <v>133571</v>
      </c>
      <c r="S300" s="47">
        <f>H300-H297</f>
        <v>-128</v>
      </c>
      <c r="T300" s="119">
        <f t="shared" si="78"/>
        <v>-1931</v>
      </c>
      <c r="U300" s="87"/>
      <c r="V300" s="261"/>
    </row>
    <row r="301" spans="1:22" x14ac:dyDescent="0.25">
      <c r="A301" s="153">
        <v>44192</v>
      </c>
      <c r="B301" s="172">
        <v>5030</v>
      </c>
      <c r="C301" s="172">
        <f t="shared" si="76"/>
        <v>1583297</v>
      </c>
      <c r="D301" s="172">
        <v>149</v>
      </c>
      <c r="E301" s="172">
        <f t="shared" si="77"/>
        <v>42618</v>
      </c>
      <c r="F301" s="172">
        <f t="shared" si="71"/>
        <v>5699</v>
      </c>
      <c r="G301" s="188">
        <v>1407926</v>
      </c>
      <c r="H301" s="172">
        <v>3313</v>
      </c>
      <c r="I301" s="259">
        <v>21455</v>
      </c>
      <c r="J301" s="4">
        <f t="shared" si="79"/>
        <v>4648923</v>
      </c>
      <c r="K301" s="38">
        <v>5941</v>
      </c>
      <c r="L301" s="38">
        <v>2453195</v>
      </c>
      <c r="M301" s="140">
        <f>L301+K301</f>
        <v>2459136</v>
      </c>
      <c r="N301" s="28">
        <v>10979</v>
      </c>
      <c r="O301" s="28">
        <v>313631</v>
      </c>
      <c r="P301" s="28">
        <v>1131589</v>
      </c>
      <c r="Q301" s="140">
        <f>C301-N301-O301-P301</f>
        <v>127098</v>
      </c>
      <c r="R301" s="125">
        <f t="shared" si="62"/>
        <v>132753</v>
      </c>
      <c r="S301" s="81">
        <f t="shared" ref="S301:S306" si="80">H301-H300</f>
        <v>51</v>
      </c>
      <c r="T301" s="151">
        <f t="shared" si="78"/>
        <v>-818</v>
      </c>
      <c r="U301" s="87"/>
      <c r="V301" s="261"/>
    </row>
    <row r="302" spans="1:22" x14ac:dyDescent="0.25">
      <c r="A302" s="137">
        <v>44193</v>
      </c>
      <c r="B302" s="156">
        <v>7216</v>
      </c>
      <c r="C302" s="156">
        <f t="shared" si="76"/>
        <v>1590513</v>
      </c>
      <c r="D302" s="156">
        <v>218</v>
      </c>
      <c r="E302" s="156">
        <f t="shared" si="77"/>
        <v>42836</v>
      </c>
      <c r="F302" s="156">
        <f t="shared" si="71"/>
        <v>6754</v>
      </c>
      <c r="G302" s="185">
        <v>1414680</v>
      </c>
      <c r="H302" s="156">
        <v>3319</v>
      </c>
      <c r="I302" s="156">
        <v>28978</v>
      </c>
      <c r="J302" s="4">
        <f t="shared" si="79"/>
        <v>4677901</v>
      </c>
      <c r="K302" s="7">
        <v>6049</v>
      </c>
      <c r="L302" s="7">
        <v>2470756</v>
      </c>
      <c r="M302" s="132">
        <f>L302+K302</f>
        <v>2476805</v>
      </c>
      <c r="N302" s="4">
        <v>11048</v>
      </c>
      <c r="O302" s="4">
        <v>315189</v>
      </c>
      <c r="P302" s="4">
        <v>1138116</v>
      </c>
      <c r="Q302" s="132">
        <f>C302-N302-O302-P302</f>
        <v>126160</v>
      </c>
      <c r="R302" s="125">
        <f t="shared" si="62"/>
        <v>132997</v>
      </c>
      <c r="S302" s="47">
        <f t="shared" si="80"/>
        <v>6</v>
      </c>
      <c r="T302" s="119">
        <f t="shared" si="78"/>
        <v>244</v>
      </c>
      <c r="U302" s="87"/>
      <c r="V302" s="261"/>
    </row>
    <row r="303" spans="1:22" x14ac:dyDescent="0.25">
      <c r="A303" s="137">
        <v>44194</v>
      </c>
      <c r="B303" s="156">
        <v>11650</v>
      </c>
      <c r="C303" s="156">
        <f t="shared" si="76"/>
        <v>1602163</v>
      </c>
      <c r="D303" s="156">
        <v>151</v>
      </c>
      <c r="E303" s="156">
        <f t="shared" si="77"/>
        <v>42987</v>
      </c>
      <c r="F303" s="156">
        <f t="shared" si="71"/>
        <v>6205</v>
      </c>
      <c r="G303" s="185">
        <v>1420885</v>
      </c>
      <c r="H303" s="156">
        <v>3345</v>
      </c>
      <c r="I303" s="156">
        <v>45084</v>
      </c>
      <c r="J303" s="4">
        <f t="shared" si="79"/>
        <v>4722985</v>
      </c>
      <c r="K303" s="7">
        <v>6141</v>
      </c>
      <c r="L303" s="7">
        <v>2494970</v>
      </c>
      <c r="M303" s="132">
        <f>L303+K303</f>
        <v>2501111</v>
      </c>
      <c r="N303" s="4">
        <v>11121</v>
      </c>
      <c r="O303" s="4">
        <v>316933</v>
      </c>
      <c r="P303" s="4">
        <v>1144766</v>
      </c>
      <c r="Q303" s="132">
        <f>C303-N303-O303-P303</f>
        <v>129343</v>
      </c>
      <c r="R303" s="125">
        <f t="shared" si="62"/>
        <v>138291</v>
      </c>
      <c r="S303" s="47">
        <f t="shared" si="80"/>
        <v>26</v>
      </c>
      <c r="T303" s="119">
        <f t="shared" si="78"/>
        <v>5294</v>
      </c>
      <c r="U303" s="87"/>
      <c r="V303" s="261"/>
    </row>
    <row r="304" spans="1:22" x14ac:dyDescent="0.25">
      <c r="A304" s="137">
        <v>44195</v>
      </c>
      <c r="B304" s="156">
        <v>11765</v>
      </c>
      <c r="C304" s="156">
        <f t="shared" si="76"/>
        <v>1613928</v>
      </c>
      <c r="D304" s="156">
        <v>145</v>
      </c>
      <c r="E304" s="156">
        <f t="shared" si="77"/>
        <v>43132</v>
      </c>
      <c r="F304" s="156">
        <f t="shared" si="71"/>
        <v>5791</v>
      </c>
      <c r="G304" s="185">
        <v>1426676</v>
      </c>
      <c r="H304" s="156">
        <v>3440</v>
      </c>
      <c r="I304" s="156">
        <v>54126</v>
      </c>
      <c r="J304" s="4">
        <f t="shared" si="79"/>
        <v>4777111</v>
      </c>
      <c r="K304" s="7">
        <v>6228</v>
      </c>
      <c r="L304" s="7">
        <v>2530000</v>
      </c>
      <c r="M304" s="4">
        <f>L304+K304</f>
        <v>2536228</v>
      </c>
      <c r="N304" s="4">
        <v>11167</v>
      </c>
      <c r="O304" s="4">
        <v>318837</v>
      </c>
      <c r="P304" s="4">
        <v>1151278</v>
      </c>
      <c r="Q304" s="132">
        <f>C304-N304-O304-P304</f>
        <v>132646</v>
      </c>
      <c r="R304" s="125">
        <f t="shared" si="62"/>
        <v>144120</v>
      </c>
      <c r="S304" s="47">
        <f t="shared" si="80"/>
        <v>95</v>
      </c>
      <c r="T304" s="119">
        <f t="shared" si="78"/>
        <v>5829</v>
      </c>
      <c r="U304" s="87"/>
      <c r="V304" s="261"/>
    </row>
    <row r="305" spans="1:23" x14ac:dyDescent="0.25">
      <c r="A305" s="137">
        <v>44196</v>
      </c>
      <c r="B305" s="156">
        <v>11587</v>
      </c>
      <c r="C305" s="156">
        <f t="shared" si="76"/>
        <v>1625515</v>
      </c>
      <c r="D305" s="156">
        <v>83</v>
      </c>
      <c r="E305" s="156">
        <f t="shared" si="77"/>
        <v>43215</v>
      </c>
      <c r="F305" s="156">
        <f t="shared" si="71"/>
        <v>7240</v>
      </c>
      <c r="G305" s="185">
        <v>1433916</v>
      </c>
      <c r="H305" s="156">
        <v>3440</v>
      </c>
      <c r="I305" s="260">
        <v>42835</v>
      </c>
      <c r="J305" s="4">
        <f t="shared" si="79"/>
        <v>4819946</v>
      </c>
      <c r="K305" s="7">
        <v>6253</v>
      </c>
      <c r="L305" s="7">
        <v>2558714</v>
      </c>
      <c r="M305" s="4">
        <f t="shared" ref="M305:M329" si="81">L305+K305</f>
        <v>2564967</v>
      </c>
      <c r="N305" s="4">
        <v>11236</v>
      </c>
      <c r="O305" s="4">
        <v>320315</v>
      </c>
      <c r="P305" s="4">
        <v>1155875</v>
      </c>
      <c r="Q305" s="132">
        <f t="shared" ref="Q305:Q324" si="82">C305-N305-O305-P305</f>
        <v>138089</v>
      </c>
      <c r="R305" s="125">
        <f t="shared" si="62"/>
        <v>148384</v>
      </c>
      <c r="S305" s="47">
        <f t="shared" si="80"/>
        <v>0</v>
      </c>
      <c r="T305" s="119">
        <f t="shared" si="78"/>
        <v>4264</v>
      </c>
      <c r="U305" s="87"/>
      <c r="V305" s="261"/>
    </row>
    <row r="306" spans="1:23" x14ac:dyDescent="0.25">
      <c r="A306" s="137">
        <v>44197</v>
      </c>
      <c r="B306" s="156">
        <v>4079</v>
      </c>
      <c r="C306" s="156">
        <f t="shared" si="76"/>
        <v>1629594</v>
      </c>
      <c r="D306" s="156">
        <v>73</v>
      </c>
      <c r="E306" s="156">
        <f t="shared" si="77"/>
        <v>43288</v>
      </c>
      <c r="F306" s="156">
        <f t="shared" si="71"/>
        <v>6235</v>
      </c>
      <c r="G306" s="185">
        <v>1440151</v>
      </c>
      <c r="H306" s="156">
        <v>3440</v>
      </c>
      <c r="I306" s="260">
        <v>42835</v>
      </c>
      <c r="J306" s="4">
        <f t="shared" si="79"/>
        <v>4862781</v>
      </c>
      <c r="K306" s="7">
        <v>6254</v>
      </c>
      <c r="L306" s="7">
        <v>2565699</v>
      </c>
      <c r="M306" s="4">
        <f t="shared" si="81"/>
        <v>2571953</v>
      </c>
      <c r="N306" s="4">
        <v>11273</v>
      </c>
      <c r="O306" s="4">
        <v>320768</v>
      </c>
      <c r="P306" s="4">
        <v>1157648</v>
      </c>
      <c r="Q306" s="132">
        <f t="shared" si="82"/>
        <v>139905</v>
      </c>
      <c r="R306" s="125">
        <f t="shared" si="62"/>
        <v>146155</v>
      </c>
      <c r="S306" s="47">
        <f t="shared" si="80"/>
        <v>0</v>
      </c>
      <c r="T306" s="119">
        <f t="shared" si="78"/>
        <v>-2229</v>
      </c>
      <c r="U306" s="87"/>
      <c r="V306" s="261"/>
    </row>
    <row r="307" spans="1:23" x14ac:dyDescent="0.25">
      <c r="A307" s="137">
        <v>44198</v>
      </c>
      <c r="B307" s="156">
        <v>5240</v>
      </c>
      <c r="C307" s="156">
        <f t="shared" si="76"/>
        <v>1634834</v>
      </c>
      <c r="D307" s="156">
        <v>56</v>
      </c>
      <c r="E307" s="156">
        <f t="shared" si="77"/>
        <v>43344</v>
      </c>
      <c r="F307" s="156">
        <f t="shared" si="71"/>
        <v>6941</v>
      </c>
      <c r="G307" s="185">
        <v>1447092</v>
      </c>
      <c r="H307" s="156">
        <v>3438</v>
      </c>
      <c r="I307" s="156">
        <v>17270</v>
      </c>
      <c r="J307" s="4">
        <f t="shared" si="79"/>
        <v>4880051</v>
      </c>
      <c r="K307" s="7"/>
      <c r="L307" s="7"/>
      <c r="M307" s="4"/>
      <c r="N307" s="4">
        <v>11297</v>
      </c>
      <c r="O307" s="4">
        <v>321585</v>
      </c>
      <c r="P307" s="4">
        <v>1162294</v>
      </c>
      <c r="Q307" s="132">
        <f t="shared" si="82"/>
        <v>139658</v>
      </c>
      <c r="R307" s="125">
        <f t="shared" si="62"/>
        <v>144398</v>
      </c>
      <c r="S307" s="47">
        <f t="shared" ref="S307:S350" si="83">H307-H306</f>
        <v>-2</v>
      </c>
      <c r="T307" s="119">
        <f t="shared" ref="T307:T318" si="84">(C307-G307-E307)-(C306-E306-G306)</f>
        <v>-1757</v>
      </c>
      <c r="U307" s="87"/>
      <c r="V307" s="261"/>
    </row>
    <row r="308" spans="1:23" x14ac:dyDescent="0.25">
      <c r="A308" s="137">
        <v>44199</v>
      </c>
      <c r="B308" s="156">
        <v>5884</v>
      </c>
      <c r="C308" s="156">
        <f t="shared" si="76"/>
        <v>1640718</v>
      </c>
      <c r="D308" s="156">
        <v>107</v>
      </c>
      <c r="E308" s="156">
        <f t="shared" si="77"/>
        <v>43451</v>
      </c>
      <c r="F308" s="156">
        <f t="shared" si="71"/>
        <v>5868</v>
      </c>
      <c r="G308" s="185">
        <v>1452960</v>
      </c>
      <c r="H308" s="156">
        <v>3433</v>
      </c>
      <c r="I308" s="156">
        <v>22180</v>
      </c>
      <c r="J308" s="4">
        <f t="shared" si="79"/>
        <v>4902231</v>
      </c>
      <c r="K308" s="7"/>
      <c r="L308" s="7"/>
      <c r="M308" s="4"/>
      <c r="N308" s="4">
        <v>11322</v>
      </c>
      <c r="O308" s="4">
        <v>322365</v>
      </c>
      <c r="P308" s="4">
        <v>1165866</v>
      </c>
      <c r="Q308" s="132">
        <f t="shared" si="82"/>
        <v>141165</v>
      </c>
      <c r="R308" s="125">
        <f t="shared" si="62"/>
        <v>144307</v>
      </c>
      <c r="S308" s="47">
        <f t="shared" si="83"/>
        <v>-5</v>
      </c>
      <c r="T308" s="119">
        <f t="shared" si="84"/>
        <v>-91</v>
      </c>
      <c r="U308" s="87"/>
      <c r="V308" s="261"/>
    </row>
    <row r="309" spans="1:23" x14ac:dyDescent="0.25">
      <c r="A309" s="139">
        <v>44200</v>
      </c>
      <c r="B309" s="163">
        <v>8222</v>
      </c>
      <c r="C309" s="163">
        <f t="shared" si="76"/>
        <v>1648940</v>
      </c>
      <c r="D309" s="163">
        <v>152</v>
      </c>
      <c r="E309" s="163">
        <f t="shared" si="77"/>
        <v>43603</v>
      </c>
      <c r="F309" s="163">
        <f t="shared" si="71"/>
        <v>5123</v>
      </c>
      <c r="G309" s="186">
        <v>1458083</v>
      </c>
      <c r="H309" s="163">
        <v>3502</v>
      </c>
      <c r="I309" s="163">
        <v>31819</v>
      </c>
      <c r="J309" s="4">
        <f t="shared" si="79"/>
        <v>4934050</v>
      </c>
      <c r="K309" s="38">
        <v>6347</v>
      </c>
      <c r="L309" s="38">
        <v>2612496</v>
      </c>
      <c r="M309" s="38">
        <f>L309+K309</f>
        <v>2618843</v>
      </c>
      <c r="N309" s="28">
        <v>11385</v>
      </c>
      <c r="O309" s="28">
        <v>323665</v>
      </c>
      <c r="P309" s="28">
        <v>1174600</v>
      </c>
      <c r="Q309" s="140">
        <f t="shared" si="82"/>
        <v>139290</v>
      </c>
      <c r="R309" s="125">
        <f t="shared" si="62"/>
        <v>147254</v>
      </c>
      <c r="S309" s="81">
        <f t="shared" si="83"/>
        <v>69</v>
      </c>
      <c r="T309" s="151">
        <f t="shared" si="84"/>
        <v>2947</v>
      </c>
      <c r="U309" s="87"/>
      <c r="V309" s="261"/>
    </row>
    <row r="310" spans="1:23" x14ac:dyDescent="0.25">
      <c r="A310" s="137">
        <v>44201</v>
      </c>
      <c r="B310" s="156">
        <v>13790</v>
      </c>
      <c r="C310" s="156">
        <f t="shared" si="76"/>
        <v>1662730</v>
      </c>
      <c r="D310" s="156">
        <v>151</v>
      </c>
      <c r="E310" s="156">
        <f t="shared" si="77"/>
        <v>43754</v>
      </c>
      <c r="F310" s="156">
        <f t="shared" si="71"/>
        <v>8533</v>
      </c>
      <c r="G310" s="185">
        <v>1466616</v>
      </c>
      <c r="H310" s="156">
        <v>3460</v>
      </c>
      <c r="I310" s="156">
        <v>50068</v>
      </c>
      <c r="J310" s="4">
        <f t="shared" si="79"/>
        <v>4984118</v>
      </c>
      <c r="K310" s="7">
        <v>6429</v>
      </c>
      <c r="L310" s="7">
        <v>2640401</v>
      </c>
      <c r="M310" s="4">
        <f t="shared" si="81"/>
        <v>2646830</v>
      </c>
      <c r="N310" s="4">
        <v>11472</v>
      </c>
      <c r="O310" s="4">
        <v>325591</v>
      </c>
      <c r="P310" s="4">
        <v>1184842</v>
      </c>
      <c r="Q310" s="132">
        <f t="shared" si="82"/>
        <v>140825</v>
      </c>
      <c r="R310" s="125">
        <f t="shared" ref="R310:R317" si="85">C310-E310-G310</f>
        <v>152360</v>
      </c>
      <c r="S310" s="47">
        <f t="shared" si="83"/>
        <v>-42</v>
      </c>
      <c r="T310" s="119">
        <f t="shared" si="84"/>
        <v>5106</v>
      </c>
      <c r="U310" s="87"/>
      <c r="V310" s="261"/>
    </row>
    <row r="311" spans="1:23" x14ac:dyDescent="0.25">
      <c r="A311" s="137">
        <v>44202</v>
      </c>
      <c r="B311" s="156">
        <v>13441</v>
      </c>
      <c r="C311" s="156">
        <f t="shared" si="76"/>
        <v>1676171</v>
      </c>
      <c r="D311" s="156">
        <v>191</v>
      </c>
      <c r="E311" s="156">
        <f t="shared" si="77"/>
        <v>43945</v>
      </c>
      <c r="F311" s="156">
        <f t="shared" si="71"/>
        <v>7432</v>
      </c>
      <c r="G311" s="185">
        <v>1474048</v>
      </c>
      <c r="H311" s="156">
        <v>3521</v>
      </c>
      <c r="I311" s="156">
        <v>49116</v>
      </c>
      <c r="J311" s="4">
        <f t="shared" si="79"/>
        <v>5033234</v>
      </c>
      <c r="K311" s="7">
        <v>6530</v>
      </c>
      <c r="L311" s="7">
        <v>2668047</v>
      </c>
      <c r="M311" s="4">
        <f t="shared" si="81"/>
        <v>2674577</v>
      </c>
      <c r="N311" s="4">
        <v>11560</v>
      </c>
      <c r="O311" s="4">
        <v>327631</v>
      </c>
      <c r="P311" s="4">
        <v>1194273</v>
      </c>
      <c r="Q311" s="132">
        <f t="shared" si="82"/>
        <v>142707</v>
      </c>
      <c r="R311" s="125">
        <f t="shared" si="85"/>
        <v>158178</v>
      </c>
      <c r="S311" s="47">
        <f t="shared" si="83"/>
        <v>61</v>
      </c>
      <c r="T311" s="119">
        <f t="shared" si="84"/>
        <v>5818</v>
      </c>
      <c r="U311" s="87"/>
      <c r="V311" s="261"/>
    </row>
    <row r="312" spans="1:23" x14ac:dyDescent="0.25">
      <c r="A312" s="137">
        <v>44203</v>
      </c>
      <c r="B312" s="156">
        <v>13835</v>
      </c>
      <c r="C312" s="156">
        <f t="shared" si="76"/>
        <v>1690006</v>
      </c>
      <c r="D312" s="156">
        <v>146</v>
      </c>
      <c r="E312" s="156">
        <f t="shared" si="77"/>
        <v>44091</v>
      </c>
      <c r="F312" s="156">
        <f t="shared" si="71"/>
        <v>10746</v>
      </c>
      <c r="G312" s="185">
        <v>1484794</v>
      </c>
      <c r="H312" s="156">
        <v>3559</v>
      </c>
      <c r="I312" s="156">
        <v>49166</v>
      </c>
      <c r="J312" s="4">
        <f t="shared" si="79"/>
        <v>5082400</v>
      </c>
      <c r="K312" s="7">
        <v>6628</v>
      </c>
      <c r="L312" s="7">
        <v>2696083</v>
      </c>
      <c r="M312" s="4">
        <f t="shared" si="81"/>
        <v>2702711</v>
      </c>
      <c r="N312" s="4">
        <v>11682</v>
      </c>
      <c r="O312" s="4">
        <v>329806</v>
      </c>
      <c r="P312" s="4">
        <v>1200435</v>
      </c>
      <c r="Q312" s="132">
        <f t="shared" si="82"/>
        <v>148083</v>
      </c>
      <c r="R312" s="125">
        <f t="shared" si="85"/>
        <v>161121</v>
      </c>
      <c r="S312" s="47">
        <f t="shared" si="83"/>
        <v>38</v>
      </c>
      <c r="T312" s="119">
        <f t="shared" si="84"/>
        <v>2943</v>
      </c>
      <c r="U312" s="87"/>
      <c r="V312" s="261"/>
    </row>
    <row r="313" spans="1:23" x14ac:dyDescent="0.25">
      <c r="A313" s="137">
        <v>44204</v>
      </c>
      <c r="B313" s="156">
        <v>13346</v>
      </c>
      <c r="C313" s="156">
        <f t="shared" si="76"/>
        <v>1703352</v>
      </c>
      <c r="D313" s="156">
        <v>151</v>
      </c>
      <c r="E313" s="156">
        <f t="shared" si="77"/>
        <v>44242</v>
      </c>
      <c r="F313" s="156">
        <f t="shared" si="71"/>
        <v>10102</v>
      </c>
      <c r="G313" s="185">
        <v>1494896</v>
      </c>
      <c r="H313" s="156">
        <v>3602</v>
      </c>
      <c r="I313" s="156">
        <v>58329</v>
      </c>
      <c r="J313" s="4">
        <f t="shared" si="79"/>
        <v>5140729</v>
      </c>
      <c r="K313" s="7">
        <v>6768</v>
      </c>
      <c r="L313" s="7">
        <v>2723301</v>
      </c>
      <c r="M313" s="4">
        <f t="shared" si="81"/>
        <v>2730069</v>
      </c>
      <c r="N313" s="4">
        <v>11779</v>
      </c>
      <c r="O313" s="4">
        <v>332037</v>
      </c>
      <c r="P313" s="4">
        <v>1203533</v>
      </c>
      <c r="Q313" s="132">
        <f t="shared" si="82"/>
        <v>156003</v>
      </c>
      <c r="R313" s="125">
        <f t="shared" si="85"/>
        <v>164214</v>
      </c>
      <c r="S313" s="47">
        <f t="shared" si="83"/>
        <v>43</v>
      </c>
      <c r="T313" s="119">
        <f t="shared" si="84"/>
        <v>3093</v>
      </c>
      <c r="U313" s="87"/>
      <c r="V313" s="261"/>
    </row>
    <row r="314" spans="1:23" x14ac:dyDescent="0.25">
      <c r="A314" s="137">
        <v>44205</v>
      </c>
      <c r="B314" s="156">
        <v>11057</v>
      </c>
      <c r="C314" s="156">
        <f t="shared" si="76"/>
        <v>1714409</v>
      </c>
      <c r="D314" s="156">
        <v>143</v>
      </c>
      <c r="E314" s="156">
        <f t="shared" si="77"/>
        <v>44385</v>
      </c>
      <c r="F314" s="156">
        <f t="shared" si="71"/>
        <v>9434</v>
      </c>
      <c r="G314" s="185">
        <v>1504330</v>
      </c>
      <c r="H314" s="156">
        <v>3597</v>
      </c>
      <c r="I314" s="156">
        <v>31990</v>
      </c>
      <c r="J314" s="4">
        <f t="shared" si="79"/>
        <v>5172719</v>
      </c>
      <c r="K314" s="7">
        <v>6802</v>
      </c>
      <c r="L314" s="7">
        <v>2743144</v>
      </c>
      <c r="M314" s="4">
        <f t="shared" si="81"/>
        <v>2749946</v>
      </c>
      <c r="N314" s="4">
        <v>11857</v>
      </c>
      <c r="O314" s="4">
        <v>333247</v>
      </c>
      <c r="P314" s="4">
        <v>1209389</v>
      </c>
      <c r="Q314" s="132">
        <f t="shared" si="82"/>
        <v>159916</v>
      </c>
      <c r="R314" s="125">
        <f t="shared" si="85"/>
        <v>165694</v>
      </c>
      <c r="S314" s="47">
        <f t="shared" si="83"/>
        <v>-5</v>
      </c>
      <c r="T314" s="119">
        <f t="shared" si="84"/>
        <v>1480</v>
      </c>
      <c r="U314" s="87"/>
      <c r="V314" s="261"/>
    </row>
    <row r="315" spans="1:23" x14ac:dyDescent="0.25">
      <c r="A315" s="137">
        <v>44206</v>
      </c>
      <c r="B315" s="156">
        <v>7808</v>
      </c>
      <c r="C315" s="156">
        <f t="shared" si="76"/>
        <v>1722217</v>
      </c>
      <c r="D315" s="156">
        <v>78</v>
      </c>
      <c r="E315" s="156">
        <f t="shared" si="77"/>
        <v>44463</v>
      </c>
      <c r="F315" s="156">
        <f t="shared" si="71"/>
        <v>7420</v>
      </c>
      <c r="G315" s="185">
        <v>1511750</v>
      </c>
      <c r="H315" s="156">
        <v>3612</v>
      </c>
      <c r="I315" s="156">
        <v>38365</v>
      </c>
      <c r="J315" s="4">
        <f t="shared" si="79"/>
        <v>5211084</v>
      </c>
      <c r="K315" s="7">
        <v>6832</v>
      </c>
      <c r="L315" s="7">
        <v>2767568</v>
      </c>
      <c r="M315" s="4">
        <f t="shared" si="81"/>
        <v>2774400</v>
      </c>
      <c r="N315" s="4">
        <v>11922</v>
      </c>
      <c r="O315" s="4">
        <v>334269</v>
      </c>
      <c r="P315" s="4">
        <v>1213524</v>
      </c>
      <c r="Q315" s="132">
        <f t="shared" si="82"/>
        <v>162502</v>
      </c>
      <c r="R315" s="125">
        <f t="shared" si="85"/>
        <v>166004</v>
      </c>
      <c r="S315" s="47">
        <f t="shared" si="83"/>
        <v>15</v>
      </c>
      <c r="T315" s="119">
        <f t="shared" si="84"/>
        <v>310</v>
      </c>
      <c r="U315" s="87"/>
      <c r="V315" s="261"/>
    </row>
    <row r="316" spans="1:23" x14ac:dyDescent="0.25">
      <c r="A316" s="139">
        <v>44207</v>
      </c>
      <c r="B316" s="163">
        <v>8704</v>
      </c>
      <c r="C316" s="163">
        <f t="shared" si="76"/>
        <v>1730921</v>
      </c>
      <c r="D316" s="163">
        <v>160</v>
      </c>
      <c r="E316" s="163">
        <f t="shared" si="77"/>
        <v>44623</v>
      </c>
      <c r="F316" s="163">
        <f t="shared" si="71"/>
        <v>6965</v>
      </c>
      <c r="G316" s="186">
        <v>1518715</v>
      </c>
      <c r="H316" s="163">
        <v>3606</v>
      </c>
      <c r="I316" s="163">
        <v>32363</v>
      </c>
      <c r="J316" s="4">
        <f t="shared" si="79"/>
        <v>5243447</v>
      </c>
      <c r="K316" s="38">
        <v>6966</v>
      </c>
      <c r="L316" s="38">
        <v>2785278</v>
      </c>
      <c r="M316" s="28">
        <f t="shared" si="81"/>
        <v>2792244</v>
      </c>
      <c r="N316" s="28">
        <v>11973</v>
      </c>
      <c r="O316" s="28">
        <v>335669</v>
      </c>
      <c r="P316" s="28">
        <v>1223533</v>
      </c>
      <c r="Q316" s="140">
        <f t="shared" si="82"/>
        <v>159746</v>
      </c>
      <c r="R316" s="125">
        <f t="shared" si="85"/>
        <v>167583</v>
      </c>
      <c r="S316" s="47">
        <f t="shared" si="83"/>
        <v>-6</v>
      </c>
      <c r="T316" s="119">
        <f t="shared" si="84"/>
        <v>1579</v>
      </c>
      <c r="U316" s="87"/>
      <c r="V316" s="261"/>
    </row>
    <row r="317" spans="1:23" x14ac:dyDescent="0.25">
      <c r="A317" s="137">
        <v>44208</v>
      </c>
      <c r="B317" s="156">
        <v>13783</v>
      </c>
      <c r="C317" s="156">
        <f t="shared" si="76"/>
        <v>1744704</v>
      </c>
      <c r="D317" s="156">
        <v>192</v>
      </c>
      <c r="E317" s="156">
        <f t="shared" si="77"/>
        <v>44815</v>
      </c>
      <c r="F317" s="156">
        <f t="shared" si="71"/>
        <v>9146</v>
      </c>
      <c r="G317" s="185">
        <v>1527861</v>
      </c>
      <c r="H317" s="156">
        <v>3619</v>
      </c>
      <c r="I317" s="156">
        <v>54031</v>
      </c>
      <c r="J317" s="4">
        <f t="shared" si="79"/>
        <v>5297478</v>
      </c>
      <c r="K317" s="7">
        <v>7093</v>
      </c>
      <c r="L317" s="7">
        <v>2816031</v>
      </c>
      <c r="M317" s="4">
        <f t="shared" si="81"/>
        <v>2823124</v>
      </c>
      <c r="N317" s="4">
        <v>12085</v>
      </c>
      <c r="O317" s="4">
        <v>337864</v>
      </c>
      <c r="P317" s="4">
        <v>1234734</v>
      </c>
      <c r="Q317" s="132">
        <f t="shared" si="82"/>
        <v>160021</v>
      </c>
      <c r="R317" s="198">
        <f t="shared" si="85"/>
        <v>172028</v>
      </c>
      <c r="S317" s="47">
        <f t="shared" si="83"/>
        <v>13</v>
      </c>
      <c r="T317" s="119">
        <f t="shared" si="84"/>
        <v>4445</v>
      </c>
      <c r="U317" s="87"/>
      <c r="V317" s="261"/>
    </row>
    <row r="318" spans="1:23" x14ac:dyDescent="0.25">
      <c r="A318" s="137">
        <v>44209</v>
      </c>
      <c r="B318" s="156">
        <v>12725</v>
      </c>
      <c r="C318" s="156">
        <f t="shared" si="76"/>
        <v>1757429</v>
      </c>
      <c r="D318" s="156">
        <v>134</v>
      </c>
      <c r="E318" s="156">
        <f t="shared" si="77"/>
        <v>44949</v>
      </c>
      <c r="F318" s="156">
        <f t="shared" si="71"/>
        <v>8562</v>
      </c>
      <c r="G318" s="185">
        <v>1536423</v>
      </c>
      <c r="H318" s="156">
        <v>3636</v>
      </c>
      <c r="I318" s="156">
        <v>50648</v>
      </c>
      <c r="J318" s="4">
        <f t="shared" si="79"/>
        <v>5348126</v>
      </c>
      <c r="K318" s="7">
        <v>7265</v>
      </c>
      <c r="L318" s="7">
        <v>2845101</v>
      </c>
      <c r="M318" s="4">
        <f t="shared" si="81"/>
        <v>2852366</v>
      </c>
      <c r="N318" s="4">
        <v>12177</v>
      </c>
      <c r="O318" s="4">
        <v>339755</v>
      </c>
      <c r="P318" s="4">
        <v>1245296</v>
      </c>
      <c r="Q318" s="132">
        <f t="shared" si="82"/>
        <v>160201</v>
      </c>
      <c r="R318" s="125">
        <f t="shared" ref="R318:R331" si="86">C318-E318-G318</f>
        <v>176057</v>
      </c>
      <c r="S318" s="47">
        <f t="shared" si="83"/>
        <v>17</v>
      </c>
      <c r="T318" s="119">
        <f t="shared" si="84"/>
        <v>4029</v>
      </c>
      <c r="U318" s="87"/>
      <c r="V318" s="261"/>
      <c r="W318" s="87"/>
    </row>
    <row r="319" spans="1:23" x14ac:dyDescent="0.25">
      <c r="A319" s="137">
        <v>44210</v>
      </c>
      <c r="B319" s="156">
        <v>13286</v>
      </c>
      <c r="C319" s="156">
        <f t="shared" si="76"/>
        <v>1770715</v>
      </c>
      <c r="D319" s="209">
        <v>142</v>
      </c>
      <c r="E319" s="156">
        <f t="shared" si="77"/>
        <v>45091</v>
      </c>
      <c r="F319" s="156">
        <f t="shared" si="71"/>
        <v>13067</v>
      </c>
      <c r="G319" s="185">
        <v>1549490</v>
      </c>
      <c r="H319" s="156">
        <v>3634</v>
      </c>
      <c r="I319" s="156">
        <v>50729</v>
      </c>
      <c r="J319" s="4">
        <f t="shared" si="79"/>
        <v>5398855</v>
      </c>
      <c r="K319" s="7">
        <v>7473</v>
      </c>
      <c r="L319" s="7">
        <v>2874691</v>
      </c>
      <c r="M319" s="4">
        <f t="shared" si="81"/>
        <v>2882164</v>
      </c>
      <c r="N319" s="4">
        <v>12303</v>
      </c>
      <c r="O319" s="4">
        <v>342210</v>
      </c>
      <c r="P319" s="4">
        <v>1255146</v>
      </c>
      <c r="Q319" s="132">
        <f t="shared" si="82"/>
        <v>161056</v>
      </c>
      <c r="R319" s="125">
        <f t="shared" si="86"/>
        <v>176134</v>
      </c>
      <c r="S319" s="47">
        <f t="shared" si="83"/>
        <v>-2</v>
      </c>
      <c r="T319" s="119">
        <f t="shared" ref="T319:T334" si="87">(C319-G319-E319)-(C318-E318-G318)</f>
        <v>77</v>
      </c>
      <c r="U319" s="87"/>
      <c r="V319" s="261"/>
    </row>
    <row r="320" spans="1:23" x14ac:dyDescent="0.25">
      <c r="A320" s="137">
        <v>44211</v>
      </c>
      <c r="B320" s="156">
        <v>12332</v>
      </c>
      <c r="C320" s="156">
        <f t="shared" si="76"/>
        <v>1783047</v>
      </c>
      <c r="D320" s="156">
        <v>103</v>
      </c>
      <c r="E320" s="156">
        <f t="shared" si="77"/>
        <v>45194</v>
      </c>
      <c r="F320" s="156">
        <f t="shared" si="71"/>
        <v>12473</v>
      </c>
      <c r="G320" s="185">
        <v>1561963</v>
      </c>
      <c r="H320" s="156">
        <v>3578</v>
      </c>
      <c r="I320" s="156">
        <v>52120</v>
      </c>
      <c r="J320" s="4">
        <f t="shared" si="79"/>
        <v>5450975</v>
      </c>
      <c r="K320" s="7">
        <v>7640</v>
      </c>
      <c r="L320" s="7">
        <v>2906590</v>
      </c>
      <c r="M320" s="4">
        <f t="shared" si="81"/>
        <v>2914230</v>
      </c>
      <c r="N320" s="4">
        <v>12408</v>
      </c>
      <c r="O320" s="4">
        <v>344202</v>
      </c>
      <c r="P320" s="4">
        <v>1264935</v>
      </c>
      <c r="Q320" s="132">
        <f t="shared" si="82"/>
        <v>161502</v>
      </c>
      <c r="R320" s="125">
        <f t="shared" si="86"/>
        <v>175890</v>
      </c>
      <c r="S320" s="47">
        <f t="shared" si="83"/>
        <v>-56</v>
      </c>
      <c r="T320" s="119">
        <f t="shared" si="87"/>
        <v>-244</v>
      </c>
      <c r="U320" s="87"/>
      <c r="V320" s="261"/>
    </row>
    <row r="321" spans="1:22" x14ac:dyDescent="0.25">
      <c r="A321" s="137">
        <v>44212</v>
      </c>
      <c r="B321" s="156">
        <v>8932</v>
      </c>
      <c r="C321" s="156">
        <f t="shared" si="76"/>
        <v>1791979</v>
      </c>
      <c r="D321" s="156">
        <v>68</v>
      </c>
      <c r="E321" s="156">
        <f t="shared" si="77"/>
        <v>45262</v>
      </c>
      <c r="F321" s="156">
        <f t="shared" si="71"/>
        <v>11141</v>
      </c>
      <c r="G321" s="185">
        <v>1573104</v>
      </c>
      <c r="H321" s="156">
        <v>3578</v>
      </c>
      <c r="I321" s="156">
        <v>43513</v>
      </c>
      <c r="J321" s="4">
        <f t="shared" si="79"/>
        <v>5494488</v>
      </c>
      <c r="K321" s="7">
        <v>7674</v>
      </c>
      <c r="L321" s="7">
        <v>2934432</v>
      </c>
      <c r="M321" s="4">
        <f t="shared" si="81"/>
        <v>2942106</v>
      </c>
      <c r="N321" s="4">
        <v>12474</v>
      </c>
      <c r="O321" s="4">
        <v>345365</v>
      </c>
      <c r="P321" s="4">
        <v>1271065</v>
      </c>
      <c r="Q321" s="132">
        <f t="shared" si="82"/>
        <v>163075</v>
      </c>
      <c r="R321" s="125">
        <f t="shared" si="86"/>
        <v>173613</v>
      </c>
      <c r="S321" s="47">
        <f t="shared" si="83"/>
        <v>0</v>
      </c>
      <c r="T321" s="119">
        <f t="shared" si="87"/>
        <v>-2277</v>
      </c>
      <c r="U321" s="87"/>
      <c r="V321" s="261"/>
    </row>
    <row r="322" spans="1:22" x14ac:dyDescent="0.25">
      <c r="A322" s="137">
        <v>44213</v>
      </c>
      <c r="B322" s="156">
        <v>7264</v>
      </c>
      <c r="C322" s="156">
        <f t="shared" si="76"/>
        <v>1799243</v>
      </c>
      <c r="D322" s="156">
        <v>112</v>
      </c>
      <c r="E322" s="156">
        <f t="shared" si="77"/>
        <v>45374</v>
      </c>
      <c r="F322" s="156">
        <f t="shared" si="71"/>
        <v>10361</v>
      </c>
      <c r="G322" s="185">
        <v>1583465</v>
      </c>
      <c r="H322" s="156">
        <v>3547</v>
      </c>
      <c r="I322" s="156">
        <v>39591</v>
      </c>
      <c r="J322" s="4">
        <f t="shared" si="79"/>
        <v>5534079</v>
      </c>
      <c r="K322" s="7">
        <v>7844</v>
      </c>
      <c r="L322" s="7">
        <v>2961095</v>
      </c>
      <c r="M322" s="4">
        <f t="shared" si="81"/>
        <v>2968939</v>
      </c>
      <c r="N322" s="4">
        <v>12530</v>
      </c>
      <c r="O322" s="4">
        <v>346241</v>
      </c>
      <c r="P322" s="4">
        <v>1275780</v>
      </c>
      <c r="Q322" s="132">
        <f t="shared" si="82"/>
        <v>164692</v>
      </c>
      <c r="R322" s="125">
        <f t="shared" si="86"/>
        <v>170404</v>
      </c>
      <c r="S322" s="47">
        <f t="shared" si="83"/>
        <v>-31</v>
      </c>
      <c r="T322" s="119">
        <f t="shared" si="87"/>
        <v>-3209</v>
      </c>
      <c r="U322" s="87"/>
      <c r="V322" s="261"/>
    </row>
    <row r="323" spans="1:22" x14ac:dyDescent="0.25">
      <c r="A323" s="137">
        <v>44214</v>
      </c>
      <c r="B323" s="156">
        <v>8185</v>
      </c>
      <c r="C323" s="156">
        <f t="shared" si="76"/>
        <v>1807428</v>
      </c>
      <c r="D323" s="156">
        <v>424</v>
      </c>
      <c r="E323" s="156">
        <f t="shared" si="77"/>
        <v>45798</v>
      </c>
      <c r="F323" s="156">
        <f t="shared" si="71"/>
        <v>11303</v>
      </c>
      <c r="G323" s="185">
        <v>1594768</v>
      </c>
      <c r="H323" s="156">
        <v>3564</v>
      </c>
      <c r="I323" s="156">
        <v>41451</v>
      </c>
      <c r="J323" s="4">
        <f t="shared" si="79"/>
        <v>5575530</v>
      </c>
      <c r="K323" s="7">
        <v>8070</v>
      </c>
      <c r="L323" s="7">
        <v>2987077</v>
      </c>
      <c r="M323" s="4">
        <f t="shared" si="81"/>
        <v>2995147</v>
      </c>
      <c r="N323" s="4">
        <v>12585</v>
      </c>
      <c r="O323" s="4">
        <v>347936</v>
      </c>
      <c r="P323" s="4">
        <v>1285430</v>
      </c>
      <c r="Q323" s="132">
        <f t="shared" si="82"/>
        <v>161477</v>
      </c>
      <c r="R323" s="125">
        <f t="shared" si="86"/>
        <v>166862</v>
      </c>
      <c r="S323" s="47">
        <f t="shared" si="83"/>
        <v>17</v>
      </c>
      <c r="T323" s="119">
        <f t="shared" si="87"/>
        <v>-3542</v>
      </c>
      <c r="U323" s="87"/>
      <c r="V323" s="261"/>
    </row>
    <row r="324" spans="1:22" x14ac:dyDescent="0.25">
      <c r="A324" s="137">
        <v>44215</v>
      </c>
      <c r="B324" s="156">
        <v>12141</v>
      </c>
      <c r="C324" s="156">
        <f t="shared" si="76"/>
        <v>1819569</v>
      </c>
      <c r="D324" s="156">
        <v>235</v>
      </c>
      <c r="E324" s="156">
        <f t="shared" si="77"/>
        <v>46033</v>
      </c>
      <c r="F324" s="156">
        <f t="shared" si="71"/>
        <v>9605</v>
      </c>
      <c r="G324" s="185">
        <v>1604373</v>
      </c>
      <c r="H324" s="156">
        <v>3562</v>
      </c>
      <c r="I324" s="156">
        <v>49566</v>
      </c>
      <c r="J324" s="4">
        <f t="shared" si="79"/>
        <v>5625096</v>
      </c>
      <c r="K324" s="7">
        <v>8115</v>
      </c>
      <c r="L324" s="7">
        <v>3016503</v>
      </c>
      <c r="M324" s="4">
        <f t="shared" si="81"/>
        <v>3024618</v>
      </c>
      <c r="N324" s="4">
        <v>12688</v>
      </c>
      <c r="O324" s="4">
        <v>349683</v>
      </c>
      <c r="P324" s="4">
        <v>1295213</v>
      </c>
      <c r="Q324" s="132">
        <f t="shared" si="82"/>
        <v>161985</v>
      </c>
      <c r="R324" s="125">
        <f t="shared" si="86"/>
        <v>169163</v>
      </c>
      <c r="S324" s="47">
        <f t="shared" si="83"/>
        <v>-2</v>
      </c>
      <c r="T324" s="119">
        <f t="shared" si="87"/>
        <v>2301</v>
      </c>
      <c r="U324" s="87"/>
      <c r="V324" s="261"/>
    </row>
    <row r="325" spans="1:22" x14ac:dyDescent="0.25">
      <c r="A325" s="220">
        <v>44216</v>
      </c>
      <c r="B325" s="221">
        <v>12112</v>
      </c>
      <c r="C325" s="156">
        <f t="shared" si="76"/>
        <v>1831681</v>
      </c>
      <c r="D325" s="185">
        <v>149</v>
      </c>
      <c r="E325" s="156">
        <f t="shared" si="77"/>
        <v>46182</v>
      </c>
      <c r="F325" s="156">
        <f t="shared" si="71"/>
        <v>9400</v>
      </c>
      <c r="G325" s="185">
        <v>1613773</v>
      </c>
      <c r="H325" s="156">
        <v>3605</v>
      </c>
      <c r="I325" s="156">
        <v>54998</v>
      </c>
      <c r="J325" s="4">
        <f t="shared" si="79"/>
        <v>5680094</v>
      </c>
      <c r="K325" s="7">
        <v>8185</v>
      </c>
      <c r="L325" s="7">
        <v>3071885</v>
      </c>
      <c r="M325" s="4">
        <f t="shared" si="81"/>
        <v>3080070</v>
      </c>
      <c r="N325" s="4"/>
      <c r="O325" s="4"/>
      <c r="P325" s="4"/>
      <c r="Q325" s="4"/>
      <c r="R325" s="217">
        <f t="shared" si="86"/>
        <v>171726</v>
      </c>
      <c r="S325" s="47">
        <f t="shared" si="83"/>
        <v>43</v>
      </c>
      <c r="T325" s="119">
        <f t="shared" si="87"/>
        <v>2563</v>
      </c>
      <c r="U325" s="87"/>
      <c r="V325" s="261"/>
    </row>
    <row r="326" spans="1:22" x14ac:dyDescent="0.25">
      <c r="A326" s="137">
        <v>44217</v>
      </c>
      <c r="B326" s="178">
        <v>11396</v>
      </c>
      <c r="C326" s="156">
        <f t="shared" si="76"/>
        <v>1843077</v>
      </c>
      <c r="D326" s="156">
        <v>142</v>
      </c>
      <c r="E326" s="156">
        <f t="shared" si="77"/>
        <v>46324</v>
      </c>
      <c r="F326" s="156">
        <f t="shared" si="71"/>
        <v>11982</v>
      </c>
      <c r="G326" s="185">
        <v>1625755</v>
      </c>
      <c r="H326" s="156">
        <v>3616</v>
      </c>
      <c r="I326" s="156">
        <v>53963</v>
      </c>
      <c r="J326" s="4">
        <f t="shared" si="79"/>
        <v>5734057</v>
      </c>
      <c r="K326" s="7">
        <v>8272</v>
      </c>
      <c r="L326" s="7">
        <v>3085519</v>
      </c>
      <c r="M326" s="4">
        <f t="shared" si="81"/>
        <v>3093791</v>
      </c>
      <c r="N326" s="4"/>
      <c r="O326" s="4"/>
      <c r="P326" s="4"/>
      <c r="Q326" s="4"/>
      <c r="R326" s="217">
        <f t="shared" si="86"/>
        <v>170998</v>
      </c>
      <c r="S326" s="47">
        <f t="shared" si="83"/>
        <v>11</v>
      </c>
      <c r="T326" s="119">
        <f t="shared" si="87"/>
        <v>-728</v>
      </c>
      <c r="U326" s="87"/>
      <c r="V326" s="261"/>
    </row>
    <row r="327" spans="1:22" x14ac:dyDescent="0.25">
      <c r="A327" s="137">
        <v>44218</v>
      </c>
      <c r="B327" s="156">
        <v>10753</v>
      </c>
      <c r="C327" s="156">
        <f t="shared" si="76"/>
        <v>1853830</v>
      </c>
      <c r="D327" s="156">
        <v>220</v>
      </c>
      <c r="E327" s="156">
        <f t="shared" si="77"/>
        <v>46544</v>
      </c>
      <c r="F327" s="156">
        <f t="shared" si="71"/>
        <v>11071</v>
      </c>
      <c r="G327" s="185">
        <v>1636826</v>
      </c>
      <c r="H327" s="156">
        <v>3631</v>
      </c>
      <c r="I327" s="156">
        <v>55439</v>
      </c>
      <c r="J327" s="4">
        <f t="shared" si="79"/>
        <v>5789496</v>
      </c>
      <c r="K327" s="7">
        <v>8396</v>
      </c>
      <c r="L327" s="7">
        <v>3122500</v>
      </c>
      <c r="M327" s="4">
        <f t="shared" si="81"/>
        <v>3130896</v>
      </c>
      <c r="N327" s="4"/>
      <c r="O327" s="4"/>
      <c r="P327" s="4"/>
      <c r="Q327" s="4"/>
      <c r="R327" s="217">
        <f t="shared" si="86"/>
        <v>170460</v>
      </c>
      <c r="S327" s="47">
        <f t="shared" si="83"/>
        <v>15</v>
      </c>
      <c r="T327" s="119">
        <f t="shared" si="87"/>
        <v>-538</v>
      </c>
      <c r="U327" s="87"/>
      <c r="V327" s="261"/>
    </row>
    <row r="328" spans="1:22" x14ac:dyDescent="0.25">
      <c r="A328" s="137">
        <v>44219</v>
      </c>
      <c r="B328" s="156">
        <v>8362</v>
      </c>
      <c r="C328" s="156">
        <f t="shared" si="76"/>
        <v>1862192</v>
      </c>
      <c r="D328" s="156">
        <v>162</v>
      </c>
      <c r="E328" s="156">
        <f t="shared" si="77"/>
        <v>46706</v>
      </c>
      <c r="F328" s="156">
        <f t="shared" si="71"/>
        <v>9842</v>
      </c>
      <c r="G328" s="185">
        <v>1646668</v>
      </c>
      <c r="H328" s="156">
        <v>3618</v>
      </c>
      <c r="I328" s="156">
        <v>46643</v>
      </c>
      <c r="J328" s="4">
        <f t="shared" si="79"/>
        <v>5836139</v>
      </c>
      <c r="K328" s="7">
        <v>8444</v>
      </c>
      <c r="L328" s="7">
        <v>3152824</v>
      </c>
      <c r="M328" s="4">
        <f t="shared" si="81"/>
        <v>3161268</v>
      </c>
      <c r="N328" s="4"/>
      <c r="O328" s="4"/>
      <c r="P328" s="4"/>
      <c r="Q328" s="4"/>
      <c r="R328" s="217">
        <f t="shared" si="86"/>
        <v>168818</v>
      </c>
      <c r="S328" s="47">
        <f t="shared" si="83"/>
        <v>-13</v>
      </c>
      <c r="T328" s="119">
        <f t="shared" si="87"/>
        <v>-1642</v>
      </c>
      <c r="U328" s="87"/>
      <c r="V328" s="261"/>
    </row>
    <row r="329" spans="1:22" x14ac:dyDescent="0.25">
      <c r="A329" s="137">
        <v>44220</v>
      </c>
      <c r="B329" s="156">
        <v>5031</v>
      </c>
      <c r="C329" s="156">
        <f t="shared" si="76"/>
        <v>1867223</v>
      </c>
      <c r="D329" s="156">
        <v>90</v>
      </c>
      <c r="E329" s="156">
        <f t="shared" si="77"/>
        <v>46796</v>
      </c>
      <c r="F329" s="156">
        <f t="shared" si="71"/>
        <v>9481</v>
      </c>
      <c r="G329" s="185">
        <v>1656149</v>
      </c>
      <c r="H329" s="156">
        <v>3619</v>
      </c>
      <c r="I329" s="156">
        <v>29659</v>
      </c>
      <c r="J329" s="4">
        <f t="shared" si="79"/>
        <v>5865798</v>
      </c>
      <c r="K329" s="7">
        <v>8475</v>
      </c>
      <c r="L329" s="7">
        <v>3173796</v>
      </c>
      <c r="M329" s="4">
        <f t="shared" si="81"/>
        <v>3182271</v>
      </c>
      <c r="N329" s="4"/>
      <c r="O329" s="4"/>
      <c r="P329" s="4"/>
      <c r="Q329" s="4"/>
      <c r="R329" s="217">
        <f t="shared" si="86"/>
        <v>164278</v>
      </c>
      <c r="S329" s="47">
        <f t="shared" si="83"/>
        <v>1</v>
      </c>
      <c r="T329" s="119">
        <f t="shared" si="87"/>
        <v>-4540</v>
      </c>
      <c r="U329" s="87"/>
      <c r="V329" s="261"/>
    </row>
    <row r="330" spans="1:22" x14ac:dyDescent="0.25">
      <c r="A330" s="137">
        <v>44221</v>
      </c>
      <c r="B330" s="156">
        <v>7578</v>
      </c>
      <c r="C330" s="156">
        <f t="shared" si="76"/>
        <v>1874801</v>
      </c>
      <c r="D330" s="156">
        <v>208</v>
      </c>
      <c r="E330" s="156">
        <f t="shared" si="77"/>
        <v>47004</v>
      </c>
      <c r="F330" s="156">
        <f t="shared" si="71"/>
        <v>10378</v>
      </c>
      <c r="G330" s="185">
        <v>1666527</v>
      </c>
      <c r="H330" s="156">
        <v>3598</v>
      </c>
      <c r="I330" s="156">
        <v>36906</v>
      </c>
      <c r="J330" s="4">
        <f t="shared" si="79"/>
        <v>5902704</v>
      </c>
      <c r="K330" s="7">
        <v>8672</v>
      </c>
      <c r="L330" s="7">
        <v>3197613</v>
      </c>
      <c r="M330" s="7">
        <f>L330+K330</f>
        <v>3206285</v>
      </c>
      <c r="N330" s="4"/>
      <c r="O330" s="4"/>
      <c r="P330" s="4"/>
      <c r="Q330" s="4"/>
      <c r="R330" s="217">
        <f t="shared" si="86"/>
        <v>161270</v>
      </c>
      <c r="S330" s="47">
        <f t="shared" si="83"/>
        <v>-21</v>
      </c>
      <c r="T330" s="119">
        <f t="shared" si="87"/>
        <v>-3008</v>
      </c>
      <c r="U330" s="87"/>
      <c r="V330" s="261"/>
    </row>
    <row r="331" spans="1:22" x14ac:dyDescent="0.25">
      <c r="A331" s="137">
        <v>44222</v>
      </c>
      <c r="B331" s="156">
        <v>10409</v>
      </c>
      <c r="C331" s="156">
        <f t="shared" si="76"/>
        <v>1885210</v>
      </c>
      <c r="D331" s="156">
        <v>219</v>
      </c>
      <c r="E331" s="156">
        <f t="shared" si="77"/>
        <v>47223</v>
      </c>
      <c r="F331" s="156">
        <f t="shared" si="71"/>
        <v>8028</v>
      </c>
      <c r="G331" s="185">
        <v>1674555</v>
      </c>
      <c r="H331" s="156">
        <v>3614</v>
      </c>
      <c r="I331" s="156">
        <v>55123</v>
      </c>
      <c r="J331" s="4">
        <f t="shared" si="79"/>
        <v>5957827</v>
      </c>
      <c r="K331" s="7">
        <v>8865</v>
      </c>
      <c r="L331" s="7">
        <v>3232986</v>
      </c>
      <c r="M331" s="7">
        <f t="shared" ref="M331:M395" si="88">L331+K331</f>
        <v>3241851</v>
      </c>
      <c r="N331" s="4"/>
      <c r="O331" s="4"/>
      <c r="P331" s="4"/>
      <c r="Q331" s="4"/>
      <c r="R331" s="20">
        <f t="shared" si="86"/>
        <v>163432</v>
      </c>
      <c r="S331" s="47">
        <f t="shared" si="83"/>
        <v>16</v>
      </c>
      <c r="T331" s="119">
        <f t="shared" si="87"/>
        <v>2162</v>
      </c>
      <c r="U331" s="87"/>
      <c r="V331" s="261"/>
    </row>
    <row r="332" spans="1:22" x14ac:dyDescent="0.25">
      <c r="A332" s="139">
        <v>44223</v>
      </c>
      <c r="B332" s="173">
        <v>10843</v>
      </c>
      <c r="C332" s="156">
        <f t="shared" si="76"/>
        <v>1896053</v>
      </c>
      <c r="D332" s="156">
        <v>182</v>
      </c>
      <c r="E332" s="156">
        <f t="shared" si="77"/>
        <v>47405</v>
      </c>
      <c r="F332" s="156">
        <f t="shared" si="71"/>
        <v>8008</v>
      </c>
      <c r="G332" s="185">
        <v>1682563</v>
      </c>
      <c r="H332" s="156">
        <v>3627</v>
      </c>
      <c r="I332" s="156">
        <v>49154</v>
      </c>
      <c r="J332" s="4">
        <f t="shared" si="79"/>
        <v>6006981</v>
      </c>
      <c r="K332" s="7">
        <v>8965</v>
      </c>
      <c r="L332" s="7">
        <v>3261828</v>
      </c>
      <c r="M332" s="7">
        <f t="shared" si="88"/>
        <v>3270793</v>
      </c>
      <c r="N332" s="4"/>
      <c r="O332" s="4"/>
      <c r="P332" s="4"/>
      <c r="Q332" s="4"/>
      <c r="R332" s="20">
        <f>C332-E332-G332</f>
        <v>166085</v>
      </c>
      <c r="S332" s="47">
        <f t="shared" si="83"/>
        <v>13</v>
      </c>
      <c r="T332" s="119">
        <f t="shared" si="87"/>
        <v>2653</v>
      </c>
      <c r="U332" s="87"/>
      <c r="V332" s="261"/>
    </row>
    <row r="333" spans="1:22" x14ac:dyDescent="0.25">
      <c r="A333" s="137">
        <v>44224</v>
      </c>
      <c r="B333" s="222">
        <v>9471</v>
      </c>
      <c r="C333" s="156">
        <f t="shared" ref="C333:C339" si="89">C332+B333</f>
        <v>1905524</v>
      </c>
      <c r="D333" s="156">
        <v>166</v>
      </c>
      <c r="E333" s="156">
        <f t="shared" ref="E333:E363" si="90">E332+D333</f>
        <v>47571</v>
      </c>
      <c r="F333" s="156">
        <f t="shared" ref="F333:F363" si="91">G333-G332</f>
        <v>10583</v>
      </c>
      <c r="G333" s="185">
        <v>1693146</v>
      </c>
      <c r="H333" s="156">
        <v>3607</v>
      </c>
      <c r="I333" s="156">
        <v>46742</v>
      </c>
      <c r="J333" s="4">
        <f t="shared" si="79"/>
        <v>6053723</v>
      </c>
      <c r="K333" s="7">
        <v>9050</v>
      </c>
      <c r="L333" s="7">
        <v>3289093</v>
      </c>
      <c r="M333" s="7">
        <f t="shared" si="88"/>
        <v>3298143</v>
      </c>
      <c r="N333" s="4"/>
      <c r="O333" s="4"/>
      <c r="P333" s="4"/>
      <c r="Q333" s="4"/>
      <c r="R333" s="20">
        <f>C333-E333-G333</f>
        <v>164807</v>
      </c>
      <c r="S333" s="47">
        <f t="shared" si="83"/>
        <v>-20</v>
      </c>
      <c r="T333" s="119">
        <f t="shared" si="87"/>
        <v>-1278</v>
      </c>
      <c r="U333" s="87"/>
      <c r="V333" s="261"/>
    </row>
    <row r="334" spans="1:22" x14ac:dyDescent="0.25">
      <c r="A334" s="137">
        <v>44225</v>
      </c>
      <c r="B334" s="156">
        <v>9838</v>
      </c>
      <c r="C334" s="156">
        <f t="shared" si="89"/>
        <v>1915362</v>
      </c>
      <c r="D334" s="156">
        <v>174</v>
      </c>
      <c r="E334" s="156">
        <f t="shared" si="90"/>
        <v>47745</v>
      </c>
      <c r="F334" s="156">
        <f t="shared" si="91"/>
        <v>10313</v>
      </c>
      <c r="G334" s="185">
        <v>1703459</v>
      </c>
      <c r="H334" s="156">
        <v>3628</v>
      </c>
      <c r="I334" s="156">
        <v>45809</v>
      </c>
      <c r="J334" s="4">
        <f t="shared" si="79"/>
        <v>6099532</v>
      </c>
      <c r="K334" s="7">
        <v>9141</v>
      </c>
      <c r="L334" s="7">
        <v>3315527</v>
      </c>
      <c r="M334" s="7">
        <f t="shared" si="88"/>
        <v>3324668</v>
      </c>
      <c r="N334" s="4"/>
      <c r="O334" s="4"/>
      <c r="P334" s="4"/>
      <c r="Q334" s="4"/>
      <c r="R334" s="4">
        <f>C334-E334-G334</f>
        <v>164158</v>
      </c>
      <c r="S334" s="47">
        <f t="shared" si="83"/>
        <v>21</v>
      </c>
      <c r="T334" s="119">
        <f t="shared" si="87"/>
        <v>-649</v>
      </c>
      <c r="U334" s="87"/>
      <c r="V334" s="261"/>
    </row>
    <row r="335" spans="1:22" x14ac:dyDescent="0.25">
      <c r="A335" s="137">
        <v>44226</v>
      </c>
      <c r="B335" s="156">
        <v>6902</v>
      </c>
      <c r="C335" s="156">
        <f t="shared" si="89"/>
        <v>1922264</v>
      </c>
      <c r="D335" s="156">
        <v>156</v>
      </c>
      <c r="E335" s="156">
        <f t="shared" si="90"/>
        <v>47901</v>
      </c>
      <c r="F335" s="156">
        <f t="shared" si="91"/>
        <v>9409</v>
      </c>
      <c r="G335" s="185">
        <v>1712868</v>
      </c>
      <c r="H335" s="156">
        <v>3624</v>
      </c>
      <c r="I335" s="156">
        <v>40578</v>
      </c>
      <c r="J335" s="4">
        <f t="shared" si="79"/>
        <v>6140110</v>
      </c>
      <c r="K335" s="7">
        <v>9295</v>
      </c>
      <c r="L335" s="7">
        <v>3342833</v>
      </c>
      <c r="M335" s="7">
        <f t="shared" si="88"/>
        <v>3352128</v>
      </c>
      <c r="N335" s="4"/>
      <c r="O335" s="4"/>
      <c r="P335" s="4"/>
      <c r="Q335" s="4"/>
      <c r="R335" s="4">
        <f t="shared" ref="R335:R345" si="92">C335-E335-G335</f>
        <v>161495</v>
      </c>
      <c r="S335" s="47">
        <f t="shared" si="83"/>
        <v>-4</v>
      </c>
      <c r="T335" s="119">
        <f t="shared" ref="T335:T345" si="93">(C335-G335-E335)-(C334-E334-G334)</f>
        <v>-2663</v>
      </c>
      <c r="U335" s="87"/>
      <c r="V335" s="261"/>
    </row>
    <row r="336" spans="1:22" x14ac:dyDescent="0.25">
      <c r="A336" s="137">
        <v>44227</v>
      </c>
      <c r="B336" s="156">
        <v>4975</v>
      </c>
      <c r="C336" s="156">
        <f t="shared" si="89"/>
        <v>1927239</v>
      </c>
      <c r="D336" s="156">
        <v>43</v>
      </c>
      <c r="E336" s="156">
        <f t="shared" si="90"/>
        <v>47944</v>
      </c>
      <c r="F336" s="156">
        <f t="shared" si="91"/>
        <v>8782</v>
      </c>
      <c r="G336" s="185">
        <v>1721650</v>
      </c>
      <c r="H336" s="156">
        <v>3617</v>
      </c>
      <c r="I336" s="156">
        <v>34412</v>
      </c>
      <c r="J336" s="4">
        <f t="shared" si="79"/>
        <v>6174522</v>
      </c>
      <c r="K336" s="7">
        <v>9403</v>
      </c>
      <c r="L336" s="7">
        <v>3366882</v>
      </c>
      <c r="M336" s="7">
        <f t="shared" si="88"/>
        <v>3376285</v>
      </c>
      <c r="N336" s="4"/>
      <c r="O336" s="4"/>
      <c r="P336" s="4"/>
      <c r="Q336" s="4"/>
      <c r="R336" s="4">
        <f t="shared" si="92"/>
        <v>157645</v>
      </c>
      <c r="S336" s="47">
        <f t="shared" si="83"/>
        <v>-7</v>
      </c>
      <c r="T336" s="119">
        <f t="shared" si="93"/>
        <v>-3850</v>
      </c>
      <c r="U336" s="87"/>
      <c r="V336" s="261"/>
    </row>
    <row r="337" spans="1:24" x14ac:dyDescent="0.25">
      <c r="A337" s="137">
        <v>44228</v>
      </c>
      <c r="B337" s="156">
        <v>6614</v>
      </c>
      <c r="C337" s="156">
        <f t="shared" si="89"/>
        <v>1933853</v>
      </c>
      <c r="D337" s="156">
        <v>275</v>
      </c>
      <c r="E337" s="156">
        <f t="shared" si="90"/>
        <v>48219</v>
      </c>
      <c r="F337" s="156">
        <f t="shared" si="91"/>
        <v>8349</v>
      </c>
      <c r="G337" s="185">
        <v>1729999</v>
      </c>
      <c r="H337" s="156">
        <v>3554</v>
      </c>
      <c r="I337" s="156">
        <v>34947</v>
      </c>
      <c r="J337" s="4">
        <f t="shared" si="79"/>
        <v>6209469</v>
      </c>
      <c r="K337" s="7">
        <v>9467</v>
      </c>
      <c r="L337" s="7">
        <v>3389599</v>
      </c>
      <c r="M337" s="4">
        <f t="shared" si="88"/>
        <v>3399066</v>
      </c>
      <c r="N337" s="4"/>
      <c r="O337" s="4"/>
      <c r="P337" s="4"/>
      <c r="Q337" s="4"/>
      <c r="R337" s="4">
        <f t="shared" si="92"/>
        <v>155635</v>
      </c>
      <c r="S337" s="47">
        <f t="shared" si="83"/>
        <v>-63</v>
      </c>
      <c r="T337" s="119">
        <f t="shared" si="93"/>
        <v>-2010</v>
      </c>
      <c r="U337" s="87"/>
      <c r="V337" s="261"/>
      <c r="W337" s="197"/>
      <c r="X337" s="197"/>
    </row>
    <row r="338" spans="1:24" x14ac:dyDescent="0.25">
      <c r="A338" s="137">
        <v>44229</v>
      </c>
      <c r="B338" s="156">
        <v>9695</v>
      </c>
      <c r="C338" s="156">
        <f t="shared" si="89"/>
        <v>1943548</v>
      </c>
      <c r="D338" s="156">
        <v>176</v>
      </c>
      <c r="E338" s="156">
        <f t="shared" si="90"/>
        <v>48395</v>
      </c>
      <c r="F338" s="156">
        <f t="shared" si="91"/>
        <v>8769</v>
      </c>
      <c r="G338" s="185">
        <v>1738768</v>
      </c>
      <c r="H338" s="156">
        <v>3586</v>
      </c>
      <c r="I338" s="156">
        <v>66202</v>
      </c>
      <c r="J338" s="4">
        <f t="shared" si="79"/>
        <v>6275671</v>
      </c>
      <c r="K338" s="7">
        <v>9653</v>
      </c>
      <c r="L338" s="7">
        <v>3427133</v>
      </c>
      <c r="M338" s="4">
        <f t="shared" si="88"/>
        <v>3436786</v>
      </c>
      <c r="N338" s="4"/>
      <c r="O338" s="4"/>
      <c r="P338" s="4"/>
      <c r="Q338" s="4"/>
      <c r="R338" s="4">
        <f t="shared" si="92"/>
        <v>156385</v>
      </c>
      <c r="S338" s="47">
        <f t="shared" si="83"/>
        <v>32</v>
      </c>
      <c r="T338" s="119">
        <f t="shared" si="93"/>
        <v>750</v>
      </c>
      <c r="U338" s="87"/>
      <c r="V338" s="261"/>
    </row>
    <row r="339" spans="1:24" x14ac:dyDescent="0.25">
      <c r="A339" s="137">
        <v>44230</v>
      </c>
      <c r="B339" s="156">
        <v>9196</v>
      </c>
      <c r="C339" s="156">
        <f t="shared" si="89"/>
        <v>1952744</v>
      </c>
      <c r="D339" s="156">
        <v>113</v>
      </c>
      <c r="E339" s="156">
        <f t="shared" si="90"/>
        <v>48508</v>
      </c>
      <c r="F339" s="156">
        <f t="shared" si="91"/>
        <v>6440</v>
      </c>
      <c r="G339" s="185">
        <v>1745208</v>
      </c>
      <c r="H339" s="156">
        <v>3571</v>
      </c>
      <c r="I339" s="156">
        <v>48160</v>
      </c>
      <c r="J339" s="4">
        <f t="shared" si="79"/>
        <v>6323831</v>
      </c>
      <c r="K339" s="7">
        <v>9845</v>
      </c>
      <c r="L339" s="7">
        <v>3462532</v>
      </c>
      <c r="M339" s="4">
        <f t="shared" si="88"/>
        <v>3472377</v>
      </c>
      <c r="N339" s="4"/>
      <c r="O339" s="4"/>
      <c r="P339" s="4"/>
      <c r="Q339" s="4"/>
      <c r="R339" s="4">
        <f t="shared" si="92"/>
        <v>159028</v>
      </c>
      <c r="S339" s="47">
        <f t="shared" si="83"/>
        <v>-15</v>
      </c>
      <c r="T339" s="119">
        <f t="shared" si="93"/>
        <v>2643</v>
      </c>
      <c r="U339" s="87"/>
      <c r="V339" s="261"/>
    </row>
    <row r="340" spans="1:24" x14ac:dyDescent="0.25">
      <c r="A340" s="137">
        <v>44231</v>
      </c>
      <c r="B340" s="222">
        <v>8891</v>
      </c>
      <c r="C340" s="156">
        <f t="shared" ref="C340:C374" si="94">C339+B340</f>
        <v>1961635</v>
      </c>
      <c r="D340" s="156">
        <v>162</v>
      </c>
      <c r="E340" s="156">
        <f t="shared" si="90"/>
        <v>48670</v>
      </c>
      <c r="F340" s="156">
        <f t="shared" si="91"/>
        <v>9497</v>
      </c>
      <c r="G340" s="185">
        <v>1754705</v>
      </c>
      <c r="H340" s="156">
        <v>3570</v>
      </c>
      <c r="I340" s="156">
        <v>52557</v>
      </c>
      <c r="J340" s="4">
        <f t="shared" si="79"/>
        <v>6376388</v>
      </c>
      <c r="K340" s="7">
        <v>9900</v>
      </c>
      <c r="L340" s="7">
        <v>3486103</v>
      </c>
      <c r="M340" s="4">
        <f t="shared" si="88"/>
        <v>3496003</v>
      </c>
      <c r="N340" s="4"/>
      <c r="O340" s="4"/>
      <c r="P340" s="4"/>
      <c r="Q340" s="4"/>
      <c r="R340" s="4">
        <f t="shared" si="92"/>
        <v>158260</v>
      </c>
      <c r="S340" s="47">
        <f t="shared" si="83"/>
        <v>-1</v>
      </c>
      <c r="T340" s="119">
        <f t="shared" si="93"/>
        <v>-768</v>
      </c>
      <c r="U340" s="87"/>
      <c r="V340" s="261"/>
    </row>
    <row r="341" spans="1:24" x14ac:dyDescent="0.25">
      <c r="A341" s="137">
        <v>44232</v>
      </c>
      <c r="B341" s="156">
        <v>8374</v>
      </c>
      <c r="C341" s="156">
        <f t="shared" si="94"/>
        <v>1970009</v>
      </c>
      <c r="D341" s="156">
        <v>285</v>
      </c>
      <c r="E341" s="156">
        <f t="shared" si="90"/>
        <v>48955</v>
      </c>
      <c r="F341" s="156">
        <f t="shared" si="91"/>
        <v>9057</v>
      </c>
      <c r="G341" s="185">
        <v>1763762</v>
      </c>
      <c r="H341" s="156">
        <v>3550</v>
      </c>
      <c r="I341" s="156">
        <v>47745</v>
      </c>
      <c r="J341" s="4">
        <f t="shared" si="79"/>
        <v>6424133</v>
      </c>
      <c r="K341" s="7">
        <v>10282</v>
      </c>
      <c r="L341" s="7">
        <v>3524708</v>
      </c>
      <c r="M341" s="4">
        <f t="shared" si="88"/>
        <v>3534990</v>
      </c>
      <c r="N341" s="4"/>
      <c r="O341" s="4"/>
      <c r="P341" s="4"/>
      <c r="Q341" s="4"/>
      <c r="R341" s="4">
        <f t="shared" si="92"/>
        <v>157292</v>
      </c>
      <c r="S341" s="47">
        <f t="shared" si="83"/>
        <v>-20</v>
      </c>
      <c r="T341" s="119">
        <f t="shared" si="93"/>
        <v>-968</v>
      </c>
      <c r="U341" s="87"/>
      <c r="V341" s="261"/>
    </row>
    <row r="342" spans="1:24" x14ac:dyDescent="0.25">
      <c r="A342" s="137">
        <v>44233</v>
      </c>
      <c r="B342" s="156">
        <v>6680</v>
      </c>
      <c r="C342" s="156">
        <f t="shared" si="94"/>
        <v>1976689</v>
      </c>
      <c r="D342" s="156">
        <v>125</v>
      </c>
      <c r="E342" s="156">
        <f t="shared" si="90"/>
        <v>49080</v>
      </c>
      <c r="F342" s="156">
        <f t="shared" si="91"/>
        <v>8297</v>
      </c>
      <c r="G342" s="185">
        <v>1772059</v>
      </c>
      <c r="H342" s="156">
        <v>3550</v>
      </c>
      <c r="I342" s="156">
        <v>42244</v>
      </c>
      <c r="J342" s="4">
        <f t="shared" si="79"/>
        <v>6466377</v>
      </c>
      <c r="K342" s="7">
        <v>10351</v>
      </c>
      <c r="L342" s="7">
        <v>3551197</v>
      </c>
      <c r="M342" s="4">
        <f t="shared" si="88"/>
        <v>3561548</v>
      </c>
      <c r="N342" s="4"/>
      <c r="O342" s="4"/>
      <c r="P342" s="4"/>
      <c r="Q342" s="4"/>
      <c r="R342" s="4">
        <f t="shared" si="92"/>
        <v>155550</v>
      </c>
      <c r="S342" s="47">
        <f t="shared" si="83"/>
        <v>0</v>
      </c>
      <c r="T342" s="119">
        <f t="shared" si="93"/>
        <v>-1742</v>
      </c>
      <c r="U342" s="87"/>
      <c r="V342" s="261"/>
    </row>
    <row r="343" spans="1:24" x14ac:dyDescent="0.25">
      <c r="A343" s="137">
        <v>44234</v>
      </c>
      <c r="B343" s="156">
        <v>3658</v>
      </c>
      <c r="C343" s="156">
        <f t="shared" si="94"/>
        <v>1980347</v>
      </c>
      <c r="D343" s="156">
        <v>61</v>
      </c>
      <c r="E343" s="156">
        <f t="shared" si="90"/>
        <v>49141</v>
      </c>
      <c r="F343" s="156">
        <f t="shared" si="91"/>
        <v>6906</v>
      </c>
      <c r="G343" s="185">
        <v>1778965</v>
      </c>
      <c r="H343" s="156">
        <v>3550</v>
      </c>
      <c r="I343" s="156">
        <v>24721</v>
      </c>
      <c r="J343" s="4">
        <f t="shared" si="79"/>
        <v>6491098</v>
      </c>
      <c r="K343" s="7">
        <v>10480</v>
      </c>
      <c r="L343" s="7">
        <v>3568763</v>
      </c>
      <c r="M343" s="4">
        <f t="shared" si="88"/>
        <v>3579243</v>
      </c>
      <c r="N343" s="4"/>
      <c r="O343" s="4"/>
      <c r="P343" s="4"/>
      <c r="Q343" s="4"/>
      <c r="R343" s="4">
        <f t="shared" si="92"/>
        <v>152241</v>
      </c>
      <c r="S343" s="47">
        <f t="shared" si="83"/>
        <v>0</v>
      </c>
      <c r="T343" s="119">
        <f t="shared" si="93"/>
        <v>-3309</v>
      </c>
      <c r="U343" s="87"/>
      <c r="V343" s="261"/>
    </row>
    <row r="344" spans="1:24" x14ac:dyDescent="0.25">
      <c r="A344" s="137">
        <v>44235</v>
      </c>
      <c r="B344" s="156">
        <v>5154</v>
      </c>
      <c r="C344" s="156">
        <f t="shared" si="94"/>
        <v>1985501</v>
      </c>
      <c r="D344" s="156">
        <v>227</v>
      </c>
      <c r="E344" s="156">
        <f t="shared" si="90"/>
        <v>49368</v>
      </c>
      <c r="F344" s="156">
        <f t="shared" si="91"/>
        <v>7213</v>
      </c>
      <c r="G344" s="185">
        <v>1786178</v>
      </c>
      <c r="H344" s="156">
        <v>3526</v>
      </c>
      <c r="I344" s="156">
        <v>30651</v>
      </c>
      <c r="J344" s="4">
        <f t="shared" si="79"/>
        <v>6521749</v>
      </c>
      <c r="K344" s="7">
        <v>10625</v>
      </c>
      <c r="L344" s="7">
        <v>3587360</v>
      </c>
      <c r="M344" s="4">
        <f t="shared" si="88"/>
        <v>3597985</v>
      </c>
      <c r="N344" s="4"/>
      <c r="O344" s="4"/>
      <c r="P344" s="4"/>
      <c r="Q344" s="4"/>
      <c r="R344" s="4">
        <f t="shared" si="92"/>
        <v>149955</v>
      </c>
      <c r="S344" s="47">
        <f t="shared" si="83"/>
        <v>-24</v>
      </c>
      <c r="T344" s="119">
        <f t="shared" si="93"/>
        <v>-2286</v>
      </c>
      <c r="U344" s="87"/>
      <c r="V344" s="261"/>
    </row>
    <row r="345" spans="1:24" x14ac:dyDescent="0.25">
      <c r="A345" s="137">
        <v>44236</v>
      </c>
      <c r="B345" s="156">
        <v>7794</v>
      </c>
      <c r="C345" s="156">
        <f t="shared" si="94"/>
        <v>1993295</v>
      </c>
      <c r="D345" s="156">
        <v>168</v>
      </c>
      <c r="E345" s="156">
        <f t="shared" si="90"/>
        <v>49536</v>
      </c>
      <c r="F345" s="156">
        <f t="shared" si="91"/>
        <v>6143</v>
      </c>
      <c r="G345" s="185">
        <v>1792321</v>
      </c>
      <c r="H345" s="156">
        <v>3553</v>
      </c>
      <c r="I345" s="156">
        <v>49781</v>
      </c>
      <c r="J345" s="4">
        <f t="shared" si="79"/>
        <v>6571530</v>
      </c>
      <c r="K345" s="7">
        <v>10844</v>
      </c>
      <c r="L345" s="7">
        <v>3619021</v>
      </c>
      <c r="M345" s="4">
        <f t="shared" si="88"/>
        <v>3629865</v>
      </c>
      <c r="N345" s="4"/>
      <c r="O345" s="4"/>
      <c r="P345" s="4"/>
      <c r="Q345" s="4"/>
      <c r="R345" s="4">
        <f t="shared" si="92"/>
        <v>151438</v>
      </c>
      <c r="S345" s="47">
        <f t="shared" si="83"/>
        <v>27</v>
      </c>
      <c r="T345" s="119">
        <f t="shared" si="93"/>
        <v>1483</v>
      </c>
      <c r="U345" s="87"/>
      <c r="V345" s="261"/>
    </row>
    <row r="346" spans="1:24" x14ac:dyDescent="0.25">
      <c r="A346" s="137">
        <v>44237</v>
      </c>
      <c r="B346" s="156">
        <v>7739</v>
      </c>
      <c r="C346" s="156">
        <f t="shared" si="94"/>
        <v>2001034</v>
      </c>
      <c r="D346" s="156">
        <v>109</v>
      </c>
      <c r="E346" s="156">
        <f t="shared" si="90"/>
        <v>49645</v>
      </c>
      <c r="F346" s="156">
        <f t="shared" si="91"/>
        <v>5799</v>
      </c>
      <c r="G346" s="185">
        <v>1798120</v>
      </c>
      <c r="H346" s="156">
        <v>3561</v>
      </c>
      <c r="I346" s="156">
        <v>50352</v>
      </c>
      <c r="J346" s="4">
        <f t="shared" si="79"/>
        <v>6621882</v>
      </c>
      <c r="K346" s="7">
        <v>10852</v>
      </c>
      <c r="L346" s="7">
        <v>3639228</v>
      </c>
      <c r="M346" s="4">
        <f t="shared" si="88"/>
        <v>3650080</v>
      </c>
      <c r="N346" s="4"/>
      <c r="O346" s="4"/>
      <c r="P346" s="4"/>
      <c r="Q346" s="4"/>
      <c r="R346" s="4">
        <f t="shared" ref="R346:R352" si="95">C346-E346-G346</f>
        <v>153269</v>
      </c>
      <c r="S346" s="47">
        <f t="shared" si="83"/>
        <v>8</v>
      </c>
      <c r="T346" s="119">
        <f t="shared" ref="T346:T367" si="96">(C346-G346-E346)-(C345-E345-G345)</f>
        <v>1831</v>
      </c>
      <c r="U346" s="87"/>
      <c r="V346" s="261"/>
    </row>
    <row r="347" spans="1:24" x14ac:dyDescent="0.25">
      <c r="A347" s="137">
        <v>44238</v>
      </c>
      <c r="B347" s="178">
        <v>7311</v>
      </c>
      <c r="C347" s="156">
        <f t="shared" si="94"/>
        <v>2008345</v>
      </c>
      <c r="D347" s="178">
        <v>195</v>
      </c>
      <c r="E347" s="156">
        <f t="shared" si="90"/>
        <v>49840</v>
      </c>
      <c r="F347" s="156">
        <f t="shared" si="91"/>
        <v>8140</v>
      </c>
      <c r="G347" s="185">
        <v>1806260</v>
      </c>
      <c r="H347" s="156">
        <v>3541</v>
      </c>
      <c r="I347" s="156">
        <v>51007</v>
      </c>
      <c r="J347" s="4">
        <f t="shared" si="79"/>
        <v>6672889</v>
      </c>
      <c r="K347" s="7">
        <v>11150</v>
      </c>
      <c r="L347" s="7">
        <v>3684608</v>
      </c>
      <c r="M347" s="4">
        <f t="shared" si="88"/>
        <v>3695758</v>
      </c>
      <c r="N347" s="4"/>
      <c r="O347" s="4"/>
      <c r="P347" s="4"/>
      <c r="Q347" s="4"/>
      <c r="R347" s="4">
        <f t="shared" si="95"/>
        <v>152245</v>
      </c>
      <c r="S347" s="47">
        <f t="shared" si="83"/>
        <v>-20</v>
      </c>
      <c r="T347" s="119">
        <f t="shared" si="96"/>
        <v>-1024</v>
      </c>
      <c r="U347" s="87"/>
      <c r="V347" s="261"/>
    </row>
    <row r="348" spans="1:24" x14ac:dyDescent="0.25">
      <c r="A348" s="137">
        <v>44239</v>
      </c>
      <c r="B348" s="156">
        <v>7151</v>
      </c>
      <c r="C348" s="156">
        <f t="shared" si="94"/>
        <v>2015496</v>
      </c>
      <c r="D348" s="174">
        <v>155</v>
      </c>
      <c r="E348" s="156">
        <f t="shared" si="90"/>
        <v>49995</v>
      </c>
      <c r="F348" s="156">
        <f t="shared" si="91"/>
        <v>7900</v>
      </c>
      <c r="G348" s="185">
        <v>1814160</v>
      </c>
      <c r="H348" s="156">
        <v>3538</v>
      </c>
      <c r="I348" s="156">
        <v>49074</v>
      </c>
      <c r="J348" s="4">
        <f t="shared" si="79"/>
        <v>6721963</v>
      </c>
      <c r="K348" s="7">
        <v>11298</v>
      </c>
      <c r="L348" s="7">
        <v>3716607</v>
      </c>
      <c r="M348" s="4">
        <f t="shared" si="88"/>
        <v>3727905</v>
      </c>
      <c r="N348" s="4"/>
      <c r="O348" s="4"/>
      <c r="P348" s="4"/>
      <c r="Q348" s="4"/>
      <c r="R348" s="20">
        <f t="shared" si="95"/>
        <v>151341</v>
      </c>
      <c r="S348" s="47">
        <f t="shared" si="83"/>
        <v>-3</v>
      </c>
      <c r="T348" s="119">
        <f t="shared" si="96"/>
        <v>-904</v>
      </c>
      <c r="U348" s="87"/>
      <c r="V348" s="261"/>
    </row>
    <row r="349" spans="1:24" x14ac:dyDescent="0.25">
      <c r="A349" s="137">
        <v>44240</v>
      </c>
      <c r="B349" s="156">
        <v>6057</v>
      </c>
      <c r="C349" s="156">
        <f t="shared" si="94"/>
        <v>2021553</v>
      </c>
      <c r="D349" s="174">
        <v>158</v>
      </c>
      <c r="E349" s="156">
        <f t="shared" si="90"/>
        <v>50153</v>
      </c>
      <c r="F349" s="156">
        <f t="shared" si="91"/>
        <v>6805</v>
      </c>
      <c r="G349" s="185">
        <v>1820965</v>
      </c>
      <c r="H349" s="156">
        <v>3514</v>
      </c>
      <c r="I349" s="156">
        <v>54719</v>
      </c>
      <c r="J349" s="4">
        <f t="shared" si="79"/>
        <v>6776682</v>
      </c>
      <c r="K349" s="7"/>
      <c r="L349" s="7"/>
      <c r="M349" s="4"/>
      <c r="N349" s="4"/>
      <c r="O349" s="4"/>
      <c r="P349" s="4"/>
      <c r="Q349" s="4"/>
      <c r="R349" s="20">
        <f t="shared" si="95"/>
        <v>150435</v>
      </c>
      <c r="S349" s="47">
        <f t="shared" si="83"/>
        <v>-24</v>
      </c>
      <c r="T349" s="119">
        <f t="shared" si="96"/>
        <v>-906</v>
      </c>
      <c r="U349" s="87"/>
      <c r="V349" s="261"/>
    </row>
    <row r="350" spans="1:24" x14ac:dyDescent="0.25">
      <c r="A350" s="137">
        <v>44241</v>
      </c>
      <c r="B350" s="156">
        <v>4245</v>
      </c>
      <c r="C350" s="156">
        <f t="shared" si="94"/>
        <v>2025798</v>
      </c>
      <c r="D350" s="174">
        <v>48</v>
      </c>
      <c r="E350" s="156">
        <f t="shared" si="90"/>
        <v>50201</v>
      </c>
      <c r="F350" s="156">
        <f t="shared" si="91"/>
        <v>6153</v>
      </c>
      <c r="G350" s="185">
        <v>1827118</v>
      </c>
      <c r="H350" s="156">
        <v>3547</v>
      </c>
      <c r="I350" s="156">
        <v>41673</v>
      </c>
      <c r="J350" s="4">
        <f t="shared" si="79"/>
        <v>6818355</v>
      </c>
      <c r="K350" s="7">
        <v>11438</v>
      </c>
      <c r="L350" s="7">
        <v>3778940</v>
      </c>
      <c r="M350" s="4">
        <f t="shared" si="88"/>
        <v>3790378</v>
      </c>
      <c r="N350" s="4"/>
      <c r="O350" s="4"/>
      <c r="P350" s="4"/>
      <c r="Q350" s="4"/>
      <c r="R350" s="20">
        <f t="shared" si="95"/>
        <v>148479</v>
      </c>
      <c r="S350" s="47">
        <f t="shared" si="83"/>
        <v>33</v>
      </c>
      <c r="T350" s="119">
        <f t="shared" si="96"/>
        <v>-1956</v>
      </c>
      <c r="U350" s="87"/>
      <c r="V350" s="261"/>
    </row>
    <row r="351" spans="1:24" x14ac:dyDescent="0.25">
      <c r="A351" s="137">
        <v>44242</v>
      </c>
      <c r="B351" s="156">
        <v>3259</v>
      </c>
      <c r="C351" s="156">
        <f t="shared" si="94"/>
        <v>2029057</v>
      </c>
      <c r="D351" s="174">
        <v>91</v>
      </c>
      <c r="E351" s="156">
        <f t="shared" si="90"/>
        <v>50292</v>
      </c>
      <c r="F351" s="156">
        <f t="shared" si="91"/>
        <v>6324</v>
      </c>
      <c r="G351" s="185">
        <v>1833442</v>
      </c>
      <c r="H351" s="156">
        <v>3538</v>
      </c>
      <c r="I351" s="156">
        <v>30040</v>
      </c>
      <c r="J351" s="4">
        <f t="shared" si="79"/>
        <v>6848395</v>
      </c>
      <c r="K351" s="7">
        <v>11525</v>
      </c>
      <c r="L351" s="7">
        <v>3807948</v>
      </c>
      <c r="M351" s="4">
        <f t="shared" si="88"/>
        <v>3819473</v>
      </c>
      <c r="N351" s="4"/>
      <c r="O351" s="4"/>
      <c r="P351" s="4"/>
      <c r="Q351" s="4"/>
      <c r="R351" s="20">
        <f t="shared" si="95"/>
        <v>145323</v>
      </c>
      <c r="S351" s="47">
        <f t="shared" ref="S351:S367" si="97">H351-H350</f>
        <v>-9</v>
      </c>
      <c r="T351" s="119">
        <f t="shared" si="96"/>
        <v>-3156</v>
      </c>
      <c r="U351" s="87"/>
      <c r="V351" s="261"/>
    </row>
    <row r="352" spans="1:24" x14ac:dyDescent="0.25">
      <c r="A352" s="137">
        <v>44243</v>
      </c>
      <c r="B352" s="156">
        <v>4003</v>
      </c>
      <c r="C352" s="156">
        <f t="shared" si="94"/>
        <v>2033060</v>
      </c>
      <c r="D352" s="174">
        <v>105</v>
      </c>
      <c r="E352" s="156">
        <f t="shared" si="90"/>
        <v>50397</v>
      </c>
      <c r="F352" s="156">
        <f t="shared" si="91"/>
        <v>4849</v>
      </c>
      <c r="G352" s="185">
        <v>1838291</v>
      </c>
      <c r="H352" s="156">
        <v>3581</v>
      </c>
      <c r="I352" s="156">
        <v>36282</v>
      </c>
      <c r="J352" s="4">
        <f t="shared" si="79"/>
        <v>6884677</v>
      </c>
      <c r="K352" s="7">
        <v>11677</v>
      </c>
      <c r="L352" s="7">
        <v>3832083</v>
      </c>
      <c r="M352" s="4">
        <f t="shared" si="88"/>
        <v>3843760</v>
      </c>
      <c r="N352" s="4"/>
      <c r="O352" s="4"/>
      <c r="P352" s="4"/>
      <c r="Q352" s="4"/>
      <c r="R352" s="20">
        <f t="shared" si="95"/>
        <v>144372</v>
      </c>
      <c r="S352" s="47">
        <f t="shared" si="97"/>
        <v>43</v>
      </c>
      <c r="T352" s="119">
        <f t="shared" si="96"/>
        <v>-951</v>
      </c>
      <c r="U352" s="87"/>
      <c r="V352" s="261"/>
    </row>
    <row r="353" spans="1:22" x14ac:dyDescent="0.25">
      <c r="A353" s="137">
        <v>44244</v>
      </c>
      <c r="B353" s="156">
        <v>6064</v>
      </c>
      <c r="C353" s="156">
        <f t="shared" si="94"/>
        <v>2039124</v>
      </c>
      <c r="D353" s="156">
        <v>183</v>
      </c>
      <c r="E353" s="156">
        <f t="shared" si="90"/>
        <v>50580</v>
      </c>
      <c r="F353" s="156">
        <f t="shared" si="91"/>
        <v>4587</v>
      </c>
      <c r="G353" s="185">
        <v>1842878</v>
      </c>
      <c r="H353" s="156">
        <v>3573</v>
      </c>
      <c r="I353" s="156">
        <v>45882</v>
      </c>
      <c r="J353" s="4">
        <f t="shared" si="79"/>
        <v>6930559</v>
      </c>
      <c r="K353" s="7">
        <v>11782</v>
      </c>
      <c r="L353" s="7">
        <v>3860961</v>
      </c>
      <c r="M353" s="4">
        <f t="shared" si="88"/>
        <v>3872743</v>
      </c>
      <c r="N353" s="4"/>
      <c r="O353" s="4"/>
      <c r="P353" s="4"/>
      <c r="Q353" s="4"/>
      <c r="R353" s="20">
        <f t="shared" ref="R353:R367" si="98">C353-E353-G353</f>
        <v>145666</v>
      </c>
      <c r="S353" s="47">
        <f t="shared" si="97"/>
        <v>-8</v>
      </c>
      <c r="T353" s="119">
        <f t="shared" si="96"/>
        <v>1294</v>
      </c>
      <c r="U353" s="87"/>
      <c r="V353" s="261"/>
    </row>
    <row r="354" spans="1:22" x14ac:dyDescent="0.25">
      <c r="A354" s="137">
        <v>44245</v>
      </c>
      <c r="B354" s="156">
        <v>7671</v>
      </c>
      <c r="C354" s="156">
        <f t="shared" si="94"/>
        <v>2046795</v>
      </c>
      <c r="D354" s="156">
        <v>242</v>
      </c>
      <c r="E354" s="156">
        <f t="shared" si="90"/>
        <v>50822</v>
      </c>
      <c r="F354" s="156">
        <f t="shared" si="91"/>
        <v>6573</v>
      </c>
      <c r="G354" s="185">
        <v>1849451</v>
      </c>
      <c r="H354" s="156">
        <v>3595</v>
      </c>
      <c r="I354" s="156">
        <v>54375</v>
      </c>
      <c r="J354" s="4">
        <f t="shared" si="79"/>
        <v>6984934</v>
      </c>
      <c r="K354" s="7">
        <v>11889</v>
      </c>
      <c r="L354" s="7">
        <v>3886419</v>
      </c>
      <c r="M354" s="4">
        <f t="shared" si="88"/>
        <v>3898308</v>
      </c>
      <c r="N354" s="4"/>
      <c r="O354" s="4"/>
      <c r="P354" s="4"/>
      <c r="Q354" s="4"/>
      <c r="R354" s="4">
        <f t="shared" si="98"/>
        <v>146522</v>
      </c>
      <c r="S354" s="47">
        <f t="shared" si="97"/>
        <v>22</v>
      </c>
      <c r="T354" s="119">
        <f t="shared" si="96"/>
        <v>856</v>
      </c>
      <c r="U354" s="87"/>
      <c r="V354" s="261"/>
    </row>
    <row r="355" spans="1:22" x14ac:dyDescent="0.25">
      <c r="A355" s="137">
        <v>44246</v>
      </c>
      <c r="B355" s="156">
        <v>7886</v>
      </c>
      <c r="C355" s="156">
        <f t="shared" si="94"/>
        <v>2054681</v>
      </c>
      <c r="D355" s="156">
        <v>143</v>
      </c>
      <c r="E355" s="156">
        <f t="shared" si="90"/>
        <v>50965</v>
      </c>
      <c r="F355" s="156">
        <f t="shared" si="91"/>
        <v>6194</v>
      </c>
      <c r="G355" s="185">
        <v>1855645</v>
      </c>
      <c r="H355" s="156">
        <v>3608</v>
      </c>
      <c r="I355" s="156">
        <v>59570</v>
      </c>
      <c r="J355" s="4">
        <f t="shared" si="79"/>
        <v>7044504</v>
      </c>
      <c r="K355" s="7">
        <v>12025</v>
      </c>
      <c r="L355" s="7">
        <v>3936801</v>
      </c>
      <c r="M355" s="4">
        <f t="shared" si="88"/>
        <v>3948826</v>
      </c>
      <c r="N355" s="4"/>
      <c r="O355" s="4"/>
      <c r="P355" s="4"/>
      <c r="Q355" s="4"/>
      <c r="R355" s="4">
        <f t="shared" si="98"/>
        <v>148071</v>
      </c>
      <c r="S355" s="47">
        <f t="shared" si="97"/>
        <v>13</v>
      </c>
      <c r="T355" s="119">
        <f t="shared" si="96"/>
        <v>1549</v>
      </c>
      <c r="U355" s="87"/>
      <c r="V355" s="261"/>
    </row>
    <row r="356" spans="1:22" x14ac:dyDescent="0.25">
      <c r="A356" s="137">
        <v>44247</v>
      </c>
      <c r="B356" s="156">
        <v>5944</v>
      </c>
      <c r="C356" s="156">
        <f t="shared" si="94"/>
        <v>2060625</v>
      </c>
      <c r="D356" s="156">
        <v>122</v>
      </c>
      <c r="E356" s="156">
        <f t="shared" si="90"/>
        <v>51087</v>
      </c>
      <c r="F356" s="156">
        <f t="shared" si="91"/>
        <v>5788</v>
      </c>
      <c r="G356" s="185">
        <v>1861433</v>
      </c>
      <c r="H356" s="156">
        <v>3605</v>
      </c>
      <c r="I356" s="156">
        <v>51122</v>
      </c>
      <c r="J356" s="4">
        <f t="shared" si="79"/>
        <v>7095626</v>
      </c>
      <c r="K356" s="7">
        <v>12151</v>
      </c>
      <c r="L356" s="7">
        <v>3966620</v>
      </c>
      <c r="M356" s="4">
        <f t="shared" si="88"/>
        <v>3978771</v>
      </c>
      <c r="N356" s="4"/>
      <c r="O356" s="4"/>
      <c r="P356" s="4"/>
      <c r="Q356" s="4"/>
      <c r="R356" s="4">
        <f t="shared" si="98"/>
        <v>148105</v>
      </c>
      <c r="S356" s="47">
        <f t="shared" si="97"/>
        <v>-3</v>
      </c>
      <c r="T356" s="119">
        <f t="shared" si="96"/>
        <v>34</v>
      </c>
      <c r="U356" s="87"/>
      <c r="V356" s="261"/>
    </row>
    <row r="357" spans="1:22" x14ac:dyDescent="0.25">
      <c r="A357" s="137">
        <v>44248</v>
      </c>
      <c r="B357" s="156">
        <v>3709</v>
      </c>
      <c r="C357" s="156">
        <f t="shared" si="94"/>
        <v>2064334</v>
      </c>
      <c r="D357" s="156">
        <v>77</v>
      </c>
      <c r="E357" s="156">
        <f t="shared" si="90"/>
        <v>51164</v>
      </c>
      <c r="F357" s="156">
        <f t="shared" si="91"/>
        <v>5068</v>
      </c>
      <c r="G357" s="185">
        <v>1866501</v>
      </c>
      <c r="H357" s="156">
        <v>3605</v>
      </c>
      <c r="I357" s="156">
        <v>25350</v>
      </c>
      <c r="J357" s="4">
        <f t="shared" si="79"/>
        <v>7120976</v>
      </c>
      <c r="K357" s="7">
        <v>12205</v>
      </c>
      <c r="L357" s="7">
        <v>3982551</v>
      </c>
      <c r="M357" s="4">
        <f t="shared" si="88"/>
        <v>3994756</v>
      </c>
      <c r="N357" s="4"/>
      <c r="O357" s="4"/>
      <c r="P357" s="4"/>
      <c r="Q357" s="4"/>
      <c r="R357" s="4">
        <f t="shared" si="98"/>
        <v>146669</v>
      </c>
      <c r="S357" s="47">
        <f t="shared" si="97"/>
        <v>0</v>
      </c>
      <c r="T357" s="119">
        <f t="shared" si="96"/>
        <v>-1436</v>
      </c>
      <c r="U357" s="87"/>
      <c r="V357" s="261"/>
    </row>
    <row r="358" spans="1:22" x14ac:dyDescent="0.25">
      <c r="A358" s="137">
        <v>44249</v>
      </c>
      <c r="B358" s="156">
        <v>5417</v>
      </c>
      <c r="C358" s="156">
        <f t="shared" si="94"/>
        <v>2069751</v>
      </c>
      <c r="D358" s="156">
        <v>161</v>
      </c>
      <c r="E358" s="156">
        <f t="shared" si="90"/>
        <v>51325</v>
      </c>
      <c r="F358" s="156">
        <f t="shared" si="91"/>
        <v>5712</v>
      </c>
      <c r="G358" s="185">
        <v>1872213</v>
      </c>
      <c r="H358" s="156">
        <v>3550</v>
      </c>
      <c r="I358" s="156">
        <v>42145</v>
      </c>
      <c r="J358" s="4">
        <f t="shared" si="79"/>
        <v>7163121</v>
      </c>
      <c r="K358" s="7">
        <v>12284</v>
      </c>
      <c r="L358" s="7">
        <v>4011747</v>
      </c>
      <c r="M358" s="4">
        <f t="shared" si="88"/>
        <v>4024031</v>
      </c>
      <c r="N358" s="4"/>
      <c r="O358" s="4"/>
      <c r="P358" s="4"/>
      <c r="Q358" s="4"/>
      <c r="R358" s="4">
        <f t="shared" si="98"/>
        <v>146213</v>
      </c>
      <c r="S358" s="47">
        <f t="shared" si="97"/>
        <v>-55</v>
      </c>
      <c r="T358" s="119">
        <f t="shared" si="96"/>
        <v>-456</v>
      </c>
      <c r="U358" s="87"/>
      <c r="V358" s="261"/>
    </row>
    <row r="359" spans="1:22" x14ac:dyDescent="0.25">
      <c r="A359" s="137">
        <v>44250</v>
      </c>
      <c r="B359" s="156">
        <v>7477</v>
      </c>
      <c r="C359" s="156">
        <f t="shared" si="94"/>
        <v>2077228</v>
      </c>
      <c r="D359" s="156">
        <v>155</v>
      </c>
      <c r="E359" s="156">
        <f t="shared" si="90"/>
        <v>51480</v>
      </c>
      <c r="F359" s="156">
        <f t="shared" si="91"/>
        <v>5685</v>
      </c>
      <c r="G359" s="185">
        <v>1877898</v>
      </c>
      <c r="H359" s="156">
        <v>3529</v>
      </c>
      <c r="I359" s="156">
        <v>50888</v>
      </c>
      <c r="J359" s="4">
        <f t="shared" si="79"/>
        <v>7214009</v>
      </c>
      <c r="K359" s="23">
        <v>12458</v>
      </c>
      <c r="L359" s="23">
        <v>4042409</v>
      </c>
      <c r="M359" s="4">
        <f t="shared" si="88"/>
        <v>4054867</v>
      </c>
      <c r="R359" s="4">
        <f t="shared" si="98"/>
        <v>147850</v>
      </c>
      <c r="S359" s="47">
        <f t="shared" si="97"/>
        <v>-21</v>
      </c>
      <c r="T359" s="119">
        <f t="shared" si="96"/>
        <v>1637</v>
      </c>
      <c r="U359" s="87"/>
      <c r="V359" s="261"/>
    </row>
    <row r="360" spans="1:22" x14ac:dyDescent="0.25">
      <c r="A360" s="139">
        <v>44251</v>
      </c>
      <c r="B360" s="163">
        <v>8183</v>
      </c>
      <c r="C360" s="163">
        <f t="shared" si="94"/>
        <v>2085411</v>
      </c>
      <c r="D360" s="163">
        <v>140</v>
      </c>
      <c r="E360" s="163">
        <f t="shared" si="90"/>
        <v>51620</v>
      </c>
      <c r="F360" s="163">
        <f t="shared" si="91"/>
        <v>4670</v>
      </c>
      <c r="G360" s="186">
        <v>1882568</v>
      </c>
      <c r="H360" s="163">
        <v>3504</v>
      </c>
      <c r="I360" s="163">
        <v>46790</v>
      </c>
      <c r="J360" s="4">
        <f t="shared" si="79"/>
        <v>7260799</v>
      </c>
      <c r="K360" s="23">
        <v>12463</v>
      </c>
      <c r="L360" s="23">
        <v>4062615</v>
      </c>
      <c r="M360" s="28">
        <f t="shared" si="88"/>
        <v>4075078</v>
      </c>
      <c r="R360" s="28">
        <f t="shared" si="98"/>
        <v>151223</v>
      </c>
      <c r="S360" s="81">
        <f t="shared" si="97"/>
        <v>-25</v>
      </c>
      <c r="T360" s="151">
        <f t="shared" si="96"/>
        <v>3373</v>
      </c>
      <c r="U360" s="87"/>
      <c r="V360" s="261"/>
    </row>
    <row r="361" spans="1:22" x14ac:dyDescent="0.25">
      <c r="A361" s="137">
        <v>44252</v>
      </c>
      <c r="B361" s="156">
        <v>8234</v>
      </c>
      <c r="C361" s="156">
        <f t="shared" si="94"/>
        <v>2093645</v>
      </c>
      <c r="D361" s="156">
        <v>145</v>
      </c>
      <c r="E361" s="156">
        <f t="shared" si="90"/>
        <v>51765</v>
      </c>
      <c r="F361" s="156">
        <f t="shared" si="91"/>
        <v>5279</v>
      </c>
      <c r="G361" s="185">
        <v>1887847</v>
      </c>
      <c r="H361" s="156">
        <v>3467</v>
      </c>
      <c r="I361" s="156">
        <v>50336</v>
      </c>
      <c r="J361" s="4">
        <f t="shared" si="79"/>
        <v>7311135</v>
      </c>
      <c r="K361" s="7">
        <v>12512</v>
      </c>
      <c r="L361" s="7">
        <v>4093490</v>
      </c>
      <c r="M361" s="4">
        <f t="shared" si="88"/>
        <v>4106002</v>
      </c>
      <c r="N361" s="4"/>
      <c r="O361" s="4"/>
      <c r="P361" s="4"/>
      <c r="Q361" s="4"/>
      <c r="R361" s="4">
        <f t="shared" si="98"/>
        <v>154033</v>
      </c>
      <c r="S361" s="47">
        <f t="shared" si="97"/>
        <v>-37</v>
      </c>
      <c r="T361" s="119">
        <f t="shared" si="96"/>
        <v>2810</v>
      </c>
      <c r="U361" s="87"/>
      <c r="V361" s="261"/>
    </row>
    <row r="362" spans="1:22" x14ac:dyDescent="0.25">
      <c r="A362" s="137">
        <v>44253</v>
      </c>
      <c r="B362" s="156">
        <v>5083</v>
      </c>
      <c r="C362" s="156">
        <f t="shared" si="94"/>
        <v>2098728</v>
      </c>
      <c r="D362" s="156">
        <v>92</v>
      </c>
      <c r="E362" s="156">
        <f t="shared" si="90"/>
        <v>51857</v>
      </c>
      <c r="F362" s="156">
        <f t="shared" si="91"/>
        <v>4987</v>
      </c>
      <c r="G362" s="185">
        <v>1892834</v>
      </c>
      <c r="H362" s="156">
        <v>3475</v>
      </c>
      <c r="I362" s="156">
        <v>43445</v>
      </c>
      <c r="J362" s="4">
        <f t="shared" ref="J362:J372" si="99">J363-I363</f>
        <v>7354580</v>
      </c>
      <c r="K362" s="7">
        <v>12668</v>
      </c>
      <c r="L362" s="7">
        <v>4129185</v>
      </c>
      <c r="M362" s="4">
        <f t="shared" si="88"/>
        <v>4141853</v>
      </c>
      <c r="N362" s="4"/>
      <c r="O362" s="4"/>
      <c r="P362" s="4"/>
      <c r="Q362" s="4"/>
      <c r="R362" s="4">
        <f t="shared" si="98"/>
        <v>154037</v>
      </c>
      <c r="S362" s="47">
        <f t="shared" si="97"/>
        <v>8</v>
      </c>
      <c r="T362" s="119">
        <f t="shared" si="96"/>
        <v>4</v>
      </c>
      <c r="U362" s="87"/>
      <c r="V362" s="261"/>
    </row>
    <row r="363" spans="1:22" x14ac:dyDescent="0.25">
      <c r="A363" s="137">
        <v>44254</v>
      </c>
      <c r="B363" s="156">
        <v>5469</v>
      </c>
      <c r="C363" s="156">
        <f t="shared" si="94"/>
        <v>2104197</v>
      </c>
      <c r="D363" s="156">
        <v>59</v>
      </c>
      <c r="E363" s="156">
        <f t="shared" si="90"/>
        <v>51916</v>
      </c>
      <c r="F363" s="156">
        <f t="shared" si="91"/>
        <v>6253</v>
      </c>
      <c r="G363" s="185">
        <v>1899087</v>
      </c>
      <c r="H363" s="156">
        <v>3494</v>
      </c>
      <c r="I363" s="156">
        <v>40095</v>
      </c>
      <c r="J363" s="4">
        <f t="shared" si="99"/>
        <v>7394675</v>
      </c>
      <c r="K363" s="7">
        <v>12698</v>
      </c>
      <c r="L363" s="7">
        <v>4146549</v>
      </c>
      <c r="M363" s="4">
        <f t="shared" si="88"/>
        <v>4159247</v>
      </c>
      <c r="N363" s="4"/>
      <c r="O363" s="4"/>
      <c r="P363" s="4"/>
      <c r="Q363" s="4"/>
      <c r="R363" s="4">
        <f t="shared" si="98"/>
        <v>153194</v>
      </c>
      <c r="S363" s="47">
        <f t="shared" si="97"/>
        <v>19</v>
      </c>
      <c r="T363" s="119">
        <f t="shared" si="96"/>
        <v>-843</v>
      </c>
      <c r="U363" s="87"/>
      <c r="V363" s="261"/>
    </row>
    <row r="364" spans="1:22" x14ac:dyDescent="0.25">
      <c r="A364" s="137">
        <v>44255</v>
      </c>
      <c r="B364" s="156">
        <v>3168</v>
      </c>
      <c r="C364" s="156">
        <f t="shared" si="94"/>
        <v>2107365</v>
      </c>
      <c r="D364" s="156">
        <v>19</v>
      </c>
      <c r="E364" s="156">
        <f t="shared" ref="E364:E378" si="100">E363+D364</f>
        <v>51935</v>
      </c>
      <c r="F364" s="156">
        <f t="shared" ref="F364:F378" si="101">G364-G363</f>
        <v>5934</v>
      </c>
      <c r="G364" s="185">
        <v>1905021</v>
      </c>
      <c r="H364" s="156">
        <v>3505</v>
      </c>
      <c r="I364" s="156">
        <v>30915</v>
      </c>
      <c r="J364" s="4">
        <f t="shared" si="99"/>
        <v>7425590</v>
      </c>
      <c r="K364" s="7">
        <v>12841</v>
      </c>
      <c r="L364" s="7">
        <v>4175784</v>
      </c>
      <c r="M364" s="4">
        <f t="shared" si="88"/>
        <v>4188625</v>
      </c>
      <c r="N364" s="4"/>
      <c r="O364" s="4"/>
      <c r="P364" s="4"/>
      <c r="Q364" s="4"/>
      <c r="R364" s="4">
        <f t="shared" si="98"/>
        <v>150409</v>
      </c>
      <c r="S364" s="47">
        <f t="shared" si="97"/>
        <v>11</v>
      </c>
      <c r="T364" s="119">
        <f t="shared" si="96"/>
        <v>-2785</v>
      </c>
      <c r="U364" s="87"/>
      <c r="V364" s="261"/>
    </row>
    <row r="365" spans="1:22" x14ac:dyDescent="0.25">
      <c r="A365" s="137">
        <v>44256</v>
      </c>
      <c r="B365" s="156">
        <v>4658</v>
      </c>
      <c r="C365" s="156">
        <f t="shared" si="94"/>
        <v>2112023</v>
      </c>
      <c r="D365" s="156">
        <v>112</v>
      </c>
      <c r="E365" s="156">
        <f t="shared" si="100"/>
        <v>52047</v>
      </c>
      <c r="F365" s="156">
        <f t="shared" si="101"/>
        <v>6317</v>
      </c>
      <c r="G365" s="185">
        <v>1911338</v>
      </c>
      <c r="H365" s="156">
        <v>3505</v>
      </c>
      <c r="I365" s="156">
        <v>30136</v>
      </c>
      <c r="J365" s="4">
        <f t="shared" si="99"/>
        <v>7455726</v>
      </c>
      <c r="K365" s="7">
        <v>12890</v>
      </c>
      <c r="L365" s="7">
        <v>4195306</v>
      </c>
      <c r="M365" s="4">
        <f t="shared" si="88"/>
        <v>4208196</v>
      </c>
      <c r="N365" s="4"/>
      <c r="O365" s="4"/>
      <c r="P365" s="4"/>
      <c r="Q365" s="4"/>
      <c r="R365" s="4">
        <f t="shared" si="98"/>
        <v>148638</v>
      </c>
      <c r="S365" s="47">
        <f t="shared" si="97"/>
        <v>0</v>
      </c>
      <c r="T365" s="119">
        <f t="shared" si="96"/>
        <v>-1771</v>
      </c>
      <c r="U365" s="87"/>
      <c r="V365" s="261"/>
    </row>
    <row r="366" spans="1:22" x14ac:dyDescent="0.25">
      <c r="A366" s="137">
        <v>44257</v>
      </c>
      <c r="B366" s="156">
        <v>6653</v>
      </c>
      <c r="C366" s="156">
        <f t="shared" si="94"/>
        <v>2118676</v>
      </c>
      <c r="D366" s="156">
        <v>116</v>
      </c>
      <c r="E366" s="156">
        <f t="shared" si="100"/>
        <v>52163</v>
      </c>
      <c r="F366" s="156">
        <f t="shared" si="101"/>
        <v>5598</v>
      </c>
      <c r="G366" s="185">
        <v>1916936</v>
      </c>
      <c r="H366" s="156">
        <v>3527</v>
      </c>
      <c r="I366" s="156">
        <v>43912</v>
      </c>
      <c r="J366" s="4">
        <f t="shared" si="99"/>
        <v>7499638</v>
      </c>
      <c r="K366" s="7">
        <v>12962</v>
      </c>
      <c r="L366" s="7">
        <v>4221954</v>
      </c>
      <c r="M366" s="4">
        <f t="shared" si="88"/>
        <v>4234916</v>
      </c>
      <c r="N366" s="4"/>
      <c r="O366" s="4"/>
      <c r="P366" s="4"/>
      <c r="Q366" s="4"/>
      <c r="R366" s="4">
        <f t="shared" si="98"/>
        <v>149577</v>
      </c>
      <c r="S366" s="47">
        <f t="shared" si="97"/>
        <v>22</v>
      </c>
      <c r="T366" s="119">
        <f t="shared" si="96"/>
        <v>939</v>
      </c>
      <c r="U366" s="87"/>
      <c r="V366" s="261"/>
    </row>
    <row r="367" spans="1:22" x14ac:dyDescent="0.25">
      <c r="A367" s="137">
        <v>44258</v>
      </c>
      <c r="B367" s="156">
        <v>7855</v>
      </c>
      <c r="C367" s="156">
        <f t="shared" si="94"/>
        <v>2126531</v>
      </c>
      <c r="D367" s="156">
        <v>262</v>
      </c>
      <c r="E367" s="156">
        <f t="shared" si="100"/>
        <v>52425</v>
      </c>
      <c r="F367" s="156">
        <f t="shared" si="101"/>
        <v>4653</v>
      </c>
      <c r="G367" s="185">
        <v>1921589</v>
      </c>
      <c r="H367" s="156">
        <v>3521</v>
      </c>
      <c r="I367" s="156">
        <v>54559</v>
      </c>
      <c r="J367" s="4">
        <f t="shared" si="99"/>
        <v>7554197</v>
      </c>
      <c r="K367" s="7">
        <v>13013</v>
      </c>
      <c r="L367" s="7">
        <v>4258155</v>
      </c>
      <c r="M367" s="4">
        <f t="shared" si="88"/>
        <v>4271168</v>
      </c>
      <c r="N367" s="4"/>
      <c r="O367" s="4"/>
      <c r="P367" s="4"/>
      <c r="Q367" s="4"/>
      <c r="R367" s="4">
        <f t="shared" si="98"/>
        <v>152517</v>
      </c>
      <c r="S367" s="47">
        <f t="shared" si="97"/>
        <v>-6</v>
      </c>
      <c r="T367" s="119">
        <f t="shared" si="96"/>
        <v>2940</v>
      </c>
      <c r="U367" s="87"/>
      <c r="V367" s="261"/>
    </row>
    <row r="368" spans="1:22" x14ac:dyDescent="0.25">
      <c r="A368" s="137">
        <v>44259</v>
      </c>
      <c r="B368" s="156">
        <v>7432</v>
      </c>
      <c r="C368" s="156">
        <f t="shared" si="94"/>
        <v>2133963</v>
      </c>
      <c r="D368" s="156">
        <v>191</v>
      </c>
      <c r="E368" s="156">
        <f t="shared" si="100"/>
        <v>52616</v>
      </c>
      <c r="F368" s="156">
        <f t="shared" si="101"/>
        <v>6788</v>
      </c>
      <c r="G368" s="185">
        <v>1928377</v>
      </c>
      <c r="H368" s="156">
        <v>3489</v>
      </c>
      <c r="I368" s="156">
        <v>52553</v>
      </c>
      <c r="J368" s="4">
        <f t="shared" si="99"/>
        <v>7606750</v>
      </c>
      <c r="K368" s="7">
        <v>13099</v>
      </c>
      <c r="L368" s="7">
        <v>4288679</v>
      </c>
      <c r="M368" s="4">
        <f t="shared" si="88"/>
        <v>4301778</v>
      </c>
      <c r="N368" s="4"/>
      <c r="O368" s="4"/>
      <c r="P368" s="4"/>
      <c r="Q368" s="4"/>
      <c r="R368" s="4">
        <f t="shared" ref="R368:R383" si="102">C368-E368-G368</f>
        <v>152970</v>
      </c>
      <c r="S368" s="47">
        <f t="shared" ref="S368:S382" si="103">H368-H367</f>
        <v>-32</v>
      </c>
      <c r="T368" s="119">
        <f t="shared" ref="T368:T382" si="104">(C368-G368-E368)-(C367-E367-G367)</f>
        <v>453</v>
      </c>
      <c r="U368" s="87"/>
      <c r="V368" s="261"/>
    </row>
    <row r="369" spans="1:22" x14ac:dyDescent="0.25">
      <c r="A369" s="137">
        <v>44260</v>
      </c>
      <c r="B369" s="156">
        <v>7891</v>
      </c>
      <c r="C369" s="156">
        <f t="shared" si="94"/>
        <v>2141854</v>
      </c>
      <c r="D369" s="156">
        <v>140</v>
      </c>
      <c r="E369" s="156">
        <f t="shared" si="100"/>
        <v>52756</v>
      </c>
      <c r="F369" s="156">
        <f t="shared" si="101"/>
        <v>6468</v>
      </c>
      <c r="G369" s="185">
        <v>1934845</v>
      </c>
      <c r="H369" s="156">
        <v>3485</v>
      </c>
      <c r="I369" s="156">
        <v>42063</v>
      </c>
      <c r="J369" s="4">
        <f t="shared" si="99"/>
        <v>7648813</v>
      </c>
      <c r="K369" s="7">
        <v>13197</v>
      </c>
      <c r="L369" s="7">
        <v>4316933</v>
      </c>
      <c r="M369" s="4">
        <f t="shared" si="88"/>
        <v>4330130</v>
      </c>
      <c r="N369" s="4"/>
      <c r="O369" s="4"/>
      <c r="P369" s="4"/>
      <c r="Q369" s="4"/>
      <c r="R369" s="4">
        <f t="shared" si="102"/>
        <v>154253</v>
      </c>
      <c r="S369" s="47">
        <f t="shared" si="103"/>
        <v>-4</v>
      </c>
      <c r="T369" s="119">
        <f t="shared" si="104"/>
        <v>1283</v>
      </c>
      <c r="U369" s="87"/>
      <c r="V369" s="261"/>
    </row>
    <row r="370" spans="1:22" x14ac:dyDescent="0.25">
      <c r="A370" s="137">
        <v>44261</v>
      </c>
      <c r="B370" s="156">
        <v>4860</v>
      </c>
      <c r="C370" s="156">
        <f t="shared" si="94"/>
        <v>2146714</v>
      </c>
      <c r="D370" s="156">
        <v>86</v>
      </c>
      <c r="E370" s="156">
        <f t="shared" si="100"/>
        <v>52842</v>
      </c>
      <c r="F370" s="156">
        <f t="shared" si="101"/>
        <v>5472</v>
      </c>
      <c r="G370" s="185">
        <v>1940317</v>
      </c>
      <c r="H370" s="156">
        <v>3475</v>
      </c>
      <c r="I370" s="156">
        <v>37730</v>
      </c>
      <c r="J370" s="4">
        <f t="shared" si="99"/>
        <v>7686543</v>
      </c>
      <c r="K370" s="7"/>
      <c r="L370" s="7"/>
      <c r="M370" s="4"/>
      <c r="N370" s="4"/>
      <c r="O370" s="4"/>
      <c r="P370" s="4"/>
      <c r="Q370" s="4"/>
      <c r="R370" s="4">
        <f t="shared" si="102"/>
        <v>153555</v>
      </c>
      <c r="S370" s="47">
        <f t="shared" si="103"/>
        <v>-10</v>
      </c>
      <c r="T370" s="119">
        <f t="shared" si="104"/>
        <v>-698</v>
      </c>
      <c r="U370" s="87"/>
      <c r="V370" s="261"/>
    </row>
    <row r="371" spans="1:22" x14ac:dyDescent="0.25">
      <c r="A371" s="137">
        <v>44262</v>
      </c>
      <c r="B371" s="156">
        <v>2922</v>
      </c>
      <c r="C371" s="156">
        <f t="shared" si="94"/>
        <v>2149636</v>
      </c>
      <c r="D371" s="156">
        <v>10</v>
      </c>
      <c r="E371" s="156">
        <f t="shared" si="100"/>
        <v>52852</v>
      </c>
      <c r="F371" s="156">
        <f t="shared" si="101"/>
        <v>5499</v>
      </c>
      <c r="G371" s="185">
        <v>1945816</v>
      </c>
      <c r="H371" s="156">
        <v>3467</v>
      </c>
      <c r="I371" s="156">
        <v>22839</v>
      </c>
      <c r="J371" s="4">
        <f t="shared" si="99"/>
        <v>7709382</v>
      </c>
      <c r="K371" s="7">
        <v>13283</v>
      </c>
      <c r="L371" s="7">
        <v>4351403</v>
      </c>
      <c r="M371" s="4">
        <f t="shared" si="88"/>
        <v>4364686</v>
      </c>
      <c r="N371" s="4"/>
      <c r="O371" s="4"/>
      <c r="P371" s="4"/>
      <c r="Q371" s="4"/>
      <c r="R371" s="4">
        <f t="shared" si="102"/>
        <v>150968</v>
      </c>
      <c r="S371" s="47">
        <f t="shared" si="103"/>
        <v>-8</v>
      </c>
      <c r="T371" s="119">
        <f t="shared" si="104"/>
        <v>-2587</v>
      </c>
      <c r="U371" s="87"/>
      <c r="V371" s="261"/>
    </row>
    <row r="372" spans="1:22" x14ac:dyDescent="0.25">
      <c r="A372" s="137">
        <v>44263</v>
      </c>
      <c r="B372" s="156">
        <v>5058</v>
      </c>
      <c r="C372" s="156">
        <f t="shared" si="94"/>
        <v>2154694</v>
      </c>
      <c r="D372" s="263">
        <v>239</v>
      </c>
      <c r="E372" s="156">
        <f t="shared" si="100"/>
        <v>53091</v>
      </c>
      <c r="F372" s="156">
        <f t="shared" si="101"/>
        <v>5724</v>
      </c>
      <c r="G372" s="185">
        <v>1951540</v>
      </c>
      <c r="H372" s="156">
        <v>3484</v>
      </c>
      <c r="I372" s="156">
        <v>28407</v>
      </c>
      <c r="J372" s="4">
        <f t="shared" si="99"/>
        <v>7737789</v>
      </c>
      <c r="K372" s="7">
        <v>13343</v>
      </c>
      <c r="L372" s="7">
        <v>4368459</v>
      </c>
      <c r="M372" s="4">
        <f t="shared" si="88"/>
        <v>4381802</v>
      </c>
      <c r="N372" s="4"/>
      <c r="O372" s="4"/>
      <c r="P372" s="4"/>
      <c r="Q372" s="4"/>
      <c r="R372" s="4">
        <f t="shared" si="102"/>
        <v>150063</v>
      </c>
      <c r="S372" s="47">
        <f t="shared" si="103"/>
        <v>17</v>
      </c>
      <c r="T372" s="119">
        <f t="shared" si="104"/>
        <v>-905</v>
      </c>
      <c r="U372" s="87"/>
      <c r="V372" s="261"/>
    </row>
    <row r="373" spans="1:22" x14ac:dyDescent="0.25">
      <c r="A373" s="137">
        <v>44264</v>
      </c>
      <c r="B373" s="156">
        <v>7307</v>
      </c>
      <c r="C373" s="156">
        <f t="shared" si="94"/>
        <v>2162001</v>
      </c>
      <c r="D373" s="156">
        <v>131</v>
      </c>
      <c r="E373" s="156">
        <f t="shared" si="100"/>
        <v>53222</v>
      </c>
      <c r="F373" s="156">
        <f t="shared" si="101"/>
        <v>5051</v>
      </c>
      <c r="G373" s="185">
        <v>1956591</v>
      </c>
      <c r="H373" s="156">
        <v>3525</v>
      </c>
      <c r="I373" s="156">
        <v>42565</v>
      </c>
      <c r="J373" s="4">
        <f t="shared" ref="J373:J387" si="105">J374-I374</f>
        <v>7780354</v>
      </c>
      <c r="K373" s="7">
        <v>13426</v>
      </c>
      <c r="L373" s="7">
        <v>4392812</v>
      </c>
      <c r="M373" s="4">
        <f t="shared" si="88"/>
        <v>4406238</v>
      </c>
      <c r="N373" s="4"/>
      <c r="O373" s="4"/>
      <c r="P373" s="4"/>
      <c r="Q373" s="4"/>
      <c r="R373" s="4">
        <f t="shared" si="102"/>
        <v>152188</v>
      </c>
      <c r="S373" s="47">
        <f t="shared" si="103"/>
        <v>41</v>
      </c>
      <c r="T373" s="119">
        <f t="shared" si="104"/>
        <v>2125</v>
      </c>
      <c r="U373" s="87"/>
      <c r="V373" s="261"/>
    </row>
    <row r="374" spans="1:22" x14ac:dyDescent="0.25">
      <c r="A374" s="137">
        <v>44265</v>
      </c>
      <c r="B374" s="156">
        <v>7693</v>
      </c>
      <c r="C374" s="156">
        <f t="shared" si="94"/>
        <v>2169694</v>
      </c>
      <c r="D374" s="156">
        <v>107</v>
      </c>
      <c r="E374" s="156">
        <f t="shared" si="100"/>
        <v>53329</v>
      </c>
      <c r="F374" s="156">
        <f t="shared" si="101"/>
        <v>5049</v>
      </c>
      <c r="G374" s="185">
        <v>1961640</v>
      </c>
      <c r="H374" s="156">
        <v>3491</v>
      </c>
      <c r="I374" s="156">
        <v>45460</v>
      </c>
      <c r="J374" s="4">
        <f t="shared" si="105"/>
        <v>7825814</v>
      </c>
      <c r="K374" s="7">
        <v>13539</v>
      </c>
      <c r="L374" s="7">
        <v>4419508</v>
      </c>
      <c r="M374" s="4">
        <f t="shared" si="88"/>
        <v>4433047</v>
      </c>
      <c r="N374" s="4"/>
      <c r="O374" s="4"/>
      <c r="P374" s="4"/>
      <c r="Q374" s="4"/>
      <c r="R374" s="4">
        <f t="shared" si="102"/>
        <v>154725</v>
      </c>
      <c r="S374" s="47">
        <f t="shared" si="103"/>
        <v>-34</v>
      </c>
      <c r="T374" s="119">
        <f t="shared" si="104"/>
        <v>2537</v>
      </c>
      <c r="U374" s="87"/>
      <c r="V374" s="261"/>
    </row>
    <row r="375" spans="1:22" x14ac:dyDescent="0.25">
      <c r="A375" s="137">
        <v>44266</v>
      </c>
      <c r="B375" s="156">
        <v>8204</v>
      </c>
      <c r="C375" s="156">
        <f t="shared" ref="C375:C392" si="106">C374+B375</f>
        <v>2177898</v>
      </c>
      <c r="D375" s="156">
        <v>134</v>
      </c>
      <c r="E375" s="156">
        <f t="shared" si="100"/>
        <v>53463</v>
      </c>
      <c r="F375" s="156">
        <f t="shared" si="101"/>
        <v>6822</v>
      </c>
      <c r="G375" s="185">
        <v>1968462</v>
      </c>
      <c r="H375" s="156">
        <v>3438</v>
      </c>
      <c r="I375" s="156">
        <v>50248</v>
      </c>
      <c r="J375" s="4">
        <f t="shared" si="105"/>
        <v>7876062</v>
      </c>
      <c r="K375" s="7">
        <v>13624</v>
      </c>
      <c r="L375" s="7">
        <v>4452083</v>
      </c>
      <c r="M375" s="4">
        <f t="shared" si="88"/>
        <v>4465707</v>
      </c>
      <c r="N375" s="4"/>
      <c r="O375" s="4"/>
      <c r="P375" s="4"/>
      <c r="Q375" s="4"/>
      <c r="R375" s="4">
        <f t="shared" si="102"/>
        <v>155973</v>
      </c>
      <c r="S375" s="47">
        <f t="shared" si="103"/>
        <v>-53</v>
      </c>
      <c r="T375" s="119">
        <f t="shared" si="104"/>
        <v>1248</v>
      </c>
      <c r="U375" s="87"/>
      <c r="V375" s="261"/>
    </row>
    <row r="376" spans="1:22" x14ac:dyDescent="0.25">
      <c r="A376" s="137">
        <v>44267</v>
      </c>
      <c r="B376" s="156">
        <v>7849</v>
      </c>
      <c r="C376" s="156">
        <f t="shared" si="106"/>
        <v>2185747</v>
      </c>
      <c r="D376" s="156">
        <v>86</v>
      </c>
      <c r="E376" s="156">
        <f t="shared" si="100"/>
        <v>53549</v>
      </c>
      <c r="F376" s="156">
        <f t="shared" si="101"/>
        <v>6404</v>
      </c>
      <c r="G376" s="185">
        <v>1974866</v>
      </c>
      <c r="H376" s="156">
        <v>3417</v>
      </c>
      <c r="I376" s="156">
        <v>53578</v>
      </c>
      <c r="J376" s="4">
        <f t="shared" si="105"/>
        <v>7929640</v>
      </c>
      <c r="K376" s="7">
        <v>13823</v>
      </c>
      <c r="L376" s="7">
        <v>4476389</v>
      </c>
      <c r="M376" s="4">
        <f t="shared" si="88"/>
        <v>4490212</v>
      </c>
      <c r="N376" s="4"/>
      <c r="O376" s="4"/>
      <c r="P376" s="4"/>
      <c r="Q376" s="4"/>
      <c r="R376" s="4">
        <f t="shared" si="102"/>
        <v>157332</v>
      </c>
      <c r="S376" s="47">
        <f t="shared" si="103"/>
        <v>-21</v>
      </c>
      <c r="T376" s="119">
        <f t="shared" si="104"/>
        <v>1359</v>
      </c>
      <c r="U376" s="87"/>
      <c r="V376" s="261"/>
    </row>
    <row r="377" spans="1:22" x14ac:dyDescent="0.25">
      <c r="A377" s="137">
        <v>44268</v>
      </c>
      <c r="B377" s="156">
        <v>6278</v>
      </c>
      <c r="C377" s="156">
        <f t="shared" si="106"/>
        <v>2192025</v>
      </c>
      <c r="D377" s="156">
        <v>68</v>
      </c>
      <c r="E377" s="156">
        <f t="shared" si="100"/>
        <v>53617</v>
      </c>
      <c r="F377" s="156">
        <f t="shared" si="101"/>
        <v>6291</v>
      </c>
      <c r="G377" s="185">
        <v>1981157</v>
      </c>
      <c r="H377" s="156">
        <v>3454</v>
      </c>
      <c r="I377" s="156">
        <v>42812</v>
      </c>
      <c r="J377" s="4">
        <f t="shared" si="105"/>
        <v>7972452</v>
      </c>
      <c r="K377" s="7">
        <v>13891</v>
      </c>
      <c r="L377" s="7">
        <v>4502329</v>
      </c>
      <c r="M377" s="4">
        <f t="shared" si="88"/>
        <v>4516220</v>
      </c>
      <c r="N377" s="4"/>
      <c r="O377" s="4"/>
      <c r="P377" s="4"/>
      <c r="Q377" s="4"/>
      <c r="R377" s="4">
        <f t="shared" si="102"/>
        <v>157251</v>
      </c>
      <c r="S377" s="47">
        <f t="shared" si="103"/>
        <v>37</v>
      </c>
      <c r="T377" s="119">
        <f t="shared" si="104"/>
        <v>-81</v>
      </c>
      <c r="U377" s="87"/>
      <c r="V377" s="261"/>
    </row>
    <row r="378" spans="1:22" x14ac:dyDescent="0.25">
      <c r="A378" s="137">
        <v>44269</v>
      </c>
      <c r="B378" s="156">
        <v>3697</v>
      </c>
      <c r="C378" s="156">
        <f t="shared" si="106"/>
        <v>2195722</v>
      </c>
      <c r="D378" s="156">
        <v>24</v>
      </c>
      <c r="E378" s="156">
        <f t="shared" si="100"/>
        <v>53641</v>
      </c>
      <c r="F378" s="156">
        <f t="shared" si="101"/>
        <v>5746</v>
      </c>
      <c r="G378" s="185">
        <v>1986903</v>
      </c>
      <c r="H378" s="156">
        <v>3479</v>
      </c>
      <c r="I378" s="4">
        <v>26221</v>
      </c>
      <c r="J378" s="4">
        <f t="shared" si="105"/>
        <v>7998673</v>
      </c>
      <c r="K378" s="7">
        <v>13964</v>
      </c>
      <c r="L378" s="7">
        <v>4518854</v>
      </c>
      <c r="M378" s="4">
        <f t="shared" si="88"/>
        <v>4532818</v>
      </c>
      <c r="N378" s="4"/>
      <c r="O378" s="4"/>
      <c r="P378" s="4"/>
      <c r="Q378" s="4"/>
      <c r="R378" s="4">
        <f t="shared" si="102"/>
        <v>155178</v>
      </c>
      <c r="S378" s="47">
        <f t="shared" si="103"/>
        <v>25</v>
      </c>
      <c r="T378" s="119">
        <f t="shared" si="104"/>
        <v>-2073</v>
      </c>
      <c r="U378" s="87"/>
      <c r="V378" s="261"/>
    </row>
    <row r="379" spans="1:22" x14ac:dyDescent="0.25">
      <c r="A379" s="137">
        <v>44270</v>
      </c>
      <c r="B379" s="156">
        <v>6164</v>
      </c>
      <c r="C379" s="156">
        <f t="shared" si="106"/>
        <v>2201886</v>
      </c>
      <c r="D379" s="156">
        <v>166</v>
      </c>
      <c r="E379" s="156">
        <f t="shared" ref="E379:E398" si="107">E378+D379</f>
        <v>53807</v>
      </c>
      <c r="F379" s="156">
        <f t="shared" ref="F379:F384" si="108">G379-G378</f>
        <v>6312</v>
      </c>
      <c r="G379" s="185">
        <v>1993215</v>
      </c>
      <c r="H379" s="156">
        <v>3469</v>
      </c>
      <c r="I379" s="4">
        <v>34040</v>
      </c>
      <c r="J379" s="4">
        <f t="shared" si="105"/>
        <v>8032713</v>
      </c>
      <c r="K379" s="7">
        <v>14058</v>
      </c>
      <c r="L379" s="7">
        <v>4540295</v>
      </c>
      <c r="M379" s="4">
        <f t="shared" si="88"/>
        <v>4554353</v>
      </c>
      <c r="N379" s="4"/>
      <c r="O379" s="4"/>
      <c r="P379" s="4"/>
      <c r="Q379" s="4"/>
      <c r="R379" s="4">
        <f t="shared" si="102"/>
        <v>154864</v>
      </c>
      <c r="S379" s="47">
        <f t="shared" si="103"/>
        <v>-10</v>
      </c>
      <c r="T379" s="119">
        <f t="shared" si="104"/>
        <v>-314</v>
      </c>
      <c r="U379" s="262"/>
      <c r="V379" s="261"/>
    </row>
    <row r="380" spans="1:22" x14ac:dyDescent="0.25">
      <c r="A380" s="137">
        <v>44271</v>
      </c>
      <c r="B380" s="156">
        <v>8235</v>
      </c>
      <c r="C380" s="156">
        <f t="shared" si="106"/>
        <v>2210121</v>
      </c>
      <c r="D380" s="156">
        <v>202</v>
      </c>
      <c r="E380" s="156">
        <f t="shared" si="107"/>
        <v>54009</v>
      </c>
      <c r="F380" s="156">
        <f t="shared" si="108"/>
        <v>5379</v>
      </c>
      <c r="G380" s="185">
        <v>1998594</v>
      </c>
      <c r="H380" s="156">
        <v>3469</v>
      </c>
      <c r="I380" s="4">
        <v>49875</v>
      </c>
      <c r="J380" s="4">
        <f t="shared" si="105"/>
        <v>8082588</v>
      </c>
      <c r="K380" s="7">
        <v>14170</v>
      </c>
      <c r="L380" s="7">
        <v>4569928</v>
      </c>
      <c r="M380" s="4">
        <f t="shared" si="88"/>
        <v>4584098</v>
      </c>
      <c r="N380" s="4"/>
      <c r="O380" s="4"/>
      <c r="P380" s="4"/>
      <c r="Q380" s="4"/>
      <c r="R380" s="4">
        <f t="shared" si="102"/>
        <v>157518</v>
      </c>
      <c r="S380" s="47">
        <f t="shared" si="103"/>
        <v>0</v>
      </c>
      <c r="T380" s="119">
        <f t="shared" si="104"/>
        <v>2654</v>
      </c>
    </row>
    <row r="381" spans="1:22" x14ac:dyDescent="0.25">
      <c r="A381" s="137">
        <v>44272</v>
      </c>
      <c r="B381" s="156">
        <v>8304</v>
      </c>
      <c r="C381" s="156">
        <f t="shared" si="106"/>
        <v>2218425</v>
      </c>
      <c r="D381" s="156">
        <v>195</v>
      </c>
      <c r="E381" s="156">
        <f t="shared" si="107"/>
        <v>54204</v>
      </c>
      <c r="F381" s="156">
        <f t="shared" si="108"/>
        <v>4527</v>
      </c>
      <c r="G381" s="185">
        <v>2003121</v>
      </c>
      <c r="H381" s="156">
        <v>3485</v>
      </c>
      <c r="I381" s="4">
        <v>55017</v>
      </c>
      <c r="J381" s="4">
        <f t="shared" si="105"/>
        <v>8137605</v>
      </c>
      <c r="K381" s="7">
        <v>14274</v>
      </c>
      <c r="L381" s="7">
        <v>4602424</v>
      </c>
      <c r="M381" s="4">
        <f t="shared" si="88"/>
        <v>4616698</v>
      </c>
      <c r="N381" s="4"/>
      <c r="O381" s="4"/>
      <c r="P381" s="4"/>
      <c r="Q381" s="4"/>
      <c r="R381" s="4">
        <f t="shared" si="102"/>
        <v>161100</v>
      </c>
      <c r="S381" s="47">
        <f t="shared" si="103"/>
        <v>16</v>
      </c>
      <c r="T381" s="119">
        <f t="shared" si="104"/>
        <v>3582</v>
      </c>
    </row>
    <row r="382" spans="1:22" x14ac:dyDescent="0.25">
      <c r="A382" s="137">
        <v>44273</v>
      </c>
      <c r="B382" s="156">
        <v>8328</v>
      </c>
      <c r="C382" s="156">
        <f t="shared" si="106"/>
        <v>2226753</v>
      </c>
      <c r="D382" s="322">
        <v>153</v>
      </c>
      <c r="E382" s="156">
        <f t="shared" si="107"/>
        <v>54357</v>
      </c>
      <c r="F382" s="156">
        <f t="shared" si="108"/>
        <v>6756</v>
      </c>
      <c r="G382" s="185">
        <v>2009877</v>
      </c>
      <c r="H382" s="156">
        <v>3522</v>
      </c>
      <c r="I382" s="4">
        <v>52192</v>
      </c>
      <c r="J382" s="4">
        <f t="shared" si="105"/>
        <v>8189797</v>
      </c>
      <c r="K382" s="7">
        <v>14378</v>
      </c>
      <c r="L382" s="7">
        <v>4634650</v>
      </c>
      <c r="M382" s="4">
        <f t="shared" si="88"/>
        <v>4649028</v>
      </c>
      <c r="N382" s="4"/>
      <c r="O382" s="4"/>
      <c r="P382" s="4"/>
      <c r="Q382" s="4"/>
      <c r="R382" s="4">
        <f t="shared" si="102"/>
        <v>162519</v>
      </c>
      <c r="S382" s="47">
        <f t="shared" si="103"/>
        <v>37</v>
      </c>
      <c r="T382" s="119">
        <f t="shared" si="104"/>
        <v>1419</v>
      </c>
      <c r="V382" s="197"/>
    </row>
    <row r="383" spans="1:22" x14ac:dyDescent="0.25">
      <c r="A383" s="137">
        <v>44274</v>
      </c>
      <c r="B383" s="156">
        <v>8160</v>
      </c>
      <c r="C383" s="156">
        <f t="shared" si="106"/>
        <v>2234913</v>
      </c>
      <c r="D383" s="156">
        <v>113</v>
      </c>
      <c r="E383" s="156">
        <f t="shared" si="107"/>
        <v>54470</v>
      </c>
      <c r="F383" s="156">
        <f t="shared" si="108"/>
        <v>6852</v>
      </c>
      <c r="G383" s="185">
        <v>2016729</v>
      </c>
      <c r="H383" s="156">
        <v>3534</v>
      </c>
      <c r="I383" s="4">
        <v>61579</v>
      </c>
      <c r="J383" s="4">
        <f t="shared" si="105"/>
        <v>8251376</v>
      </c>
      <c r="K383" s="7">
        <v>14496</v>
      </c>
      <c r="L383" s="7">
        <v>4671212</v>
      </c>
      <c r="M383" s="4">
        <f t="shared" si="88"/>
        <v>4685708</v>
      </c>
      <c r="N383" s="4"/>
      <c r="O383" s="4"/>
      <c r="P383" s="4"/>
      <c r="Q383" s="4"/>
      <c r="R383" s="4">
        <f t="shared" si="102"/>
        <v>163714</v>
      </c>
      <c r="S383" s="47">
        <f t="shared" ref="S383:S398" si="109">H383-H382</f>
        <v>12</v>
      </c>
      <c r="T383" s="119">
        <f t="shared" ref="T383:T397" si="110">(C383-G383-E383)-(C382-E382-G382)</f>
        <v>1195</v>
      </c>
    </row>
    <row r="384" spans="1:22" x14ac:dyDescent="0.25">
      <c r="A384" s="137">
        <v>44275</v>
      </c>
      <c r="B384" s="156">
        <v>6826</v>
      </c>
      <c r="C384" s="156">
        <f t="shared" si="106"/>
        <v>2241739</v>
      </c>
      <c r="D384" s="156">
        <v>42</v>
      </c>
      <c r="E384" s="156">
        <f t="shared" si="107"/>
        <v>54512</v>
      </c>
      <c r="F384" s="156">
        <f t="shared" si="108"/>
        <v>6935</v>
      </c>
      <c r="G384" s="185">
        <v>2023664</v>
      </c>
      <c r="H384" s="156">
        <v>3534</v>
      </c>
      <c r="I384" s="4">
        <v>57789</v>
      </c>
      <c r="J384" s="4">
        <f t="shared" si="105"/>
        <v>8309165</v>
      </c>
      <c r="K384" s="7">
        <v>14641</v>
      </c>
      <c r="L384" s="7">
        <v>4709648</v>
      </c>
      <c r="M384" s="4">
        <f t="shared" si="88"/>
        <v>4724289</v>
      </c>
      <c r="N384" s="4"/>
      <c r="O384" s="4"/>
      <c r="P384" s="4"/>
      <c r="Q384" s="4"/>
      <c r="R384" s="4">
        <f t="shared" ref="R384:R397" si="111">C384-E384-G384</f>
        <v>163563</v>
      </c>
      <c r="S384" s="47">
        <f t="shared" si="109"/>
        <v>0</v>
      </c>
      <c r="T384" s="119">
        <f t="shared" si="110"/>
        <v>-151</v>
      </c>
    </row>
    <row r="385" spans="1:20" x14ac:dyDescent="0.25">
      <c r="A385" s="137">
        <v>44276</v>
      </c>
      <c r="B385" s="156">
        <v>4032</v>
      </c>
      <c r="C385" s="156">
        <f t="shared" si="106"/>
        <v>2245771</v>
      </c>
      <c r="D385" s="156">
        <v>28</v>
      </c>
      <c r="E385" s="156">
        <f t="shared" si="107"/>
        <v>54540</v>
      </c>
      <c r="F385" s="156">
        <f t="shared" ref="F385:F398" si="112">G385-G384</f>
        <v>6489</v>
      </c>
      <c r="G385" s="185">
        <v>2030153</v>
      </c>
      <c r="H385" s="156">
        <v>3534</v>
      </c>
      <c r="I385" s="4">
        <v>31233</v>
      </c>
      <c r="J385" s="4">
        <f t="shared" si="105"/>
        <v>8340398</v>
      </c>
      <c r="K385" s="7">
        <v>14672</v>
      </c>
      <c r="L385" s="7">
        <v>4732074</v>
      </c>
      <c r="M385" s="4">
        <f t="shared" si="88"/>
        <v>4746746</v>
      </c>
      <c r="N385" s="4"/>
      <c r="O385" s="4"/>
      <c r="P385" s="4"/>
      <c r="Q385" s="4"/>
      <c r="R385" s="4">
        <f t="shared" si="111"/>
        <v>161078</v>
      </c>
      <c r="S385" s="47">
        <f t="shared" si="109"/>
        <v>0</v>
      </c>
      <c r="T385" s="119">
        <f t="shared" si="110"/>
        <v>-2485</v>
      </c>
    </row>
    <row r="386" spans="1:20" x14ac:dyDescent="0.25">
      <c r="A386" s="137">
        <v>44277</v>
      </c>
      <c r="B386" s="156">
        <v>6401</v>
      </c>
      <c r="C386" s="156">
        <f t="shared" si="106"/>
        <v>2252172</v>
      </c>
      <c r="D386" s="156">
        <v>125</v>
      </c>
      <c r="E386" s="156">
        <f t="shared" si="107"/>
        <v>54665</v>
      </c>
      <c r="F386" s="156">
        <f t="shared" si="112"/>
        <v>7533</v>
      </c>
      <c r="G386" s="185">
        <v>2037686</v>
      </c>
      <c r="H386" s="156">
        <v>3530</v>
      </c>
      <c r="I386" s="4">
        <v>43438</v>
      </c>
      <c r="J386" s="4">
        <f t="shared" si="105"/>
        <v>8383836</v>
      </c>
      <c r="K386" s="7">
        <v>14773</v>
      </c>
      <c r="L386" s="7">
        <v>4756568</v>
      </c>
      <c r="M386" s="4">
        <f t="shared" si="88"/>
        <v>4771341</v>
      </c>
      <c r="N386" s="4"/>
      <c r="O386" s="4"/>
      <c r="P386" s="4"/>
      <c r="Q386" s="4"/>
      <c r="R386" s="4">
        <f t="shared" si="111"/>
        <v>159821</v>
      </c>
      <c r="S386" s="47">
        <f t="shared" si="109"/>
        <v>-4</v>
      </c>
      <c r="T386" s="119">
        <f t="shared" si="110"/>
        <v>-1257</v>
      </c>
    </row>
    <row r="387" spans="1:20" x14ac:dyDescent="0.25">
      <c r="A387" s="137">
        <v>44278</v>
      </c>
      <c r="B387" s="156">
        <v>9405</v>
      </c>
      <c r="C387" s="156">
        <f t="shared" si="106"/>
        <v>2261577</v>
      </c>
      <c r="D387" s="156">
        <v>153</v>
      </c>
      <c r="E387" s="156">
        <f t="shared" si="107"/>
        <v>54818</v>
      </c>
      <c r="F387" s="156">
        <f t="shared" si="112"/>
        <v>6271</v>
      </c>
      <c r="G387" s="185">
        <v>2043957</v>
      </c>
      <c r="H387" s="156">
        <v>3591</v>
      </c>
      <c r="I387" s="4">
        <v>49703</v>
      </c>
      <c r="J387" s="4">
        <f t="shared" si="105"/>
        <v>8433539</v>
      </c>
      <c r="K387" s="7">
        <v>14892</v>
      </c>
      <c r="L387" s="7">
        <v>4786032</v>
      </c>
      <c r="M387" s="4">
        <f t="shared" si="88"/>
        <v>4800924</v>
      </c>
      <c r="N387" s="4"/>
      <c r="O387" s="4"/>
      <c r="P387" s="4"/>
      <c r="Q387" s="4"/>
      <c r="R387" s="4">
        <f t="shared" si="111"/>
        <v>162802</v>
      </c>
      <c r="S387" s="47">
        <f t="shared" si="109"/>
        <v>61</v>
      </c>
      <c r="T387" s="119">
        <f t="shared" si="110"/>
        <v>2981</v>
      </c>
    </row>
    <row r="388" spans="1:20" x14ac:dyDescent="0.25">
      <c r="A388" s="137">
        <v>44279</v>
      </c>
      <c r="B388" s="156">
        <v>8300</v>
      </c>
      <c r="C388" s="156">
        <f t="shared" si="106"/>
        <v>2269877</v>
      </c>
      <c r="D388" s="156">
        <v>123</v>
      </c>
      <c r="E388" s="156">
        <f t="shared" si="107"/>
        <v>54941</v>
      </c>
      <c r="F388" s="156">
        <f t="shared" si="112"/>
        <v>5078</v>
      </c>
      <c r="G388" s="185">
        <v>2049035</v>
      </c>
      <c r="H388" s="156">
        <v>3574</v>
      </c>
      <c r="I388" s="4">
        <v>44058</v>
      </c>
      <c r="J388" s="4">
        <f>J389-I389</f>
        <v>8477597</v>
      </c>
      <c r="K388" s="7">
        <v>15009</v>
      </c>
      <c r="L388" s="7">
        <v>4813948</v>
      </c>
      <c r="M388" s="4">
        <f t="shared" si="88"/>
        <v>4828957</v>
      </c>
      <c r="N388" s="4"/>
      <c r="O388" s="4"/>
      <c r="P388" s="4"/>
      <c r="Q388" s="4"/>
      <c r="R388" s="4">
        <f t="shared" si="111"/>
        <v>165901</v>
      </c>
      <c r="S388" s="47">
        <f t="shared" si="109"/>
        <v>-17</v>
      </c>
      <c r="T388" s="119">
        <f t="shared" si="110"/>
        <v>3099</v>
      </c>
    </row>
    <row r="389" spans="1:20" x14ac:dyDescent="0.25">
      <c r="A389" s="137">
        <v>44280</v>
      </c>
      <c r="B389" s="156">
        <v>8238</v>
      </c>
      <c r="C389" s="156">
        <f t="shared" si="106"/>
        <v>2278115</v>
      </c>
      <c r="D389" s="156">
        <v>146</v>
      </c>
      <c r="E389" s="156">
        <f t="shared" si="107"/>
        <v>55087</v>
      </c>
      <c r="F389" s="156">
        <f t="shared" si="112"/>
        <v>7437</v>
      </c>
      <c r="G389" s="185">
        <v>2056472</v>
      </c>
      <c r="H389" s="156">
        <v>3585</v>
      </c>
      <c r="I389" s="4">
        <v>40224</v>
      </c>
      <c r="J389" s="4">
        <v>8517821</v>
      </c>
      <c r="K389" s="8">
        <v>15109</v>
      </c>
      <c r="L389" s="7">
        <v>4837873</v>
      </c>
      <c r="M389" s="4">
        <f t="shared" si="88"/>
        <v>4852982</v>
      </c>
      <c r="N389" s="4"/>
      <c r="O389" s="4"/>
      <c r="P389" s="4"/>
      <c r="Q389" s="4"/>
      <c r="R389" s="4">
        <f t="shared" si="111"/>
        <v>166556</v>
      </c>
      <c r="S389" s="47">
        <f t="shared" si="109"/>
        <v>11</v>
      </c>
      <c r="T389" s="119">
        <f t="shared" si="110"/>
        <v>655</v>
      </c>
    </row>
    <row r="390" spans="1:20" x14ac:dyDescent="0.25">
      <c r="A390" s="137">
        <v>44281</v>
      </c>
      <c r="B390" s="156">
        <v>12936</v>
      </c>
      <c r="C390" s="156">
        <f t="shared" si="106"/>
        <v>2291051</v>
      </c>
      <c r="D390" s="156">
        <v>143</v>
      </c>
      <c r="E390" s="156">
        <f t="shared" si="107"/>
        <v>55230</v>
      </c>
      <c r="F390" s="156">
        <f t="shared" si="112"/>
        <v>8007</v>
      </c>
      <c r="G390" s="185">
        <v>2064479</v>
      </c>
      <c r="H390" s="156">
        <v>3508</v>
      </c>
      <c r="I390" s="4">
        <v>88074</v>
      </c>
      <c r="J390" s="4">
        <f>J389+I390</f>
        <v>8605895</v>
      </c>
      <c r="K390" s="8">
        <v>15194</v>
      </c>
      <c r="L390" s="7">
        <v>4887389</v>
      </c>
      <c r="M390" s="4">
        <f t="shared" si="88"/>
        <v>4902583</v>
      </c>
      <c r="N390" s="4"/>
      <c r="O390" s="4"/>
      <c r="P390" s="4"/>
      <c r="Q390" s="4"/>
      <c r="R390" s="4">
        <f t="shared" si="111"/>
        <v>171342</v>
      </c>
      <c r="S390" s="47">
        <f t="shared" si="109"/>
        <v>-77</v>
      </c>
      <c r="T390" s="119">
        <f t="shared" si="110"/>
        <v>4786</v>
      </c>
    </row>
    <row r="391" spans="1:20" x14ac:dyDescent="0.25">
      <c r="A391" s="137">
        <v>44282</v>
      </c>
      <c r="B391" s="156">
        <v>10338</v>
      </c>
      <c r="C391" s="156">
        <f t="shared" si="106"/>
        <v>2301389</v>
      </c>
      <c r="D391" s="156">
        <v>133</v>
      </c>
      <c r="E391" s="156">
        <f t="shared" si="107"/>
        <v>55363</v>
      </c>
      <c r="F391" s="156">
        <f t="shared" si="112"/>
        <v>7749</v>
      </c>
      <c r="G391" s="185">
        <v>2072228</v>
      </c>
      <c r="H391" s="156">
        <v>3506</v>
      </c>
      <c r="I391" s="4">
        <v>44828</v>
      </c>
      <c r="J391" s="4">
        <f>J390+I391</f>
        <v>8650723</v>
      </c>
      <c r="K391" s="7">
        <v>15244</v>
      </c>
      <c r="L391" s="7">
        <v>4915050</v>
      </c>
      <c r="M391" s="4">
        <f t="shared" si="88"/>
        <v>4930294</v>
      </c>
      <c r="N391" s="4"/>
      <c r="O391" s="4"/>
      <c r="P391" s="4"/>
      <c r="Q391" s="4"/>
      <c r="R391" s="4">
        <f t="shared" si="111"/>
        <v>173798</v>
      </c>
      <c r="S391" s="47">
        <f t="shared" si="109"/>
        <v>-2</v>
      </c>
      <c r="T391" s="119">
        <f t="shared" si="110"/>
        <v>2456</v>
      </c>
    </row>
    <row r="392" spans="1:20" x14ac:dyDescent="0.25">
      <c r="A392" s="137">
        <v>44283</v>
      </c>
      <c r="B392" s="156">
        <v>7208</v>
      </c>
      <c r="C392" s="156">
        <f t="shared" si="106"/>
        <v>2308597</v>
      </c>
      <c r="D392" s="156">
        <v>81</v>
      </c>
      <c r="E392" s="156">
        <f t="shared" si="107"/>
        <v>55444</v>
      </c>
      <c r="F392" s="156">
        <f t="shared" si="112"/>
        <v>7287</v>
      </c>
      <c r="G392" s="185">
        <v>2079515</v>
      </c>
      <c r="H392" s="156">
        <v>3505</v>
      </c>
      <c r="I392" s="4">
        <v>37193</v>
      </c>
      <c r="J392" s="4">
        <f>J391+I392</f>
        <v>8687916</v>
      </c>
      <c r="K392" s="7">
        <v>15262</v>
      </c>
      <c r="L392" s="7">
        <v>4937915</v>
      </c>
      <c r="M392" s="4">
        <f t="shared" si="88"/>
        <v>4953177</v>
      </c>
      <c r="N392" s="4"/>
      <c r="O392" s="4"/>
      <c r="P392" s="4"/>
      <c r="Q392" s="4"/>
      <c r="R392" s="4">
        <f t="shared" si="111"/>
        <v>173638</v>
      </c>
      <c r="S392" s="47">
        <f t="shared" si="109"/>
        <v>-1</v>
      </c>
      <c r="T392" s="119">
        <f t="shared" si="110"/>
        <v>-160</v>
      </c>
    </row>
    <row r="393" spans="1:20" x14ac:dyDescent="0.25">
      <c r="A393" s="137">
        <v>44284</v>
      </c>
      <c r="B393" s="156">
        <v>14014</v>
      </c>
      <c r="C393" s="156">
        <f t="shared" ref="C393:C397" si="113">C392+B393</f>
        <v>2322611</v>
      </c>
      <c r="D393" s="156">
        <v>163</v>
      </c>
      <c r="E393" s="156">
        <f t="shared" si="107"/>
        <v>55607</v>
      </c>
      <c r="F393" s="156">
        <f t="shared" si="112"/>
        <v>8741</v>
      </c>
      <c r="G393" s="185">
        <v>2088256</v>
      </c>
      <c r="H393" s="156">
        <v>3639</v>
      </c>
      <c r="I393" s="4">
        <v>57830</v>
      </c>
      <c r="J393" s="4">
        <f t="shared" ref="J393:J410" si="114">J392+I393</f>
        <v>8745746</v>
      </c>
      <c r="K393" s="7">
        <v>15319</v>
      </c>
      <c r="L393" s="7">
        <v>4975797</v>
      </c>
      <c r="M393" s="4">
        <f t="shared" si="88"/>
        <v>4991116</v>
      </c>
      <c r="N393" s="4"/>
      <c r="O393" s="4"/>
      <c r="P393" s="4"/>
      <c r="Q393" s="4"/>
      <c r="R393" s="4">
        <f t="shared" si="111"/>
        <v>178748</v>
      </c>
      <c r="S393" s="47">
        <f t="shared" si="109"/>
        <v>134</v>
      </c>
      <c r="T393" s="119">
        <f t="shared" si="110"/>
        <v>5110</v>
      </c>
    </row>
    <row r="394" spans="1:20" x14ac:dyDescent="0.25">
      <c r="A394" s="137">
        <v>44285</v>
      </c>
      <c r="B394" s="156">
        <v>10154</v>
      </c>
      <c r="C394" s="156">
        <f t="shared" si="113"/>
        <v>2332765</v>
      </c>
      <c r="D394" s="156">
        <v>125</v>
      </c>
      <c r="E394" s="156">
        <f t="shared" si="107"/>
        <v>55732</v>
      </c>
      <c r="F394" s="156">
        <f t="shared" si="112"/>
        <v>7597</v>
      </c>
      <c r="G394" s="185">
        <v>2095853</v>
      </c>
      <c r="H394" s="156">
        <v>3702</v>
      </c>
      <c r="I394" s="4">
        <v>78400</v>
      </c>
      <c r="J394" s="4">
        <f t="shared" si="114"/>
        <v>8824146</v>
      </c>
      <c r="K394" s="7">
        <v>15377</v>
      </c>
      <c r="L394" s="7">
        <v>5003806</v>
      </c>
      <c r="M394" s="4">
        <f t="shared" si="88"/>
        <v>5019183</v>
      </c>
      <c r="N394" s="4"/>
      <c r="O394" s="4"/>
      <c r="P394" s="4"/>
      <c r="Q394" s="4"/>
      <c r="R394" s="4">
        <f t="shared" si="111"/>
        <v>181180</v>
      </c>
      <c r="S394" s="47">
        <f t="shared" si="109"/>
        <v>63</v>
      </c>
      <c r="T394" s="119">
        <f t="shared" si="110"/>
        <v>2432</v>
      </c>
    </row>
    <row r="395" spans="1:20" ht="15.75" customHeight="1" x14ac:dyDescent="0.25">
      <c r="A395" s="137">
        <v>44286</v>
      </c>
      <c r="B395" s="156">
        <v>16056</v>
      </c>
      <c r="C395" s="156">
        <f t="shared" si="113"/>
        <v>2348821</v>
      </c>
      <c r="D395" s="156">
        <v>124</v>
      </c>
      <c r="E395" s="156">
        <f t="shared" si="107"/>
        <v>55856</v>
      </c>
      <c r="F395" s="156">
        <f t="shared" si="112"/>
        <v>6763</v>
      </c>
      <c r="G395" s="185">
        <v>2102616</v>
      </c>
      <c r="H395" s="156">
        <v>3638</v>
      </c>
      <c r="I395" s="4">
        <v>56334</v>
      </c>
      <c r="J395" s="4">
        <f t="shared" si="114"/>
        <v>8880480</v>
      </c>
      <c r="K395" s="7">
        <v>15549</v>
      </c>
      <c r="L395" s="7">
        <v>5041337</v>
      </c>
      <c r="M395" s="4">
        <f t="shared" si="88"/>
        <v>5056886</v>
      </c>
      <c r="N395" s="4"/>
      <c r="O395" s="4"/>
      <c r="P395" s="4"/>
      <c r="Q395" s="4"/>
      <c r="R395" s="4">
        <f t="shared" si="111"/>
        <v>190349</v>
      </c>
      <c r="S395" s="47">
        <f t="shared" si="109"/>
        <v>-64</v>
      </c>
      <c r="T395" s="119">
        <f t="shared" si="110"/>
        <v>9169</v>
      </c>
    </row>
    <row r="396" spans="1:20" x14ac:dyDescent="0.25">
      <c r="A396" s="137">
        <v>44287</v>
      </c>
      <c r="B396" s="156">
        <v>14430</v>
      </c>
      <c r="C396" s="156">
        <f t="shared" si="113"/>
        <v>2363251</v>
      </c>
      <c r="D396" s="156">
        <v>83</v>
      </c>
      <c r="E396" s="156">
        <f t="shared" si="107"/>
        <v>55939</v>
      </c>
      <c r="F396" s="156">
        <f t="shared" si="112"/>
        <v>9650</v>
      </c>
      <c r="G396" s="185">
        <v>2112266</v>
      </c>
      <c r="H396" s="156">
        <v>3639</v>
      </c>
      <c r="I396" s="4">
        <v>52292</v>
      </c>
      <c r="J396" s="4">
        <f t="shared" si="114"/>
        <v>8932772</v>
      </c>
      <c r="K396" s="7">
        <v>15599</v>
      </c>
      <c r="L396" s="7">
        <v>5072149</v>
      </c>
      <c r="M396" s="4">
        <f t="shared" ref="M396:M405" si="115">L396+K396</f>
        <v>5087748</v>
      </c>
      <c r="N396" s="4"/>
      <c r="O396" s="4"/>
      <c r="P396" s="4"/>
      <c r="Q396" s="4"/>
      <c r="R396" s="4">
        <f t="shared" si="111"/>
        <v>195046</v>
      </c>
      <c r="S396" s="47">
        <f t="shared" si="109"/>
        <v>1</v>
      </c>
      <c r="T396" s="119">
        <f t="shared" si="110"/>
        <v>4697</v>
      </c>
    </row>
    <row r="397" spans="1:20" x14ac:dyDescent="0.25">
      <c r="A397" s="137">
        <v>44288</v>
      </c>
      <c r="B397" s="156">
        <v>9902</v>
      </c>
      <c r="C397" s="156">
        <f t="shared" si="113"/>
        <v>2373153</v>
      </c>
      <c r="D397" s="156">
        <v>82</v>
      </c>
      <c r="E397" s="156">
        <f t="shared" si="107"/>
        <v>56021</v>
      </c>
      <c r="F397" s="156">
        <f t="shared" si="112"/>
        <v>9688</v>
      </c>
      <c r="G397" s="185">
        <v>2121954</v>
      </c>
      <c r="H397" s="156">
        <v>3619</v>
      </c>
      <c r="I397" s="4">
        <v>50043</v>
      </c>
      <c r="J397" s="4">
        <f t="shared" si="114"/>
        <v>8982815</v>
      </c>
      <c r="K397" s="7">
        <v>15670</v>
      </c>
      <c r="L397" s="7">
        <v>5096601</v>
      </c>
      <c r="M397" s="4">
        <f t="shared" si="115"/>
        <v>5112271</v>
      </c>
      <c r="N397" s="4"/>
      <c r="O397" s="4"/>
      <c r="P397" s="4"/>
      <c r="Q397" s="4"/>
      <c r="R397" s="4">
        <f t="shared" si="111"/>
        <v>195178</v>
      </c>
      <c r="S397" s="47">
        <f t="shared" si="109"/>
        <v>-20</v>
      </c>
      <c r="T397" s="119">
        <f t="shared" si="110"/>
        <v>132</v>
      </c>
    </row>
    <row r="398" spans="1:20" x14ac:dyDescent="0.25">
      <c r="A398" s="137">
        <v>44289</v>
      </c>
      <c r="B398" s="156">
        <v>10384</v>
      </c>
      <c r="C398" s="156">
        <f t="shared" ref="C398:C410" si="116">C397+B398</f>
        <v>2383537</v>
      </c>
      <c r="D398" s="156">
        <v>83</v>
      </c>
      <c r="E398" s="156">
        <f t="shared" si="107"/>
        <v>56104</v>
      </c>
      <c r="F398" s="156">
        <f t="shared" si="112"/>
        <v>8686</v>
      </c>
      <c r="G398" s="185">
        <v>2130640</v>
      </c>
      <c r="H398" s="156">
        <v>3618</v>
      </c>
      <c r="I398" s="4">
        <v>54024</v>
      </c>
      <c r="J398" s="4">
        <f t="shared" si="114"/>
        <v>9036839</v>
      </c>
      <c r="K398" s="7">
        <v>15685</v>
      </c>
      <c r="L398" s="7">
        <v>5127710</v>
      </c>
      <c r="M398" s="4">
        <f t="shared" si="115"/>
        <v>5143395</v>
      </c>
      <c r="N398" s="4"/>
      <c r="O398" s="4"/>
      <c r="P398" s="4"/>
      <c r="Q398" s="4"/>
      <c r="R398" s="4">
        <f t="shared" ref="R398:R403" si="117">C398-E398-G398</f>
        <v>196793</v>
      </c>
      <c r="S398" s="47">
        <f t="shared" si="109"/>
        <v>-1</v>
      </c>
      <c r="T398" s="119">
        <f t="shared" ref="T398:T403" si="118">(C398-G398-E398)-(C397-E397-G397)</f>
        <v>1615</v>
      </c>
    </row>
    <row r="399" spans="1:20" x14ac:dyDescent="0.25">
      <c r="A399" s="137">
        <v>44290</v>
      </c>
      <c r="B399" s="156">
        <v>9955</v>
      </c>
      <c r="C399" s="156">
        <f t="shared" si="116"/>
        <v>2393492</v>
      </c>
      <c r="D399" s="156">
        <v>93</v>
      </c>
      <c r="E399" s="156">
        <f t="shared" ref="E399" si="119">E398+D399</f>
        <v>56197</v>
      </c>
      <c r="F399" s="156">
        <f t="shared" ref="F399" si="120">G399-G398</f>
        <v>9840</v>
      </c>
      <c r="G399" s="185">
        <v>2140480</v>
      </c>
      <c r="H399" s="156">
        <v>3626</v>
      </c>
      <c r="I399" s="4">
        <v>33159</v>
      </c>
      <c r="J399" s="4">
        <f t="shared" si="114"/>
        <v>9069998</v>
      </c>
      <c r="K399" s="333">
        <v>15697</v>
      </c>
      <c r="L399" s="7">
        <v>5144935</v>
      </c>
      <c r="M399" s="4">
        <f t="shared" si="115"/>
        <v>5160632</v>
      </c>
      <c r="N399" s="4"/>
      <c r="O399" s="4"/>
      <c r="P399" s="4"/>
      <c r="Q399" s="4"/>
      <c r="R399" s="4">
        <f t="shared" si="117"/>
        <v>196815</v>
      </c>
      <c r="S399" s="47">
        <f t="shared" ref="S399" si="121">H399-H398</f>
        <v>8</v>
      </c>
      <c r="T399" s="119">
        <f t="shared" si="118"/>
        <v>22</v>
      </c>
    </row>
    <row r="400" spans="1:20" x14ac:dyDescent="0.25">
      <c r="A400" s="137">
        <v>44291</v>
      </c>
      <c r="B400" s="156">
        <v>13667</v>
      </c>
      <c r="C400" s="156">
        <f t="shared" si="116"/>
        <v>2407159</v>
      </c>
      <c r="D400" s="159">
        <v>272</v>
      </c>
      <c r="E400" s="156">
        <f t="shared" ref="E400:E402" si="122">E399+D400</f>
        <v>56469</v>
      </c>
      <c r="F400" s="156">
        <f t="shared" ref="F400:F402" si="123">G400-G399</f>
        <v>13029</v>
      </c>
      <c r="G400" s="185">
        <v>2153509</v>
      </c>
      <c r="H400" s="156">
        <v>3652</v>
      </c>
      <c r="I400" s="4">
        <v>46037</v>
      </c>
      <c r="J400" s="4">
        <f t="shared" si="114"/>
        <v>9116035</v>
      </c>
      <c r="K400" s="7">
        <v>15817</v>
      </c>
      <c r="L400" s="7">
        <v>5170951</v>
      </c>
      <c r="M400" s="4">
        <f t="shared" si="115"/>
        <v>5186768</v>
      </c>
      <c r="N400" s="4"/>
      <c r="O400" s="4"/>
      <c r="P400" s="4"/>
      <c r="Q400" s="4"/>
      <c r="R400" s="4">
        <f t="shared" si="117"/>
        <v>197181</v>
      </c>
      <c r="S400" s="47">
        <f t="shared" ref="S400" si="124">H400-H399</f>
        <v>26</v>
      </c>
      <c r="T400" s="119">
        <f t="shared" si="118"/>
        <v>366</v>
      </c>
    </row>
    <row r="401" spans="1:21" ht="16.5" customHeight="1" x14ac:dyDescent="0.25">
      <c r="A401" s="137">
        <v>44292</v>
      </c>
      <c r="B401" s="173">
        <v>20870</v>
      </c>
      <c r="C401" s="156">
        <f t="shared" si="116"/>
        <v>2428029</v>
      </c>
      <c r="D401" s="173">
        <v>163</v>
      </c>
      <c r="E401" s="156">
        <f t="shared" si="122"/>
        <v>56632</v>
      </c>
      <c r="F401" s="156">
        <f t="shared" si="123"/>
        <v>10536</v>
      </c>
      <c r="G401" s="185">
        <v>2164045</v>
      </c>
      <c r="H401" s="156">
        <v>3642</v>
      </c>
      <c r="I401" s="4">
        <v>75392</v>
      </c>
      <c r="J401" s="4">
        <f t="shared" si="114"/>
        <v>9191427</v>
      </c>
      <c r="K401" s="7">
        <v>15885</v>
      </c>
      <c r="L401" s="7">
        <v>5211391</v>
      </c>
      <c r="M401" s="4">
        <f t="shared" si="115"/>
        <v>5227276</v>
      </c>
      <c r="N401" s="4"/>
      <c r="O401" s="4"/>
      <c r="P401" s="4"/>
      <c r="Q401" s="4"/>
      <c r="R401" s="4">
        <f t="shared" si="117"/>
        <v>207352</v>
      </c>
      <c r="S401" s="47">
        <f t="shared" ref="S401" si="125">H401-H400</f>
        <v>-10</v>
      </c>
      <c r="T401" s="119">
        <f t="shared" si="118"/>
        <v>10171</v>
      </c>
    </row>
    <row r="402" spans="1:21" x14ac:dyDescent="0.25">
      <c r="A402" s="137">
        <v>44293</v>
      </c>
      <c r="B402" s="173">
        <v>22039</v>
      </c>
      <c r="C402" s="156">
        <f t="shared" si="116"/>
        <v>2450068</v>
      </c>
      <c r="D402" s="173">
        <v>199</v>
      </c>
      <c r="E402" s="156">
        <f t="shared" si="122"/>
        <v>56831</v>
      </c>
      <c r="F402" s="156">
        <f t="shared" si="123"/>
        <v>10580</v>
      </c>
      <c r="G402" s="185">
        <v>2174625</v>
      </c>
      <c r="H402" s="156">
        <v>3706</v>
      </c>
      <c r="I402" s="4">
        <v>74679</v>
      </c>
      <c r="J402" s="4">
        <f t="shared" si="114"/>
        <v>9266106</v>
      </c>
      <c r="K402" s="7">
        <v>16000</v>
      </c>
      <c r="L402" s="7">
        <v>5249364</v>
      </c>
      <c r="M402" s="4">
        <f t="shared" si="115"/>
        <v>5265364</v>
      </c>
      <c r="N402" s="4"/>
      <c r="O402" s="4"/>
      <c r="P402" s="4"/>
      <c r="Q402" s="4"/>
      <c r="R402" s="4">
        <f t="shared" si="117"/>
        <v>218612</v>
      </c>
      <c r="S402" s="47">
        <f t="shared" ref="S402" si="126">H402-H401</f>
        <v>64</v>
      </c>
      <c r="T402" s="119">
        <f t="shared" si="118"/>
        <v>11260</v>
      </c>
    </row>
    <row r="403" spans="1:21" x14ac:dyDescent="0.25">
      <c r="A403" s="137">
        <v>44294</v>
      </c>
      <c r="B403" s="173">
        <v>23683</v>
      </c>
      <c r="C403" s="156">
        <f t="shared" si="116"/>
        <v>2473751</v>
      </c>
      <c r="D403" s="173">
        <v>290</v>
      </c>
      <c r="E403" s="156">
        <f t="shared" ref="E403:E404" si="127">E402+D403</f>
        <v>57121</v>
      </c>
      <c r="F403" s="156">
        <f t="shared" ref="F403:F404" si="128">G403-G402</f>
        <v>14358</v>
      </c>
      <c r="G403" s="185">
        <v>2188983</v>
      </c>
      <c r="H403" s="156">
        <v>3742</v>
      </c>
      <c r="I403" s="4">
        <v>94991</v>
      </c>
      <c r="J403" s="4">
        <f t="shared" si="114"/>
        <v>9361097</v>
      </c>
      <c r="K403" s="7">
        <v>16237</v>
      </c>
      <c r="L403" s="7">
        <v>5303093</v>
      </c>
      <c r="M403" s="4">
        <f t="shared" si="115"/>
        <v>5319330</v>
      </c>
      <c r="N403" s="4"/>
      <c r="O403" s="4"/>
      <c r="P403" s="4"/>
      <c r="Q403" s="4"/>
      <c r="R403" s="4">
        <f t="shared" si="117"/>
        <v>227647</v>
      </c>
      <c r="S403" s="47">
        <f t="shared" ref="S403" si="129">H403-H402</f>
        <v>36</v>
      </c>
      <c r="T403" s="119">
        <f t="shared" si="118"/>
        <v>9035</v>
      </c>
      <c r="U403" s="87"/>
    </row>
    <row r="404" spans="1:21" x14ac:dyDescent="0.25">
      <c r="A404" s="137">
        <v>44295</v>
      </c>
      <c r="B404" s="173">
        <v>24130</v>
      </c>
      <c r="C404" s="156">
        <f t="shared" si="116"/>
        <v>2497881</v>
      </c>
      <c r="D404" s="173">
        <v>228</v>
      </c>
      <c r="E404" s="156">
        <f t="shared" si="127"/>
        <v>57349</v>
      </c>
      <c r="F404" s="156">
        <f t="shared" si="128"/>
        <v>14943</v>
      </c>
      <c r="G404" s="185">
        <v>2203926</v>
      </c>
      <c r="H404" s="156">
        <v>3718</v>
      </c>
      <c r="I404" s="4">
        <v>90657</v>
      </c>
      <c r="J404" s="4">
        <f t="shared" si="114"/>
        <v>9451754</v>
      </c>
      <c r="K404" s="7">
        <v>16453</v>
      </c>
      <c r="L404" s="7">
        <v>5344743</v>
      </c>
      <c r="M404" s="4">
        <f t="shared" si="115"/>
        <v>5361196</v>
      </c>
      <c r="N404" s="4"/>
      <c r="O404" s="4"/>
      <c r="P404" s="4"/>
      <c r="Q404" s="4"/>
      <c r="R404" s="4">
        <f t="shared" ref="R404" si="130">C404-E404-G404</f>
        <v>236606</v>
      </c>
      <c r="S404" s="47">
        <f t="shared" ref="S404" si="131">H404-H403</f>
        <v>-24</v>
      </c>
      <c r="T404" s="119">
        <f t="shared" ref="T404" si="132">(C404-G404-E404)-(C403-E403-G403)</f>
        <v>8959</v>
      </c>
    </row>
    <row r="405" spans="1:21" x14ac:dyDescent="0.25">
      <c r="A405" s="137">
        <v>44296</v>
      </c>
      <c r="B405" s="173">
        <v>19419</v>
      </c>
      <c r="C405" s="156">
        <f t="shared" si="116"/>
        <v>2517300</v>
      </c>
      <c r="D405" s="173">
        <v>297</v>
      </c>
      <c r="E405" s="156">
        <f t="shared" ref="E405:E407" si="133">E404+D405</f>
        <v>57646</v>
      </c>
      <c r="F405" s="156">
        <f t="shared" ref="F405:F407" si="134">G405-G404</f>
        <v>13857</v>
      </c>
      <c r="G405" s="185">
        <v>2217783</v>
      </c>
      <c r="H405" s="156">
        <v>3761</v>
      </c>
      <c r="I405" s="4">
        <v>75713</v>
      </c>
      <c r="J405" s="4">
        <f t="shared" si="114"/>
        <v>9527467</v>
      </c>
      <c r="K405" s="7">
        <v>16474</v>
      </c>
      <c r="L405" s="7">
        <v>5381903</v>
      </c>
      <c r="M405" s="4">
        <f t="shared" si="115"/>
        <v>5398377</v>
      </c>
      <c r="N405" s="4"/>
      <c r="O405" s="4"/>
      <c r="P405" s="4"/>
      <c r="Q405" s="4"/>
      <c r="R405" s="4">
        <f t="shared" ref="R405" si="135">C405-E405-G405</f>
        <v>241871</v>
      </c>
      <c r="S405" s="47">
        <f t="shared" ref="S405" si="136">H405-H404</f>
        <v>43</v>
      </c>
      <c r="T405" s="119">
        <f t="shared" ref="T405" si="137">(C405-G405-E405)-(C404-E404-G404)</f>
        <v>5265</v>
      </c>
    </row>
    <row r="406" spans="1:21" x14ac:dyDescent="0.25">
      <c r="A406" s="137">
        <v>44297</v>
      </c>
      <c r="B406" s="173">
        <v>15262</v>
      </c>
      <c r="C406" s="156">
        <f t="shared" si="116"/>
        <v>2532562</v>
      </c>
      <c r="D406" s="173">
        <v>132</v>
      </c>
      <c r="E406" s="156">
        <f t="shared" si="133"/>
        <v>57778</v>
      </c>
      <c r="F406" s="156">
        <f t="shared" si="134"/>
        <v>15357</v>
      </c>
      <c r="G406" s="185">
        <v>2233140</v>
      </c>
      <c r="H406" s="156">
        <v>3789</v>
      </c>
      <c r="I406" s="4">
        <v>63270</v>
      </c>
      <c r="J406" s="4">
        <f t="shared" si="114"/>
        <v>9590737</v>
      </c>
      <c r="K406" s="7"/>
      <c r="L406" s="7"/>
      <c r="M406" s="4"/>
      <c r="N406" s="4"/>
      <c r="O406" s="4"/>
      <c r="P406" s="4"/>
      <c r="Q406" s="4"/>
      <c r="R406" s="4">
        <f t="shared" ref="R406" si="138">C406-E406-G406</f>
        <v>241644</v>
      </c>
      <c r="S406" s="47">
        <f t="shared" ref="S406" si="139">H406-H405</f>
        <v>28</v>
      </c>
      <c r="T406" s="119">
        <f t="shared" ref="T406" si="140">(C406-G406-E406)-(C405-E405-G405)</f>
        <v>-227</v>
      </c>
    </row>
    <row r="407" spans="1:21" x14ac:dyDescent="0.25">
      <c r="A407" s="137">
        <v>44298</v>
      </c>
      <c r="B407" s="173">
        <v>19437</v>
      </c>
      <c r="C407" s="156">
        <f t="shared" si="116"/>
        <v>2551999</v>
      </c>
      <c r="D407" s="173">
        <v>179</v>
      </c>
      <c r="E407" s="156">
        <f t="shared" si="133"/>
        <v>57957</v>
      </c>
      <c r="F407" s="156">
        <f t="shared" si="134"/>
        <v>13984</v>
      </c>
      <c r="G407" s="185">
        <v>2247124</v>
      </c>
      <c r="H407" s="156">
        <v>3819</v>
      </c>
      <c r="I407" s="4">
        <v>64947</v>
      </c>
      <c r="J407" s="4">
        <f t="shared" si="114"/>
        <v>9655684</v>
      </c>
      <c r="K407" s="7"/>
      <c r="L407" s="7"/>
      <c r="M407" s="4"/>
      <c r="N407" s="4"/>
      <c r="O407" s="4"/>
      <c r="P407" s="4"/>
      <c r="Q407" s="4"/>
      <c r="R407" s="4">
        <f t="shared" ref="R407" si="141">C407-E407-G407</f>
        <v>246918</v>
      </c>
      <c r="S407" s="47">
        <f t="shared" ref="S407" si="142">H407-H406</f>
        <v>30</v>
      </c>
      <c r="T407" s="119">
        <f t="shared" ref="T407" si="143">(C407-G407-E407)-(C406-E406-G406)</f>
        <v>5274</v>
      </c>
      <c r="U407" s="197"/>
    </row>
    <row r="408" spans="1:21" x14ac:dyDescent="0.25">
      <c r="A408" s="137">
        <v>44299</v>
      </c>
      <c r="B408" s="173">
        <v>27001</v>
      </c>
      <c r="C408" s="156">
        <f t="shared" si="116"/>
        <v>2579000</v>
      </c>
      <c r="D408" s="173">
        <v>217</v>
      </c>
      <c r="E408" s="156">
        <f t="shared" ref="E408" si="144">E407+D408</f>
        <v>58174</v>
      </c>
      <c r="F408" s="156">
        <f t="shared" ref="F408" si="145">G408-G407</f>
        <v>15751</v>
      </c>
      <c r="G408" s="185">
        <v>2262875</v>
      </c>
      <c r="H408" s="156">
        <v>3836</v>
      </c>
      <c r="I408" s="4">
        <v>87661</v>
      </c>
      <c r="J408" s="4">
        <f t="shared" si="114"/>
        <v>9743345</v>
      </c>
      <c r="K408" s="7"/>
      <c r="L408" s="7"/>
      <c r="M408" s="4"/>
      <c r="N408" s="4"/>
      <c r="O408" s="4"/>
      <c r="P408" s="4"/>
      <c r="Q408" s="4"/>
      <c r="R408" s="4">
        <f t="shared" ref="R408" si="146">C408-E408-G408</f>
        <v>257951</v>
      </c>
      <c r="S408" s="47">
        <f t="shared" ref="S408" si="147">H408-H407</f>
        <v>17</v>
      </c>
      <c r="T408" s="119">
        <f t="shared" ref="T408" si="148">(C408-G408-E408)-(C407-E407-G407)</f>
        <v>11033</v>
      </c>
    </row>
    <row r="409" spans="1:21" x14ac:dyDescent="0.25">
      <c r="A409" s="137">
        <v>44300</v>
      </c>
      <c r="B409" s="173">
        <v>25157</v>
      </c>
      <c r="C409" s="156">
        <f t="shared" si="116"/>
        <v>2604157</v>
      </c>
      <c r="D409" s="173">
        <v>368</v>
      </c>
      <c r="E409" s="156">
        <f t="shared" ref="E409" si="149">E408+D409</f>
        <v>58542</v>
      </c>
      <c r="F409" s="156">
        <f t="shared" ref="F409" si="150">G409-G408</f>
        <v>15611</v>
      </c>
      <c r="G409" s="189">
        <v>2278486</v>
      </c>
      <c r="H409" s="173">
        <v>3879</v>
      </c>
      <c r="I409" s="51">
        <v>89761</v>
      </c>
      <c r="J409" s="4">
        <f t="shared" si="114"/>
        <v>9833106</v>
      </c>
      <c r="R409" s="4">
        <f t="shared" ref="R409" si="151">C409-E409-G409</f>
        <v>267129</v>
      </c>
      <c r="S409" s="47">
        <f t="shared" ref="S409" si="152">H409-H408</f>
        <v>43</v>
      </c>
      <c r="T409" s="119">
        <f t="shared" ref="T409" si="153">(C409-G409-E409)-(C408-E408-G408)</f>
        <v>9178</v>
      </c>
      <c r="U409" s="389"/>
    </row>
    <row r="410" spans="1:21" x14ac:dyDescent="0.25">
      <c r="A410" s="137">
        <v>44301</v>
      </c>
      <c r="B410" s="173">
        <v>24999</v>
      </c>
      <c r="C410" s="156">
        <f t="shared" si="116"/>
        <v>2629156</v>
      </c>
      <c r="D410" s="173">
        <v>383</v>
      </c>
      <c r="E410" s="156">
        <f t="shared" ref="E410" si="154">E409+D410</f>
        <v>58925</v>
      </c>
      <c r="F410" s="156">
        <f t="shared" ref="F410" si="155">G410-G409</f>
        <v>21746</v>
      </c>
      <c r="G410" s="189">
        <v>2300232</v>
      </c>
      <c r="H410" s="173">
        <v>3900</v>
      </c>
      <c r="I410" s="51">
        <v>70299</v>
      </c>
      <c r="J410" s="4">
        <f t="shared" si="114"/>
        <v>9903405</v>
      </c>
      <c r="R410" s="4">
        <f t="shared" ref="R410" si="156">C410-E410-G410</f>
        <v>269999</v>
      </c>
      <c r="S410" s="47">
        <f t="shared" ref="S410" si="157">H410-H409</f>
        <v>21</v>
      </c>
      <c r="T410" s="119">
        <f t="shared" ref="T410" si="158">(C410-G410-E410)-(C409-E409-G409)</f>
        <v>2870</v>
      </c>
    </row>
  </sheetData>
  <autoFilter ref="A1:R388" xr:uid="{00000000-0009-0000-0000-000000000000}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M9817"/>
  <sheetViews>
    <sheetView tabSelected="1" zoomScale="70" zoomScaleNormal="70" workbookViewId="0">
      <pane ySplit="1" topLeftCell="A9790" activePane="bottomLeft" state="frozen"/>
      <selection activeCell="H388" sqref="H388"/>
      <selection pane="bottomLeft" activeCell="E9818" sqref="E9818"/>
    </sheetView>
  </sheetViews>
  <sheetFormatPr baseColWidth="10" defaultRowHeight="15" x14ac:dyDescent="0.25"/>
  <cols>
    <col min="1" max="1" width="15.28515625" style="34" customWidth="1"/>
    <col min="2" max="2" width="10.5703125" style="1" customWidth="1"/>
    <col min="3" max="3" width="7.5703125" style="1" customWidth="1"/>
    <col min="4" max="4" width="11.42578125" style="47" customWidth="1"/>
    <col min="5" max="5" width="6.42578125" style="1" customWidth="1"/>
    <col min="6" max="6" width="11.7109375" style="82" customWidth="1"/>
    <col min="7" max="8" width="11.85546875" style="17" bestFit="1" customWidth="1"/>
    <col min="9" max="9" width="9.140625" customWidth="1"/>
    <col min="10" max="10" width="16.5703125" customWidth="1"/>
    <col min="12" max="12" width="14" bestFit="1" customWidth="1"/>
  </cols>
  <sheetData>
    <row r="1" spans="1:8" x14ac:dyDescent="0.25">
      <c r="A1" s="48" t="s">
        <v>24</v>
      </c>
      <c r="B1" s="300" t="s">
        <v>25</v>
      </c>
      <c r="C1" s="300" t="s">
        <v>26</v>
      </c>
      <c r="D1" s="81" t="s">
        <v>27</v>
      </c>
      <c r="E1" s="351" t="s">
        <v>99</v>
      </c>
      <c r="F1" s="80" t="s">
        <v>102</v>
      </c>
      <c r="G1" s="352" t="s">
        <v>114</v>
      </c>
      <c r="H1" s="352" t="s">
        <v>121</v>
      </c>
    </row>
    <row r="2" spans="1:8" x14ac:dyDescent="0.25">
      <c r="A2" s="34" t="s">
        <v>16</v>
      </c>
      <c r="B2" s="2">
        <v>43893</v>
      </c>
      <c r="C2" s="1">
        <v>0</v>
      </c>
      <c r="D2" s="47">
        <v>0</v>
      </c>
      <c r="F2" s="47"/>
    </row>
    <row r="3" spans="1:8" x14ac:dyDescent="0.25">
      <c r="A3" s="5" t="s">
        <v>28</v>
      </c>
      <c r="B3" s="2">
        <v>43893</v>
      </c>
      <c r="C3" s="1">
        <v>0</v>
      </c>
      <c r="D3" s="47">
        <v>0</v>
      </c>
      <c r="F3" s="47"/>
    </row>
    <row r="4" spans="1:8" x14ac:dyDescent="0.25">
      <c r="A4" s="5" t="s">
        <v>15</v>
      </c>
      <c r="B4" s="2">
        <v>43893</v>
      </c>
      <c r="C4" s="1">
        <v>0</v>
      </c>
      <c r="D4" s="47">
        <v>0</v>
      </c>
      <c r="F4" s="47"/>
    </row>
    <row r="5" spans="1:8" x14ac:dyDescent="0.25">
      <c r="A5" s="5" t="s">
        <v>29</v>
      </c>
      <c r="B5" s="2">
        <v>43893</v>
      </c>
      <c r="C5" s="1">
        <v>0</v>
      </c>
      <c r="D5" s="47">
        <v>0</v>
      </c>
      <c r="F5" s="47"/>
    </row>
    <row r="6" spans="1:8" x14ac:dyDescent="0.25">
      <c r="A6" s="5" t="s">
        <v>43</v>
      </c>
      <c r="B6" s="2">
        <v>43893</v>
      </c>
      <c r="C6" s="1">
        <v>1</v>
      </c>
      <c r="D6" s="47">
        <v>1</v>
      </c>
      <c r="F6" s="47"/>
    </row>
    <row r="7" spans="1:8" x14ac:dyDescent="0.25">
      <c r="A7" s="5" t="s">
        <v>20</v>
      </c>
      <c r="B7" s="2">
        <v>43893</v>
      </c>
      <c r="C7" s="1">
        <v>0</v>
      </c>
      <c r="D7" s="47">
        <v>0</v>
      </c>
      <c r="F7" s="47"/>
    </row>
    <row r="8" spans="1:8" x14ac:dyDescent="0.25">
      <c r="A8" s="5" t="s">
        <v>30</v>
      </c>
      <c r="B8" s="2">
        <v>43893</v>
      </c>
      <c r="C8" s="1">
        <v>0</v>
      </c>
      <c r="D8" s="47">
        <v>0</v>
      </c>
      <c r="F8" s="47"/>
    </row>
    <row r="9" spans="1:8" x14ac:dyDescent="0.25">
      <c r="A9" s="5" t="s">
        <v>31</v>
      </c>
      <c r="B9" s="2">
        <v>43893</v>
      </c>
      <c r="C9" s="1">
        <v>0</v>
      </c>
      <c r="D9" s="47">
        <v>0</v>
      </c>
      <c r="F9" s="47"/>
    </row>
    <row r="10" spans="1:8" x14ac:dyDescent="0.25">
      <c r="A10" s="5" t="s">
        <v>41</v>
      </c>
      <c r="B10" s="2">
        <v>43893</v>
      </c>
      <c r="C10" s="1">
        <v>0</v>
      </c>
      <c r="D10" s="47">
        <v>0</v>
      </c>
      <c r="F10" s="47"/>
    </row>
    <row r="11" spans="1:8" x14ac:dyDescent="0.25">
      <c r="A11" s="5" t="s">
        <v>32</v>
      </c>
      <c r="B11" s="2">
        <v>43893</v>
      </c>
      <c r="C11" s="1">
        <v>0</v>
      </c>
      <c r="D11" s="47">
        <v>0</v>
      </c>
      <c r="F11" s="47"/>
    </row>
    <row r="12" spans="1:8" x14ac:dyDescent="0.25">
      <c r="A12" s="5" t="s">
        <v>33</v>
      </c>
      <c r="B12" s="2">
        <v>43893</v>
      </c>
      <c r="C12" s="1">
        <v>0</v>
      </c>
      <c r="D12" s="47">
        <v>0</v>
      </c>
      <c r="F12" s="47"/>
    </row>
    <row r="13" spans="1:8" x14ac:dyDescent="0.25">
      <c r="A13" s="5" t="s">
        <v>21</v>
      </c>
      <c r="B13" s="2">
        <v>43893</v>
      </c>
      <c r="C13" s="1">
        <v>0</v>
      </c>
      <c r="D13" s="47">
        <v>0</v>
      </c>
      <c r="F13" s="47"/>
    </row>
    <row r="14" spans="1:8" x14ac:dyDescent="0.25">
      <c r="A14" s="5" t="s">
        <v>17</v>
      </c>
      <c r="B14" s="2">
        <v>43893</v>
      </c>
      <c r="C14" s="1">
        <v>0</v>
      </c>
      <c r="D14" s="47">
        <v>0</v>
      </c>
      <c r="F14" s="47"/>
    </row>
    <row r="15" spans="1:8" x14ac:dyDescent="0.25">
      <c r="A15" s="5" t="s">
        <v>23</v>
      </c>
      <c r="B15" s="2">
        <v>43893</v>
      </c>
      <c r="C15" s="1">
        <v>0</v>
      </c>
      <c r="D15" s="47">
        <v>0</v>
      </c>
      <c r="F15" s="47"/>
    </row>
    <row r="16" spans="1:8" x14ac:dyDescent="0.25">
      <c r="A16" s="5" t="s">
        <v>19</v>
      </c>
      <c r="B16" s="2">
        <v>43893</v>
      </c>
      <c r="C16" s="1">
        <v>0</v>
      </c>
      <c r="D16" s="47">
        <v>0</v>
      </c>
      <c r="F16" s="47"/>
    </row>
    <row r="17" spans="1:6" x14ac:dyDescent="0.25">
      <c r="A17" s="5" t="s">
        <v>18</v>
      </c>
      <c r="B17" s="2">
        <v>43893</v>
      </c>
      <c r="C17" s="1">
        <v>0</v>
      </c>
      <c r="D17" s="47">
        <v>0</v>
      </c>
      <c r="F17" s="47"/>
    </row>
    <row r="18" spans="1:6" x14ac:dyDescent="0.25">
      <c r="A18" s="5" t="s">
        <v>34</v>
      </c>
      <c r="B18" s="2">
        <v>43893</v>
      </c>
      <c r="C18" s="1">
        <v>0</v>
      </c>
      <c r="D18" s="47">
        <v>0</v>
      </c>
      <c r="F18" s="47"/>
    </row>
    <row r="19" spans="1:6" x14ac:dyDescent="0.25">
      <c r="A19" s="5" t="s">
        <v>35</v>
      </c>
      <c r="B19" s="2">
        <v>43893</v>
      </c>
      <c r="C19" s="1">
        <v>0</v>
      </c>
      <c r="D19" s="47">
        <v>0</v>
      </c>
      <c r="F19" s="47"/>
    </row>
    <row r="20" spans="1:6" x14ac:dyDescent="0.25">
      <c r="A20" s="5" t="s">
        <v>36</v>
      </c>
      <c r="B20" s="2">
        <v>43893</v>
      </c>
      <c r="C20" s="1">
        <v>0</v>
      </c>
      <c r="D20" s="47">
        <v>0</v>
      </c>
      <c r="F20" s="47"/>
    </row>
    <row r="21" spans="1:6" x14ac:dyDescent="0.25">
      <c r="A21" s="5" t="s">
        <v>37</v>
      </c>
      <c r="B21" s="2">
        <v>43893</v>
      </c>
      <c r="C21" s="1">
        <v>0</v>
      </c>
      <c r="D21" s="47">
        <v>0</v>
      </c>
      <c r="F21" s="47"/>
    </row>
    <row r="22" spans="1:6" x14ac:dyDescent="0.25">
      <c r="A22" s="5" t="s">
        <v>22</v>
      </c>
      <c r="B22" s="2">
        <v>43893</v>
      </c>
      <c r="C22" s="1">
        <v>0</v>
      </c>
      <c r="D22" s="47">
        <v>0</v>
      </c>
      <c r="F22" s="47"/>
    </row>
    <row r="23" spans="1:6" x14ac:dyDescent="0.25">
      <c r="A23" s="5" t="s">
        <v>38</v>
      </c>
      <c r="B23" s="2">
        <v>43893</v>
      </c>
      <c r="C23" s="1">
        <v>0</v>
      </c>
      <c r="D23" s="47">
        <v>0</v>
      </c>
      <c r="F23" s="47"/>
    </row>
    <row r="24" spans="1:6" x14ac:dyDescent="0.25">
      <c r="A24" s="5" t="s">
        <v>39</v>
      </c>
      <c r="B24" s="2">
        <v>43893</v>
      </c>
      <c r="C24" s="1">
        <v>0</v>
      </c>
      <c r="D24" s="47">
        <v>0</v>
      </c>
      <c r="F24" s="47"/>
    </row>
    <row r="25" spans="1:6" x14ac:dyDescent="0.25">
      <c r="A25" s="5" t="s">
        <v>40</v>
      </c>
      <c r="B25" s="2">
        <v>43893</v>
      </c>
      <c r="C25" s="1">
        <v>0</v>
      </c>
      <c r="D25" s="47">
        <v>0</v>
      </c>
      <c r="F25" s="47"/>
    </row>
    <row r="26" spans="1:6" x14ac:dyDescent="0.25">
      <c r="A26" s="34" t="s">
        <v>16</v>
      </c>
      <c r="B26" s="2">
        <v>43894</v>
      </c>
      <c r="C26" s="1">
        <v>0</v>
      </c>
      <c r="D26" s="47">
        <v>0</v>
      </c>
      <c r="F26" s="47">
        <f>E26+F2</f>
        <v>0</v>
      </c>
    </row>
    <row r="27" spans="1:6" x14ac:dyDescent="0.25">
      <c r="A27" s="5" t="s">
        <v>28</v>
      </c>
      <c r="B27" s="2">
        <v>43894</v>
      </c>
      <c r="C27" s="1">
        <v>0</v>
      </c>
      <c r="D27" s="47">
        <v>0</v>
      </c>
      <c r="F27" s="47">
        <f t="shared" ref="F27:F90" si="0">E27+F3</f>
        <v>0</v>
      </c>
    </row>
    <row r="28" spans="1:6" x14ac:dyDescent="0.25">
      <c r="A28" s="5" t="s">
        <v>15</v>
      </c>
      <c r="B28" s="2">
        <v>43894</v>
      </c>
      <c r="C28" s="1">
        <v>0</v>
      </c>
      <c r="D28" s="47">
        <v>0</v>
      </c>
      <c r="F28" s="47">
        <f t="shared" si="0"/>
        <v>0</v>
      </c>
    </row>
    <row r="29" spans="1:6" x14ac:dyDescent="0.25">
      <c r="A29" s="5" t="s">
        <v>29</v>
      </c>
      <c r="B29" s="2">
        <v>43894</v>
      </c>
      <c r="C29" s="1">
        <v>0</v>
      </c>
      <c r="D29" s="47">
        <v>0</v>
      </c>
      <c r="F29" s="47">
        <f t="shared" si="0"/>
        <v>0</v>
      </c>
    </row>
    <row r="30" spans="1:6" x14ac:dyDescent="0.25">
      <c r="A30" s="5" t="s">
        <v>43</v>
      </c>
      <c r="B30" s="2">
        <v>43894</v>
      </c>
      <c r="C30" s="1">
        <v>0</v>
      </c>
      <c r="D30" s="47">
        <v>1</v>
      </c>
      <c r="F30" s="47">
        <f t="shared" si="0"/>
        <v>0</v>
      </c>
    </row>
    <row r="31" spans="1:6" x14ac:dyDescent="0.25">
      <c r="A31" s="5" t="s">
        <v>20</v>
      </c>
      <c r="B31" s="2">
        <v>43894</v>
      </c>
      <c r="C31" s="1">
        <v>0</v>
      </c>
      <c r="D31" s="47">
        <v>0</v>
      </c>
      <c r="F31" s="47">
        <f t="shared" si="0"/>
        <v>0</v>
      </c>
    </row>
    <row r="32" spans="1:6" x14ac:dyDescent="0.25">
      <c r="A32" s="5" t="s">
        <v>30</v>
      </c>
      <c r="B32" s="2">
        <v>43894</v>
      </c>
      <c r="C32" s="1">
        <v>0</v>
      </c>
      <c r="D32" s="47">
        <v>0</v>
      </c>
      <c r="F32" s="47">
        <f t="shared" si="0"/>
        <v>0</v>
      </c>
    </row>
    <row r="33" spans="1:6" x14ac:dyDescent="0.25">
      <c r="A33" s="5" t="s">
        <v>31</v>
      </c>
      <c r="B33" s="2">
        <v>43894</v>
      </c>
      <c r="C33" s="1">
        <v>0</v>
      </c>
      <c r="D33" s="47">
        <v>0</v>
      </c>
      <c r="F33" s="47">
        <f t="shared" si="0"/>
        <v>0</v>
      </c>
    </row>
    <row r="34" spans="1:6" x14ac:dyDescent="0.25">
      <c r="A34" s="5" t="s">
        <v>41</v>
      </c>
      <c r="B34" s="2">
        <v>43894</v>
      </c>
      <c r="C34" s="1">
        <v>0</v>
      </c>
      <c r="D34" s="47">
        <v>0</v>
      </c>
      <c r="F34" s="47">
        <f t="shared" si="0"/>
        <v>0</v>
      </c>
    </row>
    <row r="35" spans="1:6" x14ac:dyDescent="0.25">
      <c r="A35" s="5" t="s">
        <v>32</v>
      </c>
      <c r="B35" s="2">
        <v>43894</v>
      </c>
      <c r="C35" s="1">
        <v>0</v>
      </c>
      <c r="D35" s="47">
        <v>0</v>
      </c>
      <c r="F35" s="47">
        <f t="shared" si="0"/>
        <v>0</v>
      </c>
    </row>
    <row r="36" spans="1:6" x14ac:dyDescent="0.25">
      <c r="A36" s="5" t="s">
        <v>33</v>
      </c>
      <c r="B36" s="2">
        <v>43894</v>
      </c>
      <c r="C36" s="1">
        <v>0</v>
      </c>
      <c r="D36" s="47">
        <v>0</v>
      </c>
      <c r="F36" s="47">
        <f t="shared" si="0"/>
        <v>0</v>
      </c>
    </row>
    <row r="37" spans="1:6" x14ac:dyDescent="0.25">
      <c r="A37" s="5" t="s">
        <v>21</v>
      </c>
      <c r="B37" s="2">
        <v>43894</v>
      </c>
      <c r="C37" s="1">
        <v>0</v>
      </c>
      <c r="D37" s="47">
        <v>0</v>
      </c>
      <c r="F37" s="47">
        <f t="shared" si="0"/>
        <v>0</v>
      </c>
    </row>
    <row r="38" spans="1:6" x14ac:dyDescent="0.25">
      <c r="A38" s="5" t="s">
        <v>17</v>
      </c>
      <c r="B38" s="2">
        <v>43894</v>
      </c>
      <c r="C38" s="1">
        <v>0</v>
      </c>
      <c r="D38" s="47">
        <v>0</v>
      </c>
      <c r="F38" s="47">
        <f t="shared" si="0"/>
        <v>0</v>
      </c>
    </row>
    <row r="39" spans="1:6" x14ac:dyDescent="0.25">
      <c r="A39" s="5" t="s">
        <v>23</v>
      </c>
      <c r="B39" s="2">
        <v>43894</v>
      </c>
      <c r="C39" s="1">
        <v>0</v>
      </c>
      <c r="D39" s="47">
        <v>0</v>
      </c>
      <c r="F39" s="47">
        <f t="shared" si="0"/>
        <v>0</v>
      </c>
    </row>
    <row r="40" spans="1:6" x14ac:dyDescent="0.25">
      <c r="A40" s="5" t="s">
        <v>19</v>
      </c>
      <c r="B40" s="2">
        <v>43894</v>
      </c>
      <c r="C40" s="1">
        <v>0</v>
      </c>
      <c r="D40" s="47">
        <v>0</v>
      </c>
      <c r="F40" s="47">
        <f t="shared" si="0"/>
        <v>0</v>
      </c>
    </row>
    <row r="41" spans="1:6" x14ac:dyDescent="0.25">
      <c r="A41" s="5" t="s">
        <v>18</v>
      </c>
      <c r="B41" s="2">
        <v>43894</v>
      </c>
      <c r="C41" s="1">
        <v>0</v>
      </c>
      <c r="D41" s="47">
        <v>0</v>
      </c>
      <c r="F41" s="47">
        <f t="shared" si="0"/>
        <v>0</v>
      </c>
    </row>
    <row r="42" spans="1:6" x14ac:dyDescent="0.25">
      <c r="A42" s="5" t="s">
        <v>34</v>
      </c>
      <c r="B42" s="2">
        <v>43894</v>
      </c>
      <c r="C42" s="1">
        <v>0</v>
      </c>
      <c r="D42" s="47">
        <v>0</v>
      </c>
      <c r="F42" s="47">
        <f t="shared" si="0"/>
        <v>0</v>
      </c>
    </row>
    <row r="43" spans="1:6" x14ac:dyDescent="0.25">
      <c r="A43" s="5" t="s">
        <v>35</v>
      </c>
      <c r="B43" s="2">
        <v>43894</v>
      </c>
      <c r="C43" s="1">
        <v>0</v>
      </c>
      <c r="D43" s="47">
        <v>0</v>
      </c>
      <c r="F43" s="47">
        <f t="shared" si="0"/>
        <v>0</v>
      </c>
    </row>
    <row r="44" spans="1:6" x14ac:dyDescent="0.25">
      <c r="A44" s="5" t="s">
        <v>36</v>
      </c>
      <c r="B44" s="2">
        <v>43894</v>
      </c>
      <c r="C44" s="1">
        <v>0</v>
      </c>
      <c r="D44" s="47">
        <v>0</v>
      </c>
      <c r="F44" s="47">
        <f t="shared" si="0"/>
        <v>0</v>
      </c>
    </row>
    <row r="45" spans="1:6" x14ac:dyDescent="0.25">
      <c r="A45" s="5" t="s">
        <v>37</v>
      </c>
      <c r="B45" s="2">
        <v>43894</v>
      </c>
      <c r="C45" s="1">
        <v>0</v>
      </c>
      <c r="D45" s="47">
        <v>0</v>
      </c>
      <c r="F45" s="47">
        <f t="shared" si="0"/>
        <v>0</v>
      </c>
    </row>
    <row r="46" spans="1:6" x14ac:dyDescent="0.25">
      <c r="A46" s="5" t="s">
        <v>22</v>
      </c>
      <c r="B46" s="2">
        <v>43894</v>
      </c>
      <c r="C46" s="1">
        <v>0</v>
      </c>
      <c r="D46" s="47">
        <v>0</v>
      </c>
      <c r="F46" s="47">
        <f t="shared" si="0"/>
        <v>0</v>
      </c>
    </row>
    <row r="47" spans="1:6" x14ac:dyDescent="0.25">
      <c r="A47" s="5" t="s">
        <v>38</v>
      </c>
      <c r="B47" s="2">
        <v>43894</v>
      </c>
      <c r="C47" s="1">
        <v>0</v>
      </c>
      <c r="D47" s="47">
        <v>0</v>
      </c>
      <c r="F47" s="47">
        <f t="shared" si="0"/>
        <v>0</v>
      </c>
    </row>
    <row r="48" spans="1:6" x14ac:dyDescent="0.25">
      <c r="A48" s="5" t="s">
        <v>39</v>
      </c>
      <c r="B48" s="2">
        <v>43894</v>
      </c>
      <c r="C48" s="1">
        <v>0</v>
      </c>
      <c r="D48" s="47">
        <v>0</v>
      </c>
      <c r="F48" s="47">
        <f t="shared" si="0"/>
        <v>0</v>
      </c>
    </row>
    <row r="49" spans="1:6" x14ac:dyDescent="0.25">
      <c r="A49" s="5" t="s">
        <v>40</v>
      </c>
      <c r="B49" s="2">
        <v>43894</v>
      </c>
      <c r="C49" s="1">
        <v>0</v>
      </c>
      <c r="D49" s="47">
        <v>0</v>
      </c>
      <c r="F49" s="47">
        <f t="shared" si="0"/>
        <v>0</v>
      </c>
    </row>
    <row r="50" spans="1:6" x14ac:dyDescent="0.25">
      <c r="A50" s="34" t="s">
        <v>16</v>
      </c>
      <c r="B50" s="2">
        <v>43895</v>
      </c>
      <c r="C50" s="1">
        <v>0</v>
      </c>
      <c r="D50" s="47">
        <v>0</v>
      </c>
      <c r="F50" s="47">
        <f>E50+F26</f>
        <v>0</v>
      </c>
    </row>
    <row r="51" spans="1:6" x14ac:dyDescent="0.25">
      <c r="A51" s="5" t="s">
        <v>28</v>
      </c>
      <c r="B51" s="2">
        <v>43895</v>
      </c>
      <c r="C51" s="1">
        <v>0</v>
      </c>
      <c r="D51" s="47">
        <v>0</v>
      </c>
      <c r="F51" s="47">
        <f t="shared" si="0"/>
        <v>0</v>
      </c>
    </row>
    <row r="52" spans="1:6" x14ac:dyDescent="0.25">
      <c r="A52" s="5" t="s">
        <v>15</v>
      </c>
      <c r="B52" s="2">
        <v>43895</v>
      </c>
      <c r="C52" s="1">
        <v>0</v>
      </c>
      <c r="D52" s="47">
        <v>0</v>
      </c>
      <c r="F52" s="47">
        <f t="shared" si="0"/>
        <v>0</v>
      </c>
    </row>
    <row r="53" spans="1:6" x14ac:dyDescent="0.25">
      <c r="A53" s="5" t="s">
        <v>29</v>
      </c>
      <c r="B53" s="2">
        <v>43895</v>
      </c>
      <c r="C53" s="1">
        <v>0</v>
      </c>
      <c r="D53" s="47">
        <v>0</v>
      </c>
      <c r="F53" s="47">
        <f t="shared" si="0"/>
        <v>0</v>
      </c>
    </row>
    <row r="54" spans="1:6" x14ac:dyDescent="0.25">
      <c r="A54" s="5" t="s">
        <v>43</v>
      </c>
      <c r="B54" s="2">
        <v>43895</v>
      </c>
      <c r="C54" s="1">
        <v>1</v>
      </c>
      <c r="D54" s="47">
        <v>2</v>
      </c>
      <c r="F54" s="47">
        <f t="shared" si="0"/>
        <v>0</v>
      </c>
    </row>
    <row r="55" spans="1:6" x14ac:dyDescent="0.25">
      <c r="A55" s="5" t="s">
        <v>20</v>
      </c>
      <c r="B55" s="2">
        <v>43895</v>
      </c>
      <c r="C55" s="1">
        <v>0</v>
      </c>
      <c r="D55" s="47">
        <v>0</v>
      </c>
      <c r="F55" s="47">
        <f t="shared" si="0"/>
        <v>0</v>
      </c>
    </row>
    <row r="56" spans="1:6" x14ac:dyDescent="0.25">
      <c r="A56" s="5" t="s">
        <v>30</v>
      </c>
      <c r="B56" s="2">
        <v>43895</v>
      </c>
      <c r="C56" s="1">
        <v>0</v>
      </c>
      <c r="D56" s="47">
        <v>0</v>
      </c>
      <c r="F56" s="47">
        <f t="shared" si="0"/>
        <v>0</v>
      </c>
    </row>
    <row r="57" spans="1:6" x14ac:dyDescent="0.25">
      <c r="A57" s="5" t="s">
        <v>31</v>
      </c>
      <c r="B57" s="2">
        <v>43895</v>
      </c>
      <c r="C57" s="1">
        <v>0</v>
      </c>
      <c r="D57" s="47">
        <v>0</v>
      </c>
      <c r="F57" s="47">
        <f t="shared" si="0"/>
        <v>0</v>
      </c>
    </row>
    <row r="58" spans="1:6" x14ac:dyDescent="0.25">
      <c r="A58" s="5" t="s">
        <v>41</v>
      </c>
      <c r="B58" s="2">
        <v>43895</v>
      </c>
      <c r="C58" s="1">
        <v>0</v>
      </c>
      <c r="D58" s="47">
        <v>0</v>
      </c>
      <c r="F58" s="47">
        <f t="shared" si="0"/>
        <v>0</v>
      </c>
    </row>
    <row r="59" spans="1:6" x14ac:dyDescent="0.25">
      <c r="A59" s="5" t="s">
        <v>32</v>
      </c>
      <c r="B59" s="2">
        <v>43895</v>
      </c>
      <c r="C59" s="1">
        <v>0</v>
      </c>
      <c r="D59" s="47">
        <v>0</v>
      </c>
      <c r="F59" s="47">
        <f t="shared" si="0"/>
        <v>0</v>
      </c>
    </row>
    <row r="60" spans="1:6" x14ac:dyDescent="0.25">
      <c r="A60" s="5" t="s">
        <v>33</v>
      </c>
      <c r="B60" s="2">
        <v>43895</v>
      </c>
      <c r="C60" s="1">
        <v>0</v>
      </c>
      <c r="D60" s="47">
        <v>0</v>
      </c>
      <c r="F60" s="47">
        <f t="shared" si="0"/>
        <v>0</v>
      </c>
    </row>
    <row r="61" spans="1:6" x14ac:dyDescent="0.25">
      <c r="A61" s="5" t="s">
        <v>21</v>
      </c>
      <c r="B61" s="2">
        <v>43895</v>
      </c>
      <c r="C61" s="1">
        <v>0</v>
      </c>
      <c r="D61" s="47">
        <v>0</v>
      </c>
      <c r="F61" s="47">
        <f t="shared" si="0"/>
        <v>0</v>
      </c>
    </row>
    <row r="62" spans="1:6" x14ac:dyDescent="0.25">
      <c r="A62" s="5" t="s">
        <v>17</v>
      </c>
      <c r="B62" s="2">
        <v>43895</v>
      </c>
      <c r="C62" s="1">
        <v>0</v>
      </c>
      <c r="D62" s="47">
        <v>0</v>
      </c>
      <c r="F62" s="47">
        <f t="shared" si="0"/>
        <v>0</v>
      </c>
    </row>
    <row r="63" spans="1:6" x14ac:dyDescent="0.25">
      <c r="A63" s="5" t="s">
        <v>23</v>
      </c>
      <c r="B63" s="2">
        <v>43895</v>
      </c>
      <c r="C63" s="1">
        <v>0</v>
      </c>
      <c r="D63" s="47">
        <v>0</v>
      </c>
      <c r="F63" s="47">
        <f t="shared" si="0"/>
        <v>0</v>
      </c>
    </row>
    <row r="64" spans="1:6" x14ac:dyDescent="0.25">
      <c r="A64" s="5" t="s">
        <v>19</v>
      </c>
      <c r="B64" s="2">
        <v>43895</v>
      </c>
      <c r="C64" s="1">
        <v>0</v>
      </c>
      <c r="D64" s="47">
        <v>0</v>
      </c>
      <c r="F64" s="47">
        <f t="shared" si="0"/>
        <v>0</v>
      </c>
    </row>
    <row r="65" spans="1:6" x14ac:dyDescent="0.25">
      <c r="A65" s="5" t="s">
        <v>18</v>
      </c>
      <c r="B65" s="2">
        <v>43895</v>
      </c>
      <c r="C65" s="1">
        <v>0</v>
      </c>
      <c r="D65" s="47">
        <v>0</v>
      </c>
      <c r="F65" s="47">
        <f t="shared" si="0"/>
        <v>0</v>
      </c>
    </row>
    <row r="66" spans="1:6" x14ac:dyDescent="0.25">
      <c r="A66" s="5" t="s">
        <v>34</v>
      </c>
      <c r="B66" s="2">
        <v>43895</v>
      </c>
      <c r="C66" s="1">
        <v>0</v>
      </c>
      <c r="D66" s="47">
        <v>0</v>
      </c>
      <c r="F66" s="47">
        <f t="shared" si="0"/>
        <v>0</v>
      </c>
    </row>
    <row r="67" spans="1:6" x14ac:dyDescent="0.25">
      <c r="A67" s="5" t="s">
        <v>35</v>
      </c>
      <c r="B67" s="2">
        <v>43895</v>
      </c>
      <c r="C67" s="1">
        <v>0</v>
      </c>
      <c r="D67" s="47">
        <v>0</v>
      </c>
      <c r="F67" s="47">
        <f t="shared" si="0"/>
        <v>0</v>
      </c>
    </row>
    <row r="68" spans="1:6" x14ac:dyDescent="0.25">
      <c r="A68" s="5" t="s">
        <v>36</v>
      </c>
      <c r="B68" s="2">
        <v>43895</v>
      </c>
      <c r="C68" s="1">
        <v>0</v>
      </c>
      <c r="D68" s="47">
        <v>0</v>
      </c>
      <c r="F68" s="47">
        <f t="shared" si="0"/>
        <v>0</v>
      </c>
    </row>
    <row r="69" spans="1:6" x14ac:dyDescent="0.25">
      <c r="A69" s="5" t="s">
        <v>37</v>
      </c>
      <c r="B69" s="2">
        <v>43895</v>
      </c>
      <c r="C69" s="1">
        <v>0</v>
      </c>
      <c r="D69" s="47">
        <v>0</v>
      </c>
      <c r="F69" s="47">
        <f t="shared" si="0"/>
        <v>0</v>
      </c>
    </row>
    <row r="70" spans="1:6" x14ac:dyDescent="0.25">
      <c r="A70" s="5" t="s">
        <v>22</v>
      </c>
      <c r="B70" s="2">
        <v>43895</v>
      </c>
      <c r="C70" s="1">
        <v>0</v>
      </c>
      <c r="D70" s="47">
        <v>0</v>
      </c>
      <c r="F70" s="47">
        <f t="shared" si="0"/>
        <v>0</v>
      </c>
    </row>
    <row r="71" spans="1:6" x14ac:dyDescent="0.25">
      <c r="A71" s="5" t="s">
        <v>38</v>
      </c>
      <c r="B71" s="2">
        <v>43895</v>
      </c>
      <c r="C71" s="1">
        <v>0</v>
      </c>
      <c r="D71" s="47">
        <v>0</v>
      </c>
      <c r="F71" s="47">
        <f t="shared" si="0"/>
        <v>0</v>
      </c>
    </row>
    <row r="72" spans="1:6" x14ac:dyDescent="0.25">
      <c r="A72" s="5" t="s">
        <v>39</v>
      </c>
      <c r="B72" s="2">
        <v>43895</v>
      </c>
      <c r="C72" s="1">
        <v>0</v>
      </c>
      <c r="D72" s="47">
        <v>0</v>
      </c>
      <c r="F72" s="47">
        <f t="shared" si="0"/>
        <v>0</v>
      </c>
    </row>
    <row r="73" spans="1:6" x14ac:dyDescent="0.25">
      <c r="A73" s="5" t="s">
        <v>40</v>
      </c>
      <c r="B73" s="2">
        <v>43895</v>
      </c>
      <c r="C73" s="1">
        <v>0</v>
      </c>
      <c r="D73" s="47">
        <v>0</v>
      </c>
      <c r="F73" s="47">
        <f t="shared" si="0"/>
        <v>0</v>
      </c>
    </row>
    <row r="74" spans="1:6" x14ac:dyDescent="0.25">
      <c r="A74" s="34" t="s">
        <v>16</v>
      </c>
      <c r="B74" s="2">
        <v>43896</v>
      </c>
      <c r="C74" s="1">
        <v>1</v>
      </c>
      <c r="D74" s="47">
        <v>1</v>
      </c>
      <c r="F74" s="47">
        <f>E74+F50</f>
        <v>0</v>
      </c>
    </row>
    <row r="75" spans="1:6" x14ac:dyDescent="0.25">
      <c r="A75" s="5" t="s">
        <v>28</v>
      </c>
      <c r="B75" s="2">
        <v>43896</v>
      </c>
      <c r="C75" s="1">
        <v>0</v>
      </c>
      <c r="D75" s="47">
        <v>0</v>
      </c>
      <c r="F75" s="47">
        <f t="shared" si="0"/>
        <v>0</v>
      </c>
    </row>
    <row r="76" spans="1:6" x14ac:dyDescent="0.25">
      <c r="A76" s="5" t="s">
        <v>15</v>
      </c>
      <c r="B76" s="2">
        <v>43896</v>
      </c>
      <c r="C76" s="1">
        <v>0</v>
      </c>
      <c r="D76" s="47">
        <v>0</v>
      </c>
      <c r="F76" s="47">
        <f t="shared" si="0"/>
        <v>0</v>
      </c>
    </row>
    <row r="77" spans="1:6" x14ac:dyDescent="0.25">
      <c r="A77" s="5" t="s">
        <v>29</v>
      </c>
      <c r="B77" s="2">
        <v>43896</v>
      </c>
      <c r="C77" s="1">
        <v>0</v>
      </c>
      <c r="D77" s="47">
        <v>0</v>
      </c>
      <c r="F77" s="47">
        <f t="shared" si="0"/>
        <v>0</v>
      </c>
    </row>
    <row r="78" spans="1:6" x14ac:dyDescent="0.25">
      <c r="A78" s="5" t="s">
        <v>43</v>
      </c>
      <c r="B78" s="2">
        <v>43896</v>
      </c>
      <c r="C78" s="1">
        <v>4</v>
      </c>
      <c r="D78" s="47">
        <v>6</v>
      </c>
      <c r="F78" s="47">
        <f t="shared" si="0"/>
        <v>0</v>
      </c>
    </row>
    <row r="79" spans="1:6" x14ac:dyDescent="0.25">
      <c r="A79" s="5" t="s">
        <v>20</v>
      </c>
      <c r="B79" s="2">
        <v>43896</v>
      </c>
      <c r="C79" s="1">
        <v>1</v>
      </c>
      <c r="D79" s="47">
        <v>1</v>
      </c>
      <c r="F79" s="47">
        <f t="shared" si="0"/>
        <v>0</v>
      </c>
    </row>
    <row r="80" spans="1:6" x14ac:dyDescent="0.25">
      <c r="A80" s="5" t="s">
        <v>30</v>
      </c>
      <c r="B80" s="2">
        <v>43896</v>
      </c>
      <c r="C80" s="1">
        <v>0</v>
      </c>
      <c r="D80" s="47">
        <v>0</v>
      </c>
      <c r="F80" s="47">
        <f t="shared" si="0"/>
        <v>0</v>
      </c>
    </row>
    <row r="81" spans="1:6" x14ac:dyDescent="0.25">
      <c r="A81" s="5" t="s">
        <v>31</v>
      </c>
      <c r="B81" s="2">
        <v>43896</v>
      </c>
      <c r="C81" s="1">
        <v>0</v>
      </c>
      <c r="D81" s="47">
        <v>0</v>
      </c>
      <c r="F81" s="47">
        <f t="shared" si="0"/>
        <v>0</v>
      </c>
    </row>
    <row r="82" spans="1:6" x14ac:dyDescent="0.25">
      <c r="A82" s="5" t="s">
        <v>41</v>
      </c>
      <c r="B82" s="2">
        <v>43896</v>
      </c>
      <c r="C82" s="1">
        <v>0</v>
      </c>
      <c r="D82" s="47">
        <v>0</v>
      </c>
      <c r="F82" s="47">
        <f t="shared" si="0"/>
        <v>0</v>
      </c>
    </row>
    <row r="83" spans="1:6" x14ac:dyDescent="0.25">
      <c r="A83" s="5" t="s">
        <v>32</v>
      </c>
      <c r="B83" s="2">
        <v>43896</v>
      </c>
      <c r="C83" s="1">
        <v>0</v>
      </c>
      <c r="D83" s="47">
        <v>0</v>
      </c>
      <c r="F83" s="47">
        <f t="shared" si="0"/>
        <v>0</v>
      </c>
    </row>
    <row r="84" spans="1:6" x14ac:dyDescent="0.25">
      <c r="A84" s="5" t="s">
        <v>33</v>
      </c>
      <c r="B84" s="2">
        <v>43896</v>
      </c>
      <c r="C84" s="1">
        <v>0</v>
      </c>
      <c r="D84" s="47">
        <v>0</v>
      </c>
      <c r="F84" s="47">
        <f t="shared" si="0"/>
        <v>0</v>
      </c>
    </row>
    <row r="85" spans="1:6" x14ac:dyDescent="0.25">
      <c r="A85" s="5" t="s">
        <v>21</v>
      </c>
      <c r="B85" s="2">
        <v>43896</v>
      </c>
      <c r="C85" s="1">
        <v>0</v>
      </c>
      <c r="D85" s="47">
        <v>0</v>
      </c>
      <c r="F85" s="47">
        <f t="shared" si="0"/>
        <v>0</v>
      </c>
    </row>
    <row r="86" spans="1:6" x14ac:dyDescent="0.25">
      <c r="A86" s="5" t="s">
        <v>17</v>
      </c>
      <c r="B86" s="2">
        <v>43896</v>
      </c>
      <c r="C86" s="1">
        <v>0</v>
      </c>
      <c r="D86" s="47">
        <v>0</v>
      </c>
      <c r="F86" s="47">
        <f t="shared" si="0"/>
        <v>0</v>
      </c>
    </row>
    <row r="87" spans="1:6" x14ac:dyDescent="0.25">
      <c r="A87" s="5" t="s">
        <v>23</v>
      </c>
      <c r="B87" s="2">
        <v>43896</v>
      </c>
      <c r="C87" s="1">
        <v>0</v>
      </c>
      <c r="D87" s="47">
        <v>0</v>
      </c>
      <c r="F87" s="47">
        <f t="shared" si="0"/>
        <v>0</v>
      </c>
    </row>
    <row r="88" spans="1:6" x14ac:dyDescent="0.25">
      <c r="A88" s="5" t="s">
        <v>19</v>
      </c>
      <c r="B88" s="2">
        <v>43896</v>
      </c>
      <c r="C88" s="1">
        <v>0</v>
      </c>
      <c r="D88" s="47">
        <v>0</v>
      </c>
      <c r="F88" s="47">
        <f t="shared" si="0"/>
        <v>0</v>
      </c>
    </row>
    <row r="89" spans="1:6" x14ac:dyDescent="0.25">
      <c r="A89" s="5" t="s">
        <v>18</v>
      </c>
      <c r="B89" s="2">
        <v>43896</v>
      </c>
      <c r="C89" s="1">
        <v>0</v>
      </c>
      <c r="D89" s="47">
        <v>0</v>
      </c>
      <c r="F89" s="47">
        <f t="shared" si="0"/>
        <v>0</v>
      </c>
    </row>
    <row r="90" spans="1:6" x14ac:dyDescent="0.25">
      <c r="A90" s="5" t="s">
        <v>34</v>
      </c>
      <c r="B90" s="2">
        <v>43896</v>
      </c>
      <c r="C90" s="1">
        <v>0</v>
      </c>
      <c r="D90" s="47">
        <v>0</v>
      </c>
      <c r="F90" s="47">
        <f t="shared" si="0"/>
        <v>0</v>
      </c>
    </row>
    <row r="91" spans="1:6" x14ac:dyDescent="0.25">
      <c r="A91" s="5" t="s">
        <v>35</v>
      </c>
      <c r="B91" s="2">
        <v>43896</v>
      </c>
      <c r="C91" s="1">
        <v>0</v>
      </c>
      <c r="D91" s="47">
        <v>0</v>
      </c>
      <c r="F91" s="47">
        <f t="shared" ref="F91:F97" si="1">E91+F67</f>
        <v>0</v>
      </c>
    </row>
    <row r="92" spans="1:6" x14ac:dyDescent="0.25">
      <c r="A92" s="5" t="s">
        <v>36</v>
      </c>
      <c r="B92" s="2">
        <v>43896</v>
      </c>
      <c r="C92" s="1">
        <v>0</v>
      </c>
      <c r="D92" s="47">
        <v>0</v>
      </c>
      <c r="F92" s="47">
        <f t="shared" si="1"/>
        <v>0</v>
      </c>
    </row>
    <row r="93" spans="1:6" x14ac:dyDescent="0.25">
      <c r="A93" s="5" t="s">
        <v>37</v>
      </c>
      <c r="B93" s="2">
        <v>43896</v>
      </c>
      <c r="C93" s="1">
        <v>0</v>
      </c>
      <c r="D93" s="47">
        <v>0</v>
      </c>
      <c r="F93" s="47">
        <f t="shared" si="1"/>
        <v>0</v>
      </c>
    </row>
    <row r="94" spans="1:6" x14ac:dyDescent="0.25">
      <c r="A94" s="5" t="s">
        <v>22</v>
      </c>
      <c r="B94" s="2">
        <v>43896</v>
      </c>
      <c r="C94" s="1">
        <v>0</v>
      </c>
      <c r="D94" s="47">
        <v>0</v>
      </c>
      <c r="F94" s="47">
        <f t="shared" si="1"/>
        <v>0</v>
      </c>
    </row>
    <row r="95" spans="1:6" x14ac:dyDescent="0.25">
      <c r="A95" s="5" t="s">
        <v>38</v>
      </c>
      <c r="B95" s="2">
        <v>43896</v>
      </c>
      <c r="C95" s="1">
        <v>0</v>
      </c>
      <c r="D95" s="47">
        <v>0</v>
      </c>
      <c r="F95" s="47">
        <f t="shared" si="1"/>
        <v>0</v>
      </c>
    </row>
    <row r="96" spans="1:6" x14ac:dyDescent="0.25">
      <c r="A96" s="5" t="s">
        <v>39</v>
      </c>
      <c r="B96" s="2">
        <v>43896</v>
      </c>
      <c r="C96" s="1">
        <v>0</v>
      </c>
      <c r="D96" s="47">
        <v>0</v>
      </c>
      <c r="F96" s="47">
        <f t="shared" si="1"/>
        <v>0</v>
      </c>
    </row>
    <row r="97" spans="1:6" x14ac:dyDescent="0.25">
      <c r="A97" s="5" t="s">
        <v>40</v>
      </c>
      <c r="B97" s="2">
        <v>43896</v>
      </c>
      <c r="C97" s="1">
        <v>0</v>
      </c>
      <c r="D97" s="47">
        <v>0</v>
      </c>
      <c r="F97" s="47">
        <f t="shared" si="1"/>
        <v>0</v>
      </c>
    </row>
    <row r="98" spans="1:6" x14ac:dyDescent="0.25">
      <c r="A98" s="34" t="s">
        <v>16</v>
      </c>
      <c r="B98" s="2">
        <v>43897</v>
      </c>
      <c r="C98" s="1">
        <v>0</v>
      </c>
      <c r="D98" s="47">
        <v>1</v>
      </c>
      <c r="F98" s="47">
        <f>E98+F74</f>
        <v>0</v>
      </c>
    </row>
    <row r="99" spans="1:6" x14ac:dyDescent="0.25">
      <c r="A99" s="5" t="s">
        <v>28</v>
      </c>
      <c r="B99" s="2">
        <v>43897</v>
      </c>
      <c r="C99" s="1">
        <v>0</v>
      </c>
      <c r="D99" s="47">
        <v>0</v>
      </c>
      <c r="F99" s="47">
        <f t="shared" ref="F99:F121" si="2">E99+F75</f>
        <v>0</v>
      </c>
    </row>
    <row r="100" spans="1:6" x14ac:dyDescent="0.25">
      <c r="A100" s="5" t="s">
        <v>15</v>
      </c>
      <c r="B100" s="2">
        <v>43897</v>
      </c>
      <c r="C100" s="1">
        <v>0</v>
      </c>
      <c r="D100" s="47">
        <v>0</v>
      </c>
      <c r="F100" s="47">
        <f t="shared" si="2"/>
        <v>0</v>
      </c>
    </row>
    <row r="101" spans="1:6" x14ac:dyDescent="0.25">
      <c r="A101" s="5" t="s">
        <v>29</v>
      </c>
      <c r="B101" s="2">
        <v>43897</v>
      </c>
      <c r="C101" s="1">
        <v>0</v>
      </c>
      <c r="D101" s="47">
        <v>0</v>
      </c>
      <c r="F101" s="47">
        <f t="shared" si="2"/>
        <v>0</v>
      </c>
    </row>
    <row r="102" spans="1:6" x14ac:dyDescent="0.25">
      <c r="A102" s="5" t="s">
        <v>43</v>
      </c>
      <c r="B102" s="2">
        <v>43897</v>
      </c>
      <c r="C102" s="1">
        <v>1</v>
      </c>
      <c r="D102" s="47">
        <v>7</v>
      </c>
      <c r="E102" s="1">
        <v>1</v>
      </c>
      <c r="F102" s="47">
        <f t="shared" si="2"/>
        <v>1</v>
      </c>
    </row>
    <row r="103" spans="1:6" x14ac:dyDescent="0.25">
      <c r="A103" s="5" t="s">
        <v>20</v>
      </c>
      <c r="B103" s="2">
        <v>43897</v>
      </c>
      <c r="C103" s="1">
        <v>0</v>
      </c>
      <c r="D103" s="47">
        <v>1</v>
      </c>
      <c r="F103" s="47">
        <f t="shared" si="2"/>
        <v>0</v>
      </c>
    </row>
    <row r="104" spans="1:6" x14ac:dyDescent="0.25">
      <c r="A104" s="5" t="s">
        <v>30</v>
      </c>
      <c r="B104" s="2">
        <v>43897</v>
      </c>
      <c r="C104" s="1">
        <v>0</v>
      </c>
      <c r="D104" s="47">
        <v>0</v>
      </c>
      <c r="F104" s="47">
        <f t="shared" si="2"/>
        <v>0</v>
      </c>
    </row>
    <row r="105" spans="1:6" x14ac:dyDescent="0.25">
      <c r="A105" s="5" t="s">
        <v>31</v>
      </c>
      <c r="B105" s="2">
        <v>43897</v>
      </c>
      <c r="C105" s="1">
        <v>0</v>
      </c>
      <c r="D105" s="47">
        <v>0</v>
      </c>
      <c r="F105" s="47">
        <f t="shared" si="2"/>
        <v>0</v>
      </c>
    </row>
    <row r="106" spans="1:6" x14ac:dyDescent="0.25">
      <c r="A106" s="5" t="s">
        <v>41</v>
      </c>
      <c r="B106" s="2">
        <v>43897</v>
      </c>
      <c r="C106" s="1">
        <v>0</v>
      </c>
      <c r="D106" s="47">
        <v>0</v>
      </c>
      <c r="F106" s="47">
        <f t="shared" si="2"/>
        <v>0</v>
      </c>
    </row>
    <row r="107" spans="1:6" x14ac:dyDescent="0.25">
      <c r="A107" s="5" t="s">
        <v>32</v>
      </c>
      <c r="B107" s="2">
        <v>43897</v>
      </c>
      <c r="C107" s="1">
        <v>0</v>
      </c>
      <c r="D107" s="47">
        <v>0</v>
      </c>
      <c r="F107" s="47">
        <f t="shared" si="2"/>
        <v>0</v>
      </c>
    </row>
    <row r="108" spans="1:6" x14ac:dyDescent="0.25">
      <c r="A108" s="5" t="s">
        <v>33</v>
      </c>
      <c r="B108" s="2">
        <v>43897</v>
      </c>
      <c r="C108" s="1">
        <v>0</v>
      </c>
      <c r="D108" s="47">
        <v>0</v>
      </c>
      <c r="F108" s="47">
        <f t="shared" si="2"/>
        <v>0</v>
      </c>
    </row>
    <row r="109" spans="1:6" x14ac:dyDescent="0.25">
      <c r="A109" s="5" t="s">
        <v>21</v>
      </c>
      <c r="B109" s="2">
        <v>43897</v>
      </c>
      <c r="C109" s="1">
        <v>0</v>
      </c>
      <c r="D109" s="47">
        <v>0</v>
      </c>
      <c r="F109" s="47">
        <f t="shared" si="2"/>
        <v>0</v>
      </c>
    </row>
    <row r="110" spans="1:6" x14ac:dyDescent="0.25">
      <c r="A110" s="5" t="s">
        <v>17</v>
      </c>
      <c r="B110" s="2">
        <v>43897</v>
      </c>
      <c r="C110" s="1">
        <v>0</v>
      </c>
      <c r="D110" s="47">
        <v>0</v>
      </c>
      <c r="F110" s="47">
        <f t="shared" si="2"/>
        <v>0</v>
      </c>
    </row>
    <row r="111" spans="1:6" x14ac:dyDescent="0.25">
      <c r="A111" s="5" t="s">
        <v>23</v>
      </c>
      <c r="B111" s="2">
        <v>43897</v>
      </c>
      <c r="C111" s="1">
        <v>0</v>
      </c>
      <c r="D111" s="47">
        <v>0</v>
      </c>
      <c r="F111" s="47">
        <f t="shared" si="2"/>
        <v>0</v>
      </c>
    </row>
    <row r="112" spans="1:6" x14ac:dyDescent="0.25">
      <c r="A112" s="5" t="s">
        <v>19</v>
      </c>
      <c r="B112" s="2">
        <v>43897</v>
      </c>
      <c r="C112" s="1">
        <v>0</v>
      </c>
      <c r="D112" s="47">
        <v>0</v>
      </c>
      <c r="F112" s="47">
        <f t="shared" si="2"/>
        <v>0</v>
      </c>
    </row>
    <row r="113" spans="1:6" x14ac:dyDescent="0.25">
      <c r="A113" s="5" t="s">
        <v>18</v>
      </c>
      <c r="B113" s="2">
        <v>43897</v>
      </c>
      <c r="C113" s="1">
        <v>0</v>
      </c>
      <c r="D113" s="47">
        <v>0</v>
      </c>
      <c r="F113" s="47">
        <f t="shared" si="2"/>
        <v>0</v>
      </c>
    </row>
    <row r="114" spans="1:6" x14ac:dyDescent="0.25">
      <c r="A114" s="5" t="s">
        <v>34</v>
      </c>
      <c r="B114" s="2">
        <v>43897</v>
      </c>
      <c r="C114" s="1">
        <v>0</v>
      </c>
      <c r="D114" s="47">
        <v>0</v>
      </c>
      <c r="F114" s="47">
        <f t="shared" si="2"/>
        <v>0</v>
      </c>
    </row>
    <row r="115" spans="1:6" x14ac:dyDescent="0.25">
      <c r="A115" s="5" t="s">
        <v>35</v>
      </c>
      <c r="B115" s="2">
        <v>43897</v>
      </c>
      <c r="C115" s="1">
        <v>0</v>
      </c>
      <c r="D115" s="47">
        <v>0</v>
      </c>
      <c r="F115" s="47">
        <f t="shared" si="2"/>
        <v>0</v>
      </c>
    </row>
    <row r="116" spans="1:6" x14ac:dyDescent="0.25">
      <c r="A116" s="5" t="s">
        <v>36</v>
      </c>
      <c r="B116" s="2">
        <v>43897</v>
      </c>
      <c r="C116" s="1">
        <v>0</v>
      </c>
      <c r="D116" s="47">
        <v>0</v>
      </c>
      <c r="F116" s="47">
        <f t="shared" si="2"/>
        <v>0</v>
      </c>
    </row>
    <row r="117" spans="1:6" x14ac:dyDescent="0.25">
      <c r="A117" s="5" t="s">
        <v>37</v>
      </c>
      <c r="B117" s="2">
        <v>43897</v>
      </c>
      <c r="C117" s="1">
        <v>0</v>
      </c>
      <c r="D117" s="47">
        <v>0</v>
      </c>
      <c r="F117" s="47">
        <f t="shared" si="2"/>
        <v>0</v>
      </c>
    </row>
    <row r="118" spans="1:6" x14ac:dyDescent="0.25">
      <c r="A118" s="5" t="s">
        <v>22</v>
      </c>
      <c r="B118" s="2">
        <v>43897</v>
      </c>
      <c r="C118" s="1">
        <v>0</v>
      </c>
      <c r="D118" s="47">
        <v>0</v>
      </c>
      <c r="F118" s="47">
        <f t="shared" si="2"/>
        <v>0</v>
      </c>
    </row>
    <row r="119" spans="1:6" x14ac:dyDescent="0.25">
      <c r="A119" s="5" t="s">
        <v>38</v>
      </c>
      <c r="B119" s="2">
        <v>43897</v>
      </c>
      <c r="C119" s="1">
        <v>0</v>
      </c>
      <c r="D119" s="47">
        <v>0</v>
      </c>
      <c r="F119" s="47">
        <f t="shared" si="2"/>
        <v>0</v>
      </c>
    </row>
    <row r="120" spans="1:6" x14ac:dyDescent="0.25">
      <c r="A120" s="5" t="s">
        <v>39</v>
      </c>
      <c r="B120" s="2">
        <v>43897</v>
      </c>
      <c r="C120" s="1">
        <v>0</v>
      </c>
      <c r="D120" s="47">
        <v>0</v>
      </c>
      <c r="F120" s="47">
        <f t="shared" si="2"/>
        <v>0</v>
      </c>
    </row>
    <row r="121" spans="1:6" x14ac:dyDescent="0.25">
      <c r="A121" s="5" t="s">
        <v>40</v>
      </c>
      <c r="B121" s="2">
        <v>43897</v>
      </c>
      <c r="C121" s="1">
        <v>0</v>
      </c>
      <c r="D121" s="47">
        <v>0</v>
      </c>
      <c r="F121" s="47">
        <f t="shared" si="2"/>
        <v>0</v>
      </c>
    </row>
    <row r="122" spans="1:6" x14ac:dyDescent="0.25">
      <c r="A122" s="34" t="s">
        <v>16</v>
      </c>
      <c r="B122" s="2">
        <v>43898</v>
      </c>
      <c r="C122" s="1">
        <v>1</v>
      </c>
      <c r="D122" s="47">
        <v>2</v>
      </c>
      <c r="F122" s="47">
        <f>E122+F98</f>
        <v>0</v>
      </c>
    </row>
    <row r="123" spans="1:6" x14ac:dyDescent="0.25">
      <c r="A123" s="5" t="s">
        <v>28</v>
      </c>
      <c r="B123" s="2">
        <v>43898</v>
      </c>
      <c r="C123" s="1">
        <v>0</v>
      </c>
      <c r="D123" s="47">
        <v>0</v>
      </c>
      <c r="F123" s="47">
        <f t="shared" ref="F123:F145" si="3">E123+F99</f>
        <v>0</v>
      </c>
    </row>
    <row r="124" spans="1:6" x14ac:dyDescent="0.25">
      <c r="A124" s="5" t="s">
        <v>15</v>
      </c>
      <c r="B124" s="2">
        <v>43898</v>
      </c>
      <c r="C124" s="1">
        <v>0</v>
      </c>
      <c r="D124" s="47">
        <v>0</v>
      </c>
      <c r="F124" s="47">
        <f t="shared" si="3"/>
        <v>0</v>
      </c>
    </row>
    <row r="125" spans="1:6" x14ac:dyDescent="0.25">
      <c r="A125" s="5" t="s">
        <v>29</v>
      </c>
      <c r="B125" s="2">
        <v>43898</v>
      </c>
      <c r="C125" s="1">
        <v>0</v>
      </c>
      <c r="D125" s="47">
        <v>0</v>
      </c>
      <c r="F125" s="47">
        <f t="shared" si="3"/>
        <v>0</v>
      </c>
    </row>
    <row r="126" spans="1:6" x14ac:dyDescent="0.25">
      <c r="A126" s="5" t="s">
        <v>43</v>
      </c>
      <c r="B126" s="2">
        <v>43898</v>
      </c>
      <c r="C126" s="1">
        <v>2</v>
      </c>
      <c r="D126" s="47">
        <v>9</v>
      </c>
      <c r="F126" s="47">
        <f t="shared" si="3"/>
        <v>1</v>
      </c>
    </row>
    <row r="127" spans="1:6" x14ac:dyDescent="0.25">
      <c r="A127" s="5" t="s">
        <v>20</v>
      </c>
      <c r="B127" s="2">
        <v>43898</v>
      </c>
      <c r="C127" s="1">
        <v>0</v>
      </c>
      <c r="D127" s="47">
        <v>1</v>
      </c>
      <c r="F127" s="47">
        <f t="shared" si="3"/>
        <v>0</v>
      </c>
    </row>
    <row r="128" spans="1:6" x14ac:dyDescent="0.25">
      <c r="A128" s="5" t="s">
        <v>30</v>
      </c>
      <c r="B128" s="2">
        <v>43898</v>
      </c>
      <c r="C128" s="1">
        <v>0</v>
      </c>
      <c r="D128" s="47">
        <v>0</v>
      </c>
      <c r="F128" s="47">
        <f t="shared" si="3"/>
        <v>0</v>
      </c>
    </row>
    <row r="129" spans="1:6" x14ac:dyDescent="0.25">
      <c r="A129" s="5" t="s">
        <v>31</v>
      </c>
      <c r="B129" s="2">
        <v>43898</v>
      </c>
      <c r="C129" s="1">
        <v>0</v>
      </c>
      <c r="D129" s="47">
        <v>0</v>
      </c>
      <c r="F129" s="47">
        <f t="shared" si="3"/>
        <v>0</v>
      </c>
    </row>
    <row r="130" spans="1:6" x14ac:dyDescent="0.25">
      <c r="A130" s="5" t="s">
        <v>41</v>
      </c>
      <c r="B130" s="2">
        <v>43898</v>
      </c>
      <c r="C130" s="1">
        <v>0</v>
      </c>
      <c r="D130" s="47">
        <v>0</v>
      </c>
      <c r="F130" s="47">
        <f t="shared" si="3"/>
        <v>0</v>
      </c>
    </row>
    <row r="131" spans="1:6" x14ac:dyDescent="0.25">
      <c r="A131" s="5" t="s">
        <v>32</v>
      </c>
      <c r="B131" s="2">
        <v>43898</v>
      </c>
      <c r="C131" s="1">
        <v>0</v>
      </c>
      <c r="D131" s="47">
        <v>0</v>
      </c>
      <c r="F131" s="47">
        <f t="shared" si="3"/>
        <v>0</v>
      </c>
    </row>
    <row r="132" spans="1:6" x14ac:dyDescent="0.25">
      <c r="A132" s="5" t="s">
        <v>33</v>
      </c>
      <c r="B132" s="2">
        <v>43898</v>
      </c>
      <c r="C132" s="1">
        <v>0</v>
      </c>
      <c r="D132" s="47">
        <v>0</v>
      </c>
      <c r="F132" s="47">
        <f t="shared" si="3"/>
        <v>0</v>
      </c>
    </row>
    <row r="133" spans="1:6" x14ac:dyDescent="0.25">
      <c r="A133" s="5" t="s">
        <v>21</v>
      </c>
      <c r="B133" s="2">
        <v>43898</v>
      </c>
      <c r="C133" s="1">
        <v>0</v>
      </c>
      <c r="D133" s="47">
        <v>0</v>
      </c>
      <c r="F133" s="47">
        <f t="shared" si="3"/>
        <v>0</v>
      </c>
    </row>
    <row r="134" spans="1:6" x14ac:dyDescent="0.25">
      <c r="A134" s="5" t="s">
        <v>17</v>
      </c>
      <c r="B134" s="2">
        <v>43898</v>
      </c>
      <c r="C134" s="1">
        <v>0</v>
      </c>
      <c r="D134" s="47">
        <v>0</v>
      </c>
      <c r="F134" s="47">
        <f t="shared" si="3"/>
        <v>0</v>
      </c>
    </row>
    <row r="135" spans="1:6" x14ac:dyDescent="0.25">
      <c r="A135" s="5" t="s">
        <v>23</v>
      </c>
      <c r="B135" s="2">
        <v>43898</v>
      </c>
      <c r="C135" s="1">
        <v>0</v>
      </c>
      <c r="D135" s="47">
        <v>0</v>
      </c>
      <c r="F135" s="47">
        <f t="shared" si="3"/>
        <v>0</v>
      </c>
    </row>
    <row r="136" spans="1:6" x14ac:dyDescent="0.25">
      <c r="A136" s="5" t="s">
        <v>19</v>
      </c>
      <c r="B136" s="2">
        <v>43898</v>
      </c>
      <c r="C136" s="1">
        <v>0</v>
      </c>
      <c r="D136" s="47">
        <v>0</v>
      </c>
      <c r="F136" s="47">
        <f t="shared" si="3"/>
        <v>0</v>
      </c>
    </row>
    <row r="137" spans="1:6" x14ac:dyDescent="0.25">
      <c r="A137" s="5" t="s">
        <v>18</v>
      </c>
      <c r="B137" s="2">
        <v>43898</v>
      </c>
      <c r="C137" s="1">
        <v>0</v>
      </c>
      <c r="D137" s="47">
        <v>0</v>
      </c>
      <c r="F137" s="47">
        <f t="shared" si="3"/>
        <v>0</v>
      </c>
    </row>
    <row r="138" spans="1:6" x14ac:dyDescent="0.25">
      <c r="A138" s="5" t="s">
        <v>34</v>
      </c>
      <c r="B138" s="2">
        <v>43898</v>
      </c>
      <c r="C138" s="1">
        <v>0</v>
      </c>
      <c r="D138" s="47">
        <v>0</v>
      </c>
      <c r="F138" s="47">
        <f t="shared" si="3"/>
        <v>0</v>
      </c>
    </row>
    <row r="139" spans="1:6" x14ac:dyDescent="0.25">
      <c r="A139" s="5" t="s">
        <v>35</v>
      </c>
      <c r="B139" s="2">
        <v>43898</v>
      </c>
      <c r="C139" s="1">
        <v>0</v>
      </c>
      <c r="D139" s="47">
        <v>0</v>
      </c>
      <c r="F139" s="47">
        <f t="shared" si="3"/>
        <v>0</v>
      </c>
    </row>
    <row r="140" spans="1:6" x14ac:dyDescent="0.25">
      <c r="A140" s="5" t="s">
        <v>36</v>
      </c>
      <c r="B140" s="2">
        <v>43898</v>
      </c>
      <c r="C140" s="1">
        <v>0</v>
      </c>
      <c r="D140" s="47">
        <v>0</v>
      </c>
      <c r="F140" s="47">
        <f t="shared" si="3"/>
        <v>0</v>
      </c>
    </row>
    <row r="141" spans="1:6" x14ac:dyDescent="0.25">
      <c r="A141" s="5" t="s">
        <v>37</v>
      </c>
      <c r="B141" s="2">
        <v>43898</v>
      </c>
      <c r="C141" s="1">
        <v>0</v>
      </c>
      <c r="D141" s="47">
        <v>0</v>
      </c>
      <c r="F141" s="47">
        <f t="shared" si="3"/>
        <v>0</v>
      </c>
    </row>
    <row r="142" spans="1:6" x14ac:dyDescent="0.25">
      <c r="A142" s="5" t="s">
        <v>22</v>
      </c>
      <c r="B142" s="2">
        <v>43898</v>
      </c>
      <c r="C142" s="1">
        <v>0</v>
      </c>
      <c r="D142" s="47">
        <v>0</v>
      </c>
      <c r="F142" s="47">
        <f t="shared" si="3"/>
        <v>0</v>
      </c>
    </row>
    <row r="143" spans="1:6" x14ac:dyDescent="0.25">
      <c r="A143" s="5" t="s">
        <v>38</v>
      </c>
      <c r="B143" s="2">
        <v>43898</v>
      </c>
      <c r="C143" s="1">
        <v>0</v>
      </c>
      <c r="D143" s="47">
        <v>0</v>
      </c>
      <c r="F143" s="47">
        <f t="shared" si="3"/>
        <v>0</v>
      </c>
    </row>
    <row r="144" spans="1:6" x14ac:dyDescent="0.25">
      <c r="A144" s="5" t="s">
        <v>39</v>
      </c>
      <c r="B144" s="2">
        <v>43898</v>
      </c>
      <c r="C144" s="1">
        <v>0</v>
      </c>
      <c r="D144" s="47">
        <v>0</v>
      </c>
      <c r="F144" s="47">
        <f t="shared" si="3"/>
        <v>0</v>
      </c>
    </row>
    <row r="145" spans="1:6" x14ac:dyDescent="0.25">
      <c r="A145" s="5" t="s">
        <v>40</v>
      </c>
      <c r="B145" s="2">
        <v>43898</v>
      </c>
      <c r="C145" s="1">
        <v>0</v>
      </c>
      <c r="D145" s="47">
        <v>0</v>
      </c>
      <c r="F145" s="47">
        <f t="shared" si="3"/>
        <v>0</v>
      </c>
    </row>
    <row r="146" spans="1:6" x14ac:dyDescent="0.25">
      <c r="A146" s="34" t="s">
        <v>16</v>
      </c>
      <c r="B146" s="2">
        <v>43899</v>
      </c>
      <c r="C146" s="1">
        <v>0</v>
      </c>
      <c r="D146" s="47">
        <v>2</v>
      </c>
      <c r="F146" s="47">
        <f>E146+F122</f>
        <v>0</v>
      </c>
    </row>
    <row r="147" spans="1:6" x14ac:dyDescent="0.25">
      <c r="A147" s="5" t="s">
        <v>28</v>
      </c>
      <c r="B147" s="2">
        <v>43899</v>
      </c>
      <c r="C147" s="1">
        <v>0</v>
      </c>
      <c r="D147" s="47">
        <v>0</v>
      </c>
      <c r="F147" s="47">
        <f t="shared" ref="F147:F169" si="4">E147+F123</f>
        <v>0</v>
      </c>
    </row>
    <row r="148" spans="1:6" x14ac:dyDescent="0.25">
      <c r="A148" s="5" t="s">
        <v>15</v>
      </c>
      <c r="B148" s="2">
        <v>43899</v>
      </c>
      <c r="C148" s="1">
        <v>2</v>
      </c>
      <c r="D148" s="47">
        <v>2</v>
      </c>
      <c r="F148" s="47">
        <f t="shared" si="4"/>
        <v>0</v>
      </c>
    </row>
    <row r="149" spans="1:6" x14ac:dyDescent="0.25">
      <c r="A149" s="5" t="s">
        <v>29</v>
      </c>
      <c r="B149" s="2">
        <v>43899</v>
      </c>
      <c r="C149" s="1">
        <v>0</v>
      </c>
      <c r="D149" s="47">
        <v>0</v>
      </c>
      <c r="F149" s="47">
        <f t="shared" si="4"/>
        <v>0</v>
      </c>
    </row>
    <row r="150" spans="1:6" x14ac:dyDescent="0.25">
      <c r="A150" s="5" t="s">
        <v>43</v>
      </c>
      <c r="B150" s="2">
        <v>43899</v>
      </c>
      <c r="C150" s="1">
        <v>1</v>
      </c>
      <c r="D150" s="47">
        <v>10</v>
      </c>
      <c r="F150" s="47">
        <f t="shared" si="4"/>
        <v>1</v>
      </c>
    </row>
    <row r="151" spans="1:6" x14ac:dyDescent="0.25">
      <c r="A151" s="5" t="s">
        <v>20</v>
      </c>
      <c r="B151" s="2">
        <v>43899</v>
      </c>
      <c r="C151" s="1">
        <v>0</v>
      </c>
      <c r="D151" s="47">
        <v>1</v>
      </c>
      <c r="F151" s="47">
        <f t="shared" si="4"/>
        <v>0</v>
      </c>
    </row>
    <row r="152" spans="1:6" x14ac:dyDescent="0.25">
      <c r="A152" s="5" t="s">
        <v>30</v>
      </c>
      <c r="B152" s="2">
        <v>43899</v>
      </c>
      <c r="C152" s="1">
        <v>0</v>
      </c>
      <c r="D152" s="47">
        <v>0</v>
      </c>
      <c r="F152" s="47">
        <f t="shared" si="4"/>
        <v>0</v>
      </c>
    </row>
    <row r="153" spans="1:6" x14ac:dyDescent="0.25">
      <c r="A153" s="5" t="s">
        <v>31</v>
      </c>
      <c r="B153" s="2">
        <v>43899</v>
      </c>
      <c r="C153" s="1">
        <v>0</v>
      </c>
      <c r="D153" s="47">
        <v>0</v>
      </c>
      <c r="F153" s="47">
        <f t="shared" si="4"/>
        <v>0</v>
      </c>
    </row>
    <row r="154" spans="1:6" x14ac:dyDescent="0.25">
      <c r="A154" s="5" t="s">
        <v>41</v>
      </c>
      <c r="B154" s="2">
        <v>43899</v>
      </c>
      <c r="C154" s="1">
        <v>0</v>
      </c>
      <c r="D154" s="47">
        <v>0</v>
      </c>
      <c r="F154" s="47">
        <f t="shared" si="4"/>
        <v>0</v>
      </c>
    </row>
    <row r="155" spans="1:6" x14ac:dyDescent="0.25">
      <c r="A155" s="5" t="s">
        <v>32</v>
      </c>
      <c r="B155" s="2">
        <v>43899</v>
      </c>
      <c r="C155" s="1">
        <v>0</v>
      </c>
      <c r="D155" s="47">
        <v>0</v>
      </c>
      <c r="F155" s="47">
        <f t="shared" si="4"/>
        <v>0</v>
      </c>
    </row>
    <row r="156" spans="1:6" x14ac:dyDescent="0.25">
      <c r="A156" s="5" t="s">
        <v>33</v>
      </c>
      <c r="B156" s="2">
        <v>43899</v>
      </c>
      <c r="C156" s="1">
        <v>0</v>
      </c>
      <c r="D156" s="47">
        <v>0</v>
      </c>
      <c r="F156" s="47">
        <f t="shared" si="4"/>
        <v>0</v>
      </c>
    </row>
    <row r="157" spans="1:6" x14ac:dyDescent="0.25">
      <c r="A157" s="5" t="s">
        <v>21</v>
      </c>
      <c r="B157" s="2">
        <v>43899</v>
      </c>
      <c r="C157" s="1">
        <v>0</v>
      </c>
      <c r="D157" s="47">
        <v>0</v>
      </c>
      <c r="F157" s="47">
        <f t="shared" si="4"/>
        <v>0</v>
      </c>
    </row>
    <row r="158" spans="1:6" x14ac:dyDescent="0.25">
      <c r="A158" s="5" t="s">
        <v>17</v>
      </c>
      <c r="B158" s="2">
        <v>43899</v>
      </c>
      <c r="C158" s="1">
        <v>0</v>
      </c>
      <c r="D158" s="47">
        <v>0</v>
      </c>
      <c r="F158" s="47">
        <f t="shared" si="4"/>
        <v>0</v>
      </c>
    </row>
    <row r="159" spans="1:6" x14ac:dyDescent="0.25">
      <c r="A159" s="5" t="s">
        <v>23</v>
      </c>
      <c r="B159" s="2">
        <v>43899</v>
      </c>
      <c r="C159" s="1">
        <v>0</v>
      </c>
      <c r="D159" s="47">
        <v>0</v>
      </c>
      <c r="F159" s="47">
        <f t="shared" si="4"/>
        <v>0</v>
      </c>
    </row>
    <row r="160" spans="1:6" x14ac:dyDescent="0.25">
      <c r="A160" s="5" t="s">
        <v>19</v>
      </c>
      <c r="B160" s="2">
        <v>43899</v>
      </c>
      <c r="C160" s="1">
        <v>0</v>
      </c>
      <c r="D160" s="47">
        <v>0</v>
      </c>
      <c r="F160" s="47">
        <f t="shared" si="4"/>
        <v>0</v>
      </c>
    </row>
    <row r="161" spans="1:6" x14ac:dyDescent="0.25">
      <c r="A161" s="5" t="s">
        <v>18</v>
      </c>
      <c r="B161" s="2">
        <v>43899</v>
      </c>
      <c r="C161" s="1">
        <v>1</v>
      </c>
      <c r="D161" s="47">
        <v>1</v>
      </c>
      <c r="F161" s="47">
        <f t="shared" si="4"/>
        <v>0</v>
      </c>
    </row>
    <row r="162" spans="1:6" x14ac:dyDescent="0.25">
      <c r="A162" s="5" t="s">
        <v>34</v>
      </c>
      <c r="B162" s="2">
        <v>43899</v>
      </c>
      <c r="C162" s="1">
        <v>0</v>
      </c>
      <c r="D162" s="47">
        <v>0</v>
      </c>
      <c r="F162" s="47">
        <f t="shared" si="4"/>
        <v>0</v>
      </c>
    </row>
    <row r="163" spans="1:6" x14ac:dyDescent="0.25">
      <c r="A163" s="5" t="s">
        <v>35</v>
      </c>
      <c r="B163" s="2">
        <v>43899</v>
      </c>
      <c r="C163" s="1">
        <v>0</v>
      </c>
      <c r="D163" s="47">
        <v>0</v>
      </c>
      <c r="F163" s="47">
        <f t="shared" si="4"/>
        <v>0</v>
      </c>
    </row>
    <row r="164" spans="1:6" x14ac:dyDescent="0.25">
      <c r="A164" s="5" t="s">
        <v>36</v>
      </c>
      <c r="B164" s="2">
        <v>43899</v>
      </c>
      <c r="C164" s="1">
        <v>1</v>
      </c>
      <c r="D164" s="47">
        <v>1</v>
      </c>
      <c r="F164" s="47">
        <f t="shared" si="4"/>
        <v>0</v>
      </c>
    </row>
    <row r="165" spans="1:6" x14ac:dyDescent="0.25">
      <c r="A165" s="5" t="s">
        <v>37</v>
      </c>
      <c r="B165" s="2">
        <v>43899</v>
      </c>
      <c r="C165" s="1">
        <v>0</v>
      </c>
      <c r="D165" s="47">
        <v>0</v>
      </c>
      <c r="F165" s="47">
        <f t="shared" si="4"/>
        <v>0</v>
      </c>
    </row>
    <row r="166" spans="1:6" x14ac:dyDescent="0.25">
      <c r="A166" s="5" t="s">
        <v>22</v>
      </c>
      <c r="B166" s="2">
        <v>43899</v>
      </c>
      <c r="C166" s="1">
        <v>0</v>
      </c>
      <c r="D166" s="47">
        <v>0</v>
      </c>
      <c r="F166" s="47">
        <f t="shared" si="4"/>
        <v>0</v>
      </c>
    </row>
    <row r="167" spans="1:6" x14ac:dyDescent="0.25">
      <c r="A167" s="5" t="s">
        <v>38</v>
      </c>
      <c r="B167" s="2">
        <v>43899</v>
      </c>
      <c r="C167" s="1">
        <v>0</v>
      </c>
      <c r="D167" s="47">
        <v>0</v>
      </c>
      <c r="F167" s="47">
        <f t="shared" si="4"/>
        <v>0</v>
      </c>
    </row>
    <row r="168" spans="1:6" x14ac:dyDescent="0.25">
      <c r="A168" s="5" t="s">
        <v>39</v>
      </c>
      <c r="B168" s="2">
        <v>43899</v>
      </c>
      <c r="C168" s="1">
        <v>0</v>
      </c>
      <c r="D168" s="47">
        <v>0</v>
      </c>
      <c r="F168" s="47">
        <f t="shared" si="4"/>
        <v>0</v>
      </c>
    </row>
    <row r="169" spans="1:6" x14ac:dyDescent="0.25">
      <c r="A169" s="5" t="s">
        <v>40</v>
      </c>
      <c r="B169" s="2">
        <v>43899</v>
      </c>
      <c r="C169" s="1">
        <v>0</v>
      </c>
      <c r="D169" s="47">
        <v>0</v>
      </c>
      <c r="F169" s="47">
        <f t="shared" si="4"/>
        <v>0</v>
      </c>
    </row>
    <row r="170" spans="1:6" x14ac:dyDescent="0.25">
      <c r="A170" s="34" t="s">
        <v>16</v>
      </c>
      <c r="B170" s="2">
        <v>43900</v>
      </c>
      <c r="C170" s="1">
        <v>1</v>
      </c>
      <c r="D170" s="47">
        <v>3</v>
      </c>
      <c r="F170" s="47">
        <f>E170+F146</f>
        <v>0</v>
      </c>
    </row>
    <row r="171" spans="1:6" x14ac:dyDescent="0.25">
      <c r="A171" s="5" t="s">
        <v>28</v>
      </c>
      <c r="B171" s="2">
        <v>43900</v>
      </c>
      <c r="C171" s="1">
        <v>0</v>
      </c>
      <c r="D171" s="47">
        <v>0</v>
      </c>
      <c r="F171" s="47">
        <f t="shared" ref="F171:F193" si="5">E171+F147</f>
        <v>0</v>
      </c>
    </row>
    <row r="172" spans="1:6" x14ac:dyDescent="0.25">
      <c r="A172" s="5" t="s">
        <v>15</v>
      </c>
      <c r="B172" s="2">
        <v>43900</v>
      </c>
      <c r="C172" s="1">
        <v>0</v>
      </c>
      <c r="D172" s="47">
        <v>2</v>
      </c>
      <c r="F172" s="47">
        <f t="shared" si="5"/>
        <v>0</v>
      </c>
    </row>
    <row r="173" spans="1:6" x14ac:dyDescent="0.25">
      <c r="A173" s="5" t="s">
        <v>29</v>
      </c>
      <c r="B173" s="2">
        <v>43900</v>
      </c>
      <c r="C173" s="1">
        <v>0</v>
      </c>
      <c r="D173" s="47">
        <v>0</v>
      </c>
      <c r="F173" s="47">
        <f t="shared" si="5"/>
        <v>0</v>
      </c>
    </row>
    <row r="174" spans="1:6" x14ac:dyDescent="0.25">
      <c r="A174" s="5" t="s">
        <v>43</v>
      </c>
      <c r="B174" s="2">
        <v>43900</v>
      </c>
      <c r="C174" s="1">
        <v>1</v>
      </c>
      <c r="D174" s="47">
        <v>11</v>
      </c>
      <c r="F174" s="47">
        <f t="shared" si="5"/>
        <v>1</v>
      </c>
    </row>
    <row r="175" spans="1:6" x14ac:dyDescent="0.25">
      <c r="A175" s="5" t="s">
        <v>20</v>
      </c>
      <c r="B175" s="2">
        <v>43900</v>
      </c>
      <c r="C175" s="1">
        <v>0</v>
      </c>
      <c r="D175" s="47">
        <v>1</v>
      </c>
      <c r="F175" s="47">
        <f t="shared" si="5"/>
        <v>0</v>
      </c>
    </row>
    <row r="176" spans="1:6" x14ac:dyDescent="0.25">
      <c r="A176" s="5" t="s">
        <v>30</v>
      </c>
      <c r="B176" s="2">
        <v>43900</v>
      </c>
      <c r="C176" s="1">
        <v>0</v>
      </c>
      <c r="D176" s="47">
        <v>0</v>
      </c>
      <c r="F176" s="47">
        <f t="shared" si="5"/>
        <v>0</v>
      </c>
    </row>
    <row r="177" spans="1:6" x14ac:dyDescent="0.25">
      <c r="A177" s="5" t="s">
        <v>31</v>
      </c>
      <c r="B177" s="2">
        <v>43900</v>
      </c>
      <c r="C177" s="1">
        <v>0</v>
      </c>
      <c r="D177" s="47">
        <v>0</v>
      </c>
      <c r="F177" s="47">
        <f t="shared" si="5"/>
        <v>0</v>
      </c>
    </row>
    <row r="178" spans="1:6" x14ac:dyDescent="0.25">
      <c r="A178" s="5" t="s">
        <v>41</v>
      </c>
      <c r="B178" s="2">
        <v>43900</v>
      </c>
      <c r="C178" s="1">
        <v>0</v>
      </c>
      <c r="D178" s="47">
        <v>0</v>
      </c>
      <c r="F178" s="47">
        <f t="shared" si="5"/>
        <v>0</v>
      </c>
    </row>
    <row r="179" spans="1:6" x14ac:dyDescent="0.25">
      <c r="A179" s="5" t="s">
        <v>32</v>
      </c>
      <c r="B179" s="2">
        <v>43900</v>
      </c>
      <c r="C179" s="1">
        <v>0</v>
      </c>
      <c r="D179" s="47">
        <v>0</v>
      </c>
      <c r="F179" s="47">
        <f t="shared" si="5"/>
        <v>0</v>
      </c>
    </row>
    <row r="180" spans="1:6" x14ac:dyDescent="0.25">
      <c r="A180" s="5" t="s">
        <v>33</v>
      </c>
      <c r="B180" s="2">
        <v>43900</v>
      </c>
      <c r="C180" s="1">
        <v>0</v>
      </c>
      <c r="D180" s="47">
        <v>0</v>
      </c>
      <c r="F180" s="47">
        <f t="shared" si="5"/>
        <v>0</v>
      </c>
    </row>
    <row r="181" spans="1:6" x14ac:dyDescent="0.25">
      <c r="A181" s="5" t="s">
        <v>21</v>
      </c>
      <c r="B181" s="2">
        <v>43900</v>
      </c>
      <c r="C181" s="1">
        <v>0</v>
      </c>
      <c r="D181" s="47">
        <v>0</v>
      </c>
      <c r="F181" s="47">
        <f t="shared" si="5"/>
        <v>0</v>
      </c>
    </row>
    <row r="182" spans="1:6" x14ac:dyDescent="0.25">
      <c r="A182" s="5" t="s">
        <v>17</v>
      </c>
      <c r="B182" s="2">
        <v>43900</v>
      </c>
      <c r="C182" s="1">
        <v>0</v>
      </c>
      <c r="D182" s="47">
        <v>0</v>
      </c>
      <c r="F182" s="47">
        <f t="shared" si="5"/>
        <v>0</v>
      </c>
    </row>
    <row r="183" spans="1:6" x14ac:dyDescent="0.25">
      <c r="A183" s="5" t="s">
        <v>23</v>
      </c>
      <c r="B183" s="2">
        <v>43900</v>
      </c>
      <c r="C183" s="1">
        <v>0</v>
      </c>
      <c r="D183" s="47">
        <v>0</v>
      </c>
      <c r="F183" s="47">
        <f t="shared" si="5"/>
        <v>0</v>
      </c>
    </row>
    <row r="184" spans="1:6" x14ac:dyDescent="0.25">
      <c r="A184" s="5" t="s">
        <v>19</v>
      </c>
      <c r="B184" s="2">
        <v>43900</v>
      </c>
      <c r="C184" s="1">
        <v>0</v>
      </c>
      <c r="D184" s="47">
        <v>0</v>
      </c>
      <c r="F184" s="47">
        <f t="shared" si="5"/>
        <v>0</v>
      </c>
    </row>
    <row r="185" spans="1:6" x14ac:dyDescent="0.25">
      <c r="A185" s="5" t="s">
        <v>18</v>
      </c>
      <c r="B185" s="2">
        <v>43900</v>
      </c>
      <c r="C185" s="1">
        <v>0</v>
      </c>
      <c r="D185" s="47">
        <v>1</v>
      </c>
      <c r="F185" s="47">
        <f t="shared" si="5"/>
        <v>0</v>
      </c>
    </row>
    <row r="186" spans="1:6" x14ac:dyDescent="0.25">
      <c r="A186" s="5" t="s">
        <v>34</v>
      </c>
      <c r="B186" s="2">
        <v>43900</v>
      </c>
      <c r="C186" s="1">
        <v>0</v>
      </c>
      <c r="D186" s="47">
        <v>0</v>
      </c>
      <c r="F186" s="47">
        <f t="shared" si="5"/>
        <v>0</v>
      </c>
    </row>
    <row r="187" spans="1:6" x14ac:dyDescent="0.25">
      <c r="A187" s="5" t="s">
        <v>35</v>
      </c>
      <c r="B187" s="2">
        <v>43900</v>
      </c>
      <c r="C187" s="1">
        <v>0</v>
      </c>
      <c r="D187" s="47">
        <v>0</v>
      </c>
      <c r="F187" s="47">
        <f t="shared" si="5"/>
        <v>0</v>
      </c>
    </row>
    <row r="188" spans="1:6" x14ac:dyDescent="0.25">
      <c r="A188" s="5" t="s">
        <v>36</v>
      </c>
      <c r="B188" s="2">
        <v>43900</v>
      </c>
      <c r="C188" s="1">
        <v>0</v>
      </c>
      <c r="D188" s="47">
        <v>1</v>
      </c>
      <c r="F188" s="47">
        <f t="shared" si="5"/>
        <v>0</v>
      </c>
    </row>
    <row r="189" spans="1:6" x14ac:dyDescent="0.25">
      <c r="A189" s="5" t="s">
        <v>37</v>
      </c>
      <c r="B189" s="2">
        <v>43900</v>
      </c>
      <c r="C189" s="1">
        <v>0</v>
      </c>
      <c r="D189" s="47">
        <v>0</v>
      </c>
      <c r="F189" s="47">
        <f t="shared" si="5"/>
        <v>0</v>
      </c>
    </row>
    <row r="190" spans="1:6" x14ac:dyDescent="0.25">
      <c r="A190" s="5" t="s">
        <v>22</v>
      </c>
      <c r="B190" s="2">
        <v>43900</v>
      </c>
      <c r="C190" s="1">
        <v>0</v>
      </c>
      <c r="D190" s="47">
        <v>0</v>
      </c>
      <c r="F190" s="47">
        <f t="shared" si="5"/>
        <v>0</v>
      </c>
    </row>
    <row r="191" spans="1:6" x14ac:dyDescent="0.25">
      <c r="A191" s="5" t="s">
        <v>38</v>
      </c>
      <c r="B191" s="2">
        <v>43900</v>
      </c>
      <c r="C191" s="1">
        <v>0</v>
      </c>
      <c r="D191" s="47">
        <v>0</v>
      </c>
      <c r="F191" s="47">
        <f t="shared" si="5"/>
        <v>0</v>
      </c>
    </row>
    <row r="192" spans="1:6" x14ac:dyDescent="0.25">
      <c r="A192" s="5" t="s">
        <v>39</v>
      </c>
      <c r="B192" s="2">
        <v>43900</v>
      </c>
      <c r="C192" s="1">
        <v>0</v>
      </c>
      <c r="D192" s="47">
        <v>0</v>
      </c>
      <c r="F192" s="47">
        <f t="shared" si="5"/>
        <v>0</v>
      </c>
    </row>
    <row r="193" spans="1:6" x14ac:dyDescent="0.25">
      <c r="A193" s="5" t="s">
        <v>40</v>
      </c>
      <c r="B193" s="2">
        <v>43900</v>
      </c>
      <c r="C193" s="1">
        <v>0</v>
      </c>
      <c r="D193" s="47">
        <v>0</v>
      </c>
      <c r="F193" s="47">
        <f t="shared" si="5"/>
        <v>0</v>
      </c>
    </row>
    <row r="194" spans="1:6" x14ac:dyDescent="0.25">
      <c r="A194" s="34" t="s">
        <v>16</v>
      </c>
      <c r="B194" s="2">
        <v>43901</v>
      </c>
      <c r="C194" s="1">
        <v>1</v>
      </c>
      <c r="D194" s="47">
        <v>4</v>
      </c>
      <c r="F194" s="47">
        <f>E194+F170</f>
        <v>0</v>
      </c>
    </row>
    <row r="195" spans="1:6" x14ac:dyDescent="0.25">
      <c r="A195" s="5" t="s">
        <v>28</v>
      </c>
      <c r="B195" s="2">
        <v>43901</v>
      </c>
      <c r="C195" s="1">
        <v>0</v>
      </c>
      <c r="D195" s="47">
        <v>0</v>
      </c>
      <c r="F195" s="47">
        <f t="shared" ref="F195:F217" si="6">E195+F171</f>
        <v>0</v>
      </c>
    </row>
    <row r="196" spans="1:6" x14ac:dyDescent="0.25">
      <c r="A196" s="5" t="s">
        <v>15</v>
      </c>
      <c r="B196" s="2">
        <v>43901</v>
      </c>
      <c r="C196" s="1">
        <v>0</v>
      </c>
      <c r="D196" s="47">
        <v>2</v>
      </c>
      <c r="F196" s="47">
        <f t="shared" si="6"/>
        <v>0</v>
      </c>
    </row>
    <row r="197" spans="1:6" x14ac:dyDescent="0.25">
      <c r="A197" s="5" t="s">
        <v>29</v>
      </c>
      <c r="B197" s="2">
        <v>43901</v>
      </c>
      <c r="C197" s="1">
        <v>0</v>
      </c>
      <c r="D197" s="47">
        <v>0</v>
      </c>
      <c r="F197" s="47">
        <f t="shared" si="6"/>
        <v>0</v>
      </c>
    </row>
    <row r="198" spans="1:6" x14ac:dyDescent="0.25">
      <c r="A198" s="5" t="s">
        <v>43</v>
      </c>
      <c r="B198" s="2">
        <v>43901</v>
      </c>
      <c r="C198" s="1">
        <v>1</v>
      </c>
      <c r="D198" s="47">
        <v>12</v>
      </c>
      <c r="F198" s="47">
        <f t="shared" si="6"/>
        <v>1</v>
      </c>
    </row>
    <row r="199" spans="1:6" x14ac:dyDescent="0.25">
      <c r="A199" s="5" t="s">
        <v>20</v>
      </c>
      <c r="B199" s="2">
        <v>43901</v>
      </c>
      <c r="C199" s="1">
        <v>0</v>
      </c>
      <c r="D199" s="47">
        <v>1</v>
      </c>
      <c r="F199" s="47">
        <f t="shared" si="6"/>
        <v>0</v>
      </c>
    </row>
    <row r="200" spans="1:6" x14ac:dyDescent="0.25">
      <c r="A200" s="5" t="s">
        <v>30</v>
      </c>
      <c r="B200" s="2">
        <v>43901</v>
      </c>
      <c r="C200" s="1">
        <v>0</v>
      </c>
      <c r="D200" s="47">
        <v>0</v>
      </c>
      <c r="F200" s="47">
        <f t="shared" si="6"/>
        <v>0</v>
      </c>
    </row>
    <row r="201" spans="1:6" x14ac:dyDescent="0.25">
      <c r="A201" s="5" t="s">
        <v>31</v>
      </c>
      <c r="B201" s="2">
        <v>43901</v>
      </c>
      <c r="C201" s="1">
        <v>0</v>
      </c>
      <c r="D201" s="47">
        <v>0</v>
      </c>
      <c r="F201" s="47">
        <f t="shared" si="6"/>
        <v>0</v>
      </c>
    </row>
    <row r="202" spans="1:6" x14ac:dyDescent="0.25">
      <c r="A202" s="5" t="s">
        <v>41</v>
      </c>
      <c r="B202" s="2">
        <v>43901</v>
      </c>
      <c r="C202" s="1">
        <v>0</v>
      </c>
      <c r="D202" s="47">
        <v>0</v>
      </c>
      <c r="F202" s="47">
        <f t="shared" si="6"/>
        <v>0</v>
      </c>
    </row>
    <row r="203" spans="1:6" x14ac:dyDescent="0.25">
      <c r="A203" s="5" t="s">
        <v>32</v>
      </c>
      <c r="B203" s="2">
        <v>43901</v>
      </c>
      <c r="C203" s="1">
        <v>0</v>
      </c>
      <c r="D203" s="47">
        <v>0</v>
      </c>
      <c r="F203" s="47">
        <f t="shared" si="6"/>
        <v>0</v>
      </c>
    </row>
    <row r="204" spans="1:6" x14ac:dyDescent="0.25">
      <c r="A204" s="5" t="s">
        <v>33</v>
      </c>
      <c r="B204" s="2">
        <v>43901</v>
      </c>
      <c r="C204" s="1">
        <v>0</v>
      </c>
      <c r="D204" s="47">
        <v>0</v>
      </c>
      <c r="F204" s="47">
        <f t="shared" si="6"/>
        <v>0</v>
      </c>
    </row>
    <row r="205" spans="1:6" x14ac:dyDescent="0.25">
      <c r="A205" s="5" t="s">
        <v>21</v>
      </c>
      <c r="B205" s="2">
        <v>43901</v>
      </c>
      <c r="C205" s="1">
        <v>0</v>
      </c>
      <c r="D205" s="47">
        <v>0</v>
      </c>
      <c r="F205" s="47">
        <f t="shared" si="6"/>
        <v>0</v>
      </c>
    </row>
    <row r="206" spans="1:6" x14ac:dyDescent="0.25">
      <c r="A206" s="5" t="s">
        <v>17</v>
      </c>
      <c r="B206" s="2">
        <v>43901</v>
      </c>
      <c r="C206" s="1">
        <v>0</v>
      </c>
      <c r="D206" s="47">
        <v>0</v>
      </c>
      <c r="F206" s="47">
        <f t="shared" si="6"/>
        <v>0</v>
      </c>
    </row>
    <row r="207" spans="1:6" x14ac:dyDescent="0.25">
      <c r="A207" s="5" t="s">
        <v>23</v>
      </c>
      <c r="B207" s="2">
        <v>43901</v>
      </c>
      <c r="C207" s="1">
        <v>0</v>
      </c>
      <c r="D207" s="47">
        <v>0</v>
      </c>
      <c r="F207" s="47">
        <f t="shared" si="6"/>
        <v>0</v>
      </c>
    </row>
    <row r="208" spans="1:6" x14ac:dyDescent="0.25">
      <c r="A208" s="5" t="s">
        <v>19</v>
      </c>
      <c r="B208" s="2">
        <v>43901</v>
      </c>
      <c r="C208" s="1">
        <v>0</v>
      </c>
      <c r="D208" s="47">
        <v>0</v>
      </c>
      <c r="F208" s="47">
        <f t="shared" si="6"/>
        <v>0</v>
      </c>
    </row>
    <row r="209" spans="1:6" x14ac:dyDescent="0.25">
      <c r="A209" s="5" t="s">
        <v>18</v>
      </c>
      <c r="B209" s="2">
        <v>43901</v>
      </c>
      <c r="C209" s="1">
        <v>0</v>
      </c>
      <c r="D209" s="47">
        <v>1</v>
      </c>
      <c r="F209" s="47">
        <f t="shared" si="6"/>
        <v>0</v>
      </c>
    </row>
    <row r="210" spans="1:6" x14ac:dyDescent="0.25">
      <c r="A210" s="5" t="s">
        <v>34</v>
      </c>
      <c r="B210" s="2">
        <v>43901</v>
      </c>
      <c r="C210" s="1">
        <v>0</v>
      </c>
      <c r="D210" s="47">
        <v>0</v>
      </c>
      <c r="F210" s="47">
        <f t="shared" si="6"/>
        <v>0</v>
      </c>
    </row>
    <row r="211" spans="1:6" x14ac:dyDescent="0.25">
      <c r="A211" s="5" t="s">
        <v>35</v>
      </c>
      <c r="B211" s="2">
        <v>43901</v>
      </c>
      <c r="C211" s="1">
        <v>0</v>
      </c>
      <c r="D211" s="47">
        <v>0</v>
      </c>
      <c r="F211" s="47">
        <f t="shared" si="6"/>
        <v>0</v>
      </c>
    </row>
    <row r="212" spans="1:6" x14ac:dyDescent="0.25">
      <c r="A212" s="5" t="s">
        <v>36</v>
      </c>
      <c r="B212" s="2">
        <v>43901</v>
      </c>
      <c r="C212" s="1">
        <v>0</v>
      </c>
      <c r="D212" s="47">
        <v>1</v>
      </c>
      <c r="F212" s="47">
        <f t="shared" si="6"/>
        <v>0</v>
      </c>
    </row>
    <row r="213" spans="1:6" x14ac:dyDescent="0.25">
      <c r="A213" s="5" t="s">
        <v>37</v>
      </c>
      <c r="B213" s="2">
        <v>43901</v>
      </c>
      <c r="C213" s="1">
        <v>0</v>
      </c>
      <c r="D213" s="47">
        <v>0</v>
      </c>
      <c r="F213" s="47">
        <f t="shared" si="6"/>
        <v>0</v>
      </c>
    </row>
    <row r="214" spans="1:6" x14ac:dyDescent="0.25">
      <c r="A214" s="5" t="s">
        <v>22</v>
      </c>
      <c r="B214" s="2">
        <v>43901</v>
      </c>
      <c r="C214" s="1">
        <v>0</v>
      </c>
      <c r="D214" s="47">
        <v>0</v>
      </c>
      <c r="F214" s="47">
        <f t="shared" si="6"/>
        <v>0</v>
      </c>
    </row>
    <row r="215" spans="1:6" x14ac:dyDescent="0.25">
      <c r="A215" s="5" t="s">
        <v>38</v>
      </c>
      <c r="B215" s="2">
        <v>43901</v>
      </c>
      <c r="C215" s="1">
        <v>0</v>
      </c>
      <c r="D215" s="47">
        <v>0</v>
      </c>
      <c r="F215" s="47">
        <f t="shared" si="6"/>
        <v>0</v>
      </c>
    </row>
    <row r="216" spans="1:6" x14ac:dyDescent="0.25">
      <c r="A216" s="5" t="s">
        <v>39</v>
      </c>
      <c r="B216" s="2">
        <v>43901</v>
      </c>
      <c r="C216" s="1">
        <v>0</v>
      </c>
      <c r="D216" s="47">
        <v>0</v>
      </c>
      <c r="F216" s="47">
        <f t="shared" si="6"/>
        <v>0</v>
      </c>
    </row>
    <row r="217" spans="1:6" x14ac:dyDescent="0.25">
      <c r="A217" s="5" t="s">
        <v>40</v>
      </c>
      <c r="B217" s="2">
        <v>43901</v>
      </c>
      <c r="C217" s="1">
        <v>0</v>
      </c>
      <c r="D217" s="47">
        <v>0</v>
      </c>
      <c r="F217" s="47">
        <f t="shared" si="6"/>
        <v>0</v>
      </c>
    </row>
    <row r="218" spans="1:6" x14ac:dyDescent="0.25">
      <c r="A218" s="34" t="s">
        <v>16</v>
      </c>
      <c r="B218" s="2">
        <v>43902</v>
      </c>
      <c r="C218" s="1">
        <v>4</v>
      </c>
      <c r="D218" s="47">
        <v>8</v>
      </c>
      <c r="F218" s="47">
        <f>E218+F194</f>
        <v>0</v>
      </c>
    </row>
    <row r="219" spans="1:6" x14ac:dyDescent="0.25">
      <c r="A219" s="5" t="s">
        <v>28</v>
      </c>
      <c r="B219" s="2">
        <v>43902</v>
      </c>
      <c r="C219" s="1">
        <v>0</v>
      </c>
      <c r="D219" s="47">
        <v>0</v>
      </c>
      <c r="F219" s="47">
        <f t="shared" ref="F219:F241" si="7">E219+F195</f>
        <v>0</v>
      </c>
    </row>
    <row r="220" spans="1:6" x14ac:dyDescent="0.25">
      <c r="A220" s="5" t="s">
        <v>15</v>
      </c>
      <c r="B220" s="2">
        <v>43902</v>
      </c>
      <c r="C220" s="1">
        <v>2</v>
      </c>
      <c r="D220" s="47">
        <v>4</v>
      </c>
      <c r="F220" s="47">
        <f t="shared" si="7"/>
        <v>0</v>
      </c>
    </row>
    <row r="221" spans="1:6" x14ac:dyDescent="0.25">
      <c r="A221" s="5" t="s">
        <v>29</v>
      </c>
      <c r="B221" s="2">
        <v>43902</v>
      </c>
      <c r="C221" s="1">
        <v>0</v>
      </c>
      <c r="D221" s="47">
        <v>0</v>
      </c>
      <c r="F221" s="47">
        <f t="shared" si="7"/>
        <v>0</v>
      </c>
    </row>
    <row r="222" spans="1:6" x14ac:dyDescent="0.25">
      <c r="A222" s="5" t="s">
        <v>43</v>
      </c>
      <c r="B222" s="2">
        <v>43902</v>
      </c>
      <c r="C222" s="1">
        <v>2</v>
      </c>
      <c r="D222" s="47">
        <v>14</v>
      </c>
      <c r="F222" s="47">
        <f t="shared" si="7"/>
        <v>1</v>
      </c>
    </row>
    <row r="223" spans="1:6" x14ac:dyDescent="0.25">
      <c r="A223" s="5" t="s">
        <v>20</v>
      </c>
      <c r="B223" s="2">
        <v>43902</v>
      </c>
      <c r="C223" s="1">
        <v>1</v>
      </c>
      <c r="D223" s="47">
        <v>2</v>
      </c>
      <c r="F223" s="47">
        <f t="shared" si="7"/>
        <v>0</v>
      </c>
    </row>
    <row r="224" spans="1:6" x14ac:dyDescent="0.25">
      <c r="A224" s="5" t="s">
        <v>30</v>
      </c>
      <c r="B224" s="2">
        <v>43902</v>
      </c>
      <c r="C224" s="1">
        <v>0</v>
      </c>
      <c r="D224" s="47">
        <v>0</v>
      </c>
      <c r="F224" s="47">
        <f t="shared" si="7"/>
        <v>0</v>
      </c>
    </row>
    <row r="225" spans="1:6" x14ac:dyDescent="0.25">
      <c r="A225" s="5" t="s">
        <v>31</v>
      </c>
      <c r="B225" s="2">
        <v>43902</v>
      </c>
      <c r="C225" s="1">
        <v>1</v>
      </c>
      <c r="D225" s="47">
        <v>1</v>
      </c>
      <c r="F225" s="47">
        <f t="shared" si="7"/>
        <v>0</v>
      </c>
    </row>
    <row r="226" spans="1:6" x14ac:dyDescent="0.25">
      <c r="A226" s="5" t="s">
        <v>41</v>
      </c>
      <c r="B226" s="2">
        <v>43902</v>
      </c>
      <c r="C226" s="1">
        <v>0</v>
      </c>
      <c r="D226" s="47">
        <v>0</v>
      </c>
      <c r="F226" s="47">
        <f t="shared" si="7"/>
        <v>0</v>
      </c>
    </row>
    <row r="227" spans="1:6" x14ac:dyDescent="0.25">
      <c r="A227" s="5" t="s">
        <v>32</v>
      </c>
      <c r="B227" s="2">
        <v>43902</v>
      </c>
      <c r="C227" s="1">
        <v>0</v>
      </c>
      <c r="D227" s="47">
        <v>0</v>
      </c>
      <c r="F227" s="47">
        <f t="shared" si="7"/>
        <v>0</v>
      </c>
    </row>
    <row r="228" spans="1:6" x14ac:dyDescent="0.25">
      <c r="A228" s="5" t="s">
        <v>33</v>
      </c>
      <c r="B228" s="2">
        <v>43902</v>
      </c>
      <c r="C228" s="1">
        <v>0</v>
      </c>
      <c r="D228" s="47">
        <v>0</v>
      </c>
      <c r="F228" s="47">
        <f t="shared" si="7"/>
        <v>0</v>
      </c>
    </row>
    <row r="229" spans="1:6" x14ac:dyDescent="0.25">
      <c r="A229" s="5" t="s">
        <v>21</v>
      </c>
      <c r="B229" s="2">
        <v>43902</v>
      </c>
      <c r="C229" s="1">
        <v>0</v>
      </c>
      <c r="D229" s="47">
        <v>0</v>
      </c>
      <c r="F229" s="47">
        <f t="shared" si="7"/>
        <v>0</v>
      </c>
    </row>
    <row r="230" spans="1:6" x14ac:dyDescent="0.25">
      <c r="A230" s="5" t="s">
        <v>17</v>
      </c>
      <c r="B230" s="2">
        <v>43902</v>
      </c>
      <c r="C230" s="1">
        <v>0</v>
      </c>
      <c r="D230" s="47">
        <v>0</v>
      </c>
      <c r="F230" s="47">
        <f t="shared" si="7"/>
        <v>0</v>
      </c>
    </row>
    <row r="231" spans="1:6" x14ac:dyDescent="0.25">
      <c r="A231" s="5" t="s">
        <v>23</v>
      </c>
      <c r="B231" s="2">
        <v>43902</v>
      </c>
      <c r="C231" s="1">
        <v>0</v>
      </c>
      <c r="D231" s="47">
        <v>0</v>
      </c>
      <c r="F231" s="47">
        <f t="shared" si="7"/>
        <v>0</v>
      </c>
    </row>
    <row r="232" spans="1:6" x14ac:dyDescent="0.25">
      <c r="A232" s="5" t="s">
        <v>19</v>
      </c>
      <c r="B232" s="2">
        <v>43902</v>
      </c>
      <c r="C232" s="1">
        <v>0</v>
      </c>
      <c r="D232" s="47">
        <v>0</v>
      </c>
      <c r="F232" s="47">
        <f t="shared" si="7"/>
        <v>0</v>
      </c>
    </row>
    <row r="233" spans="1:6" x14ac:dyDescent="0.25">
      <c r="A233" s="5" t="s">
        <v>18</v>
      </c>
      <c r="B233" s="2">
        <v>43902</v>
      </c>
      <c r="C233" s="1">
        <v>0</v>
      </c>
      <c r="D233" s="47">
        <v>1</v>
      </c>
      <c r="F233" s="47">
        <f t="shared" si="7"/>
        <v>0</v>
      </c>
    </row>
    <row r="234" spans="1:6" x14ac:dyDescent="0.25">
      <c r="A234" s="5" t="s">
        <v>34</v>
      </c>
      <c r="B234" s="2">
        <v>43902</v>
      </c>
      <c r="C234" s="1">
        <v>0</v>
      </c>
      <c r="D234" s="47">
        <v>0</v>
      </c>
      <c r="F234" s="47">
        <f t="shared" si="7"/>
        <v>0</v>
      </c>
    </row>
    <row r="235" spans="1:6" x14ac:dyDescent="0.25">
      <c r="A235" s="5" t="s">
        <v>35</v>
      </c>
      <c r="B235" s="2">
        <v>43902</v>
      </c>
      <c r="C235" s="1">
        <v>0</v>
      </c>
      <c r="D235" s="47">
        <v>0</v>
      </c>
      <c r="F235" s="47">
        <f t="shared" si="7"/>
        <v>0</v>
      </c>
    </row>
    <row r="236" spans="1:6" x14ac:dyDescent="0.25">
      <c r="A236" s="5" t="s">
        <v>36</v>
      </c>
      <c r="B236" s="2">
        <v>43902</v>
      </c>
      <c r="C236" s="1">
        <v>0</v>
      </c>
      <c r="D236" s="47">
        <v>1</v>
      </c>
      <c r="F236" s="47">
        <f t="shared" si="7"/>
        <v>0</v>
      </c>
    </row>
    <row r="237" spans="1:6" x14ac:dyDescent="0.25">
      <c r="A237" s="5" t="s">
        <v>37</v>
      </c>
      <c r="B237" s="2">
        <v>43902</v>
      </c>
      <c r="C237" s="1">
        <v>0</v>
      </c>
      <c r="D237" s="47">
        <v>0</v>
      </c>
      <c r="F237" s="47">
        <f t="shared" si="7"/>
        <v>0</v>
      </c>
    </row>
    <row r="238" spans="1:6" x14ac:dyDescent="0.25">
      <c r="A238" s="5" t="s">
        <v>22</v>
      </c>
      <c r="B238" s="2">
        <v>43902</v>
      </c>
      <c r="C238" s="1">
        <v>0</v>
      </c>
      <c r="D238" s="47">
        <v>0</v>
      </c>
      <c r="F238" s="47">
        <f t="shared" si="7"/>
        <v>0</v>
      </c>
    </row>
    <row r="239" spans="1:6" x14ac:dyDescent="0.25">
      <c r="A239" s="5" t="s">
        <v>38</v>
      </c>
      <c r="B239" s="2">
        <v>43902</v>
      </c>
      <c r="C239" s="1">
        <v>0</v>
      </c>
      <c r="D239" s="47">
        <v>0</v>
      </c>
      <c r="F239" s="47">
        <f t="shared" si="7"/>
        <v>0</v>
      </c>
    </row>
    <row r="240" spans="1:6" x14ac:dyDescent="0.25">
      <c r="A240" s="5" t="s">
        <v>39</v>
      </c>
      <c r="B240" s="2">
        <v>43902</v>
      </c>
      <c r="C240" s="1">
        <v>0</v>
      </c>
      <c r="D240" s="47">
        <v>0</v>
      </c>
      <c r="F240" s="47">
        <f t="shared" si="7"/>
        <v>0</v>
      </c>
    </row>
    <row r="241" spans="1:6" x14ac:dyDescent="0.25">
      <c r="A241" s="5" t="s">
        <v>40</v>
      </c>
      <c r="B241" s="2">
        <v>43902</v>
      </c>
      <c r="C241" s="1">
        <v>0</v>
      </c>
      <c r="D241" s="47">
        <v>0</v>
      </c>
      <c r="F241" s="47">
        <f t="shared" si="7"/>
        <v>0</v>
      </c>
    </row>
    <row r="242" spans="1:6" x14ac:dyDescent="0.25">
      <c r="A242" s="34" t="s">
        <v>16</v>
      </c>
      <c r="B242" s="2">
        <v>43903</v>
      </c>
      <c r="C242" s="1">
        <v>1</v>
      </c>
      <c r="D242" s="47">
        <v>9</v>
      </c>
      <c r="F242" s="47">
        <f>E242+F218</f>
        <v>0</v>
      </c>
    </row>
    <row r="243" spans="1:6" x14ac:dyDescent="0.25">
      <c r="A243" s="5" t="s">
        <v>28</v>
      </c>
      <c r="B243" s="2">
        <v>43903</v>
      </c>
      <c r="C243" s="1">
        <v>0</v>
      </c>
      <c r="D243" s="47">
        <v>0</v>
      </c>
      <c r="F243" s="47">
        <f t="shared" ref="F243:F265" si="8">E243+F219</f>
        <v>0</v>
      </c>
    </row>
    <row r="244" spans="1:6" x14ac:dyDescent="0.25">
      <c r="A244" s="5" t="s">
        <v>15</v>
      </c>
      <c r="B244" s="2">
        <v>43903</v>
      </c>
      <c r="C244" s="1">
        <v>0</v>
      </c>
      <c r="D244" s="47">
        <v>4</v>
      </c>
      <c r="E244" s="1">
        <v>1</v>
      </c>
      <c r="F244" s="47">
        <f t="shared" si="8"/>
        <v>1</v>
      </c>
    </row>
    <row r="245" spans="1:6" x14ac:dyDescent="0.25">
      <c r="A245" s="5" t="s">
        <v>29</v>
      </c>
      <c r="B245" s="2">
        <v>43903</v>
      </c>
      <c r="C245" s="1">
        <v>0</v>
      </c>
      <c r="D245" s="47">
        <v>0</v>
      </c>
      <c r="F245" s="47">
        <f t="shared" si="8"/>
        <v>0</v>
      </c>
    </row>
    <row r="246" spans="1:6" x14ac:dyDescent="0.25">
      <c r="A246" s="5" t="s">
        <v>43</v>
      </c>
      <c r="B246" s="2">
        <v>43903</v>
      </c>
      <c r="C246" s="1">
        <v>2</v>
      </c>
      <c r="D246" s="47">
        <v>16</v>
      </c>
      <c r="F246" s="47">
        <f t="shared" si="8"/>
        <v>1</v>
      </c>
    </row>
    <row r="247" spans="1:6" x14ac:dyDescent="0.25">
      <c r="A247" s="5" t="s">
        <v>20</v>
      </c>
      <c r="B247" s="2">
        <v>43903</v>
      </c>
      <c r="C247" s="1">
        <v>0</v>
      </c>
      <c r="D247" s="47">
        <v>2</v>
      </c>
      <c r="F247" s="47">
        <f t="shared" si="8"/>
        <v>0</v>
      </c>
    </row>
    <row r="248" spans="1:6" x14ac:dyDescent="0.25">
      <c r="A248" s="5" t="s">
        <v>30</v>
      </c>
      <c r="B248" s="2">
        <v>43903</v>
      </c>
      <c r="C248" s="1">
        <v>0</v>
      </c>
      <c r="D248" s="47">
        <v>0</v>
      </c>
      <c r="F248" s="47">
        <f t="shared" si="8"/>
        <v>0</v>
      </c>
    </row>
    <row r="249" spans="1:6" x14ac:dyDescent="0.25">
      <c r="A249" s="5" t="s">
        <v>31</v>
      </c>
      <c r="B249" s="2">
        <v>43903</v>
      </c>
      <c r="C249" s="1">
        <v>0</v>
      </c>
      <c r="D249" s="47">
        <v>1</v>
      </c>
      <c r="F249" s="47">
        <f t="shared" si="8"/>
        <v>0</v>
      </c>
    </row>
    <row r="250" spans="1:6" x14ac:dyDescent="0.25">
      <c r="A250" s="5" t="s">
        <v>41</v>
      </c>
      <c r="B250" s="2">
        <v>43903</v>
      </c>
      <c r="C250" s="1">
        <v>0</v>
      </c>
      <c r="D250" s="47">
        <v>0</v>
      </c>
      <c r="F250" s="47">
        <f t="shared" si="8"/>
        <v>0</v>
      </c>
    </row>
    <row r="251" spans="1:6" x14ac:dyDescent="0.25">
      <c r="A251" s="5" t="s">
        <v>32</v>
      </c>
      <c r="B251" s="2">
        <v>43903</v>
      </c>
      <c r="C251" s="1">
        <v>0</v>
      </c>
      <c r="D251" s="47">
        <v>0</v>
      </c>
      <c r="F251" s="47">
        <f t="shared" si="8"/>
        <v>0</v>
      </c>
    </row>
    <row r="252" spans="1:6" x14ac:dyDescent="0.25">
      <c r="A252" s="5" t="s">
        <v>33</v>
      </c>
      <c r="B252" s="2">
        <v>43903</v>
      </c>
      <c r="C252" s="1">
        <v>0</v>
      </c>
      <c r="D252" s="47">
        <v>0</v>
      </c>
      <c r="F252" s="47">
        <f t="shared" si="8"/>
        <v>0</v>
      </c>
    </row>
    <row r="253" spans="1:6" x14ac:dyDescent="0.25">
      <c r="A253" s="5" t="s">
        <v>21</v>
      </c>
      <c r="B253" s="2">
        <v>43903</v>
      </c>
      <c r="C253" s="1">
        <v>0</v>
      </c>
      <c r="D253" s="47">
        <v>0</v>
      </c>
      <c r="F253" s="47">
        <f t="shared" si="8"/>
        <v>0</v>
      </c>
    </row>
    <row r="254" spans="1:6" x14ac:dyDescent="0.25">
      <c r="A254" s="5" t="s">
        <v>17</v>
      </c>
      <c r="B254" s="2">
        <v>43903</v>
      </c>
      <c r="C254" s="1">
        <v>0</v>
      </c>
      <c r="D254" s="47">
        <v>0</v>
      </c>
      <c r="F254" s="47">
        <f t="shared" si="8"/>
        <v>0</v>
      </c>
    </row>
    <row r="255" spans="1:6" x14ac:dyDescent="0.25">
      <c r="A255" s="5" t="s">
        <v>23</v>
      </c>
      <c r="B255" s="2">
        <v>43903</v>
      </c>
      <c r="C255" s="1">
        <v>0</v>
      </c>
      <c r="D255" s="47">
        <v>0</v>
      </c>
      <c r="F255" s="47">
        <f t="shared" si="8"/>
        <v>0</v>
      </c>
    </row>
    <row r="256" spans="1:6" x14ac:dyDescent="0.25">
      <c r="A256" s="5" t="s">
        <v>19</v>
      </c>
      <c r="B256" s="2">
        <v>43903</v>
      </c>
      <c r="C256" s="1">
        <v>0</v>
      </c>
      <c r="D256" s="47">
        <v>0</v>
      </c>
      <c r="F256" s="47">
        <f t="shared" si="8"/>
        <v>0</v>
      </c>
    </row>
    <row r="257" spans="1:6" x14ac:dyDescent="0.25">
      <c r="A257" s="5" t="s">
        <v>18</v>
      </c>
      <c r="B257" s="2">
        <v>43903</v>
      </c>
      <c r="C257" s="1">
        <v>0</v>
      </c>
      <c r="D257" s="47">
        <v>1</v>
      </c>
      <c r="F257" s="47">
        <f t="shared" si="8"/>
        <v>0</v>
      </c>
    </row>
    <row r="258" spans="1:6" x14ac:dyDescent="0.25">
      <c r="A258" s="5" t="s">
        <v>34</v>
      </c>
      <c r="B258" s="2">
        <v>43903</v>
      </c>
      <c r="C258" s="1">
        <v>0</v>
      </c>
      <c r="D258" s="47">
        <v>0</v>
      </c>
      <c r="F258" s="47">
        <f t="shared" si="8"/>
        <v>0</v>
      </c>
    </row>
    <row r="259" spans="1:6" x14ac:dyDescent="0.25">
      <c r="A259" s="5" t="s">
        <v>35</v>
      </c>
      <c r="B259" s="2">
        <v>43903</v>
      </c>
      <c r="C259" s="1">
        <v>0</v>
      </c>
      <c r="D259" s="47">
        <v>0</v>
      </c>
      <c r="F259" s="47">
        <f t="shared" si="8"/>
        <v>0</v>
      </c>
    </row>
    <row r="260" spans="1:6" x14ac:dyDescent="0.25">
      <c r="A260" s="5" t="s">
        <v>36</v>
      </c>
      <c r="B260" s="2">
        <v>43903</v>
      </c>
      <c r="C260" s="1">
        <v>0</v>
      </c>
      <c r="D260" s="47">
        <v>1</v>
      </c>
      <c r="F260" s="47">
        <f t="shared" si="8"/>
        <v>0</v>
      </c>
    </row>
    <row r="261" spans="1:6" x14ac:dyDescent="0.25">
      <c r="A261" s="5" t="s">
        <v>37</v>
      </c>
      <c r="B261" s="2">
        <v>43903</v>
      </c>
      <c r="C261" s="1">
        <v>0</v>
      </c>
      <c r="D261" s="47">
        <v>0</v>
      </c>
      <c r="F261" s="47">
        <f t="shared" si="8"/>
        <v>0</v>
      </c>
    </row>
    <row r="262" spans="1:6" x14ac:dyDescent="0.25">
      <c r="A262" s="5" t="s">
        <v>22</v>
      </c>
      <c r="B262" s="2">
        <v>43903</v>
      </c>
      <c r="C262" s="1">
        <v>0</v>
      </c>
      <c r="D262" s="47">
        <v>0</v>
      </c>
      <c r="F262" s="47">
        <f t="shared" si="8"/>
        <v>0</v>
      </c>
    </row>
    <row r="263" spans="1:6" x14ac:dyDescent="0.25">
      <c r="A263" s="5" t="s">
        <v>38</v>
      </c>
      <c r="B263" s="2">
        <v>43903</v>
      </c>
      <c r="C263" s="1">
        <v>0</v>
      </c>
      <c r="D263" s="47">
        <v>0</v>
      </c>
      <c r="F263" s="47">
        <f t="shared" si="8"/>
        <v>0</v>
      </c>
    </row>
    <row r="264" spans="1:6" x14ac:dyDescent="0.25">
      <c r="A264" s="5" t="s">
        <v>39</v>
      </c>
      <c r="B264" s="2">
        <v>43903</v>
      </c>
      <c r="C264" s="1">
        <v>0</v>
      </c>
      <c r="D264" s="47">
        <v>0</v>
      </c>
      <c r="F264" s="47">
        <f t="shared" si="8"/>
        <v>0</v>
      </c>
    </row>
    <row r="265" spans="1:6" x14ac:dyDescent="0.25">
      <c r="A265" s="5" t="s">
        <v>40</v>
      </c>
      <c r="B265" s="2">
        <v>43903</v>
      </c>
      <c r="C265" s="1">
        <v>0</v>
      </c>
      <c r="D265" s="47">
        <v>0</v>
      </c>
      <c r="F265" s="47">
        <f t="shared" si="8"/>
        <v>0</v>
      </c>
    </row>
    <row r="266" spans="1:6" x14ac:dyDescent="0.25">
      <c r="A266" s="34" t="s">
        <v>16</v>
      </c>
      <c r="B266" s="2">
        <v>43904</v>
      </c>
      <c r="C266" s="1">
        <v>1</v>
      </c>
      <c r="D266" s="47">
        <v>10</v>
      </c>
      <c r="F266" s="47">
        <f>E266+F242</f>
        <v>0</v>
      </c>
    </row>
    <row r="267" spans="1:6" x14ac:dyDescent="0.25">
      <c r="A267" s="5" t="s">
        <v>28</v>
      </c>
      <c r="B267" s="2">
        <v>43904</v>
      </c>
      <c r="C267" s="1">
        <v>0</v>
      </c>
      <c r="D267" s="47">
        <v>0</v>
      </c>
      <c r="F267" s="47">
        <f t="shared" ref="F267:F289" si="9">E267+F243</f>
        <v>0</v>
      </c>
    </row>
    <row r="268" spans="1:6" x14ac:dyDescent="0.25">
      <c r="A268" s="5" t="s">
        <v>15</v>
      </c>
      <c r="B268" s="2">
        <v>43904</v>
      </c>
      <c r="C268" s="1">
        <v>1</v>
      </c>
      <c r="D268" s="47">
        <v>5</v>
      </c>
      <c r="F268" s="47">
        <f t="shared" si="9"/>
        <v>1</v>
      </c>
    </row>
    <row r="269" spans="1:6" x14ac:dyDescent="0.25">
      <c r="A269" s="5" t="s">
        <v>29</v>
      </c>
      <c r="B269" s="2">
        <v>43904</v>
      </c>
      <c r="C269" s="1">
        <v>0</v>
      </c>
      <c r="D269" s="47">
        <v>0</v>
      </c>
      <c r="F269" s="47">
        <f t="shared" si="9"/>
        <v>0</v>
      </c>
    </row>
    <row r="270" spans="1:6" x14ac:dyDescent="0.25">
      <c r="A270" s="5" t="s">
        <v>43</v>
      </c>
      <c r="B270" s="2">
        <v>43904</v>
      </c>
      <c r="C270" s="1">
        <v>6</v>
      </c>
      <c r="D270" s="47">
        <v>22</v>
      </c>
      <c r="F270" s="47">
        <f t="shared" si="9"/>
        <v>1</v>
      </c>
    </row>
    <row r="271" spans="1:6" x14ac:dyDescent="0.25">
      <c r="A271" s="5" t="s">
        <v>20</v>
      </c>
      <c r="B271" s="2">
        <v>43904</v>
      </c>
      <c r="C271" s="1">
        <v>0</v>
      </c>
      <c r="D271" s="47">
        <v>2</v>
      </c>
      <c r="F271" s="47">
        <f t="shared" si="9"/>
        <v>0</v>
      </c>
    </row>
    <row r="272" spans="1:6" x14ac:dyDescent="0.25">
      <c r="A272" s="5" t="s">
        <v>30</v>
      </c>
      <c r="B272" s="2">
        <v>43904</v>
      </c>
      <c r="C272" s="1">
        <v>0</v>
      </c>
      <c r="D272" s="47">
        <v>0</v>
      </c>
      <c r="F272" s="47">
        <f t="shared" si="9"/>
        <v>0</v>
      </c>
    </row>
    <row r="273" spans="1:6" x14ac:dyDescent="0.25">
      <c r="A273" s="5" t="s">
        <v>31</v>
      </c>
      <c r="B273" s="2">
        <v>43904</v>
      </c>
      <c r="C273" s="1">
        <v>0</v>
      </c>
      <c r="D273" s="47">
        <v>1</v>
      </c>
      <c r="F273" s="47">
        <f t="shared" si="9"/>
        <v>0</v>
      </c>
    </row>
    <row r="274" spans="1:6" x14ac:dyDescent="0.25">
      <c r="A274" s="5" t="s">
        <v>41</v>
      </c>
      <c r="B274" s="2">
        <v>43904</v>
      </c>
      <c r="C274" s="1">
        <v>0</v>
      </c>
      <c r="D274" s="47">
        <v>0</v>
      </c>
      <c r="F274" s="47">
        <f t="shared" si="9"/>
        <v>0</v>
      </c>
    </row>
    <row r="275" spans="1:6" x14ac:dyDescent="0.25">
      <c r="A275" s="5" t="s">
        <v>32</v>
      </c>
      <c r="B275" s="2">
        <v>43904</v>
      </c>
      <c r="C275" s="1">
        <v>0</v>
      </c>
      <c r="D275" s="47">
        <v>0</v>
      </c>
      <c r="F275" s="47">
        <f t="shared" si="9"/>
        <v>0</v>
      </c>
    </row>
    <row r="276" spans="1:6" x14ac:dyDescent="0.25">
      <c r="A276" s="5" t="s">
        <v>33</v>
      </c>
      <c r="B276" s="2">
        <v>43904</v>
      </c>
      <c r="C276" s="1">
        <v>0</v>
      </c>
      <c r="D276" s="47">
        <v>0</v>
      </c>
      <c r="F276" s="47">
        <f t="shared" si="9"/>
        <v>0</v>
      </c>
    </row>
    <row r="277" spans="1:6" x14ac:dyDescent="0.25">
      <c r="A277" s="5" t="s">
        <v>21</v>
      </c>
      <c r="B277" s="2">
        <v>43904</v>
      </c>
      <c r="C277" s="1">
        <v>0</v>
      </c>
      <c r="D277" s="47">
        <v>0</v>
      </c>
      <c r="F277" s="47">
        <f t="shared" si="9"/>
        <v>0</v>
      </c>
    </row>
    <row r="278" spans="1:6" x14ac:dyDescent="0.25">
      <c r="A278" s="5" t="s">
        <v>17</v>
      </c>
      <c r="B278" s="2">
        <v>43904</v>
      </c>
      <c r="C278" s="1">
        <v>0</v>
      </c>
      <c r="D278" s="47">
        <v>0</v>
      </c>
      <c r="F278" s="47">
        <f t="shared" si="9"/>
        <v>0</v>
      </c>
    </row>
    <row r="279" spans="1:6" x14ac:dyDescent="0.25">
      <c r="A279" s="5" t="s">
        <v>23</v>
      </c>
      <c r="B279" s="2">
        <v>43904</v>
      </c>
      <c r="C279" s="1">
        <v>0</v>
      </c>
      <c r="D279" s="47">
        <v>0</v>
      </c>
      <c r="F279" s="47">
        <f t="shared" si="9"/>
        <v>0</v>
      </c>
    </row>
    <row r="280" spans="1:6" x14ac:dyDescent="0.25">
      <c r="A280" s="5" t="s">
        <v>19</v>
      </c>
      <c r="B280" s="2">
        <v>43904</v>
      </c>
      <c r="C280" s="1">
        <v>0</v>
      </c>
      <c r="D280" s="47">
        <v>0</v>
      </c>
      <c r="F280" s="47">
        <f t="shared" si="9"/>
        <v>0</v>
      </c>
    </row>
    <row r="281" spans="1:6" x14ac:dyDescent="0.25">
      <c r="A281" s="5" t="s">
        <v>18</v>
      </c>
      <c r="B281" s="2">
        <v>43904</v>
      </c>
      <c r="C281" s="1">
        <v>0</v>
      </c>
      <c r="D281" s="47">
        <v>1</v>
      </c>
      <c r="F281" s="47">
        <f t="shared" si="9"/>
        <v>0</v>
      </c>
    </row>
    <row r="282" spans="1:6" x14ac:dyDescent="0.25">
      <c r="A282" s="5" t="s">
        <v>34</v>
      </c>
      <c r="B282" s="2">
        <v>43904</v>
      </c>
      <c r="C282" s="1">
        <v>0</v>
      </c>
      <c r="D282" s="47">
        <v>0</v>
      </c>
      <c r="F282" s="47">
        <f t="shared" si="9"/>
        <v>0</v>
      </c>
    </row>
    <row r="283" spans="1:6" x14ac:dyDescent="0.25">
      <c r="A283" s="5" t="s">
        <v>35</v>
      </c>
      <c r="B283" s="2">
        <v>43904</v>
      </c>
      <c r="C283" s="1">
        <v>0</v>
      </c>
      <c r="D283" s="47">
        <v>0</v>
      </c>
      <c r="F283" s="47">
        <f t="shared" si="9"/>
        <v>0</v>
      </c>
    </row>
    <row r="284" spans="1:6" x14ac:dyDescent="0.25">
      <c r="A284" s="5" t="s">
        <v>36</v>
      </c>
      <c r="B284" s="2">
        <v>43904</v>
      </c>
      <c r="C284" s="1">
        <v>2</v>
      </c>
      <c r="D284" s="47">
        <v>3</v>
      </c>
      <c r="F284" s="47">
        <f t="shared" si="9"/>
        <v>0</v>
      </c>
    </row>
    <row r="285" spans="1:6" x14ac:dyDescent="0.25">
      <c r="A285" s="5" t="s">
        <v>37</v>
      </c>
      <c r="B285" s="2">
        <v>43904</v>
      </c>
      <c r="C285" s="1">
        <v>0</v>
      </c>
      <c r="D285" s="47">
        <v>0</v>
      </c>
      <c r="F285" s="47">
        <f t="shared" si="9"/>
        <v>0</v>
      </c>
    </row>
    <row r="286" spans="1:6" x14ac:dyDescent="0.25">
      <c r="A286" s="5" t="s">
        <v>22</v>
      </c>
      <c r="B286" s="2">
        <v>43904</v>
      </c>
      <c r="C286" s="1">
        <v>1</v>
      </c>
      <c r="D286" s="47">
        <v>1</v>
      </c>
      <c r="F286" s="47">
        <f t="shared" si="9"/>
        <v>0</v>
      </c>
    </row>
    <row r="287" spans="1:6" x14ac:dyDescent="0.25">
      <c r="A287" s="5" t="s">
        <v>38</v>
      </c>
      <c r="B287" s="2">
        <v>43904</v>
      </c>
      <c r="C287" s="1">
        <v>0</v>
      </c>
      <c r="D287" s="47">
        <v>0</v>
      </c>
      <c r="F287" s="47">
        <f t="shared" si="9"/>
        <v>0</v>
      </c>
    </row>
    <row r="288" spans="1:6" x14ac:dyDescent="0.25">
      <c r="A288" s="5" t="s">
        <v>39</v>
      </c>
      <c r="B288" s="2">
        <v>43904</v>
      </c>
      <c r="C288" s="1">
        <v>0</v>
      </c>
      <c r="D288" s="47">
        <v>0</v>
      </c>
      <c r="F288" s="47">
        <f t="shared" si="9"/>
        <v>0</v>
      </c>
    </row>
    <row r="289" spans="1:6" x14ac:dyDescent="0.25">
      <c r="A289" s="5" t="s">
        <v>40</v>
      </c>
      <c r="B289" s="2">
        <v>43904</v>
      </c>
      <c r="C289" s="1">
        <v>0</v>
      </c>
      <c r="D289" s="47">
        <v>0</v>
      </c>
      <c r="F289" s="47">
        <f t="shared" si="9"/>
        <v>0</v>
      </c>
    </row>
    <row r="290" spans="1:6" x14ac:dyDescent="0.25">
      <c r="A290" s="34" t="s">
        <v>16</v>
      </c>
      <c r="B290" s="2">
        <v>43905</v>
      </c>
      <c r="C290" s="1">
        <v>1</v>
      </c>
      <c r="D290" s="47">
        <v>11</v>
      </c>
      <c r="F290" s="47">
        <f>E290+F266</f>
        <v>0</v>
      </c>
    </row>
    <row r="291" spans="1:6" x14ac:dyDescent="0.25">
      <c r="A291" s="5" t="s">
        <v>28</v>
      </c>
      <c r="B291" s="2">
        <v>43905</v>
      </c>
      <c r="C291" s="1">
        <v>0</v>
      </c>
      <c r="D291" s="47">
        <v>0</v>
      </c>
      <c r="F291" s="47">
        <f t="shared" ref="F291:F313" si="10">E291+F267</f>
        <v>0</v>
      </c>
    </row>
    <row r="292" spans="1:6" x14ac:dyDescent="0.25">
      <c r="A292" s="5" t="s">
        <v>15</v>
      </c>
      <c r="B292" s="2">
        <v>43905</v>
      </c>
      <c r="C292" s="1">
        <v>2</v>
      </c>
      <c r="D292" s="47">
        <v>7</v>
      </c>
      <c r="F292" s="47">
        <f t="shared" si="10"/>
        <v>1</v>
      </c>
    </row>
    <row r="293" spans="1:6" x14ac:dyDescent="0.25">
      <c r="A293" s="5" t="s">
        <v>29</v>
      </c>
      <c r="B293" s="2">
        <v>43905</v>
      </c>
      <c r="C293" s="1">
        <v>0</v>
      </c>
      <c r="D293" s="47">
        <v>0</v>
      </c>
      <c r="F293" s="47">
        <f t="shared" si="10"/>
        <v>0</v>
      </c>
    </row>
    <row r="294" spans="1:6" x14ac:dyDescent="0.25">
      <c r="A294" s="5" t="s">
        <v>43</v>
      </c>
      <c r="B294" s="2">
        <v>43905</v>
      </c>
      <c r="C294" s="1">
        <v>6</v>
      </c>
      <c r="D294" s="47">
        <v>28</v>
      </c>
      <c r="F294" s="47">
        <f t="shared" si="10"/>
        <v>1</v>
      </c>
    </row>
    <row r="295" spans="1:6" x14ac:dyDescent="0.25">
      <c r="A295" s="5" t="s">
        <v>20</v>
      </c>
      <c r="B295" s="2">
        <v>43905</v>
      </c>
      <c r="C295" s="1">
        <v>0</v>
      </c>
      <c r="D295" s="47">
        <v>2</v>
      </c>
      <c r="F295" s="47">
        <f t="shared" si="10"/>
        <v>0</v>
      </c>
    </row>
    <row r="296" spans="1:6" x14ac:dyDescent="0.25">
      <c r="A296" s="5" t="s">
        <v>30</v>
      </c>
      <c r="B296" s="2">
        <v>43905</v>
      </c>
      <c r="C296" s="1">
        <v>0</v>
      </c>
      <c r="D296" s="47">
        <v>0</v>
      </c>
      <c r="F296" s="47">
        <f t="shared" si="10"/>
        <v>0</v>
      </c>
    </row>
    <row r="297" spans="1:6" x14ac:dyDescent="0.25">
      <c r="A297" s="5" t="s">
        <v>31</v>
      </c>
      <c r="B297" s="2">
        <v>43905</v>
      </c>
      <c r="C297" s="1">
        <v>0</v>
      </c>
      <c r="D297" s="47">
        <v>1</v>
      </c>
      <c r="F297" s="47">
        <f t="shared" si="10"/>
        <v>0</v>
      </c>
    </row>
    <row r="298" spans="1:6" x14ac:dyDescent="0.25">
      <c r="A298" s="5" t="s">
        <v>41</v>
      </c>
      <c r="B298" s="2">
        <v>43905</v>
      </c>
      <c r="C298" s="1">
        <v>0</v>
      </c>
      <c r="D298" s="47">
        <v>0</v>
      </c>
      <c r="F298" s="47">
        <f t="shared" si="10"/>
        <v>0</v>
      </c>
    </row>
    <row r="299" spans="1:6" x14ac:dyDescent="0.25">
      <c r="A299" s="5" t="s">
        <v>32</v>
      </c>
      <c r="B299" s="2">
        <v>43905</v>
      </c>
      <c r="C299" s="1">
        <v>0</v>
      </c>
      <c r="D299" s="47">
        <v>0</v>
      </c>
      <c r="F299" s="47">
        <f t="shared" si="10"/>
        <v>0</v>
      </c>
    </row>
    <row r="300" spans="1:6" x14ac:dyDescent="0.25">
      <c r="A300" s="5" t="s">
        <v>33</v>
      </c>
      <c r="B300" s="2">
        <v>43905</v>
      </c>
      <c r="C300" s="1">
        <v>0</v>
      </c>
      <c r="D300" s="47">
        <v>0</v>
      </c>
      <c r="F300" s="47">
        <f t="shared" si="10"/>
        <v>0</v>
      </c>
    </row>
    <row r="301" spans="1:6" x14ac:dyDescent="0.25">
      <c r="A301" s="5" t="s">
        <v>21</v>
      </c>
      <c r="B301" s="2">
        <v>43905</v>
      </c>
      <c r="C301" s="1">
        <v>0</v>
      </c>
      <c r="D301" s="47">
        <v>0</v>
      </c>
      <c r="F301" s="47">
        <f t="shared" si="10"/>
        <v>0</v>
      </c>
    </row>
    <row r="302" spans="1:6" x14ac:dyDescent="0.25">
      <c r="A302" s="5" t="s">
        <v>17</v>
      </c>
      <c r="B302" s="2">
        <v>43905</v>
      </c>
      <c r="C302" s="1">
        <v>0</v>
      </c>
      <c r="D302" s="47">
        <v>0</v>
      </c>
      <c r="F302" s="47">
        <f t="shared" si="10"/>
        <v>0</v>
      </c>
    </row>
    <row r="303" spans="1:6" x14ac:dyDescent="0.25">
      <c r="A303" s="5" t="s">
        <v>23</v>
      </c>
      <c r="B303" s="2">
        <v>43905</v>
      </c>
      <c r="C303" s="1">
        <v>0</v>
      </c>
      <c r="D303" s="47">
        <v>0</v>
      </c>
      <c r="F303" s="47">
        <f t="shared" si="10"/>
        <v>0</v>
      </c>
    </row>
    <row r="304" spans="1:6" x14ac:dyDescent="0.25">
      <c r="A304" s="5" t="s">
        <v>19</v>
      </c>
      <c r="B304" s="2">
        <v>43905</v>
      </c>
      <c r="C304" s="1">
        <v>0</v>
      </c>
      <c r="D304" s="47">
        <v>0</v>
      </c>
      <c r="F304" s="47">
        <f t="shared" si="10"/>
        <v>0</v>
      </c>
    </row>
    <row r="305" spans="1:6" x14ac:dyDescent="0.25">
      <c r="A305" s="5" t="s">
        <v>18</v>
      </c>
      <c r="B305" s="2">
        <v>43905</v>
      </c>
      <c r="C305" s="1">
        <v>0</v>
      </c>
      <c r="D305" s="47">
        <v>1</v>
      </c>
      <c r="F305" s="47">
        <f t="shared" si="10"/>
        <v>0</v>
      </c>
    </row>
    <row r="306" spans="1:6" x14ac:dyDescent="0.25">
      <c r="A306" s="5" t="s">
        <v>34</v>
      </c>
      <c r="B306" s="2">
        <v>43905</v>
      </c>
      <c r="C306" s="1">
        <v>0</v>
      </c>
      <c r="D306" s="47">
        <v>0</v>
      </c>
      <c r="F306" s="47">
        <f t="shared" si="10"/>
        <v>0</v>
      </c>
    </row>
    <row r="307" spans="1:6" x14ac:dyDescent="0.25">
      <c r="A307" s="5" t="s">
        <v>35</v>
      </c>
      <c r="B307" s="2">
        <v>43905</v>
      </c>
      <c r="C307" s="1">
        <v>0</v>
      </c>
      <c r="D307" s="47">
        <v>0</v>
      </c>
      <c r="F307" s="47">
        <f t="shared" si="10"/>
        <v>0</v>
      </c>
    </row>
    <row r="308" spans="1:6" x14ac:dyDescent="0.25">
      <c r="A308" s="5" t="s">
        <v>36</v>
      </c>
      <c r="B308" s="2">
        <v>43905</v>
      </c>
      <c r="C308" s="1">
        <v>0</v>
      </c>
      <c r="D308" s="47">
        <v>3</v>
      </c>
      <c r="F308" s="47">
        <f t="shared" si="10"/>
        <v>0</v>
      </c>
    </row>
    <row r="309" spans="1:6" x14ac:dyDescent="0.25">
      <c r="A309" s="5" t="s">
        <v>37</v>
      </c>
      <c r="B309" s="2">
        <v>43905</v>
      </c>
      <c r="C309" s="1">
        <v>0</v>
      </c>
      <c r="D309" s="47">
        <v>0</v>
      </c>
      <c r="F309" s="47">
        <f t="shared" si="10"/>
        <v>0</v>
      </c>
    </row>
    <row r="310" spans="1:6" x14ac:dyDescent="0.25">
      <c r="A310" s="5" t="s">
        <v>22</v>
      </c>
      <c r="B310" s="2">
        <v>43905</v>
      </c>
      <c r="C310" s="1">
        <v>0</v>
      </c>
      <c r="D310" s="47">
        <v>1</v>
      </c>
      <c r="F310" s="47">
        <f t="shared" si="10"/>
        <v>0</v>
      </c>
    </row>
    <row r="311" spans="1:6" x14ac:dyDescent="0.25">
      <c r="A311" s="5" t="s">
        <v>38</v>
      </c>
      <c r="B311" s="2">
        <v>43905</v>
      </c>
      <c r="C311" s="1">
        <v>0</v>
      </c>
      <c r="D311" s="47">
        <v>0</v>
      </c>
      <c r="F311" s="47">
        <f t="shared" si="10"/>
        <v>0</v>
      </c>
    </row>
    <row r="312" spans="1:6" x14ac:dyDescent="0.25">
      <c r="A312" s="5" t="s">
        <v>39</v>
      </c>
      <c r="B312" s="2">
        <v>43905</v>
      </c>
      <c r="C312" s="1">
        <v>2</v>
      </c>
      <c r="D312" s="47">
        <v>2</v>
      </c>
      <c r="F312" s="47">
        <f t="shared" si="10"/>
        <v>0</v>
      </c>
    </row>
    <row r="313" spans="1:6" x14ac:dyDescent="0.25">
      <c r="A313" s="5" t="s">
        <v>40</v>
      </c>
      <c r="B313" s="2">
        <v>43905</v>
      </c>
      <c r="C313" s="1">
        <v>0</v>
      </c>
      <c r="D313" s="47">
        <v>0</v>
      </c>
      <c r="F313" s="47">
        <f t="shared" si="10"/>
        <v>0</v>
      </c>
    </row>
    <row r="314" spans="1:6" x14ac:dyDescent="0.25">
      <c r="A314" s="34" t="s">
        <v>16</v>
      </c>
      <c r="B314" s="2">
        <v>43906</v>
      </c>
      <c r="C314" s="1">
        <v>1</v>
      </c>
      <c r="D314" s="47">
        <v>12</v>
      </c>
      <c r="F314" s="47">
        <f>E314+F290</f>
        <v>0</v>
      </c>
    </row>
    <row r="315" spans="1:6" x14ac:dyDescent="0.25">
      <c r="A315" s="5" t="s">
        <v>28</v>
      </c>
      <c r="B315" s="2">
        <v>43906</v>
      </c>
      <c r="C315" s="1">
        <v>0</v>
      </c>
      <c r="D315" s="47">
        <v>0</v>
      </c>
      <c r="F315" s="47">
        <f t="shared" ref="F315:F337" si="11">E315+F291</f>
        <v>0</v>
      </c>
    </row>
    <row r="316" spans="1:6" x14ac:dyDescent="0.25">
      <c r="A316" s="5" t="s">
        <v>15</v>
      </c>
      <c r="B316" s="2">
        <v>43906</v>
      </c>
      <c r="C316" s="1">
        <v>3</v>
      </c>
      <c r="D316" s="47">
        <v>10</v>
      </c>
      <c r="F316" s="47">
        <f t="shared" si="11"/>
        <v>1</v>
      </c>
    </row>
    <row r="317" spans="1:6" x14ac:dyDescent="0.25">
      <c r="A317" s="5" t="s">
        <v>29</v>
      </c>
      <c r="B317" s="2">
        <v>43906</v>
      </c>
      <c r="C317" s="1">
        <v>0</v>
      </c>
      <c r="D317" s="47">
        <v>0</v>
      </c>
      <c r="F317" s="47">
        <f t="shared" si="11"/>
        <v>0</v>
      </c>
    </row>
    <row r="318" spans="1:6" x14ac:dyDescent="0.25">
      <c r="A318" s="5" t="s">
        <v>43</v>
      </c>
      <c r="B318" s="2">
        <v>43906</v>
      </c>
      <c r="C318" s="1">
        <v>5</v>
      </c>
      <c r="D318" s="47">
        <v>33</v>
      </c>
      <c r="F318" s="47">
        <f t="shared" si="11"/>
        <v>1</v>
      </c>
    </row>
    <row r="319" spans="1:6" x14ac:dyDescent="0.25">
      <c r="A319" s="5" t="s">
        <v>20</v>
      </c>
      <c r="B319" s="2">
        <v>43906</v>
      </c>
      <c r="C319" s="1">
        <v>0</v>
      </c>
      <c r="D319" s="47">
        <v>2</v>
      </c>
      <c r="F319" s="47">
        <f t="shared" si="11"/>
        <v>0</v>
      </c>
    </row>
    <row r="320" spans="1:6" x14ac:dyDescent="0.25">
      <c r="A320" s="5" t="s">
        <v>30</v>
      </c>
      <c r="B320" s="2">
        <v>43906</v>
      </c>
      <c r="C320" s="1">
        <v>0</v>
      </c>
      <c r="D320" s="47">
        <v>0</v>
      </c>
      <c r="F320" s="47">
        <f t="shared" si="11"/>
        <v>0</v>
      </c>
    </row>
    <row r="321" spans="1:6" x14ac:dyDescent="0.25">
      <c r="A321" s="5" t="s">
        <v>31</v>
      </c>
      <c r="B321" s="2">
        <v>43906</v>
      </c>
      <c r="C321" s="1">
        <v>0</v>
      </c>
      <c r="D321" s="47">
        <v>1</v>
      </c>
      <c r="F321" s="47">
        <f t="shared" si="11"/>
        <v>0</v>
      </c>
    </row>
    <row r="322" spans="1:6" x14ac:dyDescent="0.25">
      <c r="A322" s="5" t="s">
        <v>41</v>
      </c>
      <c r="B322" s="2">
        <v>43906</v>
      </c>
      <c r="C322" s="1">
        <v>0</v>
      </c>
      <c r="D322" s="47">
        <v>0</v>
      </c>
      <c r="F322" s="47">
        <f t="shared" si="11"/>
        <v>0</v>
      </c>
    </row>
    <row r="323" spans="1:6" x14ac:dyDescent="0.25">
      <c r="A323" s="5" t="s">
        <v>32</v>
      </c>
      <c r="B323" s="2">
        <v>43906</v>
      </c>
      <c r="C323" s="1">
        <v>0</v>
      </c>
      <c r="D323" s="47">
        <v>0</v>
      </c>
      <c r="F323" s="47">
        <f t="shared" si="11"/>
        <v>0</v>
      </c>
    </row>
    <row r="324" spans="1:6" x14ac:dyDescent="0.25">
      <c r="A324" s="5" t="s">
        <v>33</v>
      </c>
      <c r="B324" s="2">
        <v>43906</v>
      </c>
      <c r="C324" s="1">
        <v>0</v>
      </c>
      <c r="D324" s="47">
        <v>0</v>
      </c>
      <c r="F324" s="47">
        <f t="shared" si="11"/>
        <v>0</v>
      </c>
    </row>
    <row r="325" spans="1:6" x14ac:dyDescent="0.25">
      <c r="A325" s="5" t="s">
        <v>21</v>
      </c>
      <c r="B325" s="2">
        <v>43906</v>
      </c>
      <c r="C325" s="1">
        <v>0</v>
      </c>
      <c r="D325" s="47">
        <v>0</v>
      </c>
      <c r="F325" s="47">
        <f t="shared" si="11"/>
        <v>0</v>
      </c>
    </row>
    <row r="326" spans="1:6" x14ac:dyDescent="0.25">
      <c r="A326" s="5" t="s">
        <v>17</v>
      </c>
      <c r="B326" s="2">
        <v>43906</v>
      </c>
      <c r="C326" s="1">
        <v>0</v>
      </c>
      <c r="D326" s="47">
        <v>0</v>
      </c>
      <c r="F326" s="47">
        <f t="shared" si="11"/>
        <v>0</v>
      </c>
    </row>
    <row r="327" spans="1:6" x14ac:dyDescent="0.25">
      <c r="A327" s="5" t="s">
        <v>23</v>
      </c>
      <c r="B327" s="2">
        <v>43906</v>
      </c>
      <c r="C327" s="1">
        <v>0</v>
      </c>
      <c r="D327" s="47">
        <v>0</v>
      </c>
      <c r="F327" s="47">
        <f t="shared" si="11"/>
        <v>0</v>
      </c>
    </row>
    <row r="328" spans="1:6" x14ac:dyDescent="0.25">
      <c r="A328" s="5" t="s">
        <v>19</v>
      </c>
      <c r="B328" s="2">
        <v>43906</v>
      </c>
      <c r="C328" s="1">
        <v>0</v>
      </c>
      <c r="D328" s="47">
        <v>0</v>
      </c>
      <c r="F328" s="47">
        <f t="shared" si="11"/>
        <v>0</v>
      </c>
    </row>
    <row r="329" spans="1:6" x14ac:dyDescent="0.25">
      <c r="A329" s="5" t="s">
        <v>18</v>
      </c>
      <c r="B329" s="2">
        <v>43906</v>
      </c>
      <c r="C329" s="1">
        <v>0</v>
      </c>
      <c r="D329" s="47">
        <v>1</v>
      </c>
      <c r="F329" s="47">
        <f t="shared" si="11"/>
        <v>0</v>
      </c>
    </row>
    <row r="330" spans="1:6" x14ac:dyDescent="0.25">
      <c r="A330" s="5" t="s">
        <v>34</v>
      </c>
      <c r="B330" s="2">
        <v>43906</v>
      </c>
      <c r="C330" s="1">
        <v>0</v>
      </c>
      <c r="D330" s="47">
        <v>0</v>
      </c>
      <c r="F330" s="47">
        <f t="shared" si="11"/>
        <v>0</v>
      </c>
    </row>
    <row r="331" spans="1:6" x14ac:dyDescent="0.25">
      <c r="A331" s="5" t="s">
        <v>35</v>
      </c>
      <c r="B331" s="2">
        <v>43906</v>
      </c>
      <c r="C331" s="1">
        <v>0</v>
      </c>
      <c r="D331" s="47">
        <v>0</v>
      </c>
      <c r="F331" s="47">
        <f t="shared" si="11"/>
        <v>0</v>
      </c>
    </row>
    <row r="332" spans="1:6" x14ac:dyDescent="0.25">
      <c r="A332" s="5" t="s">
        <v>36</v>
      </c>
      <c r="B332" s="2">
        <v>43906</v>
      </c>
      <c r="C332" s="1">
        <v>0</v>
      </c>
      <c r="D332" s="47">
        <v>3</v>
      </c>
      <c r="F332" s="47">
        <f t="shared" si="11"/>
        <v>0</v>
      </c>
    </row>
    <row r="333" spans="1:6" x14ac:dyDescent="0.25">
      <c r="A333" s="5" t="s">
        <v>37</v>
      </c>
      <c r="B333" s="2">
        <v>43906</v>
      </c>
      <c r="C333" s="1">
        <v>0</v>
      </c>
      <c r="D333" s="47">
        <v>0</v>
      </c>
      <c r="F333" s="47">
        <f t="shared" si="11"/>
        <v>0</v>
      </c>
    </row>
    <row r="334" spans="1:6" x14ac:dyDescent="0.25">
      <c r="A334" s="5" t="s">
        <v>22</v>
      </c>
      <c r="B334" s="2">
        <v>43906</v>
      </c>
      <c r="C334" s="1">
        <v>0</v>
      </c>
      <c r="D334" s="47">
        <v>1</v>
      </c>
      <c r="F334" s="47">
        <f t="shared" si="11"/>
        <v>0</v>
      </c>
    </row>
    <row r="335" spans="1:6" x14ac:dyDescent="0.25">
      <c r="A335" s="5" t="s">
        <v>38</v>
      </c>
      <c r="B335" s="2">
        <v>43906</v>
      </c>
      <c r="C335" s="1">
        <v>0</v>
      </c>
      <c r="D335" s="47">
        <v>0</v>
      </c>
      <c r="F335" s="47">
        <f t="shared" si="11"/>
        <v>0</v>
      </c>
    </row>
    <row r="336" spans="1:6" x14ac:dyDescent="0.25">
      <c r="A336" s="5" t="s">
        <v>39</v>
      </c>
      <c r="B336" s="2">
        <v>43906</v>
      </c>
      <c r="C336" s="1">
        <v>0</v>
      </c>
      <c r="D336" s="47">
        <v>2</v>
      </c>
      <c r="F336" s="47">
        <f t="shared" si="11"/>
        <v>0</v>
      </c>
    </row>
    <row r="337" spans="1:6" x14ac:dyDescent="0.25">
      <c r="A337" s="5" t="s">
        <v>40</v>
      </c>
      <c r="B337" s="2">
        <v>43906</v>
      </c>
      <c r="C337" s="1">
        <v>0</v>
      </c>
      <c r="D337" s="47">
        <v>0</v>
      </c>
      <c r="F337" s="47">
        <f t="shared" si="11"/>
        <v>0</v>
      </c>
    </row>
    <row r="338" spans="1:6" x14ac:dyDescent="0.25">
      <c r="A338" s="34" t="s">
        <v>16</v>
      </c>
      <c r="B338" s="2">
        <v>43907</v>
      </c>
      <c r="C338" s="1">
        <v>1</v>
      </c>
      <c r="D338" s="47">
        <v>13</v>
      </c>
      <c r="F338" s="47">
        <f>E338+F314</f>
        <v>0</v>
      </c>
    </row>
    <row r="339" spans="1:6" x14ac:dyDescent="0.25">
      <c r="A339" s="5" t="s">
        <v>28</v>
      </c>
      <c r="B339" s="2">
        <v>43907</v>
      </c>
      <c r="C339" s="1">
        <v>0</v>
      </c>
      <c r="D339" s="47">
        <v>0</v>
      </c>
      <c r="F339" s="47">
        <f t="shared" ref="F339:F361" si="12">E339+F315</f>
        <v>0</v>
      </c>
    </row>
    <row r="340" spans="1:6" x14ac:dyDescent="0.25">
      <c r="A340" s="5" t="s">
        <v>15</v>
      </c>
      <c r="B340" s="2">
        <v>43907</v>
      </c>
      <c r="C340" s="1">
        <v>1</v>
      </c>
      <c r="D340" s="47">
        <v>11</v>
      </c>
      <c r="F340" s="47">
        <f t="shared" si="12"/>
        <v>1</v>
      </c>
    </row>
    <row r="341" spans="1:6" x14ac:dyDescent="0.25">
      <c r="A341" s="5" t="s">
        <v>29</v>
      </c>
      <c r="B341" s="2">
        <v>43907</v>
      </c>
      <c r="C341" s="1">
        <v>0</v>
      </c>
      <c r="D341" s="47">
        <v>0</v>
      </c>
      <c r="F341" s="47">
        <f t="shared" si="12"/>
        <v>0</v>
      </c>
    </row>
    <row r="342" spans="1:6" x14ac:dyDescent="0.25">
      <c r="A342" s="5" t="s">
        <v>43</v>
      </c>
      <c r="B342" s="2">
        <v>43907</v>
      </c>
      <c r="C342" s="1">
        <v>4</v>
      </c>
      <c r="D342" s="47">
        <v>37</v>
      </c>
      <c r="F342" s="47">
        <f t="shared" si="12"/>
        <v>1</v>
      </c>
    </row>
    <row r="343" spans="1:6" x14ac:dyDescent="0.25">
      <c r="A343" s="5" t="s">
        <v>20</v>
      </c>
      <c r="B343" s="2">
        <v>43907</v>
      </c>
      <c r="C343" s="1">
        <v>2</v>
      </c>
      <c r="D343" s="47">
        <v>4</v>
      </c>
      <c r="F343" s="47">
        <f t="shared" si="12"/>
        <v>0</v>
      </c>
    </row>
    <row r="344" spans="1:6" x14ac:dyDescent="0.25">
      <c r="A344" s="5" t="s">
        <v>30</v>
      </c>
      <c r="B344" s="2">
        <v>43907</v>
      </c>
      <c r="C344" s="1">
        <v>0</v>
      </c>
      <c r="D344" s="47">
        <v>0</v>
      </c>
      <c r="F344" s="47">
        <f t="shared" si="12"/>
        <v>0</v>
      </c>
    </row>
    <row r="345" spans="1:6" x14ac:dyDescent="0.25">
      <c r="A345" s="5" t="s">
        <v>31</v>
      </c>
      <c r="B345" s="2">
        <v>43907</v>
      </c>
      <c r="C345" s="1">
        <v>1</v>
      </c>
      <c r="D345" s="47">
        <v>2</v>
      </c>
      <c r="F345" s="47">
        <f t="shared" si="12"/>
        <v>0</v>
      </c>
    </row>
    <row r="346" spans="1:6" x14ac:dyDescent="0.25">
      <c r="A346" s="5" t="s">
        <v>41</v>
      </c>
      <c r="B346" s="2">
        <v>43907</v>
      </c>
      <c r="C346" s="1">
        <v>0</v>
      </c>
      <c r="D346" s="47">
        <v>0</v>
      </c>
      <c r="F346" s="47">
        <f t="shared" si="12"/>
        <v>0</v>
      </c>
    </row>
    <row r="347" spans="1:6" x14ac:dyDescent="0.25">
      <c r="A347" s="5" t="s">
        <v>32</v>
      </c>
      <c r="B347" s="2">
        <v>43907</v>
      </c>
      <c r="C347" s="1">
        <v>1</v>
      </c>
      <c r="D347" s="47">
        <v>1</v>
      </c>
      <c r="F347" s="47">
        <f t="shared" si="12"/>
        <v>0</v>
      </c>
    </row>
    <row r="348" spans="1:6" x14ac:dyDescent="0.25">
      <c r="A348" s="5" t="s">
        <v>33</v>
      </c>
      <c r="B348" s="2">
        <v>43907</v>
      </c>
      <c r="C348" s="1">
        <v>0</v>
      </c>
      <c r="D348" s="47">
        <v>0</v>
      </c>
      <c r="F348" s="47">
        <f t="shared" si="12"/>
        <v>0</v>
      </c>
    </row>
    <row r="349" spans="1:6" x14ac:dyDescent="0.25">
      <c r="A349" s="5" t="s">
        <v>21</v>
      </c>
      <c r="B349" s="2">
        <v>43907</v>
      </c>
      <c r="C349" s="1">
        <v>0</v>
      </c>
      <c r="D349" s="47">
        <v>0</v>
      </c>
      <c r="F349" s="47">
        <f t="shared" si="12"/>
        <v>0</v>
      </c>
    </row>
    <row r="350" spans="1:6" x14ac:dyDescent="0.25">
      <c r="A350" s="5" t="s">
        <v>17</v>
      </c>
      <c r="B350" s="2">
        <v>43907</v>
      </c>
      <c r="C350" s="1">
        <v>0</v>
      </c>
      <c r="D350" s="47">
        <v>0</v>
      </c>
      <c r="F350" s="47">
        <f t="shared" si="12"/>
        <v>0</v>
      </c>
    </row>
    <row r="351" spans="1:6" x14ac:dyDescent="0.25">
      <c r="A351" s="5" t="s">
        <v>23</v>
      </c>
      <c r="B351" s="2">
        <v>43907</v>
      </c>
      <c r="C351" s="1">
        <v>0</v>
      </c>
      <c r="D351" s="47">
        <v>0</v>
      </c>
      <c r="F351" s="47">
        <f t="shared" si="12"/>
        <v>0</v>
      </c>
    </row>
    <row r="352" spans="1:6" x14ac:dyDescent="0.25">
      <c r="A352" s="5" t="s">
        <v>19</v>
      </c>
      <c r="B352" s="2">
        <v>43907</v>
      </c>
      <c r="C352" s="1">
        <v>0</v>
      </c>
      <c r="D352" s="47">
        <v>0</v>
      </c>
      <c r="F352" s="47">
        <f t="shared" si="12"/>
        <v>0</v>
      </c>
    </row>
    <row r="353" spans="1:6" x14ac:dyDescent="0.25">
      <c r="A353" s="5" t="s">
        <v>18</v>
      </c>
      <c r="B353" s="2">
        <v>43907</v>
      </c>
      <c r="C353" s="1">
        <v>1</v>
      </c>
      <c r="D353" s="47">
        <v>2</v>
      </c>
      <c r="F353" s="47">
        <f t="shared" si="12"/>
        <v>0</v>
      </c>
    </row>
    <row r="354" spans="1:6" x14ac:dyDescent="0.25">
      <c r="A354" s="5" t="s">
        <v>34</v>
      </c>
      <c r="B354" s="2">
        <v>43907</v>
      </c>
      <c r="C354" s="1">
        <v>1</v>
      </c>
      <c r="D354" s="47">
        <v>1</v>
      </c>
      <c r="F354" s="47">
        <f t="shared" si="12"/>
        <v>0</v>
      </c>
    </row>
    <row r="355" spans="1:6" x14ac:dyDescent="0.25">
      <c r="A355" s="5" t="s">
        <v>35</v>
      </c>
      <c r="B355" s="2">
        <v>43907</v>
      </c>
      <c r="C355" s="1">
        <v>0</v>
      </c>
      <c r="D355" s="47">
        <v>0</v>
      </c>
      <c r="F355" s="47">
        <f t="shared" si="12"/>
        <v>0</v>
      </c>
    </row>
    <row r="356" spans="1:6" x14ac:dyDescent="0.25">
      <c r="A356" s="5" t="s">
        <v>36</v>
      </c>
      <c r="B356" s="2">
        <v>43907</v>
      </c>
      <c r="C356" s="1">
        <v>0</v>
      </c>
      <c r="D356" s="47">
        <v>3</v>
      </c>
      <c r="F356" s="47">
        <f t="shared" si="12"/>
        <v>0</v>
      </c>
    </row>
    <row r="357" spans="1:6" x14ac:dyDescent="0.25">
      <c r="A357" s="5" t="s">
        <v>37</v>
      </c>
      <c r="B357" s="2">
        <v>43907</v>
      </c>
      <c r="C357" s="1">
        <v>1</v>
      </c>
      <c r="D357" s="47">
        <v>1</v>
      </c>
      <c r="F357" s="47">
        <f t="shared" si="12"/>
        <v>0</v>
      </c>
    </row>
    <row r="358" spans="1:6" x14ac:dyDescent="0.25">
      <c r="A358" s="5" t="s">
        <v>22</v>
      </c>
      <c r="B358" s="2">
        <v>43907</v>
      </c>
      <c r="C358" s="1">
        <v>0</v>
      </c>
      <c r="D358" s="47">
        <v>1</v>
      </c>
      <c r="F358" s="47">
        <f t="shared" si="12"/>
        <v>0</v>
      </c>
    </row>
    <row r="359" spans="1:6" x14ac:dyDescent="0.25">
      <c r="A359" s="5" t="s">
        <v>38</v>
      </c>
      <c r="B359" s="2">
        <v>43907</v>
      </c>
      <c r="C359" s="1">
        <v>0</v>
      </c>
      <c r="D359" s="47">
        <v>0</v>
      </c>
      <c r="F359" s="47">
        <f t="shared" si="12"/>
        <v>0</v>
      </c>
    </row>
    <row r="360" spans="1:6" x14ac:dyDescent="0.25">
      <c r="A360" s="5" t="s">
        <v>39</v>
      </c>
      <c r="B360" s="2">
        <v>43907</v>
      </c>
      <c r="C360" s="1">
        <v>0</v>
      </c>
      <c r="D360" s="47">
        <v>2</v>
      </c>
      <c r="F360" s="47">
        <f t="shared" si="12"/>
        <v>0</v>
      </c>
    </row>
    <row r="361" spans="1:6" x14ac:dyDescent="0.25">
      <c r="A361" s="5" t="s">
        <v>40</v>
      </c>
      <c r="B361" s="2">
        <v>43907</v>
      </c>
      <c r="C361" s="1">
        <v>0</v>
      </c>
      <c r="D361" s="47">
        <v>0</v>
      </c>
      <c r="F361" s="47">
        <f t="shared" si="12"/>
        <v>0</v>
      </c>
    </row>
    <row r="362" spans="1:6" x14ac:dyDescent="0.25">
      <c r="A362" s="34" t="s">
        <v>16</v>
      </c>
      <c r="B362" s="2">
        <v>43908</v>
      </c>
      <c r="C362" s="1">
        <v>6</v>
      </c>
      <c r="D362" s="47">
        <v>19</v>
      </c>
      <c r="E362" s="353"/>
      <c r="F362" s="47">
        <f>E362+F338</f>
        <v>0</v>
      </c>
    </row>
    <row r="363" spans="1:6" x14ac:dyDescent="0.25">
      <c r="A363" s="5" t="s">
        <v>28</v>
      </c>
      <c r="B363" s="2">
        <v>43908</v>
      </c>
      <c r="C363" s="1">
        <v>0</v>
      </c>
      <c r="D363" s="47">
        <v>0</v>
      </c>
      <c r="F363" s="47">
        <f t="shared" ref="F363:F385" si="13">E363+F339</f>
        <v>0</v>
      </c>
    </row>
    <row r="364" spans="1:6" x14ac:dyDescent="0.25">
      <c r="A364" s="5" t="s">
        <v>15</v>
      </c>
      <c r="B364" s="2">
        <v>43908</v>
      </c>
      <c r="C364" s="1">
        <v>1</v>
      </c>
      <c r="D364" s="47">
        <v>12</v>
      </c>
      <c r="F364" s="47">
        <f t="shared" si="13"/>
        <v>1</v>
      </c>
    </row>
    <row r="365" spans="1:6" x14ac:dyDescent="0.25">
      <c r="A365" s="5" t="s">
        <v>29</v>
      </c>
      <c r="B365" s="2">
        <v>43908</v>
      </c>
      <c r="C365" s="1">
        <v>0</v>
      </c>
      <c r="D365" s="47">
        <v>0</v>
      </c>
      <c r="F365" s="47">
        <f t="shared" si="13"/>
        <v>0</v>
      </c>
    </row>
    <row r="366" spans="1:6" x14ac:dyDescent="0.25">
      <c r="A366" s="5" t="s">
        <v>43</v>
      </c>
      <c r="B366" s="2">
        <v>43908</v>
      </c>
      <c r="C366" s="1">
        <v>10</v>
      </c>
      <c r="D366" s="47">
        <v>47</v>
      </c>
      <c r="F366" s="47">
        <f t="shared" si="13"/>
        <v>1</v>
      </c>
    </row>
    <row r="367" spans="1:6" x14ac:dyDescent="0.25">
      <c r="A367" s="5" t="s">
        <v>20</v>
      </c>
      <c r="B367" s="2">
        <v>43908</v>
      </c>
      <c r="C367" s="1">
        <v>1</v>
      </c>
      <c r="D367" s="47">
        <v>5</v>
      </c>
      <c r="F367" s="47">
        <f t="shared" si="13"/>
        <v>0</v>
      </c>
    </row>
    <row r="368" spans="1:6" x14ac:dyDescent="0.25">
      <c r="A368" s="5" t="s">
        <v>30</v>
      </c>
      <c r="B368" s="2">
        <v>43908</v>
      </c>
      <c r="C368" s="1">
        <v>0</v>
      </c>
      <c r="D368" s="47">
        <v>0</v>
      </c>
      <c r="F368" s="47">
        <f t="shared" si="13"/>
        <v>0</v>
      </c>
    </row>
    <row r="369" spans="1:6" x14ac:dyDescent="0.25">
      <c r="A369" s="5" t="s">
        <v>31</v>
      </c>
      <c r="B369" s="2">
        <v>43908</v>
      </c>
      <c r="C369" s="1">
        <v>1</v>
      </c>
      <c r="D369" s="47">
        <v>3</v>
      </c>
      <c r="F369" s="47">
        <f t="shared" si="13"/>
        <v>0</v>
      </c>
    </row>
    <row r="370" spans="1:6" x14ac:dyDescent="0.25">
      <c r="A370" s="5" t="s">
        <v>41</v>
      </c>
      <c r="B370" s="2">
        <v>43908</v>
      </c>
      <c r="C370" s="1">
        <v>0</v>
      </c>
      <c r="D370" s="47">
        <v>0</v>
      </c>
      <c r="F370" s="47">
        <f t="shared" si="13"/>
        <v>0</v>
      </c>
    </row>
    <row r="371" spans="1:6" x14ac:dyDescent="0.25">
      <c r="A371" s="5" t="s">
        <v>32</v>
      </c>
      <c r="B371" s="2">
        <v>43908</v>
      </c>
      <c r="C371" s="1">
        <v>0</v>
      </c>
      <c r="D371" s="47">
        <v>1</v>
      </c>
      <c r="F371" s="47">
        <f t="shared" si="13"/>
        <v>0</v>
      </c>
    </row>
    <row r="372" spans="1:6" x14ac:dyDescent="0.25">
      <c r="A372" s="5" t="s">
        <v>33</v>
      </c>
      <c r="B372" s="2">
        <v>43908</v>
      </c>
      <c r="C372" s="1">
        <v>0</v>
      </c>
      <c r="D372" s="47">
        <v>0</v>
      </c>
      <c r="F372" s="47">
        <f t="shared" si="13"/>
        <v>0</v>
      </c>
    </row>
    <row r="373" spans="1:6" x14ac:dyDescent="0.25">
      <c r="A373" s="5" t="s">
        <v>21</v>
      </c>
      <c r="B373" s="2">
        <v>43908</v>
      </c>
      <c r="C373" s="1">
        <v>0</v>
      </c>
      <c r="D373" s="47">
        <v>0</v>
      </c>
      <c r="F373" s="47">
        <f t="shared" si="13"/>
        <v>0</v>
      </c>
    </row>
    <row r="374" spans="1:6" x14ac:dyDescent="0.25">
      <c r="A374" s="5" t="s">
        <v>17</v>
      </c>
      <c r="B374" s="2">
        <v>43908</v>
      </c>
      <c r="C374" s="1">
        <v>0</v>
      </c>
      <c r="D374" s="47">
        <v>0</v>
      </c>
      <c r="F374" s="47">
        <f t="shared" si="13"/>
        <v>0</v>
      </c>
    </row>
    <row r="375" spans="1:6" x14ac:dyDescent="0.25">
      <c r="A375" s="5" t="s">
        <v>23</v>
      </c>
      <c r="B375" s="2">
        <v>43908</v>
      </c>
      <c r="C375" s="1">
        <v>0</v>
      </c>
      <c r="D375" s="47">
        <v>0</v>
      </c>
      <c r="F375" s="47">
        <f t="shared" si="13"/>
        <v>0</v>
      </c>
    </row>
    <row r="376" spans="1:6" x14ac:dyDescent="0.25">
      <c r="A376" s="5" t="s">
        <v>19</v>
      </c>
      <c r="B376" s="2">
        <v>43908</v>
      </c>
      <c r="C376" s="1">
        <v>0</v>
      </c>
      <c r="D376" s="47">
        <v>0</v>
      </c>
      <c r="F376" s="47">
        <f t="shared" si="13"/>
        <v>0</v>
      </c>
    </row>
    <row r="377" spans="1:6" x14ac:dyDescent="0.25">
      <c r="A377" s="5" t="s">
        <v>18</v>
      </c>
      <c r="B377" s="2">
        <v>43908</v>
      </c>
      <c r="C377" s="1">
        <v>0</v>
      </c>
      <c r="D377" s="47">
        <v>2</v>
      </c>
      <c r="F377" s="47">
        <f t="shared" si="13"/>
        <v>0</v>
      </c>
    </row>
    <row r="378" spans="1:6" x14ac:dyDescent="0.25">
      <c r="A378" s="5" t="s">
        <v>34</v>
      </c>
      <c r="B378" s="2">
        <v>43908</v>
      </c>
      <c r="C378" s="1">
        <v>0</v>
      </c>
      <c r="D378" s="47">
        <v>1</v>
      </c>
      <c r="F378" s="47">
        <f t="shared" si="13"/>
        <v>0</v>
      </c>
    </row>
    <row r="379" spans="1:6" x14ac:dyDescent="0.25">
      <c r="A379" s="5" t="s">
        <v>35</v>
      </c>
      <c r="B379" s="2">
        <v>43908</v>
      </c>
      <c r="C379" s="1">
        <v>0</v>
      </c>
      <c r="D379" s="47">
        <v>0</v>
      </c>
      <c r="F379" s="47">
        <f t="shared" si="13"/>
        <v>0</v>
      </c>
    </row>
    <row r="380" spans="1:6" x14ac:dyDescent="0.25">
      <c r="A380" s="5" t="s">
        <v>36</v>
      </c>
      <c r="B380" s="2">
        <v>43908</v>
      </c>
      <c r="C380" s="1">
        <v>0</v>
      </c>
      <c r="D380" s="47">
        <v>3</v>
      </c>
      <c r="F380" s="47">
        <f t="shared" si="13"/>
        <v>0</v>
      </c>
    </row>
    <row r="381" spans="1:6" x14ac:dyDescent="0.25">
      <c r="A381" s="5" t="s">
        <v>37</v>
      </c>
      <c r="B381" s="2">
        <v>43908</v>
      </c>
      <c r="C381" s="1">
        <v>0</v>
      </c>
      <c r="D381" s="47">
        <v>1</v>
      </c>
      <c r="F381" s="47">
        <f t="shared" si="13"/>
        <v>0</v>
      </c>
    </row>
    <row r="382" spans="1:6" x14ac:dyDescent="0.25">
      <c r="A382" s="5" t="s">
        <v>22</v>
      </c>
      <c r="B382" s="2">
        <v>43908</v>
      </c>
      <c r="C382" s="1">
        <v>0</v>
      </c>
      <c r="D382" s="47">
        <v>1</v>
      </c>
      <c r="F382" s="47">
        <f t="shared" si="13"/>
        <v>0</v>
      </c>
    </row>
    <row r="383" spans="1:6" x14ac:dyDescent="0.25">
      <c r="A383" s="5" t="s">
        <v>38</v>
      </c>
      <c r="B383" s="2">
        <v>43908</v>
      </c>
      <c r="C383" s="1">
        <v>0</v>
      </c>
      <c r="D383" s="47">
        <v>0</v>
      </c>
      <c r="F383" s="47">
        <f t="shared" si="13"/>
        <v>0</v>
      </c>
    </row>
    <row r="384" spans="1:6" x14ac:dyDescent="0.25">
      <c r="A384" s="5" t="s">
        <v>39</v>
      </c>
      <c r="B384" s="2">
        <v>43908</v>
      </c>
      <c r="C384" s="1">
        <v>0</v>
      </c>
      <c r="D384" s="47">
        <v>2</v>
      </c>
      <c r="F384" s="47">
        <f t="shared" si="13"/>
        <v>0</v>
      </c>
    </row>
    <row r="385" spans="1:6" x14ac:dyDescent="0.25">
      <c r="A385" s="5" t="s">
        <v>40</v>
      </c>
      <c r="B385" s="2">
        <v>43908</v>
      </c>
      <c r="C385" s="1">
        <v>0</v>
      </c>
      <c r="D385" s="47">
        <v>0</v>
      </c>
      <c r="F385" s="47">
        <f t="shared" si="13"/>
        <v>0</v>
      </c>
    </row>
    <row r="386" spans="1:6" x14ac:dyDescent="0.25">
      <c r="A386" s="34" t="s">
        <v>16</v>
      </c>
      <c r="B386" s="2">
        <v>43909</v>
      </c>
      <c r="C386" s="1">
        <v>14</v>
      </c>
      <c r="D386" s="47">
        <v>33</v>
      </c>
      <c r="F386" s="47">
        <f>E386+F362</f>
        <v>0</v>
      </c>
    </row>
    <row r="387" spans="1:6" x14ac:dyDescent="0.25">
      <c r="A387" s="5" t="s">
        <v>28</v>
      </c>
      <c r="B387" s="2">
        <v>43909</v>
      </c>
      <c r="C387" s="1">
        <v>0</v>
      </c>
      <c r="D387" s="47">
        <v>0</v>
      </c>
      <c r="F387" s="47">
        <f t="shared" ref="F387:F409" si="14">E387+F363</f>
        <v>0</v>
      </c>
    </row>
    <row r="388" spans="1:6" x14ac:dyDescent="0.25">
      <c r="A388" s="5" t="s">
        <v>15</v>
      </c>
      <c r="B388" s="2">
        <v>43909</v>
      </c>
      <c r="C388" s="1">
        <v>2</v>
      </c>
      <c r="D388" s="47">
        <v>14</v>
      </c>
      <c r="F388" s="47">
        <f t="shared" si="14"/>
        <v>1</v>
      </c>
    </row>
    <row r="389" spans="1:6" x14ac:dyDescent="0.25">
      <c r="A389" s="5" t="s">
        <v>29</v>
      </c>
      <c r="B389" s="2">
        <v>43909</v>
      </c>
      <c r="C389" s="1">
        <v>0</v>
      </c>
      <c r="D389" s="47">
        <v>0</v>
      </c>
      <c r="F389" s="47">
        <f t="shared" si="14"/>
        <v>0</v>
      </c>
    </row>
    <row r="390" spans="1:6" x14ac:dyDescent="0.25">
      <c r="A390" s="5" t="s">
        <v>43</v>
      </c>
      <c r="B390" s="2">
        <v>43909</v>
      </c>
      <c r="C390" s="1">
        <v>8</v>
      </c>
      <c r="D390" s="47">
        <v>55</v>
      </c>
      <c r="F390" s="47">
        <f t="shared" si="14"/>
        <v>1</v>
      </c>
    </row>
    <row r="391" spans="1:6" x14ac:dyDescent="0.25">
      <c r="A391" s="5" t="s">
        <v>20</v>
      </c>
      <c r="B391" s="2">
        <v>43909</v>
      </c>
      <c r="C391" s="1">
        <v>3</v>
      </c>
      <c r="D391" s="47">
        <v>8</v>
      </c>
      <c r="F391" s="47">
        <f t="shared" si="14"/>
        <v>0</v>
      </c>
    </row>
    <row r="392" spans="1:6" x14ac:dyDescent="0.25">
      <c r="A392" s="5" t="s">
        <v>30</v>
      </c>
      <c r="B392" s="2">
        <v>43909</v>
      </c>
      <c r="C392" s="1">
        <v>0</v>
      </c>
      <c r="D392" s="47">
        <v>0</v>
      </c>
      <c r="F392" s="47">
        <f t="shared" si="14"/>
        <v>0</v>
      </c>
    </row>
    <row r="393" spans="1:6" x14ac:dyDescent="0.25">
      <c r="A393" s="5" t="s">
        <v>31</v>
      </c>
      <c r="B393" s="2">
        <v>43909</v>
      </c>
      <c r="C393" s="1">
        <v>0</v>
      </c>
      <c r="D393" s="47">
        <v>3</v>
      </c>
      <c r="F393" s="47">
        <f t="shared" si="14"/>
        <v>0</v>
      </c>
    </row>
    <row r="394" spans="1:6" x14ac:dyDescent="0.25">
      <c r="A394" s="5" t="s">
        <v>41</v>
      </c>
      <c r="B394" s="2">
        <v>43909</v>
      </c>
      <c r="C394" s="1">
        <v>0</v>
      </c>
      <c r="D394" s="47">
        <v>0</v>
      </c>
      <c r="F394" s="47">
        <f t="shared" si="14"/>
        <v>0</v>
      </c>
    </row>
    <row r="395" spans="1:6" x14ac:dyDescent="0.25">
      <c r="A395" s="5" t="s">
        <v>32</v>
      </c>
      <c r="B395" s="2">
        <v>43909</v>
      </c>
      <c r="C395" s="1">
        <v>0</v>
      </c>
      <c r="D395" s="47">
        <v>1</v>
      </c>
      <c r="F395" s="47">
        <f t="shared" si="14"/>
        <v>0</v>
      </c>
    </row>
    <row r="396" spans="1:6" x14ac:dyDescent="0.25">
      <c r="A396" s="5" t="s">
        <v>33</v>
      </c>
      <c r="B396" s="2">
        <v>43909</v>
      </c>
      <c r="C396" s="1">
        <v>0</v>
      </c>
      <c r="D396" s="47">
        <v>0</v>
      </c>
      <c r="F396" s="47">
        <f t="shared" si="14"/>
        <v>0</v>
      </c>
    </row>
    <row r="397" spans="1:6" x14ac:dyDescent="0.25">
      <c r="A397" s="5" t="s">
        <v>21</v>
      </c>
      <c r="B397" s="2">
        <v>43909</v>
      </c>
      <c r="C397" s="1">
        <v>0</v>
      </c>
      <c r="D397" s="47">
        <v>0</v>
      </c>
      <c r="F397" s="47">
        <f t="shared" si="14"/>
        <v>0</v>
      </c>
    </row>
    <row r="398" spans="1:6" x14ac:dyDescent="0.25">
      <c r="A398" s="5" t="s">
        <v>17</v>
      </c>
      <c r="B398" s="2">
        <v>43909</v>
      </c>
      <c r="C398" s="1">
        <v>0</v>
      </c>
      <c r="D398" s="47">
        <v>0</v>
      </c>
      <c r="F398" s="47">
        <f t="shared" si="14"/>
        <v>0</v>
      </c>
    </row>
    <row r="399" spans="1:6" x14ac:dyDescent="0.25">
      <c r="A399" s="5" t="s">
        <v>23</v>
      </c>
      <c r="B399" s="2">
        <v>43909</v>
      </c>
      <c r="C399" s="1">
        <v>0</v>
      </c>
      <c r="D399" s="47">
        <v>0</v>
      </c>
      <c r="F399" s="47">
        <f t="shared" si="14"/>
        <v>0</v>
      </c>
    </row>
    <row r="400" spans="1:6" x14ac:dyDescent="0.25">
      <c r="A400" s="5" t="s">
        <v>19</v>
      </c>
      <c r="B400" s="2">
        <v>43909</v>
      </c>
      <c r="C400" s="1">
        <v>0</v>
      </c>
      <c r="D400" s="47">
        <v>0</v>
      </c>
      <c r="F400" s="47">
        <f t="shared" si="14"/>
        <v>0</v>
      </c>
    </row>
    <row r="401" spans="1:6" x14ac:dyDescent="0.25">
      <c r="A401" s="5" t="s">
        <v>18</v>
      </c>
      <c r="B401" s="2">
        <v>43909</v>
      </c>
      <c r="C401" s="1">
        <v>1</v>
      </c>
      <c r="D401" s="47">
        <v>3</v>
      </c>
      <c r="F401" s="47">
        <f t="shared" si="14"/>
        <v>0</v>
      </c>
    </row>
    <row r="402" spans="1:6" x14ac:dyDescent="0.25">
      <c r="A402" s="5" t="s">
        <v>34</v>
      </c>
      <c r="B402" s="2">
        <v>43909</v>
      </c>
      <c r="C402" s="1">
        <v>0</v>
      </c>
      <c r="D402" s="47">
        <v>1</v>
      </c>
      <c r="F402" s="47">
        <f t="shared" si="14"/>
        <v>0</v>
      </c>
    </row>
    <row r="403" spans="1:6" x14ac:dyDescent="0.25">
      <c r="A403" s="5" t="s">
        <v>35</v>
      </c>
      <c r="B403" s="2">
        <v>43909</v>
      </c>
      <c r="C403" s="1">
        <v>0</v>
      </c>
      <c r="D403" s="47">
        <v>0</v>
      </c>
      <c r="F403" s="47">
        <f t="shared" si="14"/>
        <v>0</v>
      </c>
    </row>
    <row r="404" spans="1:6" x14ac:dyDescent="0.25">
      <c r="A404" s="5" t="s">
        <v>36</v>
      </c>
      <c r="B404" s="2">
        <v>43909</v>
      </c>
      <c r="C404" s="1">
        <v>0</v>
      </c>
      <c r="D404" s="47">
        <v>3</v>
      </c>
      <c r="F404" s="47">
        <f t="shared" si="14"/>
        <v>0</v>
      </c>
    </row>
    <row r="405" spans="1:6" x14ac:dyDescent="0.25">
      <c r="A405" s="5" t="s">
        <v>37</v>
      </c>
      <c r="B405" s="2">
        <v>43909</v>
      </c>
      <c r="C405" s="1">
        <v>0</v>
      </c>
      <c r="D405" s="47">
        <v>1</v>
      </c>
      <c r="F405" s="47">
        <f t="shared" si="14"/>
        <v>0</v>
      </c>
    </row>
    <row r="406" spans="1:6" x14ac:dyDescent="0.25">
      <c r="A406" s="5" t="s">
        <v>22</v>
      </c>
      <c r="B406" s="2">
        <v>43909</v>
      </c>
      <c r="C406" s="1">
        <v>1</v>
      </c>
      <c r="D406" s="47">
        <v>2</v>
      </c>
      <c r="F406" s="47">
        <f t="shared" si="14"/>
        <v>0</v>
      </c>
    </row>
    <row r="407" spans="1:6" x14ac:dyDescent="0.25">
      <c r="A407" s="5" t="s">
        <v>38</v>
      </c>
      <c r="B407" s="2">
        <v>43909</v>
      </c>
      <c r="C407" s="1">
        <v>0</v>
      </c>
      <c r="D407" s="47">
        <v>0</v>
      </c>
      <c r="F407" s="47">
        <f t="shared" si="14"/>
        <v>0</v>
      </c>
    </row>
    <row r="408" spans="1:6" x14ac:dyDescent="0.25">
      <c r="A408" s="5" t="s">
        <v>39</v>
      </c>
      <c r="B408" s="2">
        <v>43909</v>
      </c>
      <c r="C408" s="1">
        <v>0</v>
      </c>
      <c r="D408" s="47">
        <v>2</v>
      </c>
      <c r="F408" s="47">
        <f t="shared" si="14"/>
        <v>0</v>
      </c>
    </row>
    <row r="409" spans="1:6" x14ac:dyDescent="0.25">
      <c r="A409" s="5" t="s">
        <v>40</v>
      </c>
      <c r="B409" s="2">
        <v>43909</v>
      </c>
      <c r="C409" s="1">
        <v>1</v>
      </c>
      <c r="D409" s="47">
        <v>1</v>
      </c>
      <c r="F409" s="47">
        <f t="shared" si="14"/>
        <v>0</v>
      </c>
    </row>
    <row r="410" spans="1:6" x14ac:dyDescent="0.25">
      <c r="A410" s="34" t="s">
        <v>16</v>
      </c>
      <c r="B410" s="2">
        <v>43910</v>
      </c>
      <c r="C410" s="1">
        <v>9</v>
      </c>
      <c r="D410" s="47">
        <v>42</v>
      </c>
      <c r="F410" s="47">
        <f>E410+F386</f>
        <v>0</v>
      </c>
    </row>
    <row r="411" spans="1:6" x14ac:dyDescent="0.25">
      <c r="A411" s="5" t="s">
        <v>28</v>
      </c>
      <c r="B411" s="2">
        <v>43910</v>
      </c>
      <c r="C411" s="1">
        <v>0</v>
      </c>
      <c r="D411" s="47">
        <v>0</v>
      </c>
      <c r="F411" s="47">
        <f t="shared" ref="F411:F433" si="15">E411+F387</f>
        <v>0</v>
      </c>
    </row>
    <row r="412" spans="1:6" x14ac:dyDescent="0.25">
      <c r="A412" s="5" t="s">
        <v>15</v>
      </c>
      <c r="B412" s="2">
        <v>43910</v>
      </c>
      <c r="C412" s="1">
        <v>1</v>
      </c>
      <c r="D412" s="47">
        <v>15</v>
      </c>
      <c r="F412" s="47">
        <f t="shared" si="15"/>
        <v>1</v>
      </c>
    </row>
    <row r="413" spans="1:6" x14ac:dyDescent="0.25">
      <c r="A413" s="5" t="s">
        <v>29</v>
      </c>
      <c r="B413" s="2">
        <v>43910</v>
      </c>
      <c r="C413" s="1">
        <v>0</v>
      </c>
      <c r="D413" s="47">
        <v>0</v>
      </c>
      <c r="F413" s="47">
        <f t="shared" si="15"/>
        <v>0</v>
      </c>
    </row>
    <row r="414" spans="1:6" x14ac:dyDescent="0.25">
      <c r="A414" s="5" t="s">
        <v>43</v>
      </c>
      <c r="B414" s="2">
        <v>43910</v>
      </c>
      <c r="C414" s="1">
        <v>9</v>
      </c>
      <c r="D414" s="47">
        <v>64</v>
      </c>
      <c r="F414" s="47">
        <f t="shared" si="15"/>
        <v>1</v>
      </c>
    </row>
    <row r="415" spans="1:6" x14ac:dyDescent="0.25">
      <c r="A415" s="5" t="s">
        <v>20</v>
      </c>
      <c r="B415" s="2">
        <v>43910</v>
      </c>
      <c r="C415" s="1">
        <v>5</v>
      </c>
      <c r="D415" s="47">
        <v>13</v>
      </c>
      <c r="F415" s="47">
        <f t="shared" si="15"/>
        <v>0</v>
      </c>
    </row>
    <row r="416" spans="1:6" x14ac:dyDescent="0.25">
      <c r="A416" s="5" t="s">
        <v>30</v>
      </c>
      <c r="B416" s="2">
        <v>43910</v>
      </c>
      <c r="C416" s="1">
        <v>1</v>
      </c>
      <c r="D416" s="47">
        <v>1</v>
      </c>
      <c r="F416" s="47">
        <f t="shared" si="15"/>
        <v>0</v>
      </c>
    </row>
    <row r="417" spans="1:6" x14ac:dyDescent="0.25">
      <c r="A417" s="5" t="s">
        <v>31</v>
      </c>
      <c r="B417" s="2">
        <v>43910</v>
      </c>
      <c r="C417" s="1">
        <v>1</v>
      </c>
      <c r="D417" s="47">
        <v>4</v>
      </c>
      <c r="F417" s="47">
        <f t="shared" si="15"/>
        <v>0</v>
      </c>
    </row>
    <row r="418" spans="1:6" x14ac:dyDescent="0.25">
      <c r="A418" s="5" t="s">
        <v>41</v>
      </c>
      <c r="B418" s="2">
        <v>43910</v>
      </c>
      <c r="C418" s="1">
        <v>0</v>
      </c>
      <c r="D418" s="47">
        <v>0</v>
      </c>
      <c r="F418" s="47">
        <f t="shared" si="15"/>
        <v>0</v>
      </c>
    </row>
    <row r="419" spans="1:6" x14ac:dyDescent="0.25">
      <c r="A419" s="5" t="s">
        <v>32</v>
      </c>
      <c r="B419" s="2">
        <v>43910</v>
      </c>
      <c r="C419" s="1">
        <v>0</v>
      </c>
      <c r="D419" s="47">
        <v>1</v>
      </c>
      <c r="F419" s="47">
        <f t="shared" si="15"/>
        <v>0</v>
      </c>
    </row>
    <row r="420" spans="1:6" x14ac:dyDescent="0.25">
      <c r="A420" s="5" t="s">
        <v>33</v>
      </c>
      <c r="B420" s="2">
        <v>43910</v>
      </c>
      <c r="C420" s="1">
        <v>0</v>
      </c>
      <c r="D420" s="47">
        <v>0</v>
      </c>
      <c r="F420" s="47">
        <f t="shared" si="15"/>
        <v>0</v>
      </c>
    </row>
    <row r="421" spans="1:6" x14ac:dyDescent="0.25">
      <c r="A421" s="5" t="s">
        <v>21</v>
      </c>
      <c r="B421" s="2">
        <v>43910</v>
      </c>
      <c r="C421" s="1">
        <v>0</v>
      </c>
      <c r="D421" s="47">
        <v>0</v>
      </c>
      <c r="F421" s="47">
        <f t="shared" si="15"/>
        <v>0</v>
      </c>
    </row>
    <row r="422" spans="1:6" x14ac:dyDescent="0.25">
      <c r="A422" s="5" t="s">
        <v>17</v>
      </c>
      <c r="B422" s="2">
        <v>43910</v>
      </c>
      <c r="C422" s="1">
        <v>0</v>
      </c>
      <c r="D422" s="47">
        <v>0</v>
      </c>
      <c r="F422" s="47">
        <f t="shared" si="15"/>
        <v>0</v>
      </c>
    </row>
    <row r="423" spans="1:6" x14ac:dyDescent="0.25">
      <c r="A423" s="5" t="s">
        <v>23</v>
      </c>
      <c r="B423" s="2">
        <v>43910</v>
      </c>
      <c r="C423" s="1">
        <v>0</v>
      </c>
      <c r="D423" s="47">
        <v>0</v>
      </c>
      <c r="F423" s="47">
        <f t="shared" si="15"/>
        <v>0</v>
      </c>
    </row>
    <row r="424" spans="1:6" x14ac:dyDescent="0.25">
      <c r="A424" s="5" t="s">
        <v>19</v>
      </c>
      <c r="B424" s="2">
        <v>43910</v>
      </c>
      <c r="C424" s="1">
        <v>2</v>
      </c>
      <c r="D424" s="47">
        <v>2</v>
      </c>
      <c r="F424" s="47">
        <f t="shared" si="15"/>
        <v>0</v>
      </c>
    </row>
    <row r="425" spans="1:6" x14ac:dyDescent="0.25">
      <c r="A425" s="5" t="s">
        <v>18</v>
      </c>
      <c r="B425" s="2">
        <v>43910</v>
      </c>
      <c r="C425" s="1">
        <v>0</v>
      </c>
      <c r="D425" s="47">
        <v>3</v>
      </c>
      <c r="F425" s="47">
        <f t="shared" si="15"/>
        <v>0</v>
      </c>
    </row>
    <row r="426" spans="1:6" x14ac:dyDescent="0.25">
      <c r="A426" s="5" t="s">
        <v>34</v>
      </c>
      <c r="B426" s="2">
        <v>43910</v>
      </c>
      <c r="C426" s="1">
        <v>0</v>
      </c>
      <c r="D426" s="47">
        <v>1</v>
      </c>
      <c r="F426" s="47">
        <f t="shared" si="15"/>
        <v>0</v>
      </c>
    </row>
    <row r="427" spans="1:6" x14ac:dyDescent="0.25">
      <c r="A427" s="5" t="s">
        <v>35</v>
      </c>
      <c r="B427" s="2">
        <v>43910</v>
      </c>
      <c r="C427" s="1">
        <v>0</v>
      </c>
      <c r="D427" s="47">
        <v>0</v>
      </c>
      <c r="F427" s="47">
        <f t="shared" si="15"/>
        <v>0</v>
      </c>
    </row>
    <row r="428" spans="1:6" x14ac:dyDescent="0.25">
      <c r="A428" s="5" t="s">
        <v>36</v>
      </c>
      <c r="B428" s="2">
        <v>43910</v>
      </c>
      <c r="C428" s="1">
        <v>0</v>
      </c>
      <c r="D428" s="47">
        <v>3</v>
      </c>
      <c r="F428" s="47">
        <f t="shared" si="15"/>
        <v>0</v>
      </c>
    </row>
    <row r="429" spans="1:6" x14ac:dyDescent="0.25">
      <c r="A429" s="5" t="s">
        <v>37</v>
      </c>
      <c r="B429" s="2">
        <v>43910</v>
      </c>
      <c r="C429" s="1">
        <v>0</v>
      </c>
      <c r="D429" s="47">
        <v>1</v>
      </c>
      <c r="F429" s="47">
        <f t="shared" si="15"/>
        <v>0</v>
      </c>
    </row>
    <row r="430" spans="1:6" x14ac:dyDescent="0.25">
      <c r="A430" s="5" t="s">
        <v>22</v>
      </c>
      <c r="B430" s="2">
        <v>43910</v>
      </c>
      <c r="C430" s="1">
        <v>0</v>
      </c>
      <c r="D430" s="47">
        <v>2</v>
      </c>
      <c r="F430" s="47">
        <f t="shared" si="15"/>
        <v>0</v>
      </c>
    </row>
    <row r="431" spans="1:6" x14ac:dyDescent="0.25">
      <c r="A431" s="5" t="s">
        <v>38</v>
      </c>
      <c r="B431" s="2">
        <v>43910</v>
      </c>
      <c r="C431" s="1">
        <v>1</v>
      </c>
      <c r="D431" s="47">
        <v>1</v>
      </c>
      <c r="F431" s="47">
        <f t="shared" si="15"/>
        <v>0</v>
      </c>
    </row>
    <row r="432" spans="1:6" x14ac:dyDescent="0.25">
      <c r="A432" s="5" t="s">
        <v>39</v>
      </c>
      <c r="B432" s="2">
        <v>43910</v>
      </c>
      <c r="C432" s="1">
        <v>1</v>
      </c>
      <c r="D432" s="47">
        <v>3</v>
      </c>
      <c r="F432" s="47">
        <f t="shared" si="15"/>
        <v>0</v>
      </c>
    </row>
    <row r="433" spans="1:6" x14ac:dyDescent="0.25">
      <c r="A433" s="5" t="s">
        <v>40</v>
      </c>
      <c r="B433" s="2">
        <v>43910</v>
      </c>
      <c r="C433" s="1">
        <v>0</v>
      </c>
      <c r="D433" s="47">
        <v>1</v>
      </c>
      <c r="F433" s="47">
        <f t="shared" si="15"/>
        <v>0</v>
      </c>
    </row>
    <row r="434" spans="1:6" x14ac:dyDescent="0.25">
      <c r="A434" s="34" t="s">
        <v>16</v>
      </c>
      <c r="B434" s="2">
        <v>43911</v>
      </c>
      <c r="C434" s="1">
        <v>15</v>
      </c>
      <c r="D434" s="47">
        <v>57</v>
      </c>
      <c r="E434" s="1">
        <v>1</v>
      </c>
      <c r="F434" s="47">
        <f>E434+F410</f>
        <v>1</v>
      </c>
    </row>
    <row r="435" spans="1:6" x14ac:dyDescent="0.25">
      <c r="A435" s="5" t="s">
        <v>28</v>
      </c>
      <c r="B435" s="2">
        <v>43911</v>
      </c>
      <c r="C435" s="1">
        <v>0</v>
      </c>
      <c r="D435" s="47">
        <v>0</v>
      </c>
      <c r="F435" s="47">
        <f t="shared" ref="F435:F457" si="16">E435+F411</f>
        <v>0</v>
      </c>
    </row>
    <row r="436" spans="1:6" x14ac:dyDescent="0.25">
      <c r="A436" s="5" t="s">
        <v>15</v>
      </c>
      <c r="B436" s="2">
        <v>43911</v>
      </c>
      <c r="C436" s="1">
        <v>5</v>
      </c>
      <c r="D436" s="47">
        <v>20</v>
      </c>
      <c r="F436" s="47">
        <f t="shared" si="16"/>
        <v>1</v>
      </c>
    </row>
    <row r="437" spans="1:6" x14ac:dyDescent="0.25">
      <c r="A437" s="5" t="s">
        <v>29</v>
      </c>
      <c r="B437" s="2">
        <v>43911</v>
      </c>
      <c r="C437" s="1">
        <v>0</v>
      </c>
      <c r="D437" s="47">
        <v>0</v>
      </c>
      <c r="F437" s="47">
        <f t="shared" si="16"/>
        <v>0</v>
      </c>
    </row>
    <row r="438" spans="1:6" x14ac:dyDescent="0.25">
      <c r="A438" s="5" t="s">
        <v>43</v>
      </c>
      <c r="B438" s="2">
        <v>43911</v>
      </c>
      <c r="C438" s="1">
        <v>29</v>
      </c>
      <c r="D438" s="47">
        <v>93</v>
      </c>
      <c r="F438" s="47">
        <f t="shared" si="16"/>
        <v>1</v>
      </c>
    </row>
    <row r="439" spans="1:6" x14ac:dyDescent="0.25">
      <c r="A439" s="5" t="s">
        <v>20</v>
      </c>
      <c r="B439" s="2">
        <v>43911</v>
      </c>
      <c r="C439" s="1">
        <v>4</v>
      </c>
      <c r="D439" s="47">
        <v>17</v>
      </c>
      <c r="F439" s="47">
        <f t="shared" si="16"/>
        <v>0</v>
      </c>
    </row>
    <row r="440" spans="1:6" x14ac:dyDescent="0.25">
      <c r="A440" s="5" t="s">
        <v>30</v>
      </c>
      <c r="B440" s="2">
        <v>43911</v>
      </c>
      <c r="C440" s="1">
        <v>2</v>
      </c>
      <c r="D440" s="47">
        <v>3</v>
      </c>
      <c r="F440" s="47">
        <f t="shared" si="16"/>
        <v>0</v>
      </c>
    </row>
    <row r="441" spans="1:6" x14ac:dyDescent="0.25">
      <c r="A441" s="5" t="s">
        <v>31</v>
      </c>
      <c r="B441" s="2">
        <v>43911</v>
      </c>
      <c r="C441" s="1">
        <v>0</v>
      </c>
      <c r="D441" s="47">
        <v>4</v>
      </c>
      <c r="F441" s="47">
        <f t="shared" si="16"/>
        <v>0</v>
      </c>
    </row>
    <row r="442" spans="1:6" x14ac:dyDescent="0.25">
      <c r="A442" s="5" t="s">
        <v>41</v>
      </c>
      <c r="B442" s="2">
        <v>43911</v>
      </c>
      <c r="C442" s="1">
        <v>0</v>
      </c>
      <c r="D442" s="47">
        <v>0</v>
      </c>
      <c r="F442" s="47">
        <f t="shared" si="16"/>
        <v>0</v>
      </c>
    </row>
    <row r="443" spans="1:6" x14ac:dyDescent="0.25">
      <c r="A443" s="5" t="s">
        <v>32</v>
      </c>
      <c r="B443" s="2">
        <v>43911</v>
      </c>
      <c r="C443" s="1">
        <v>0</v>
      </c>
      <c r="D443" s="47">
        <v>1</v>
      </c>
      <c r="F443" s="47">
        <f t="shared" si="16"/>
        <v>0</v>
      </c>
    </row>
    <row r="444" spans="1:6" x14ac:dyDescent="0.25">
      <c r="A444" s="5" t="s">
        <v>33</v>
      </c>
      <c r="B444" s="2">
        <v>43911</v>
      </c>
      <c r="C444" s="1">
        <v>0</v>
      </c>
      <c r="D444" s="47">
        <v>0</v>
      </c>
      <c r="F444" s="47">
        <f t="shared" si="16"/>
        <v>0</v>
      </c>
    </row>
    <row r="445" spans="1:6" x14ac:dyDescent="0.25">
      <c r="A445" s="5" t="s">
        <v>21</v>
      </c>
      <c r="B445" s="2">
        <v>43911</v>
      </c>
      <c r="C445" s="1">
        <v>0</v>
      </c>
      <c r="D445" s="47">
        <v>0</v>
      </c>
      <c r="F445" s="47">
        <f t="shared" si="16"/>
        <v>0</v>
      </c>
    </row>
    <row r="446" spans="1:6" x14ac:dyDescent="0.25">
      <c r="A446" s="5" t="s">
        <v>17</v>
      </c>
      <c r="B446" s="2">
        <v>43911</v>
      </c>
      <c r="C446" s="1">
        <v>5</v>
      </c>
      <c r="D446" s="47">
        <v>5</v>
      </c>
      <c r="F446" s="47">
        <f t="shared" si="16"/>
        <v>0</v>
      </c>
    </row>
    <row r="447" spans="1:6" x14ac:dyDescent="0.25">
      <c r="A447" s="5" t="s">
        <v>23</v>
      </c>
      <c r="B447" s="2">
        <v>43911</v>
      </c>
      <c r="C447" s="1">
        <v>0</v>
      </c>
      <c r="D447" s="47">
        <v>0</v>
      </c>
      <c r="F447" s="47">
        <f t="shared" si="16"/>
        <v>0</v>
      </c>
    </row>
    <row r="448" spans="1:6" x14ac:dyDescent="0.25">
      <c r="A448" s="5" t="s">
        <v>19</v>
      </c>
      <c r="B448" s="2">
        <v>43911</v>
      </c>
      <c r="C448" s="1">
        <v>0</v>
      </c>
      <c r="D448" s="47">
        <v>2</v>
      </c>
      <c r="F448" s="47">
        <f t="shared" si="16"/>
        <v>0</v>
      </c>
    </row>
    <row r="449" spans="1:6" x14ac:dyDescent="0.25">
      <c r="A449" s="5" t="s">
        <v>18</v>
      </c>
      <c r="B449" s="2">
        <v>43911</v>
      </c>
      <c r="C449" s="1">
        <v>1</v>
      </c>
      <c r="D449" s="47">
        <v>4</v>
      </c>
      <c r="F449" s="47">
        <f t="shared" si="16"/>
        <v>0</v>
      </c>
    </row>
    <row r="450" spans="1:6" x14ac:dyDescent="0.25">
      <c r="A450" s="5" t="s">
        <v>34</v>
      </c>
      <c r="B450" s="2">
        <v>43911</v>
      </c>
      <c r="C450" s="1">
        <v>0</v>
      </c>
      <c r="D450" s="47">
        <v>1</v>
      </c>
      <c r="F450" s="47">
        <f t="shared" si="16"/>
        <v>0</v>
      </c>
    </row>
    <row r="451" spans="1:6" x14ac:dyDescent="0.25">
      <c r="A451" s="5" t="s">
        <v>35</v>
      </c>
      <c r="B451" s="2">
        <v>43911</v>
      </c>
      <c r="C451" s="1">
        <v>0</v>
      </c>
      <c r="D451" s="47">
        <v>0</v>
      </c>
      <c r="F451" s="47">
        <f t="shared" si="16"/>
        <v>0</v>
      </c>
    </row>
    <row r="452" spans="1:6" x14ac:dyDescent="0.25">
      <c r="A452" s="5" t="s">
        <v>36</v>
      </c>
      <c r="B452" s="2">
        <v>43911</v>
      </c>
      <c r="C452" s="1">
        <v>0</v>
      </c>
      <c r="D452" s="47">
        <v>3</v>
      </c>
      <c r="F452" s="47">
        <f t="shared" si="16"/>
        <v>0</v>
      </c>
    </row>
    <row r="453" spans="1:6" x14ac:dyDescent="0.25">
      <c r="A453" s="5" t="s">
        <v>37</v>
      </c>
      <c r="B453" s="2">
        <v>43911</v>
      </c>
      <c r="C453" s="1">
        <v>0</v>
      </c>
      <c r="D453" s="47">
        <v>1</v>
      </c>
      <c r="F453" s="47">
        <f t="shared" si="16"/>
        <v>0</v>
      </c>
    </row>
    <row r="454" spans="1:6" x14ac:dyDescent="0.25">
      <c r="A454" s="5" t="s">
        <v>22</v>
      </c>
      <c r="B454" s="2">
        <v>43911</v>
      </c>
      <c r="C454" s="1">
        <v>2</v>
      </c>
      <c r="D454" s="47">
        <v>4</v>
      </c>
      <c r="F454" s="47">
        <f t="shared" si="16"/>
        <v>0</v>
      </c>
    </row>
    <row r="455" spans="1:6" x14ac:dyDescent="0.25">
      <c r="A455" s="5" t="s">
        <v>38</v>
      </c>
      <c r="B455" s="2">
        <v>43911</v>
      </c>
      <c r="C455" s="1">
        <v>0</v>
      </c>
      <c r="D455" s="47">
        <v>1</v>
      </c>
      <c r="F455" s="47">
        <f t="shared" si="16"/>
        <v>0</v>
      </c>
    </row>
    <row r="456" spans="1:6" x14ac:dyDescent="0.25">
      <c r="A456" s="5" t="s">
        <v>39</v>
      </c>
      <c r="B456" s="2">
        <v>43911</v>
      </c>
      <c r="C456" s="1">
        <v>3</v>
      </c>
      <c r="D456" s="47">
        <v>6</v>
      </c>
      <c r="F456" s="47">
        <f t="shared" si="16"/>
        <v>0</v>
      </c>
    </row>
    <row r="457" spans="1:6" x14ac:dyDescent="0.25">
      <c r="A457" s="5" t="s">
        <v>40</v>
      </c>
      <c r="B457" s="2">
        <v>43911</v>
      </c>
      <c r="C457" s="1">
        <v>1</v>
      </c>
      <c r="D457" s="47">
        <v>2</v>
      </c>
      <c r="F457" s="47">
        <f t="shared" si="16"/>
        <v>0</v>
      </c>
    </row>
    <row r="458" spans="1:6" x14ac:dyDescent="0.25">
      <c r="A458" s="34" t="s">
        <v>16</v>
      </c>
      <c r="B458" s="2">
        <v>43912</v>
      </c>
      <c r="C458" s="1">
        <v>8</v>
      </c>
      <c r="D458" s="47">
        <v>65</v>
      </c>
      <c r="F458" s="47">
        <f>E458+F434</f>
        <v>1</v>
      </c>
    </row>
    <row r="459" spans="1:6" x14ac:dyDescent="0.25">
      <c r="A459" s="5" t="s">
        <v>28</v>
      </c>
      <c r="B459" s="2">
        <v>43912</v>
      </c>
      <c r="C459" s="1">
        <v>0</v>
      </c>
      <c r="D459" s="47">
        <v>0</v>
      </c>
      <c r="F459" s="47">
        <f t="shared" ref="F459:F481" si="17">E459+F435</f>
        <v>0</v>
      </c>
    </row>
    <row r="460" spans="1:6" x14ac:dyDescent="0.25">
      <c r="A460" s="5" t="s">
        <v>15</v>
      </c>
      <c r="B460" s="2">
        <v>43912</v>
      </c>
      <c r="C460" s="1">
        <v>7</v>
      </c>
      <c r="D460" s="47">
        <v>27</v>
      </c>
      <c r="F460" s="47">
        <f t="shared" si="17"/>
        <v>1</v>
      </c>
    </row>
    <row r="461" spans="1:6" x14ac:dyDescent="0.25">
      <c r="A461" s="5" t="s">
        <v>29</v>
      </c>
      <c r="B461" s="2">
        <v>43912</v>
      </c>
      <c r="C461" s="1">
        <v>0</v>
      </c>
      <c r="D461" s="47">
        <v>0</v>
      </c>
      <c r="F461" s="47">
        <f t="shared" si="17"/>
        <v>0</v>
      </c>
    </row>
    <row r="462" spans="1:6" x14ac:dyDescent="0.25">
      <c r="A462" s="5" t="s">
        <v>43</v>
      </c>
      <c r="B462" s="2">
        <v>43912</v>
      </c>
      <c r="C462" s="1">
        <v>11</v>
      </c>
      <c r="D462" s="47">
        <v>104</v>
      </c>
      <c r="F462" s="47">
        <f t="shared" si="17"/>
        <v>1</v>
      </c>
    </row>
    <row r="463" spans="1:6" x14ac:dyDescent="0.25">
      <c r="A463" s="5" t="s">
        <v>20</v>
      </c>
      <c r="B463" s="2">
        <v>43912</v>
      </c>
      <c r="C463" s="1">
        <v>8</v>
      </c>
      <c r="D463" s="47">
        <v>25</v>
      </c>
      <c r="F463" s="47">
        <f t="shared" si="17"/>
        <v>0</v>
      </c>
    </row>
    <row r="464" spans="1:6" x14ac:dyDescent="0.25">
      <c r="A464" s="5" t="s">
        <v>30</v>
      </c>
      <c r="B464" s="2">
        <v>43912</v>
      </c>
      <c r="C464" s="1">
        <v>0</v>
      </c>
      <c r="D464" s="47">
        <v>3</v>
      </c>
      <c r="F464" s="47">
        <f t="shared" si="17"/>
        <v>0</v>
      </c>
    </row>
    <row r="465" spans="1:6" x14ac:dyDescent="0.25">
      <c r="A465" s="5" t="s">
        <v>31</v>
      </c>
      <c r="B465" s="2">
        <v>43912</v>
      </c>
      <c r="C465" s="1">
        <v>0</v>
      </c>
      <c r="D465" s="47">
        <v>4</v>
      </c>
      <c r="F465" s="47">
        <f t="shared" si="17"/>
        <v>0</v>
      </c>
    </row>
    <row r="466" spans="1:6" x14ac:dyDescent="0.25">
      <c r="A466" s="5" t="s">
        <v>41</v>
      </c>
      <c r="B466" s="2">
        <v>43912</v>
      </c>
      <c r="C466" s="1">
        <v>0</v>
      </c>
      <c r="D466" s="47">
        <v>0</v>
      </c>
      <c r="F466" s="47">
        <f t="shared" si="17"/>
        <v>0</v>
      </c>
    </row>
    <row r="467" spans="1:6" x14ac:dyDescent="0.25">
      <c r="A467" s="5" t="s">
        <v>32</v>
      </c>
      <c r="B467" s="2">
        <v>43912</v>
      </c>
      <c r="C467" s="1">
        <v>0</v>
      </c>
      <c r="D467" s="47">
        <v>1</v>
      </c>
      <c r="F467" s="47">
        <f t="shared" si="17"/>
        <v>0</v>
      </c>
    </row>
    <row r="468" spans="1:6" x14ac:dyDescent="0.25">
      <c r="A468" s="5" t="s">
        <v>33</v>
      </c>
      <c r="B468" s="2">
        <v>43912</v>
      </c>
      <c r="C468" s="1">
        <v>0</v>
      </c>
      <c r="D468" s="47">
        <v>0</v>
      </c>
      <c r="F468" s="47">
        <f t="shared" si="17"/>
        <v>0</v>
      </c>
    </row>
    <row r="469" spans="1:6" x14ac:dyDescent="0.25">
      <c r="A469" s="5" t="s">
        <v>21</v>
      </c>
      <c r="B469" s="2">
        <v>43912</v>
      </c>
      <c r="C469" s="1">
        <v>0</v>
      </c>
      <c r="D469" s="47">
        <v>0</v>
      </c>
      <c r="F469" s="47">
        <f t="shared" si="17"/>
        <v>0</v>
      </c>
    </row>
    <row r="470" spans="1:6" x14ac:dyDescent="0.25">
      <c r="A470" s="5" t="s">
        <v>17</v>
      </c>
      <c r="B470" s="2">
        <v>43912</v>
      </c>
      <c r="C470" s="1">
        <v>0</v>
      </c>
      <c r="D470" s="47">
        <v>5</v>
      </c>
      <c r="F470" s="47">
        <f t="shared" si="17"/>
        <v>0</v>
      </c>
    </row>
    <row r="471" spans="1:6" x14ac:dyDescent="0.25">
      <c r="A471" s="5" t="s">
        <v>23</v>
      </c>
      <c r="B471" s="2">
        <v>43912</v>
      </c>
      <c r="C471" s="1">
        <v>1</v>
      </c>
      <c r="D471" s="47">
        <v>1</v>
      </c>
      <c r="F471" s="47">
        <f t="shared" si="17"/>
        <v>0</v>
      </c>
    </row>
    <row r="472" spans="1:6" x14ac:dyDescent="0.25">
      <c r="A472" s="5" t="s">
        <v>19</v>
      </c>
      <c r="B472" s="2">
        <v>43912</v>
      </c>
      <c r="C472" s="1">
        <v>0</v>
      </c>
      <c r="D472" s="47">
        <v>2</v>
      </c>
      <c r="F472" s="47">
        <f t="shared" si="17"/>
        <v>0</v>
      </c>
    </row>
    <row r="473" spans="1:6" x14ac:dyDescent="0.25">
      <c r="A473" s="5" t="s">
        <v>18</v>
      </c>
      <c r="B473" s="2">
        <v>43912</v>
      </c>
      <c r="C473" s="1">
        <v>0</v>
      </c>
      <c r="D473" s="47">
        <v>4</v>
      </c>
      <c r="F473" s="47">
        <f t="shared" si="17"/>
        <v>0</v>
      </c>
    </row>
    <row r="474" spans="1:6" x14ac:dyDescent="0.25">
      <c r="A474" s="5" t="s">
        <v>34</v>
      </c>
      <c r="B474" s="2">
        <v>43912</v>
      </c>
      <c r="C474" s="1">
        <v>0</v>
      </c>
      <c r="D474" s="47">
        <v>1</v>
      </c>
      <c r="F474" s="47">
        <f t="shared" si="17"/>
        <v>0</v>
      </c>
    </row>
    <row r="475" spans="1:6" x14ac:dyDescent="0.25">
      <c r="A475" s="5" t="s">
        <v>35</v>
      </c>
      <c r="B475" s="2">
        <v>43912</v>
      </c>
      <c r="C475" s="1">
        <v>0</v>
      </c>
      <c r="D475" s="47">
        <v>0</v>
      </c>
      <c r="F475" s="47">
        <f t="shared" si="17"/>
        <v>0</v>
      </c>
    </row>
    <row r="476" spans="1:6" x14ac:dyDescent="0.25">
      <c r="A476" s="5" t="s">
        <v>36</v>
      </c>
      <c r="B476" s="2">
        <v>43912</v>
      </c>
      <c r="C476" s="1">
        <v>0</v>
      </c>
      <c r="D476" s="47">
        <v>3</v>
      </c>
      <c r="F476" s="47">
        <f t="shared" si="17"/>
        <v>0</v>
      </c>
    </row>
    <row r="477" spans="1:6" x14ac:dyDescent="0.25">
      <c r="A477" s="5" t="s">
        <v>37</v>
      </c>
      <c r="B477" s="2">
        <v>43912</v>
      </c>
      <c r="C477" s="1">
        <v>0</v>
      </c>
      <c r="D477" s="47">
        <v>1</v>
      </c>
      <c r="F477" s="47">
        <f t="shared" si="17"/>
        <v>0</v>
      </c>
    </row>
    <row r="478" spans="1:6" x14ac:dyDescent="0.25">
      <c r="A478" s="5" t="s">
        <v>22</v>
      </c>
      <c r="B478" s="2">
        <v>43912</v>
      </c>
      <c r="C478" s="1">
        <v>0</v>
      </c>
      <c r="D478" s="47">
        <v>4</v>
      </c>
      <c r="F478" s="47">
        <f t="shared" si="17"/>
        <v>0</v>
      </c>
    </row>
    <row r="479" spans="1:6" x14ac:dyDescent="0.25">
      <c r="A479" s="5" t="s">
        <v>38</v>
      </c>
      <c r="B479" s="2">
        <v>43912</v>
      </c>
      <c r="C479" s="1">
        <v>0</v>
      </c>
      <c r="D479" s="47">
        <v>1</v>
      </c>
      <c r="F479" s="47">
        <f t="shared" si="17"/>
        <v>0</v>
      </c>
    </row>
    <row r="480" spans="1:6" x14ac:dyDescent="0.25">
      <c r="A480" s="5" t="s">
        <v>39</v>
      </c>
      <c r="B480" s="2">
        <v>43912</v>
      </c>
      <c r="C480" s="1">
        <v>0</v>
      </c>
      <c r="D480" s="47">
        <v>6</v>
      </c>
      <c r="F480" s="47">
        <f t="shared" si="17"/>
        <v>0</v>
      </c>
    </row>
    <row r="481" spans="1:6" x14ac:dyDescent="0.25">
      <c r="A481" s="5" t="s">
        <v>40</v>
      </c>
      <c r="B481" s="2">
        <v>43912</v>
      </c>
      <c r="C481" s="1">
        <v>5</v>
      </c>
      <c r="D481" s="47">
        <v>7</v>
      </c>
      <c r="F481" s="47">
        <f t="shared" si="17"/>
        <v>0</v>
      </c>
    </row>
    <row r="482" spans="1:6" x14ac:dyDescent="0.25">
      <c r="A482" s="34" t="s">
        <v>16</v>
      </c>
      <c r="B482" s="2">
        <v>43913</v>
      </c>
      <c r="C482" s="1">
        <v>5</v>
      </c>
      <c r="D482" s="47">
        <v>70</v>
      </c>
      <c r="F482" s="47">
        <f>E482+F458</f>
        <v>1</v>
      </c>
    </row>
    <row r="483" spans="1:6" x14ac:dyDescent="0.25">
      <c r="A483" s="5" t="s">
        <v>28</v>
      </c>
      <c r="B483" s="2">
        <v>43913</v>
      </c>
      <c r="C483" s="1">
        <v>0</v>
      </c>
      <c r="D483" s="47">
        <v>0</v>
      </c>
      <c r="F483" s="47">
        <f t="shared" ref="F483:F505" si="18">E483+F459</f>
        <v>0</v>
      </c>
    </row>
    <row r="484" spans="1:6" x14ac:dyDescent="0.25">
      <c r="A484" s="5" t="s">
        <v>15</v>
      </c>
      <c r="B484" s="2">
        <v>43913</v>
      </c>
      <c r="C484" s="1">
        <v>4</v>
      </c>
      <c r="D484" s="47">
        <v>31</v>
      </c>
      <c r="F484" s="47">
        <f t="shared" si="18"/>
        <v>1</v>
      </c>
    </row>
    <row r="485" spans="1:6" x14ac:dyDescent="0.25">
      <c r="A485" s="5" t="s">
        <v>29</v>
      </c>
      <c r="B485" s="2">
        <v>43913</v>
      </c>
      <c r="C485" s="1">
        <v>0</v>
      </c>
      <c r="D485" s="47">
        <v>0</v>
      </c>
      <c r="F485" s="47">
        <f t="shared" si="18"/>
        <v>0</v>
      </c>
    </row>
    <row r="486" spans="1:6" x14ac:dyDescent="0.25">
      <c r="A486" s="5" t="s">
        <v>43</v>
      </c>
      <c r="B486" s="2">
        <v>43913</v>
      </c>
      <c r="C486" s="1">
        <v>11</v>
      </c>
      <c r="D486" s="47">
        <v>115</v>
      </c>
      <c r="F486" s="47">
        <f t="shared" si="18"/>
        <v>1</v>
      </c>
    </row>
    <row r="487" spans="1:6" x14ac:dyDescent="0.25">
      <c r="A487" s="5" t="s">
        <v>20</v>
      </c>
      <c r="B487" s="2">
        <v>43913</v>
      </c>
      <c r="C487" s="1">
        <v>3</v>
      </c>
      <c r="D487" s="47">
        <v>28</v>
      </c>
      <c r="F487" s="47">
        <f t="shared" si="18"/>
        <v>0</v>
      </c>
    </row>
    <row r="488" spans="1:6" x14ac:dyDescent="0.25">
      <c r="A488" s="5" t="s">
        <v>30</v>
      </c>
      <c r="B488" s="2">
        <v>43913</v>
      </c>
      <c r="C488" s="1">
        <v>0</v>
      </c>
      <c r="D488" s="47">
        <v>3</v>
      </c>
      <c r="F488" s="47">
        <f t="shared" si="18"/>
        <v>0</v>
      </c>
    </row>
    <row r="489" spans="1:6" x14ac:dyDescent="0.25">
      <c r="A489" s="5" t="s">
        <v>31</v>
      </c>
      <c r="B489" s="2">
        <v>43913</v>
      </c>
      <c r="C489" s="1">
        <v>0</v>
      </c>
      <c r="D489" s="47">
        <v>4</v>
      </c>
      <c r="F489" s="47">
        <f t="shared" si="18"/>
        <v>0</v>
      </c>
    </row>
    <row r="490" spans="1:6" x14ac:dyDescent="0.25">
      <c r="A490" s="5" t="s">
        <v>41</v>
      </c>
      <c r="B490" s="2">
        <v>43913</v>
      </c>
      <c r="C490" s="1">
        <v>0</v>
      </c>
      <c r="D490" s="47">
        <v>0</v>
      </c>
      <c r="F490" s="47">
        <f t="shared" si="18"/>
        <v>0</v>
      </c>
    </row>
    <row r="491" spans="1:6" x14ac:dyDescent="0.25">
      <c r="A491" s="5" t="s">
        <v>32</v>
      </c>
      <c r="B491" s="2">
        <v>43913</v>
      </c>
      <c r="C491" s="1">
        <v>0</v>
      </c>
      <c r="D491" s="47">
        <v>1</v>
      </c>
      <c r="F491" s="47">
        <f t="shared" si="18"/>
        <v>0</v>
      </c>
    </row>
    <row r="492" spans="1:6" x14ac:dyDescent="0.25">
      <c r="A492" s="5" t="s">
        <v>33</v>
      </c>
      <c r="B492" s="2">
        <v>43913</v>
      </c>
      <c r="C492" s="1">
        <v>0</v>
      </c>
      <c r="D492" s="47">
        <v>0</v>
      </c>
      <c r="F492" s="47">
        <f t="shared" si="18"/>
        <v>0</v>
      </c>
    </row>
    <row r="493" spans="1:6" x14ac:dyDescent="0.25">
      <c r="A493" s="5" t="s">
        <v>21</v>
      </c>
      <c r="B493" s="2">
        <v>43913</v>
      </c>
      <c r="C493" s="1">
        <v>0</v>
      </c>
      <c r="D493" s="47">
        <v>0</v>
      </c>
      <c r="F493" s="47">
        <f t="shared" si="18"/>
        <v>0</v>
      </c>
    </row>
    <row r="494" spans="1:6" x14ac:dyDescent="0.25">
      <c r="A494" s="5" t="s">
        <v>17</v>
      </c>
      <c r="B494" s="2">
        <v>43913</v>
      </c>
      <c r="C494" s="1">
        <v>0</v>
      </c>
      <c r="D494" s="47">
        <v>5</v>
      </c>
      <c r="F494" s="47">
        <f t="shared" si="18"/>
        <v>0</v>
      </c>
    </row>
    <row r="495" spans="1:6" x14ac:dyDescent="0.25">
      <c r="A495" s="5" t="s">
        <v>23</v>
      </c>
      <c r="B495" s="2">
        <v>43913</v>
      </c>
      <c r="C495" s="1">
        <v>0</v>
      </c>
      <c r="D495" s="47">
        <v>1</v>
      </c>
      <c r="F495" s="47">
        <f t="shared" si="18"/>
        <v>0</v>
      </c>
    </row>
    <row r="496" spans="1:6" x14ac:dyDescent="0.25">
      <c r="A496" s="5" t="s">
        <v>19</v>
      </c>
      <c r="B496" s="2">
        <v>43913</v>
      </c>
      <c r="C496" s="1">
        <v>0</v>
      </c>
      <c r="D496" s="47">
        <v>2</v>
      </c>
      <c r="F496" s="47">
        <f t="shared" si="18"/>
        <v>0</v>
      </c>
    </row>
    <row r="497" spans="1:6" x14ac:dyDescent="0.25">
      <c r="A497" s="5" t="s">
        <v>18</v>
      </c>
      <c r="B497" s="2">
        <v>43913</v>
      </c>
      <c r="C497" s="1">
        <v>0</v>
      </c>
      <c r="D497" s="47">
        <v>4</v>
      </c>
      <c r="F497" s="47">
        <f t="shared" si="18"/>
        <v>0</v>
      </c>
    </row>
    <row r="498" spans="1:6" x14ac:dyDescent="0.25">
      <c r="A498" s="5" t="s">
        <v>34</v>
      </c>
      <c r="B498" s="2">
        <v>43913</v>
      </c>
      <c r="C498" s="1">
        <v>0</v>
      </c>
      <c r="D498" s="47">
        <v>1</v>
      </c>
      <c r="F498" s="47">
        <f t="shared" si="18"/>
        <v>0</v>
      </c>
    </row>
    <row r="499" spans="1:6" x14ac:dyDescent="0.25">
      <c r="A499" s="5" t="s">
        <v>35</v>
      </c>
      <c r="B499" s="2">
        <v>43913</v>
      </c>
      <c r="C499" s="1">
        <v>0</v>
      </c>
      <c r="D499" s="47">
        <v>0</v>
      </c>
      <c r="F499" s="47">
        <f t="shared" si="18"/>
        <v>0</v>
      </c>
    </row>
    <row r="500" spans="1:6" x14ac:dyDescent="0.25">
      <c r="A500" s="5" t="s">
        <v>36</v>
      </c>
      <c r="B500" s="2">
        <v>43913</v>
      </c>
      <c r="C500" s="1">
        <v>0</v>
      </c>
      <c r="D500" s="47">
        <v>3</v>
      </c>
      <c r="F500" s="47">
        <f t="shared" si="18"/>
        <v>0</v>
      </c>
    </row>
    <row r="501" spans="1:6" x14ac:dyDescent="0.25">
      <c r="A501" s="5" t="s">
        <v>37</v>
      </c>
      <c r="B501" s="2">
        <v>43913</v>
      </c>
      <c r="C501" s="1">
        <v>0</v>
      </c>
      <c r="D501" s="47">
        <v>1</v>
      </c>
      <c r="F501" s="47">
        <f t="shared" si="18"/>
        <v>0</v>
      </c>
    </row>
    <row r="502" spans="1:6" x14ac:dyDescent="0.25">
      <c r="A502" s="5" t="s">
        <v>22</v>
      </c>
      <c r="B502" s="2">
        <v>43913</v>
      </c>
      <c r="C502" s="1">
        <v>13</v>
      </c>
      <c r="D502" s="47">
        <v>17</v>
      </c>
      <c r="F502" s="47">
        <f t="shared" si="18"/>
        <v>0</v>
      </c>
    </row>
    <row r="503" spans="1:6" x14ac:dyDescent="0.25">
      <c r="A503" s="5" t="s">
        <v>38</v>
      </c>
      <c r="B503" s="2">
        <v>43913</v>
      </c>
      <c r="C503" s="1">
        <v>0</v>
      </c>
      <c r="D503" s="47">
        <v>1</v>
      </c>
      <c r="F503" s="47">
        <f t="shared" si="18"/>
        <v>0</v>
      </c>
    </row>
    <row r="504" spans="1:6" x14ac:dyDescent="0.25">
      <c r="A504" s="5" t="s">
        <v>39</v>
      </c>
      <c r="B504" s="2">
        <v>43913</v>
      </c>
      <c r="C504" s="1">
        <v>0</v>
      </c>
      <c r="D504" s="47">
        <v>6</v>
      </c>
      <c r="F504" s="47">
        <f t="shared" si="18"/>
        <v>0</v>
      </c>
    </row>
    <row r="505" spans="1:6" x14ac:dyDescent="0.25">
      <c r="A505" s="5" t="s">
        <v>40</v>
      </c>
      <c r="B505" s="2">
        <v>43913</v>
      </c>
      <c r="C505" s="1">
        <v>0</v>
      </c>
      <c r="D505" s="47">
        <v>7</v>
      </c>
      <c r="F505" s="47">
        <f t="shared" si="18"/>
        <v>0</v>
      </c>
    </row>
    <row r="506" spans="1:6" x14ac:dyDescent="0.25">
      <c r="A506" s="34" t="s">
        <v>16</v>
      </c>
      <c r="B506" s="2">
        <v>43914</v>
      </c>
      <c r="C506" s="1">
        <v>28</v>
      </c>
      <c r="D506" s="47">
        <v>98</v>
      </c>
      <c r="E506" s="1">
        <v>1</v>
      </c>
      <c r="F506" s="47">
        <f>E506+F482</f>
        <v>2</v>
      </c>
    </row>
    <row r="507" spans="1:6" x14ac:dyDescent="0.25">
      <c r="A507" s="5" t="s">
        <v>28</v>
      </c>
      <c r="B507" s="2">
        <v>43914</v>
      </c>
      <c r="C507" s="1">
        <v>0</v>
      </c>
      <c r="D507" s="47">
        <v>0</v>
      </c>
      <c r="F507" s="47">
        <f t="shared" ref="F507:F570" si="19">E507+F483</f>
        <v>0</v>
      </c>
    </row>
    <row r="508" spans="1:6" x14ac:dyDescent="0.25">
      <c r="A508" s="5" t="s">
        <v>15</v>
      </c>
      <c r="B508" s="2">
        <v>43914</v>
      </c>
      <c r="C508" s="1">
        <v>9</v>
      </c>
      <c r="D508" s="47">
        <v>40</v>
      </c>
      <c r="E508" s="1">
        <v>1</v>
      </c>
      <c r="F508" s="47">
        <f t="shared" si="19"/>
        <v>2</v>
      </c>
    </row>
    <row r="509" spans="1:6" x14ac:dyDescent="0.25">
      <c r="A509" s="5" t="s">
        <v>29</v>
      </c>
      <c r="B509" s="2">
        <v>43914</v>
      </c>
      <c r="C509" s="1">
        <v>0</v>
      </c>
      <c r="D509" s="47">
        <v>0</v>
      </c>
      <c r="F509" s="47">
        <f t="shared" si="19"/>
        <v>0</v>
      </c>
    </row>
    <row r="510" spans="1:6" x14ac:dyDescent="0.25">
      <c r="A510" s="5" t="s">
        <v>43</v>
      </c>
      <c r="B510" s="2">
        <v>43914</v>
      </c>
      <c r="C510" s="1">
        <v>30</v>
      </c>
      <c r="D510" s="47">
        <v>145</v>
      </c>
      <c r="F510" s="47">
        <f t="shared" si="19"/>
        <v>1</v>
      </c>
    </row>
    <row r="511" spans="1:6" x14ac:dyDescent="0.25">
      <c r="A511" s="5" t="s">
        <v>20</v>
      </c>
      <c r="B511" s="2">
        <v>43914</v>
      </c>
      <c r="C511" s="1">
        <v>7</v>
      </c>
      <c r="D511" s="47">
        <v>35</v>
      </c>
      <c r="F511" s="47">
        <f t="shared" si="19"/>
        <v>0</v>
      </c>
    </row>
    <row r="512" spans="1:6" x14ac:dyDescent="0.25">
      <c r="A512" s="5" t="s">
        <v>30</v>
      </c>
      <c r="B512" s="2">
        <v>43914</v>
      </c>
      <c r="C512" s="1">
        <v>0</v>
      </c>
      <c r="D512" s="47">
        <v>3</v>
      </c>
      <c r="F512" s="47">
        <f t="shared" si="19"/>
        <v>0</v>
      </c>
    </row>
    <row r="513" spans="1:6" x14ac:dyDescent="0.25">
      <c r="A513" s="5" t="s">
        <v>31</v>
      </c>
      <c r="B513" s="2">
        <v>43914</v>
      </c>
      <c r="C513" s="1">
        <v>0</v>
      </c>
      <c r="D513" s="47">
        <v>4</v>
      </c>
      <c r="F513" s="47">
        <f t="shared" si="19"/>
        <v>0</v>
      </c>
    </row>
    <row r="514" spans="1:6" x14ac:dyDescent="0.25">
      <c r="A514" s="5" t="s">
        <v>41</v>
      </c>
      <c r="B514" s="2">
        <v>43914</v>
      </c>
      <c r="C514" s="1">
        <v>0</v>
      </c>
      <c r="D514" s="47">
        <v>0</v>
      </c>
      <c r="F514" s="47">
        <f t="shared" si="19"/>
        <v>0</v>
      </c>
    </row>
    <row r="515" spans="1:6" x14ac:dyDescent="0.25">
      <c r="A515" s="5" t="s">
        <v>32</v>
      </c>
      <c r="B515" s="2">
        <v>43914</v>
      </c>
      <c r="C515" s="1">
        <v>0</v>
      </c>
      <c r="D515" s="47">
        <v>1</v>
      </c>
      <c r="F515" s="47">
        <f t="shared" si="19"/>
        <v>0</v>
      </c>
    </row>
    <row r="516" spans="1:6" x14ac:dyDescent="0.25">
      <c r="A516" s="5" t="s">
        <v>33</v>
      </c>
      <c r="B516" s="2">
        <v>43914</v>
      </c>
      <c r="C516" s="1">
        <v>1</v>
      </c>
      <c r="D516" s="47">
        <v>1</v>
      </c>
      <c r="F516" s="47">
        <f t="shared" si="19"/>
        <v>0</v>
      </c>
    </row>
    <row r="517" spans="1:6" x14ac:dyDescent="0.25">
      <c r="A517" s="5" t="s">
        <v>21</v>
      </c>
      <c r="B517" s="2">
        <v>43914</v>
      </c>
      <c r="C517" s="1">
        <v>0</v>
      </c>
      <c r="D517" s="47">
        <v>0</v>
      </c>
      <c r="F517" s="47">
        <f t="shared" si="19"/>
        <v>0</v>
      </c>
    </row>
    <row r="518" spans="1:6" x14ac:dyDescent="0.25">
      <c r="A518" s="5" t="s">
        <v>17</v>
      </c>
      <c r="B518" s="2">
        <v>43914</v>
      </c>
      <c r="C518" s="1">
        <v>0</v>
      </c>
      <c r="D518" s="47">
        <v>5</v>
      </c>
      <c r="F518" s="47">
        <f t="shared" si="19"/>
        <v>0</v>
      </c>
    </row>
    <row r="519" spans="1:6" x14ac:dyDescent="0.25">
      <c r="A519" s="5" t="s">
        <v>23</v>
      </c>
      <c r="B519" s="2">
        <v>43914</v>
      </c>
      <c r="C519" s="1">
        <v>0</v>
      </c>
      <c r="D519" s="47">
        <v>1</v>
      </c>
      <c r="F519" s="47">
        <f t="shared" si="19"/>
        <v>0</v>
      </c>
    </row>
    <row r="520" spans="1:6" x14ac:dyDescent="0.25">
      <c r="A520" s="5" t="s">
        <v>19</v>
      </c>
      <c r="B520" s="2">
        <v>43914</v>
      </c>
      <c r="C520" s="1">
        <v>1</v>
      </c>
      <c r="D520" s="47">
        <v>3</v>
      </c>
      <c r="F520" s="47">
        <f t="shared" si="19"/>
        <v>0</v>
      </c>
    </row>
    <row r="521" spans="1:6" x14ac:dyDescent="0.25">
      <c r="A521" s="5" t="s">
        <v>18</v>
      </c>
      <c r="B521" s="2">
        <v>43914</v>
      </c>
      <c r="C521" s="1">
        <v>0</v>
      </c>
      <c r="D521" s="47">
        <v>4</v>
      </c>
      <c r="F521" s="47">
        <f t="shared" si="19"/>
        <v>0</v>
      </c>
    </row>
    <row r="522" spans="1:6" x14ac:dyDescent="0.25">
      <c r="A522" s="5" t="s">
        <v>34</v>
      </c>
      <c r="B522" s="2">
        <v>43914</v>
      </c>
      <c r="C522" s="1">
        <v>0</v>
      </c>
      <c r="D522" s="47">
        <v>1</v>
      </c>
      <c r="F522" s="47">
        <f t="shared" si="19"/>
        <v>0</v>
      </c>
    </row>
    <row r="523" spans="1:6" x14ac:dyDescent="0.25">
      <c r="A523" s="5" t="s">
        <v>35</v>
      </c>
      <c r="B523" s="2">
        <v>43914</v>
      </c>
      <c r="C523" s="1">
        <v>0</v>
      </c>
      <c r="D523" s="47">
        <v>0</v>
      </c>
      <c r="F523" s="47">
        <f t="shared" si="19"/>
        <v>0</v>
      </c>
    </row>
    <row r="524" spans="1:6" x14ac:dyDescent="0.25">
      <c r="A524" s="5" t="s">
        <v>36</v>
      </c>
      <c r="B524" s="2">
        <v>43914</v>
      </c>
      <c r="C524" s="1">
        <v>0</v>
      </c>
      <c r="D524" s="47">
        <v>3</v>
      </c>
      <c r="F524" s="47">
        <f t="shared" si="19"/>
        <v>0</v>
      </c>
    </row>
    <row r="525" spans="1:6" x14ac:dyDescent="0.25">
      <c r="A525" s="5" t="s">
        <v>37</v>
      </c>
      <c r="B525" s="2">
        <v>43914</v>
      </c>
      <c r="C525" s="1">
        <v>1</v>
      </c>
      <c r="D525" s="47">
        <v>2</v>
      </c>
      <c r="F525" s="47">
        <f t="shared" si="19"/>
        <v>0</v>
      </c>
    </row>
    <row r="526" spans="1:6" x14ac:dyDescent="0.25">
      <c r="A526" s="5" t="s">
        <v>22</v>
      </c>
      <c r="B526" s="2">
        <v>43914</v>
      </c>
      <c r="C526" s="1">
        <v>3</v>
      </c>
      <c r="D526" s="47">
        <v>20</v>
      </c>
      <c r="F526" s="47">
        <f t="shared" si="19"/>
        <v>0</v>
      </c>
    </row>
    <row r="527" spans="1:6" x14ac:dyDescent="0.25">
      <c r="A527" s="5" t="s">
        <v>38</v>
      </c>
      <c r="B527" s="2">
        <v>43914</v>
      </c>
      <c r="C527" s="1">
        <v>0</v>
      </c>
      <c r="D527" s="47">
        <v>1</v>
      </c>
      <c r="F527" s="47">
        <f t="shared" si="19"/>
        <v>0</v>
      </c>
    </row>
    <row r="528" spans="1:6" x14ac:dyDescent="0.25">
      <c r="A528" s="5" t="s">
        <v>39</v>
      </c>
      <c r="B528" s="2">
        <v>43914</v>
      </c>
      <c r="C528" s="1">
        <v>4</v>
      </c>
      <c r="D528" s="47">
        <v>10</v>
      </c>
      <c r="F528" s="47">
        <f t="shared" si="19"/>
        <v>0</v>
      </c>
    </row>
    <row r="529" spans="1:6" x14ac:dyDescent="0.25">
      <c r="A529" s="5" t="s">
        <v>40</v>
      </c>
      <c r="B529" s="2">
        <v>43914</v>
      </c>
      <c r="C529" s="1">
        <v>0</v>
      </c>
      <c r="D529" s="47">
        <v>7</v>
      </c>
      <c r="F529" s="47">
        <f t="shared" si="19"/>
        <v>0</v>
      </c>
    </row>
    <row r="530" spans="1:6" x14ac:dyDescent="0.25">
      <c r="A530" s="34" t="s">
        <v>16</v>
      </c>
      <c r="B530" s="2">
        <v>43915</v>
      </c>
      <c r="C530" s="1">
        <v>30</v>
      </c>
      <c r="D530" s="47">
        <v>128</v>
      </c>
      <c r="F530" s="47">
        <f>E530+F506</f>
        <v>2</v>
      </c>
    </row>
    <row r="531" spans="1:6" x14ac:dyDescent="0.25">
      <c r="A531" s="5" t="s">
        <v>28</v>
      </c>
      <c r="B531" s="2">
        <v>43915</v>
      </c>
      <c r="C531" s="1">
        <v>0</v>
      </c>
      <c r="D531" s="47">
        <v>0</v>
      </c>
      <c r="F531" s="47">
        <f t="shared" si="19"/>
        <v>0</v>
      </c>
    </row>
    <row r="532" spans="1:6" x14ac:dyDescent="0.25">
      <c r="A532" s="5" t="s">
        <v>15</v>
      </c>
      <c r="B532" s="2">
        <v>43915</v>
      </c>
      <c r="C532" s="1">
        <v>12</v>
      </c>
      <c r="D532" s="47">
        <v>52</v>
      </c>
      <c r="E532" s="1">
        <v>1</v>
      </c>
      <c r="F532" s="47">
        <f t="shared" si="19"/>
        <v>3</v>
      </c>
    </row>
    <row r="533" spans="1:6" x14ac:dyDescent="0.25">
      <c r="A533" s="5" t="s">
        <v>29</v>
      </c>
      <c r="B533" s="2">
        <v>43915</v>
      </c>
      <c r="C533" s="1">
        <v>0</v>
      </c>
      <c r="D533" s="47">
        <v>0</v>
      </c>
      <c r="F533" s="47">
        <f t="shared" si="19"/>
        <v>0</v>
      </c>
    </row>
    <row r="534" spans="1:6" x14ac:dyDescent="0.25">
      <c r="A534" s="5" t="s">
        <v>43</v>
      </c>
      <c r="B534" s="2">
        <v>43915</v>
      </c>
      <c r="C534" s="1">
        <v>21</v>
      </c>
      <c r="D534" s="47">
        <v>166</v>
      </c>
      <c r="E534" s="1">
        <v>1</v>
      </c>
      <c r="F534" s="47">
        <f t="shared" si="19"/>
        <v>2</v>
      </c>
    </row>
    <row r="535" spans="1:6" x14ac:dyDescent="0.25">
      <c r="A535" s="5" t="s">
        <v>20</v>
      </c>
      <c r="B535" s="2">
        <v>43915</v>
      </c>
      <c r="C535" s="1">
        <v>15</v>
      </c>
      <c r="D535" s="47">
        <v>50</v>
      </c>
      <c r="F535" s="47">
        <f t="shared" si="19"/>
        <v>0</v>
      </c>
    </row>
    <row r="536" spans="1:6" x14ac:dyDescent="0.25">
      <c r="A536" s="5" t="s">
        <v>30</v>
      </c>
      <c r="B536" s="2">
        <v>43915</v>
      </c>
      <c r="C536" s="1">
        <v>0</v>
      </c>
      <c r="D536" s="47">
        <v>3</v>
      </c>
      <c r="F536" s="47">
        <f t="shared" si="19"/>
        <v>0</v>
      </c>
    </row>
    <row r="537" spans="1:6" x14ac:dyDescent="0.25">
      <c r="A537" s="5" t="s">
        <v>31</v>
      </c>
      <c r="B537" s="2">
        <v>43915</v>
      </c>
      <c r="C537" s="1">
        <v>3</v>
      </c>
      <c r="D537" s="47">
        <v>7</v>
      </c>
      <c r="F537" s="47">
        <f t="shared" si="19"/>
        <v>0</v>
      </c>
    </row>
    <row r="538" spans="1:6" x14ac:dyDescent="0.25">
      <c r="A538" s="5" t="s">
        <v>41</v>
      </c>
      <c r="B538" s="2">
        <v>43915</v>
      </c>
      <c r="C538" s="1">
        <v>0</v>
      </c>
      <c r="D538" s="47">
        <v>0</v>
      </c>
      <c r="F538" s="47">
        <f t="shared" si="19"/>
        <v>0</v>
      </c>
    </row>
    <row r="539" spans="1:6" x14ac:dyDescent="0.25">
      <c r="A539" s="5" t="s">
        <v>32</v>
      </c>
      <c r="B539" s="2">
        <v>43915</v>
      </c>
      <c r="C539" s="1">
        <v>0</v>
      </c>
      <c r="D539" s="47">
        <v>1</v>
      </c>
      <c r="F539" s="47">
        <f t="shared" si="19"/>
        <v>0</v>
      </c>
    </row>
    <row r="540" spans="1:6" x14ac:dyDescent="0.25">
      <c r="A540" s="5" t="s">
        <v>33</v>
      </c>
      <c r="B540" s="2">
        <v>43915</v>
      </c>
      <c r="C540" s="1">
        <v>0</v>
      </c>
      <c r="D540" s="47">
        <v>1</v>
      </c>
      <c r="F540" s="47">
        <f t="shared" si="19"/>
        <v>0</v>
      </c>
    </row>
    <row r="541" spans="1:6" x14ac:dyDescent="0.25">
      <c r="A541" s="5" t="s">
        <v>21</v>
      </c>
      <c r="B541" s="2">
        <v>43915</v>
      </c>
      <c r="C541" s="1">
        <v>0</v>
      </c>
      <c r="D541" s="47">
        <v>0</v>
      </c>
      <c r="F541" s="47">
        <f t="shared" si="19"/>
        <v>0</v>
      </c>
    </row>
    <row r="542" spans="1:6" x14ac:dyDescent="0.25">
      <c r="A542" s="5" t="s">
        <v>17</v>
      </c>
      <c r="B542" s="2">
        <v>43915</v>
      </c>
      <c r="C542" s="1">
        <v>1</v>
      </c>
      <c r="D542" s="47">
        <v>6</v>
      </c>
      <c r="F542" s="47">
        <f t="shared" si="19"/>
        <v>0</v>
      </c>
    </row>
    <row r="543" spans="1:6" x14ac:dyDescent="0.25">
      <c r="A543" s="5" t="s">
        <v>23</v>
      </c>
      <c r="B543" s="2">
        <v>43915</v>
      </c>
      <c r="C543" s="1">
        <v>0</v>
      </c>
      <c r="D543" s="47">
        <v>1</v>
      </c>
      <c r="F543" s="47">
        <f t="shared" si="19"/>
        <v>0</v>
      </c>
    </row>
    <row r="544" spans="1:6" x14ac:dyDescent="0.25">
      <c r="A544" s="5" t="s">
        <v>19</v>
      </c>
      <c r="B544" s="2">
        <v>43915</v>
      </c>
      <c r="C544" s="1">
        <v>1</v>
      </c>
      <c r="D544" s="47">
        <v>4</v>
      </c>
      <c r="F544" s="47">
        <f t="shared" si="19"/>
        <v>0</v>
      </c>
    </row>
    <row r="545" spans="1:6" x14ac:dyDescent="0.25">
      <c r="A545" s="5" t="s">
        <v>18</v>
      </c>
      <c r="B545" s="2">
        <v>43915</v>
      </c>
      <c r="C545" s="1">
        <v>0</v>
      </c>
      <c r="D545" s="47">
        <v>4</v>
      </c>
      <c r="F545" s="47">
        <f t="shared" si="19"/>
        <v>0</v>
      </c>
    </row>
    <row r="546" spans="1:6" x14ac:dyDescent="0.25">
      <c r="A546" s="5" t="s">
        <v>34</v>
      </c>
      <c r="B546" s="2">
        <v>43915</v>
      </c>
      <c r="C546" s="1">
        <v>0</v>
      </c>
      <c r="D546" s="47">
        <v>1</v>
      </c>
      <c r="F546" s="47">
        <f t="shared" si="19"/>
        <v>0</v>
      </c>
    </row>
    <row r="547" spans="1:6" x14ac:dyDescent="0.25">
      <c r="A547" s="5" t="s">
        <v>35</v>
      </c>
      <c r="B547" s="2">
        <v>43915</v>
      </c>
      <c r="C547" s="1">
        <v>0</v>
      </c>
      <c r="D547" s="47">
        <v>0</v>
      </c>
      <c r="F547" s="47">
        <f t="shared" si="19"/>
        <v>0</v>
      </c>
    </row>
    <row r="548" spans="1:6" x14ac:dyDescent="0.25">
      <c r="A548" s="5" t="s">
        <v>36</v>
      </c>
      <c r="B548" s="2">
        <v>43915</v>
      </c>
      <c r="C548" s="1">
        <v>3</v>
      </c>
      <c r="D548" s="47">
        <v>6</v>
      </c>
      <c r="F548" s="47">
        <f t="shared" si="19"/>
        <v>0</v>
      </c>
    </row>
    <row r="549" spans="1:6" x14ac:dyDescent="0.25">
      <c r="A549" s="5" t="s">
        <v>37</v>
      </c>
      <c r="B549" s="2">
        <v>43915</v>
      </c>
      <c r="C549" s="1">
        <v>5</v>
      </c>
      <c r="D549" s="47">
        <v>7</v>
      </c>
      <c r="F549" s="47">
        <f t="shared" si="19"/>
        <v>0</v>
      </c>
    </row>
    <row r="550" spans="1:6" x14ac:dyDescent="0.25">
      <c r="A550" s="5" t="s">
        <v>22</v>
      </c>
      <c r="B550" s="2">
        <v>43915</v>
      </c>
      <c r="C550" s="1">
        <v>22</v>
      </c>
      <c r="D550" s="47">
        <v>42</v>
      </c>
      <c r="F550" s="47">
        <f t="shared" si="19"/>
        <v>0</v>
      </c>
    </row>
    <row r="551" spans="1:6" x14ac:dyDescent="0.25">
      <c r="A551" s="5" t="s">
        <v>38</v>
      </c>
      <c r="B551" s="2">
        <v>43915</v>
      </c>
      <c r="C551" s="1">
        <v>0</v>
      </c>
      <c r="D551" s="47">
        <v>1</v>
      </c>
      <c r="F551" s="47">
        <f t="shared" si="19"/>
        <v>0</v>
      </c>
    </row>
    <row r="552" spans="1:6" x14ac:dyDescent="0.25">
      <c r="A552" s="5" t="s">
        <v>39</v>
      </c>
      <c r="B552" s="2">
        <v>43915</v>
      </c>
      <c r="C552" s="1">
        <v>1</v>
      </c>
      <c r="D552" s="47">
        <v>11</v>
      </c>
      <c r="F552" s="47">
        <f t="shared" si="19"/>
        <v>0</v>
      </c>
    </row>
    <row r="553" spans="1:6" x14ac:dyDescent="0.25">
      <c r="A553" s="5" t="s">
        <v>40</v>
      </c>
      <c r="B553" s="2">
        <v>43915</v>
      </c>
      <c r="C553" s="1">
        <v>2</v>
      </c>
      <c r="D553" s="47">
        <v>9</v>
      </c>
      <c r="F553" s="47">
        <f t="shared" si="19"/>
        <v>0</v>
      </c>
    </row>
    <row r="554" spans="1:6" x14ac:dyDescent="0.25">
      <c r="A554" s="34" t="s">
        <v>16</v>
      </c>
      <c r="B554" s="2">
        <v>43916</v>
      </c>
      <c r="C554" s="1">
        <v>27</v>
      </c>
      <c r="D554" s="47">
        <v>155</v>
      </c>
      <c r="E554" s="1">
        <v>2</v>
      </c>
      <c r="F554" s="47">
        <f>E554+F530</f>
        <v>4</v>
      </c>
    </row>
    <row r="555" spans="1:6" x14ac:dyDescent="0.25">
      <c r="A555" s="5" t="s">
        <v>28</v>
      </c>
      <c r="B555" s="2">
        <v>43916</v>
      </c>
      <c r="C555" s="1">
        <v>0</v>
      </c>
      <c r="D555" s="47">
        <v>0</v>
      </c>
      <c r="F555" s="47">
        <f t="shared" si="19"/>
        <v>0</v>
      </c>
    </row>
    <row r="556" spans="1:6" x14ac:dyDescent="0.25">
      <c r="A556" s="5" t="s">
        <v>15</v>
      </c>
      <c r="B556" s="2">
        <v>43916</v>
      </c>
      <c r="C556" s="1">
        <v>3</v>
      </c>
      <c r="D556" s="47">
        <v>55</v>
      </c>
      <c r="F556" s="47">
        <f t="shared" si="19"/>
        <v>3</v>
      </c>
    </row>
    <row r="557" spans="1:6" x14ac:dyDescent="0.25">
      <c r="A557" s="5" t="s">
        <v>29</v>
      </c>
      <c r="B557" s="2">
        <v>43916</v>
      </c>
      <c r="C557" s="1">
        <v>0</v>
      </c>
      <c r="D557" s="47">
        <v>0</v>
      </c>
      <c r="E557" s="1">
        <v>1</v>
      </c>
      <c r="F557" s="47">
        <f t="shared" si="19"/>
        <v>1</v>
      </c>
    </row>
    <row r="558" spans="1:6" x14ac:dyDescent="0.25">
      <c r="A558" s="5" t="s">
        <v>43</v>
      </c>
      <c r="B558" s="2">
        <v>43916</v>
      </c>
      <c r="C558" s="1">
        <v>30</v>
      </c>
      <c r="D558" s="47">
        <v>196</v>
      </c>
      <c r="E558" s="1">
        <v>1</v>
      </c>
      <c r="F558" s="47">
        <f t="shared" si="19"/>
        <v>3</v>
      </c>
    </row>
    <row r="559" spans="1:6" x14ac:dyDescent="0.25">
      <c r="A559" s="5" t="s">
        <v>20</v>
      </c>
      <c r="B559" s="2">
        <v>43916</v>
      </c>
      <c r="C559" s="1">
        <v>4</v>
      </c>
      <c r="D559" s="47">
        <v>54</v>
      </c>
      <c r="F559" s="47">
        <f t="shared" si="19"/>
        <v>0</v>
      </c>
    </row>
    <row r="560" spans="1:6" x14ac:dyDescent="0.25">
      <c r="A560" s="5" t="s">
        <v>30</v>
      </c>
      <c r="B560" s="2">
        <v>43916</v>
      </c>
      <c r="C560" s="1">
        <v>0</v>
      </c>
      <c r="D560" s="47">
        <v>3</v>
      </c>
      <c r="F560" s="47">
        <f t="shared" si="19"/>
        <v>0</v>
      </c>
    </row>
    <row r="561" spans="1:6" x14ac:dyDescent="0.25">
      <c r="A561" s="5" t="s">
        <v>31</v>
      </c>
      <c r="B561" s="2">
        <v>43916</v>
      </c>
      <c r="C561" s="1">
        <v>0</v>
      </c>
      <c r="D561" s="47">
        <v>7</v>
      </c>
      <c r="F561" s="47">
        <f t="shared" si="19"/>
        <v>0</v>
      </c>
    </row>
    <row r="562" spans="1:6" x14ac:dyDescent="0.25">
      <c r="A562" s="5" t="s">
        <v>41</v>
      </c>
      <c r="B562" s="2">
        <v>43916</v>
      </c>
      <c r="C562" s="1">
        <v>0</v>
      </c>
      <c r="D562" s="47">
        <v>0</v>
      </c>
      <c r="F562" s="47">
        <f t="shared" si="19"/>
        <v>0</v>
      </c>
    </row>
    <row r="563" spans="1:6" x14ac:dyDescent="0.25">
      <c r="A563" s="5" t="s">
        <v>32</v>
      </c>
      <c r="B563" s="2">
        <v>43916</v>
      </c>
      <c r="C563" s="1">
        <v>2</v>
      </c>
      <c r="D563" s="47">
        <v>3</v>
      </c>
      <c r="F563" s="47">
        <f t="shared" si="19"/>
        <v>0</v>
      </c>
    </row>
    <row r="564" spans="1:6" x14ac:dyDescent="0.25">
      <c r="A564" s="5" t="s">
        <v>33</v>
      </c>
      <c r="B564" s="2">
        <v>43916</v>
      </c>
      <c r="C564" s="1">
        <v>0</v>
      </c>
      <c r="D564" s="47">
        <v>1</v>
      </c>
      <c r="F564" s="47">
        <f t="shared" si="19"/>
        <v>0</v>
      </c>
    </row>
    <row r="565" spans="1:6" x14ac:dyDescent="0.25">
      <c r="A565" s="5" t="s">
        <v>21</v>
      </c>
      <c r="B565" s="2">
        <v>43916</v>
      </c>
      <c r="C565" s="1">
        <v>0</v>
      </c>
      <c r="D565" s="47">
        <v>0</v>
      </c>
      <c r="F565" s="47">
        <f t="shared" si="19"/>
        <v>0</v>
      </c>
    </row>
    <row r="566" spans="1:6" x14ac:dyDescent="0.25">
      <c r="A566" s="5" t="s">
        <v>17</v>
      </c>
      <c r="B566" s="2">
        <v>43916</v>
      </c>
      <c r="C566" s="1">
        <v>1</v>
      </c>
      <c r="D566" s="47">
        <v>7</v>
      </c>
      <c r="F566" s="47">
        <f t="shared" si="19"/>
        <v>0</v>
      </c>
    </row>
    <row r="567" spans="1:6" x14ac:dyDescent="0.25">
      <c r="A567" s="5" t="s">
        <v>23</v>
      </c>
      <c r="B567" s="2">
        <v>43916</v>
      </c>
      <c r="C567" s="1">
        <v>0</v>
      </c>
      <c r="D567" s="47">
        <v>1</v>
      </c>
      <c r="F567" s="47">
        <f t="shared" si="19"/>
        <v>0</v>
      </c>
    </row>
    <row r="568" spans="1:6" x14ac:dyDescent="0.25">
      <c r="A568" s="5" t="s">
        <v>19</v>
      </c>
      <c r="B568" s="2">
        <v>43916</v>
      </c>
      <c r="C568" s="1">
        <v>3</v>
      </c>
      <c r="D568" s="47">
        <v>7</v>
      </c>
      <c r="F568" s="47">
        <f t="shared" si="19"/>
        <v>0</v>
      </c>
    </row>
    <row r="569" spans="1:6" x14ac:dyDescent="0.25">
      <c r="A569" s="5" t="s">
        <v>18</v>
      </c>
      <c r="B569" s="2">
        <v>43916</v>
      </c>
      <c r="C569" s="1">
        <v>0</v>
      </c>
      <c r="D569" s="47">
        <v>4</v>
      </c>
      <c r="F569" s="47">
        <f t="shared" si="19"/>
        <v>0</v>
      </c>
    </row>
    <row r="570" spans="1:6" x14ac:dyDescent="0.25">
      <c r="A570" s="5" t="s">
        <v>34</v>
      </c>
      <c r="B570" s="2">
        <v>43916</v>
      </c>
      <c r="C570" s="1">
        <v>0</v>
      </c>
      <c r="D570" s="47">
        <v>1</v>
      </c>
      <c r="F570" s="47">
        <f t="shared" si="19"/>
        <v>0</v>
      </c>
    </row>
    <row r="571" spans="1:6" x14ac:dyDescent="0.25">
      <c r="A571" s="5" t="s">
        <v>35</v>
      </c>
      <c r="B571" s="2">
        <v>43916</v>
      </c>
      <c r="C571" s="1">
        <v>0</v>
      </c>
      <c r="D571" s="47">
        <v>0</v>
      </c>
      <c r="F571" s="47">
        <f t="shared" ref="F571:F577" si="20">E571+F547</f>
        <v>0</v>
      </c>
    </row>
    <row r="572" spans="1:6" x14ac:dyDescent="0.25">
      <c r="A572" s="5" t="s">
        <v>36</v>
      </c>
      <c r="B572" s="2">
        <v>43916</v>
      </c>
      <c r="C572" s="1">
        <v>0</v>
      </c>
      <c r="D572" s="47">
        <v>6</v>
      </c>
      <c r="F572" s="47">
        <f t="shared" si="20"/>
        <v>0</v>
      </c>
    </row>
    <row r="573" spans="1:6" x14ac:dyDescent="0.25">
      <c r="A573" s="5" t="s">
        <v>37</v>
      </c>
      <c r="B573" s="2">
        <v>43916</v>
      </c>
      <c r="C573" s="1">
        <v>2</v>
      </c>
      <c r="D573" s="47">
        <v>9</v>
      </c>
      <c r="F573" s="47">
        <f t="shared" si="20"/>
        <v>0</v>
      </c>
    </row>
    <row r="574" spans="1:6" x14ac:dyDescent="0.25">
      <c r="A574" s="5" t="s">
        <v>22</v>
      </c>
      <c r="B574" s="2">
        <v>43916</v>
      </c>
      <c r="C574" s="1">
        <v>12</v>
      </c>
      <c r="D574" s="47">
        <v>54</v>
      </c>
      <c r="F574" s="47">
        <f t="shared" si="20"/>
        <v>0</v>
      </c>
    </row>
    <row r="575" spans="1:6" x14ac:dyDescent="0.25">
      <c r="A575" s="5" t="s">
        <v>38</v>
      </c>
      <c r="B575" s="2">
        <v>43916</v>
      </c>
      <c r="C575" s="1">
        <v>0</v>
      </c>
      <c r="D575" s="47">
        <v>1</v>
      </c>
      <c r="F575" s="47">
        <f t="shared" si="20"/>
        <v>0</v>
      </c>
    </row>
    <row r="576" spans="1:6" x14ac:dyDescent="0.25">
      <c r="A576" s="5" t="s">
        <v>39</v>
      </c>
      <c r="B576" s="2">
        <v>43916</v>
      </c>
      <c r="C576" s="1">
        <v>3</v>
      </c>
      <c r="D576" s="47">
        <v>14</v>
      </c>
      <c r="F576" s="47">
        <f t="shared" si="20"/>
        <v>0</v>
      </c>
    </row>
    <row r="577" spans="1:6" x14ac:dyDescent="0.25">
      <c r="A577" s="5" t="s">
        <v>40</v>
      </c>
      <c r="B577" s="2">
        <v>43916</v>
      </c>
      <c r="C577" s="1">
        <v>0</v>
      </c>
      <c r="D577" s="47">
        <v>9</v>
      </c>
      <c r="F577" s="47">
        <f t="shared" si="20"/>
        <v>0</v>
      </c>
    </row>
    <row r="578" spans="1:6" x14ac:dyDescent="0.25">
      <c r="A578" s="34" t="s">
        <v>16</v>
      </c>
      <c r="B578" s="2">
        <v>43917</v>
      </c>
      <c r="C578" s="1">
        <v>36</v>
      </c>
      <c r="D578" s="47">
        <v>191</v>
      </c>
      <c r="E578" s="353">
        <v>1</v>
      </c>
      <c r="F578" s="47">
        <f>E578+F554</f>
        <v>5</v>
      </c>
    </row>
    <row r="579" spans="1:6" x14ac:dyDescent="0.25">
      <c r="A579" s="5" t="s">
        <v>28</v>
      </c>
      <c r="B579" s="2">
        <v>43917</v>
      </c>
      <c r="C579" s="1">
        <v>0</v>
      </c>
      <c r="D579" s="47">
        <v>0</v>
      </c>
      <c r="F579" s="47">
        <f t="shared" ref="F579:F601" si="21">E579+F555</f>
        <v>0</v>
      </c>
    </row>
    <row r="580" spans="1:6" x14ac:dyDescent="0.25">
      <c r="A580" s="5" t="s">
        <v>15</v>
      </c>
      <c r="B580" s="2">
        <v>43917</v>
      </c>
      <c r="C580" s="1">
        <v>3</v>
      </c>
      <c r="D580" s="47">
        <v>58</v>
      </c>
      <c r="F580" s="47">
        <f t="shared" si="21"/>
        <v>3</v>
      </c>
    </row>
    <row r="581" spans="1:6" x14ac:dyDescent="0.25">
      <c r="A581" s="5" t="s">
        <v>29</v>
      </c>
      <c r="B581" s="2">
        <v>43917</v>
      </c>
      <c r="C581" s="1">
        <v>0</v>
      </c>
      <c r="D581" s="47">
        <v>0</v>
      </c>
      <c r="F581" s="47">
        <f t="shared" si="21"/>
        <v>1</v>
      </c>
    </row>
    <row r="582" spans="1:6" x14ac:dyDescent="0.25">
      <c r="A582" s="5" t="s">
        <v>43</v>
      </c>
      <c r="B582" s="2">
        <v>43917</v>
      </c>
      <c r="C582" s="1">
        <v>43</v>
      </c>
      <c r="D582" s="47">
        <v>239</v>
      </c>
      <c r="E582" s="1">
        <v>1</v>
      </c>
      <c r="F582" s="47">
        <f t="shared" si="21"/>
        <v>4</v>
      </c>
    </row>
    <row r="583" spans="1:6" x14ac:dyDescent="0.25">
      <c r="A583" s="5" t="s">
        <v>20</v>
      </c>
      <c r="B583" s="2">
        <v>43917</v>
      </c>
      <c r="C583" s="1">
        <v>5</v>
      </c>
      <c r="D583" s="47">
        <v>59</v>
      </c>
      <c r="F583" s="47">
        <f t="shared" si="21"/>
        <v>0</v>
      </c>
    </row>
    <row r="584" spans="1:6" x14ac:dyDescent="0.25">
      <c r="A584" s="5" t="s">
        <v>30</v>
      </c>
      <c r="B584" s="2">
        <v>43917</v>
      </c>
      <c r="C584" s="1">
        <v>2</v>
      </c>
      <c r="D584" s="47">
        <v>5</v>
      </c>
      <c r="F584" s="47">
        <f t="shared" si="21"/>
        <v>0</v>
      </c>
    </row>
    <row r="585" spans="1:6" x14ac:dyDescent="0.25">
      <c r="A585" s="5" t="s">
        <v>31</v>
      </c>
      <c r="B585" s="2">
        <v>43917</v>
      </c>
      <c r="C585" s="1">
        <v>3</v>
      </c>
      <c r="D585" s="47">
        <v>10</v>
      </c>
      <c r="F585" s="47">
        <f t="shared" si="21"/>
        <v>0</v>
      </c>
    </row>
    <row r="586" spans="1:6" x14ac:dyDescent="0.25">
      <c r="A586" s="5" t="s">
        <v>41</v>
      </c>
      <c r="B586" s="2">
        <v>43917</v>
      </c>
      <c r="C586" s="1">
        <v>0</v>
      </c>
      <c r="D586" s="47">
        <v>0</v>
      </c>
      <c r="F586" s="47">
        <f t="shared" si="21"/>
        <v>0</v>
      </c>
    </row>
    <row r="587" spans="1:6" x14ac:dyDescent="0.25">
      <c r="A587" s="5" t="s">
        <v>32</v>
      </c>
      <c r="B587" s="2">
        <v>43917</v>
      </c>
      <c r="C587" s="1">
        <v>0</v>
      </c>
      <c r="D587" s="47">
        <v>3</v>
      </c>
      <c r="F587" s="47">
        <f t="shared" si="21"/>
        <v>0</v>
      </c>
    </row>
    <row r="588" spans="1:6" x14ac:dyDescent="0.25">
      <c r="A588" s="5" t="s">
        <v>33</v>
      </c>
      <c r="B588" s="2">
        <v>43917</v>
      </c>
      <c r="C588" s="1">
        <v>0</v>
      </c>
      <c r="D588" s="47">
        <v>1</v>
      </c>
      <c r="F588" s="47">
        <f t="shared" si="21"/>
        <v>0</v>
      </c>
    </row>
    <row r="589" spans="1:6" x14ac:dyDescent="0.25">
      <c r="A589" s="5" t="s">
        <v>21</v>
      </c>
      <c r="B589" s="2">
        <v>43917</v>
      </c>
      <c r="C589" s="1">
        <v>0</v>
      </c>
      <c r="D589" s="47">
        <v>0</v>
      </c>
      <c r="F589" s="47">
        <f t="shared" si="21"/>
        <v>0</v>
      </c>
    </row>
    <row r="590" spans="1:6" x14ac:dyDescent="0.25">
      <c r="A590" s="5" t="s">
        <v>17</v>
      </c>
      <c r="B590" s="2">
        <v>43917</v>
      </c>
      <c r="C590" s="1">
        <v>1</v>
      </c>
      <c r="D590" s="47">
        <v>8</v>
      </c>
      <c r="E590" s="1">
        <v>1</v>
      </c>
      <c r="F590" s="47">
        <f t="shared" si="21"/>
        <v>1</v>
      </c>
    </row>
    <row r="591" spans="1:6" x14ac:dyDescent="0.25">
      <c r="A591" s="5" t="s">
        <v>23</v>
      </c>
      <c r="B591" s="2">
        <v>43917</v>
      </c>
      <c r="C591" s="1">
        <v>0</v>
      </c>
      <c r="D591" s="47">
        <v>1</v>
      </c>
      <c r="F591" s="47">
        <f t="shared" si="21"/>
        <v>0</v>
      </c>
    </row>
    <row r="592" spans="1:6" x14ac:dyDescent="0.25">
      <c r="A592" s="5" t="s">
        <v>19</v>
      </c>
      <c r="B592" s="2">
        <v>43917</v>
      </c>
      <c r="C592" s="1">
        <v>3</v>
      </c>
      <c r="D592" s="47">
        <v>10</v>
      </c>
      <c r="F592" s="47">
        <f t="shared" si="21"/>
        <v>0</v>
      </c>
    </row>
    <row r="593" spans="1:6" x14ac:dyDescent="0.25">
      <c r="A593" s="5" t="s">
        <v>18</v>
      </c>
      <c r="B593" s="2">
        <v>43917</v>
      </c>
      <c r="C593" s="1">
        <v>3</v>
      </c>
      <c r="D593" s="47">
        <v>7</v>
      </c>
      <c r="E593" s="1">
        <v>1</v>
      </c>
      <c r="F593" s="47">
        <f t="shared" si="21"/>
        <v>1</v>
      </c>
    </row>
    <row r="594" spans="1:6" x14ac:dyDescent="0.25">
      <c r="A594" s="5" t="s">
        <v>34</v>
      </c>
      <c r="B594" s="2">
        <v>43917</v>
      </c>
      <c r="C594" s="1">
        <v>0</v>
      </c>
      <c r="D594" s="47">
        <v>1</v>
      </c>
      <c r="F594" s="47">
        <f t="shared" si="21"/>
        <v>0</v>
      </c>
    </row>
    <row r="595" spans="1:6" x14ac:dyDescent="0.25">
      <c r="A595" s="5" t="s">
        <v>35</v>
      </c>
      <c r="B595" s="2">
        <v>43917</v>
      </c>
      <c r="C595" s="1">
        <v>0</v>
      </c>
      <c r="D595" s="47">
        <v>0</v>
      </c>
      <c r="F595" s="47">
        <f t="shared" si="21"/>
        <v>0</v>
      </c>
    </row>
    <row r="596" spans="1:6" x14ac:dyDescent="0.25">
      <c r="A596" s="5" t="s">
        <v>36</v>
      </c>
      <c r="B596" s="2">
        <v>43917</v>
      </c>
      <c r="C596" s="1">
        <v>0</v>
      </c>
      <c r="D596" s="47">
        <v>6</v>
      </c>
      <c r="F596" s="47">
        <f t="shared" si="21"/>
        <v>0</v>
      </c>
    </row>
    <row r="597" spans="1:6" x14ac:dyDescent="0.25">
      <c r="A597" s="5" t="s">
        <v>37</v>
      </c>
      <c r="B597" s="2">
        <v>43917</v>
      </c>
      <c r="C597" s="1">
        <v>0</v>
      </c>
      <c r="D597" s="47">
        <v>9</v>
      </c>
      <c r="F597" s="47">
        <f t="shared" si="21"/>
        <v>0</v>
      </c>
    </row>
    <row r="598" spans="1:6" x14ac:dyDescent="0.25">
      <c r="A598" s="5" t="s">
        <v>22</v>
      </c>
      <c r="B598" s="2">
        <v>43917</v>
      </c>
      <c r="C598" s="1">
        <v>9</v>
      </c>
      <c r="D598" s="47">
        <v>63</v>
      </c>
      <c r="F598" s="47">
        <f t="shared" si="21"/>
        <v>0</v>
      </c>
    </row>
    <row r="599" spans="1:6" x14ac:dyDescent="0.25">
      <c r="A599" s="5" t="s">
        <v>38</v>
      </c>
      <c r="B599" s="2">
        <v>43917</v>
      </c>
      <c r="C599" s="1">
        <v>1</v>
      </c>
      <c r="D599" s="47">
        <v>2</v>
      </c>
      <c r="F599" s="47">
        <f t="shared" si="21"/>
        <v>0</v>
      </c>
    </row>
    <row r="600" spans="1:6" x14ac:dyDescent="0.25">
      <c r="A600" s="5" t="s">
        <v>39</v>
      </c>
      <c r="B600" s="2">
        <v>43917</v>
      </c>
      <c r="C600" s="1">
        <v>0</v>
      </c>
      <c r="D600" s="47">
        <v>14</v>
      </c>
      <c r="F600" s="47">
        <f t="shared" si="21"/>
        <v>0</v>
      </c>
    </row>
    <row r="601" spans="1:6" x14ac:dyDescent="0.25">
      <c r="A601" s="5" t="s">
        <v>40</v>
      </c>
      <c r="B601" s="2">
        <v>43917</v>
      </c>
      <c r="C601" s="1">
        <v>6</v>
      </c>
      <c r="D601" s="47">
        <v>15</v>
      </c>
      <c r="F601" s="47">
        <f t="shared" si="21"/>
        <v>0</v>
      </c>
    </row>
    <row r="602" spans="1:6" x14ac:dyDescent="0.25">
      <c r="A602" s="34" t="s">
        <v>16</v>
      </c>
      <c r="B602" s="2">
        <v>43918</v>
      </c>
      <c r="C602" s="1">
        <v>8</v>
      </c>
      <c r="D602" s="47">
        <v>199</v>
      </c>
      <c r="E602" s="1">
        <v>1</v>
      </c>
      <c r="F602" s="47">
        <f>E602+F578</f>
        <v>6</v>
      </c>
    </row>
    <row r="603" spans="1:6" x14ac:dyDescent="0.25">
      <c r="A603" s="5" t="s">
        <v>28</v>
      </c>
      <c r="B603" s="2">
        <v>43918</v>
      </c>
      <c r="C603" s="1">
        <v>0</v>
      </c>
      <c r="D603" s="47">
        <v>0</v>
      </c>
      <c r="F603" s="47">
        <f t="shared" ref="F603:F625" si="22">E603+F579</f>
        <v>0</v>
      </c>
    </row>
    <row r="604" spans="1:6" x14ac:dyDescent="0.25">
      <c r="A604" s="5" t="s">
        <v>15</v>
      </c>
      <c r="B604" s="2">
        <v>43918</v>
      </c>
      <c r="C604" s="1">
        <v>5</v>
      </c>
      <c r="D604" s="47">
        <v>63</v>
      </c>
      <c r="F604" s="47">
        <f t="shared" si="22"/>
        <v>3</v>
      </c>
    </row>
    <row r="605" spans="1:6" x14ac:dyDescent="0.25">
      <c r="A605" s="5" t="s">
        <v>29</v>
      </c>
      <c r="B605" s="2">
        <v>43918</v>
      </c>
      <c r="C605" s="1">
        <v>0</v>
      </c>
      <c r="D605" s="47">
        <v>0</v>
      </c>
      <c r="F605" s="47">
        <f t="shared" si="22"/>
        <v>1</v>
      </c>
    </row>
    <row r="606" spans="1:6" x14ac:dyDescent="0.25">
      <c r="A606" s="5" t="s">
        <v>43</v>
      </c>
      <c r="B606" s="2">
        <v>43918</v>
      </c>
      <c r="C606" s="1">
        <v>18</v>
      </c>
      <c r="D606" s="47">
        <v>257</v>
      </c>
      <c r="E606" s="1">
        <v>1</v>
      </c>
      <c r="F606" s="47">
        <f t="shared" si="22"/>
        <v>5</v>
      </c>
    </row>
    <row r="607" spans="1:6" x14ac:dyDescent="0.25">
      <c r="A607" s="5" t="s">
        <v>20</v>
      </c>
      <c r="B607" s="2">
        <v>43918</v>
      </c>
      <c r="C607" s="1">
        <v>1</v>
      </c>
      <c r="D607" s="47">
        <v>60</v>
      </c>
      <c r="F607" s="47">
        <f t="shared" si="22"/>
        <v>0</v>
      </c>
    </row>
    <row r="608" spans="1:6" x14ac:dyDescent="0.25">
      <c r="A608" s="5" t="s">
        <v>30</v>
      </c>
      <c r="B608" s="2">
        <v>43918</v>
      </c>
      <c r="C608" s="1">
        <v>3</v>
      </c>
      <c r="D608" s="47">
        <v>8</v>
      </c>
      <c r="F608" s="47">
        <f t="shared" si="22"/>
        <v>0</v>
      </c>
    </row>
    <row r="609" spans="1:6" x14ac:dyDescent="0.25">
      <c r="A609" s="5" t="s">
        <v>31</v>
      </c>
      <c r="B609" s="2">
        <v>43918</v>
      </c>
      <c r="C609" s="1">
        <v>0</v>
      </c>
      <c r="D609" s="47">
        <v>10</v>
      </c>
      <c r="F609" s="47">
        <f t="shared" si="22"/>
        <v>0</v>
      </c>
    </row>
    <row r="610" spans="1:6" x14ac:dyDescent="0.25">
      <c r="A610" s="5" t="s">
        <v>41</v>
      </c>
      <c r="B610" s="2">
        <v>43918</v>
      </c>
      <c r="C610" s="1">
        <v>0</v>
      </c>
      <c r="D610" s="47">
        <v>0</v>
      </c>
      <c r="F610" s="47">
        <f t="shared" si="22"/>
        <v>0</v>
      </c>
    </row>
    <row r="611" spans="1:6" x14ac:dyDescent="0.25">
      <c r="A611" s="5" t="s">
        <v>32</v>
      </c>
      <c r="B611" s="2">
        <v>43918</v>
      </c>
      <c r="C611" s="1">
        <v>0</v>
      </c>
      <c r="D611" s="47">
        <v>3</v>
      </c>
      <c r="F611" s="47">
        <f t="shared" si="22"/>
        <v>0</v>
      </c>
    </row>
    <row r="612" spans="1:6" x14ac:dyDescent="0.25">
      <c r="A612" s="5" t="s">
        <v>33</v>
      </c>
      <c r="B612" s="2">
        <v>43918</v>
      </c>
      <c r="C612" s="1">
        <v>0</v>
      </c>
      <c r="D612" s="47">
        <v>1</v>
      </c>
      <c r="F612" s="47">
        <f t="shared" si="22"/>
        <v>0</v>
      </c>
    </row>
    <row r="613" spans="1:6" x14ac:dyDescent="0.25">
      <c r="A613" s="5" t="s">
        <v>21</v>
      </c>
      <c r="B613" s="2">
        <v>43918</v>
      </c>
      <c r="C613" s="1">
        <v>0</v>
      </c>
      <c r="D613" s="47">
        <v>0</v>
      </c>
      <c r="F613" s="47">
        <f t="shared" si="22"/>
        <v>0</v>
      </c>
    </row>
    <row r="614" spans="1:6" x14ac:dyDescent="0.25">
      <c r="A614" s="5" t="s">
        <v>17</v>
      </c>
      <c r="B614" s="2">
        <v>43918</v>
      </c>
      <c r="C614" s="1">
        <v>1</v>
      </c>
      <c r="D614" s="47">
        <v>9</v>
      </c>
      <c r="F614" s="47">
        <f t="shared" si="22"/>
        <v>1</v>
      </c>
    </row>
    <row r="615" spans="1:6" x14ac:dyDescent="0.25">
      <c r="A615" s="5" t="s">
        <v>23</v>
      </c>
      <c r="B615" s="2">
        <v>43918</v>
      </c>
      <c r="C615" s="1">
        <v>0</v>
      </c>
      <c r="D615" s="47">
        <v>1</v>
      </c>
      <c r="F615" s="47">
        <f t="shared" si="22"/>
        <v>0</v>
      </c>
    </row>
    <row r="616" spans="1:6" x14ac:dyDescent="0.25">
      <c r="A616" s="5" t="s">
        <v>19</v>
      </c>
      <c r="B616" s="2">
        <v>43918</v>
      </c>
      <c r="C616" s="1">
        <v>2</v>
      </c>
      <c r="D616" s="47">
        <v>12</v>
      </c>
      <c r="F616" s="47">
        <f t="shared" si="22"/>
        <v>0</v>
      </c>
    </row>
    <row r="617" spans="1:6" x14ac:dyDescent="0.25">
      <c r="A617" s="5" t="s">
        <v>18</v>
      </c>
      <c r="B617" s="2">
        <v>43918</v>
      </c>
      <c r="C617" s="1">
        <v>0</v>
      </c>
      <c r="D617" s="47">
        <v>7</v>
      </c>
      <c r="F617" s="47">
        <f t="shared" si="22"/>
        <v>1</v>
      </c>
    </row>
    <row r="618" spans="1:6" x14ac:dyDescent="0.25">
      <c r="A618" s="5" t="s">
        <v>34</v>
      </c>
      <c r="B618" s="2">
        <v>43918</v>
      </c>
      <c r="C618" s="1">
        <v>0</v>
      </c>
      <c r="D618" s="47">
        <v>1</v>
      </c>
      <c r="F618" s="47">
        <f t="shared" si="22"/>
        <v>0</v>
      </c>
    </row>
    <row r="619" spans="1:6" x14ac:dyDescent="0.25">
      <c r="A619" s="5" t="s">
        <v>35</v>
      </c>
      <c r="B619" s="2">
        <v>43918</v>
      </c>
      <c r="C619" s="1">
        <v>0</v>
      </c>
      <c r="D619" s="47">
        <v>0</v>
      </c>
      <c r="F619" s="47">
        <f t="shared" si="22"/>
        <v>0</v>
      </c>
    </row>
    <row r="620" spans="1:6" x14ac:dyDescent="0.25">
      <c r="A620" s="5" t="s">
        <v>36</v>
      </c>
      <c r="B620" s="2">
        <v>43918</v>
      </c>
      <c r="C620" s="1">
        <v>0</v>
      </c>
      <c r="D620" s="47">
        <v>6</v>
      </c>
      <c r="F620" s="47">
        <f t="shared" si="22"/>
        <v>0</v>
      </c>
    </row>
    <row r="621" spans="1:6" x14ac:dyDescent="0.25">
      <c r="A621" s="5" t="s">
        <v>37</v>
      </c>
      <c r="B621" s="2">
        <v>43918</v>
      </c>
      <c r="C621" s="1">
        <v>0</v>
      </c>
      <c r="D621" s="47">
        <v>9</v>
      </c>
      <c r="F621" s="47">
        <f t="shared" si="22"/>
        <v>0</v>
      </c>
    </row>
    <row r="622" spans="1:6" x14ac:dyDescent="0.25">
      <c r="A622" s="5" t="s">
        <v>22</v>
      </c>
      <c r="B622" s="2">
        <v>43918</v>
      </c>
      <c r="C622" s="1">
        <v>13</v>
      </c>
      <c r="D622" s="47">
        <v>76</v>
      </c>
      <c r="F622" s="47">
        <f t="shared" si="22"/>
        <v>0</v>
      </c>
    </row>
    <row r="623" spans="1:6" x14ac:dyDescent="0.25">
      <c r="A623" s="5" t="s">
        <v>38</v>
      </c>
      <c r="B623" s="2">
        <v>43918</v>
      </c>
      <c r="C623" s="1">
        <v>0</v>
      </c>
      <c r="D623" s="47">
        <v>2</v>
      </c>
      <c r="F623" s="47">
        <f t="shared" si="22"/>
        <v>0</v>
      </c>
    </row>
    <row r="624" spans="1:6" x14ac:dyDescent="0.25">
      <c r="A624" s="5" t="s">
        <v>39</v>
      </c>
      <c r="B624" s="2">
        <v>43918</v>
      </c>
      <c r="C624" s="1">
        <v>4</v>
      </c>
      <c r="D624" s="47">
        <v>18</v>
      </c>
      <c r="F624" s="47">
        <f t="shared" si="22"/>
        <v>0</v>
      </c>
    </row>
    <row r="625" spans="1:6" x14ac:dyDescent="0.25">
      <c r="A625" s="5" t="s">
        <v>40</v>
      </c>
      <c r="B625" s="2">
        <v>43918</v>
      </c>
      <c r="C625" s="1">
        <v>0</v>
      </c>
      <c r="D625" s="47">
        <v>15</v>
      </c>
      <c r="F625" s="47">
        <f t="shared" si="22"/>
        <v>0</v>
      </c>
    </row>
    <row r="626" spans="1:6" x14ac:dyDescent="0.25">
      <c r="A626" s="34" t="s">
        <v>16</v>
      </c>
      <c r="B626" s="2">
        <v>43919</v>
      </c>
      <c r="C626" s="1">
        <v>18</v>
      </c>
      <c r="D626" s="47">
        <v>217</v>
      </c>
      <c r="E626" s="353"/>
      <c r="F626" s="47">
        <f>E626+F602</f>
        <v>6</v>
      </c>
    </row>
    <row r="627" spans="1:6" x14ac:dyDescent="0.25">
      <c r="A627" s="5" t="s">
        <v>28</v>
      </c>
      <c r="B627" s="2">
        <v>43919</v>
      </c>
      <c r="C627" s="1">
        <v>0</v>
      </c>
      <c r="D627" s="47">
        <v>0</v>
      </c>
      <c r="F627" s="47">
        <f t="shared" ref="F627:F649" si="23">E627+F603</f>
        <v>0</v>
      </c>
    </row>
    <row r="628" spans="1:6" x14ac:dyDescent="0.25">
      <c r="A628" s="5" t="s">
        <v>15</v>
      </c>
      <c r="B628" s="2">
        <v>43919</v>
      </c>
      <c r="C628" s="1">
        <v>6</v>
      </c>
      <c r="D628" s="47">
        <v>69</v>
      </c>
      <c r="F628" s="47">
        <f t="shared" si="23"/>
        <v>3</v>
      </c>
    </row>
    <row r="629" spans="1:6" x14ac:dyDescent="0.25">
      <c r="A629" s="5" t="s">
        <v>29</v>
      </c>
      <c r="B629" s="2">
        <v>43919</v>
      </c>
      <c r="C629" s="1">
        <v>0</v>
      </c>
      <c r="D629" s="47">
        <v>0</v>
      </c>
      <c r="F629" s="47">
        <f t="shared" si="23"/>
        <v>1</v>
      </c>
    </row>
    <row r="630" spans="1:6" x14ac:dyDescent="0.25">
      <c r="A630" s="5" t="s">
        <v>43</v>
      </c>
      <c r="B630" s="2">
        <v>43919</v>
      </c>
      <c r="C630" s="1">
        <v>1</v>
      </c>
      <c r="D630" s="47">
        <v>258</v>
      </c>
      <c r="F630" s="47">
        <f t="shared" si="23"/>
        <v>5</v>
      </c>
    </row>
    <row r="631" spans="1:6" x14ac:dyDescent="0.25">
      <c r="A631" s="5" t="s">
        <v>20</v>
      </c>
      <c r="B631" s="2">
        <v>43919</v>
      </c>
      <c r="C631" s="1">
        <v>13</v>
      </c>
      <c r="D631" s="47">
        <v>73</v>
      </c>
      <c r="F631" s="47">
        <f t="shared" si="23"/>
        <v>0</v>
      </c>
    </row>
    <row r="632" spans="1:6" x14ac:dyDescent="0.25">
      <c r="A632" s="5" t="s">
        <v>30</v>
      </c>
      <c r="B632" s="2">
        <v>43919</v>
      </c>
      <c r="C632" s="1">
        <v>1</v>
      </c>
      <c r="D632" s="47">
        <v>9</v>
      </c>
      <c r="F632" s="47">
        <f t="shared" si="23"/>
        <v>0</v>
      </c>
    </row>
    <row r="633" spans="1:6" x14ac:dyDescent="0.25">
      <c r="A633" s="5" t="s">
        <v>31</v>
      </c>
      <c r="B633" s="2">
        <v>43919</v>
      </c>
      <c r="C633" s="1">
        <v>0</v>
      </c>
      <c r="D633" s="47">
        <v>10</v>
      </c>
      <c r="F633" s="47">
        <f t="shared" si="23"/>
        <v>0</v>
      </c>
    </row>
    <row r="634" spans="1:6" x14ac:dyDescent="0.25">
      <c r="A634" s="5" t="s">
        <v>41</v>
      </c>
      <c r="B634" s="2">
        <v>43919</v>
      </c>
      <c r="C634" s="1">
        <v>0</v>
      </c>
      <c r="D634" s="47">
        <v>0</v>
      </c>
      <c r="F634" s="47">
        <f t="shared" si="23"/>
        <v>0</v>
      </c>
    </row>
    <row r="635" spans="1:6" x14ac:dyDescent="0.25">
      <c r="A635" s="5" t="s">
        <v>32</v>
      </c>
      <c r="B635" s="2">
        <v>43919</v>
      </c>
      <c r="C635" s="1">
        <v>0</v>
      </c>
      <c r="D635" s="47">
        <v>3</v>
      </c>
      <c r="F635" s="47">
        <f t="shared" si="23"/>
        <v>0</v>
      </c>
    </row>
    <row r="636" spans="1:6" x14ac:dyDescent="0.25">
      <c r="A636" s="5" t="s">
        <v>33</v>
      </c>
      <c r="B636" s="2">
        <v>43919</v>
      </c>
      <c r="C636" s="1">
        <v>2</v>
      </c>
      <c r="D636" s="47">
        <v>3</v>
      </c>
      <c r="F636" s="47">
        <f t="shared" si="23"/>
        <v>0</v>
      </c>
    </row>
    <row r="637" spans="1:6" x14ac:dyDescent="0.25">
      <c r="A637" s="5" t="s">
        <v>21</v>
      </c>
      <c r="B637" s="2">
        <v>43919</v>
      </c>
      <c r="C637" s="1">
        <v>1</v>
      </c>
      <c r="D637" s="47">
        <v>1</v>
      </c>
      <c r="F637" s="47">
        <f t="shared" si="23"/>
        <v>0</v>
      </c>
    </row>
    <row r="638" spans="1:6" x14ac:dyDescent="0.25">
      <c r="A638" s="5" t="s">
        <v>17</v>
      </c>
      <c r="B638" s="2">
        <v>43919</v>
      </c>
      <c r="C638" s="1">
        <v>1</v>
      </c>
      <c r="D638" s="47">
        <v>10</v>
      </c>
      <c r="F638" s="47">
        <f t="shared" si="23"/>
        <v>1</v>
      </c>
    </row>
    <row r="639" spans="1:6" x14ac:dyDescent="0.25">
      <c r="A639" s="5" t="s">
        <v>23</v>
      </c>
      <c r="B639" s="2">
        <v>43919</v>
      </c>
      <c r="C639" s="1">
        <v>1</v>
      </c>
      <c r="D639" s="47">
        <v>2</v>
      </c>
      <c r="F639" s="47">
        <f t="shared" si="23"/>
        <v>0</v>
      </c>
    </row>
    <row r="640" spans="1:6" x14ac:dyDescent="0.25">
      <c r="A640" s="5" t="s">
        <v>19</v>
      </c>
      <c r="B640" s="2">
        <v>43919</v>
      </c>
      <c r="C640" s="1">
        <v>0</v>
      </c>
      <c r="D640" s="47">
        <v>12</v>
      </c>
      <c r="F640" s="47">
        <f t="shared" si="23"/>
        <v>0</v>
      </c>
    </row>
    <row r="641" spans="1:6" x14ac:dyDescent="0.25">
      <c r="A641" s="5" t="s">
        <v>18</v>
      </c>
      <c r="B641" s="2">
        <v>43919</v>
      </c>
      <c r="C641" s="1">
        <v>1</v>
      </c>
      <c r="D641" s="47">
        <v>8</v>
      </c>
      <c r="F641" s="47">
        <f t="shared" si="23"/>
        <v>1</v>
      </c>
    </row>
    <row r="642" spans="1:6" x14ac:dyDescent="0.25">
      <c r="A642" s="5" t="s">
        <v>34</v>
      </c>
      <c r="B642" s="2">
        <v>43919</v>
      </c>
      <c r="C642" s="1">
        <v>0</v>
      </c>
      <c r="D642" s="47">
        <v>1</v>
      </c>
      <c r="F642" s="47">
        <f t="shared" si="23"/>
        <v>0</v>
      </c>
    </row>
    <row r="643" spans="1:6" x14ac:dyDescent="0.25">
      <c r="A643" s="5" t="s">
        <v>35</v>
      </c>
      <c r="B643" s="2">
        <v>43919</v>
      </c>
      <c r="C643" s="1">
        <v>1</v>
      </c>
      <c r="D643" s="47">
        <v>1</v>
      </c>
      <c r="F643" s="47">
        <f t="shared" si="23"/>
        <v>0</v>
      </c>
    </row>
    <row r="644" spans="1:6" x14ac:dyDescent="0.25">
      <c r="A644" s="5" t="s">
        <v>36</v>
      </c>
      <c r="B644" s="2">
        <v>43919</v>
      </c>
      <c r="C644" s="1">
        <v>0</v>
      </c>
      <c r="D644" s="47">
        <v>6</v>
      </c>
      <c r="F644" s="47">
        <f t="shared" si="23"/>
        <v>0</v>
      </c>
    </row>
    <row r="645" spans="1:6" x14ac:dyDescent="0.25">
      <c r="A645" s="5" t="s">
        <v>37</v>
      </c>
      <c r="B645" s="2">
        <v>43919</v>
      </c>
      <c r="C645" s="1">
        <v>0</v>
      </c>
      <c r="D645" s="47">
        <v>9</v>
      </c>
      <c r="F645" s="47">
        <f t="shared" si="23"/>
        <v>0</v>
      </c>
    </row>
    <row r="646" spans="1:6" x14ac:dyDescent="0.25">
      <c r="A646" s="5" t="s">
        <v>22</v>
      </c>
      <c r="B646" s="2">
        <v>43919</v>
      </c>
      <c r="C646" s="1">
        <v>14</v>
      </c>
      <c r="D646" s="47">
        <v>90</v>
      </c>
      <c r="F646" s="47">
        <f t="shared" si="23"/>
        <v>0</v>
      </c>
    </row>
    <row r="647" spans="1:6" x14ac:dyDescent="0.25">
      <c r="A647" s="5" t="s">
        <v>38</v>
      </c>
      <c r="B647" s="2">
        <v>43919</v>
      </c>
      <c r="C647" s="1">
        <v>0</v>
      </c>
      <c r="D647" s="47">
        <v>2</v>
      </c>
      <c r="F647" s="47">
        <f t="shared" si="23"/>
        <v>0</v>
      </c>
    </row>
    <row r="648" spans="1:6" x14ac:dyDescent="0.25">
      <c r="A648" s="5" t="s">
        <v>39</v>
      </c>
      <c r="B648" s="2">
        <v>43919</v>
      </c>
      <c r="C648" s="1">
        <v>3</v>
      </c>
      <c r="D648" s="47">
        <v>21</v>
      </c>
      <c r="F648" s="47">
        <f t="shared" si="23"/>
        <v>0</v>
      </c>
    </row>
    <row r="649" spans="1:6" x14ac:dyDescent="0.25">
      <c r="A649" s="5" t="s">
        <v>40</v>
      </c>
      <c r="B649" s="2">
        <v>43919</v>
      </c>
      <c r="C649" s="1">
        <v>0</v>
      </c>
      <c r="D649" s="47">
        <v>15</v>
      </c>
      <c r="F649" s="47">
        <f t="shared" si="23"/>
        <v>0</v>
      </c>
    </row>
    <row r="650" spans="1:6" x14ac:dyDescent="0.25">
      <c r="A650" s="34" t="s">
        <v>16</v>
      </c>
      <c r="B650" s="2">
        <v>43920</v>
      </c>
      <c r="C650" s="1">
        <v>36</v>
      </c>
      <c r="D650" s="47">
        <v>253</v>
      </c>
      <c r="E650" s="1">
        <v>2</v>
      </c>
      <c r="F650" s="47">
        <f>E650+F626</f>
        <v>8</v>
      </c>
    </row>
    <row r="651" spans="1:6" x14ac:dyDescent="0.25">
      <c r="A651" s="5" t="s">
        <v>28</v>
      </c>
      <c r="B651" s="2">
        <v>43920</v>
      </c>
      <c r="C651" s="1">
        <v>0</v>
      </c>
      <c r="D651" s="47">
        <v>0</v>
      </c>
      <c r="F651" s="47">
        <f t="shared" ref="F651:F673" si="24">E651+F627</f>
        <v>0</v>
      </c>
    </row>
    <row r="652" spans="1:6" x14ac:dyDescent="0.25">
      <c r="A652" s="5" t="s">
        <v>15</v>
      </c>
      <c r="B652" s="2">
        <v>43920</v>
      </c>
      <c r="C652" s="1">
        <v>12</v>
      </c>
      <c r="D652" s="47">
        <v>81</v>
      </c>
      <c r="F652" s="47">
        <f t="shared" si="24"/>
        <v>3</v>
      </c>
    </row>
    <row r="653" spans="1:6" x14ac:dyDescent="0.25">
      <c r="A653" s="5" t="s">
        <v>29</v>
      </c>
      <c r="B653" s="2">
        <v>43920</v>
      </c>
      <c r="C653" s="1">
        <v>0</v>
      </c>
      <c r="D653" s="47">
        <v>0</v>
      </c>
      <c r="F653" s="47">
        <f t="shared" si="24"/>
        <v>1</v>
      </c>
    </row>
    <row r="654" spans="1:6" x14ac:dyDescent="0.25">
      <c r="A654" s="5" t="s">
        <v>43</v>
      </c>
      <c r="B654" s="2">
        <v>43920</v>
      </c>
      <c r="C654" s="1">
        <v>34</v>
      </c>
      <c r="D654" s="47">
        <v>292</v>
      </c>
      <c r="F654" s="47">
        <f t="shared" si="24"/>
        <v>5</v>
      </c>
    </row>
    <row r="655" spans="1:6" x14ac:dyDescent="0.25">
      <c r="A655" s="5" t="s">
        <v>20</v>
      </c>
      <c r="B655" s="2">
        <v>43920</v>
      </c>
      <c r="C655" s="1">
        <v>8</v>
      </c>
      <c r="D655" s="47">
        <v>81</v>
      </c>
      <c r="F655" s="47">
        <f t="shared" si="24"/>
        <v>0</v>
      </c>
    </row>
    <row r="656" spans="1:6" x14ac:dyDescent="0.25">
      <c r="A656" s="5" t="s">
        <v>30</v>
      </c>
      <c r="B656" s="2">
        <v>43920</v>
      </c>
      <c r="C656" s="1">
        <v>10</v>
      </c>
      <c r="D656" s="47">
        <v>19</v>
      </c>
      <c r="F656" s="47">
        <f t="shared" si="24"/>
        <v>0</v>
      </c>
    </row>
    <row r="657" spans="1:6" x14ac:dyDescent="0.25">
      <c r="A657" s="5" t="s">
        <v>31</v>
      </c>
      <c r="B657" s="2">
        <v>43920</v>
      </c>
      <c r="C657" s="1">
        <v>3</v>
      </c>
      <c r="D657" s="47">
        <v>13</v>
      </c>
      <c r="F657" s="47">
        <f t="shared" si="24"/>
        <v>0</v>
      </c>
    </row>
    <row r="658" spans="1:6" x14ac:dyDescent="0.25">
      <c r="A658" s="5" t="s">
        <v>41</v>
      </c>
      <c r="B658" s="2">
        <v>43920</v>
      </c>
      <c r="C658" s="1">
        <v>0</v>
      </c>
      <c r="D658" s="47">
        <v>0</v>
      </c>
      <c r="F658" s="47">
        <f t="shared" si="24"/>
        <v>0</v>
      </c>
    </row>
    <row r="659" spans="1:6" x14ac:dyDescent="0.25">
      <c r="A659" s="5" t="s">
        <v>32</v>
      </c>
      <c r="B659" s="2">
        <v>43920</v>
      </c>
      <c r="C659" s="1">
        <v>0</v>
      </c>
      <c r="D659" s="47">
        <v>3</v>
      </c>
      <c r="F659" s="47">
        <f t="shared" si="24"/>
        <v>0</v>
      </c>
    </row>
    <row r="660" spans="1:6" x14ac:dyDescent="0.25">
      <c r="A660" s="5" t="s">
        <v>33</v>
      </c>
      <c r="B660" s="2">
        <v>43920</v>
      </c>
      <c r="C660" s="1">
        <v>0</v>
      </c>
      <c r="D660" s="47">
        <v>3</v>
      </c>
      <c r="F660" s="47">
        <f t="shared" si="24"/>
        <v>0</v>
      </c>
    </row>
    <row r="661" spans="1:6" x14ac:dyDescent="0.25">
      <c r="A661" s="5" t="s">
        <v>21</v>
      </c>
      <c r="B661" s="2">
        <v>43920</v>
      </c>
      <c r="C661" s="1">
        <v>0</v>
      </c>
      <c r="D661" s="47">
        <v>1</v>
      </c>
      <c r="F661" s="47">
        <f t="shared" si="24"/>
        <v>0</v>
      </c>
    </row>
    <row r="662" spans="1:6" x14ac:dyDescent="0.25">
      <c r="A662" s="5" t="s">
        <v>17</v>
      </c>
      <c r="B662" s="2">
        <v>43920</v>
      </c>
      <c r="C662" s="1">
        <v>3</v>
      </c>
      <c r="D662" s="47">
        <v>13</v>
      </c>
      <c r="F662" s="47">
        <f t="shared" si="24"/>
        <v>1</v>
      </c>
    </row>
    <row r="663" spans="1:6" x14ac:dyDescent="0.25">
      <c r="A663" s="5" t="s">
        <v>23</v>
      </c>
      <c r="B663" s="2">
        <v>43920</v>
      </c>
      <c r="C663" s="1">
        <v>0</v>
      </c>
      <c r="D663" s="47">
        <v>2</v>
      </c>
      <c r="F663" s="47">
        <f t="shared" si="24"/>
        <v>0</v>
      </c>
    </row>
    <row r="664" spans="1:6" x14ac:dyDescent="0.25">
      <c r="A664" s="5" t="s">
        <v>19</v>
      </c>
      <c r="B664" s="2">
        <v>43920</v>
      </c>
      <c r="C664" s="1">
        <v>8</v>
      </c>
      <c r="D664" s="47">
        <v>20</v>
      </c>
      <c r="E664" s="1">
        <v>1</v>
      </c>
      <c r="F664" s="47">
        <f t="shared" si="24"/>
        <v>1</v>
      </c>
    </row>
    <row r="665" spans="1:6" x14ac:dyDescent="0.25">
      <c r="A665" s="5" t="s">
        <v>18</v>
      </c>
      <c r="B665" s="2">
        <v>43920</v>
      </c>
      <c r="C665" s="1">
        <v>0</v>
      </c>
      <c r="D665" s="47">
        <v>8</v>
      </c>
      <c r="F665" s="47">
        <f t="shared" si="24"/>
        <v>1</v>
      </c>
    </row>
    <row r="666" spans="1:6" x14ac:dyDescent="0.25">
      <c r="A666" s="5" t="s">
        <v>34</v>
      </c>
      <c r="B666" s="2">
        <v>43920</v>
      </c>
      <c r="C666" s="1">
        <v>0</v>
      </c>
      <c r="D666" s="47">
        <v>1</v>
      </c>
      <c r="F666" s="47">
        <f t="shared" si="24"/>
        <v>0</v>
      </c>
    </row>
    <row r="667" spans="1:6" x14ac:dyDescent="0.25">
      <c r="A667" s="5" t="s">
        <v>35</v>
      </c>
      <c r="B667" s="2">
        <v>43920</v>
      </c>
      <c r="C667" s="1">
        <v>0</v>
      </c>
      <c r="D667" s="47">
        <v>1</v>
      </c>
      <c r="F667" s="47">
        <f t="shared" si="24"/>
        <v>0</v>
      </c>
    </row>
    <row r="668" spans="1:6" x14ac:dyDescent="0.25">
      <c r="A668" s="5" t="s">
        <v>36</v>
      </c>
      <c r="B668" s="2">
        <v>43920</v>
      </c>
      <c r="C668" s="1">
        <v>0</v>
      </c>
      <c r="D668" s="47">
        <v>6</v>
      </c>
      <c r="F668" s="47">
        <f t="shared" si="24"/>
        <v>0</v>
      </c>
    </row>
    <row r="669" spans="1:6" x14ac:dyDescent="0.25">
      <c r="A669" s="5" t="s">
        <v>37</v>
      </c>
      <c r="B669" s="2">
        <v>43920</v>
      </c>
      <c r="C669" s="1">
        <v>0</v>
      </c>
      <c r="D669" s="47">
        <v>9</v>
      </c>
      <c r="F669" s="47">
        <f t="shared" si="24"/>
        <v>0</v>
      </c>
    </row>
    <row r="670" spans="1:6" x14ac:dyDescent="0.25">
      <c r="A670" s="5" t="s">
        <v>22</v>
      </c>
      <c r="B670" s="2">
        <v>43920</v>
      </c>
      <c r="C670" s="1">
        <v>21</v>
      </c>
      <c r="D670" s="47">
        <v>111</v>
      </c>
      <c r="F670" s="47">
        <f t="shared" si="24"/>
        <v>0</v>
      </c>
    </row>
    <row r="671" spans="1:6" x14ac:dyDescent="0.25">
      <c r="A671" s="5" t="s">
        <v>38</v>
      </c>
      <c r="B671" s="2">
        <v>43920</v>
      </c>
      <c r="C671" s="1">
        <v>0</v>
      </c>
      <c r="D671" s="47">
        <v>2</v>
      </c>
      <c r="F671" s="47">
        <f t="shared" si="24"/>
        <v>0</v>
      </c>
    </row>
    <row r="672" spans="1:6" x14ac:dyDescent="0.25">
      <c r="A672" s="5" t="s">
        <v>39</v>
      </c>
      <c r="B672" s="2">
        <v>43920</v>
      </c>
      <c r="C672" s="1">
        <v>11</v>
      </c>
      <c r="D672" s="47">
        <v>32</v>
      </c>
      <c r="F672" s="47">
        <f t="shared" si="24"/>
        <v>0</v>
      </c>
    </row>
    <row r="673" spans="1:6" x14ac:dyDescent="0.25">
      <c r="A673" s="5" t="s">
        <v>40</v>
      </c>
      <c r="B673" s="2">
        <v>43920</v>
      </c>
      <c r="C673" s="1">
        <v>0</v>
      </c>
      <c r="D673" s="47">
        <v>15</v>
      </c>
      <c r="E673" s="1">
        <v>1</v>
      </c>
      <c r="F673" s="47">
        <f t="shared" si="24"/>
        <v>1</v>
      </c>
    </row>
    <row r="674" spans="1:6" x14ac:dyDescent="0.25">
      <c r="A674" s="34" t="s">
        <v>16</v>
      </c>
      <c r="B674" s="2">
        <v>43921</v>
      </c>
      <c r="C674" s="1">
        <v>17</v>
      </c>
      <c r="D674" s="47">
        <v>270</v>
      </c>
      <c r="F674" s="47">
        <f>E674+F650</f>
        <v>8</v>
      </c>
    </row>
    <row r="675" spans="1:6" x14ac:dyDescent="0.25">
      <c r="A675" s="5" t="s">
        <v>28</v>
      </c>
      <c r="B675" s="2">
        <v>43921</v>
      </c>
      <c r="C675" s="1">
        <v>0</v>
      </c>
      <c r="D675" s="47">
        <v>0</v>
      </c>
      <c r="F675" s="47">
        <f t="shared" ref="F675:F697" si="25">E675+F651</f>
        <v>0</v>
      </c>
    </row>
    <row r="676" spans="1:6" x14ac:dyDescent="0.25">
      <c r="A676" s="5" t="s">
        <v>15</v>
      </c>
      <c r="B676" s="2">
        <v>43921</v>
      </c>
      <c r="C676" s="1">
        <v>3</v>
      </c>
      <c r="D676" s="47">
        <v>84</v>
      </c>
      <c r="E676" s="1">
        <v>1</v>
      </c>
      <c r="F676" s="47">
        <f t="shared" si="25"/>
        <v>4</v>
      </c>
    </row>
    <row r="677" spans="1:6" x14ac:dyDescent="0.25">
      <c r="A677" s="5" t="s">
        <v>29</v>
      </c>
      <c r="B677" s="2">
        <v>43921</v>
      </c>
      <c r="C677" s="1">
        <v>0</v>
      </c>
      <c r="D677" s="47">
        <v>0</v>
      </c>
      <c r="F677" s="47">
        <f t="shared" si="25"/>
        <v>1</v>
      </c>
    </row>
    <row r="678" spans="1:6" x14ac:dyDescent="0.25">
      <c r="A678" s="5" t="s">
        <v>43</v>
      </c>
      <c r="B678" s="2">
        <v>43921</v>
      </c>
      <c r="C678" s="1">
        <v>19</v>
      </c>
      <c r="D678" s="47">
        <v>311</v>
      </c>
      <c r="F678" s="47">
        <f t="shared" si="25"/>
        <v>5</v>
      </c>
    </row>
    <row r="679" spans="1:6" x14ac:dyDescent="0.25">
      <c r="A679" s="5" t="s">
        <v>20</v>
      </c>
      <c r="B679" s="2">
        <v>43921</v>
      </c>
      <c r="C679" s="1">
        <v>14</v>
      </c>
      <c r="D679" s="47">
        <v>95</v>
      </c>
      <c r="E679" s="1">
        <v>1</v>
      </c>
      <c r="F679" s="47">
        <f t="shared" si="25"/>
        <v>1</v>
      </c>
    </row>
    <row r="680" spans="1:6" x14ac:dyDescent="0.25">
      <c r="A680" s="5" t="s">
        <v>30</v>
      </c>
      <c r="B680" s="2">
        <v>43921</v>
      </c>
      <c r="C680" s="1">
        <v>1</v>
      </c>
      <c r="D680" s="47">
        <v>20</v>
      </c>
      <c r="F680" s="47">
        <f t="shared" si="25"/>
        <v>0</v>
      </c>
    </row>
    <row r="681" spans="1:6" x14ac:dyDescent="0.25">
      <c r="A681" s="5" t="s">
        <v>31</v>
      </c>
      <c r="B681" s="2">
        <v>43921</v>
      </c>
      <c r="C681" s="1">
        <v>0</v>
      </c>
      <c r="D681" s="47">
        <v>13</v>
      </c>
      <c r="F681" s="47">
        <f t="shared" si="25"/>
        <v>0</v>
      </c>
    </row>
    <row r="682" spans="1:6" x14ac:dyDescent="0.25">
      <c r="A682" s="5" t="s">
        <v>41</v>
      </c>
      <c r="B682" s="2">
        <v>43921</v>
      </c>
      <c r="C682" s="1">
        <v>0</v>
      </c>
      <c r="D682" s="47">
        <v>0</v>
      </c>
      <c r="F682" s="47">
        <f t="shared" si="25"/>
        <v>0</v>
      </c>
    </row>
    <row r="683" spans="1:6" x14ac:dyDescent="0.25">
      <c r="A683" s="5" t="s">
        <v>32</v>
      </c>
      <c r="B683" s="2">
        <v>43921</v>
      </c>
      <c r="C683" s="1">
        <v>0</v>
      </c>
      <c r="D683" s="47">
        <v>3</v>
      </c>
      <c r="F683" s="47">
        <f t="shared" si="25"/>
        <v>0</v>
      </c>
    </row>
    <row r="684" spans="1:6" x14ac:dyDescent="0.25">
      <c r="A684" s="5" t="s">
        <v>33</v>
      </c>
      <c r="B684" s="2">
        <v>43921</v>
      </c>
      <c r="C684" s="1">
        <v>0</v>
      </c>
      <c r="D684" s="47">
        <v>3</v>
      </c>
      <c r="F684" s="47">
        <f t="shared" si="25"/>
        <v>0</v>
      </c>
    </row>
    <row r="685" spans="1:6" x14ac:dyDescent="0.25">
      <c r="A685" s="5" t="s">
        <v>21</v>
      </c>
      <c r="B685" s="2">
        <v>43921</v>
      </c>
      <c r="C685" s="1">
        <v>0</v>
      </c>
      <c r="D685" s="47">
        <v>1</v>
      </c>
      <c r="E685" s="1">
        <v>1</v>
      </c>
      <c r="F685" s="47">
        <f t="shared" si="25"/>
        <v>1</v>
      </c>
    </row>
    <row r="686" spans="1:6" x14ac:dyDescent="0.25">
      <c r="A686" s="5" t="s">
        <v>17</v>
      </c>
      <c r="B686" s="2">
        <v>43921</v>
      </c>
      <c r="C686" s="1">
        <v>2</v>
      </c>
      <c r="D686" s="47">
        <v>15</v>
      </c>
      <c r="F686" s="47">
        <f t="shared" si="25"/>
        <v>1</v>
      </c>
    </row>
    <row r="687" spans="1:6" x14ac:dyDescent="0.25">
      <c r="A687" s="5" t="s">
        <v>23</v>
      </c>
      <c r="B687" s="2">
        <v>43921</v>
      </c>
      <c r="C687" s="1">
        <v>1</v>
      </c>
      <c r="D687" s="47">
        <v>3</v>
      </c>
      <c r="F687" s="47">
        <f t="shared" si="25"/>
        <v>0</v>
      </c>
    </row>
    <row r="688" spans="1:6" x14ac:dyDescent="0.25">
      <c r="A688" s="5" t="s">
        <v>19</v>
      </c>
      <c r="B688" s="2">
        <v>43921</v>
      </c>
      <c r="C688" s="1">
        <v>0</v>
      </c>
      <c r="D688" s="47">
        <v>20</v>
      </c>
      <c r="F688" s="47">
        <f t="shared" si="25"/>
        <v>1</v>
      </c>
    </row>
    <row r="689" spans="1:6" x14ac:dyDescent="0.25">
      <c r="A689" s="5" t="s">
        <v>18</v>
      </c>
      <c r="B689" s="2">
        <v>43921</v>
      </c>
      <c r="C689" s="1">
        <v>1</v>
      </c>
      <c r="D689" s="47">
        <v>9</v>
      </c>
      <c r="F689" s="47">
        <f t="shared" si="25"/>
        <v>1</v>
      </c>
    </row>
    <row r="690" spans="1:6" x14ac:dyDescent="0.25">
      <c r="A690" s="5" t="s">
        <v>34</v>
      </c>
      <c r="B690" s="2">
        <v>43921</v>
      </c>
      <c r="C690" s="1">
        <v>0</v>
      </c>
      <c r="D690" s="47">
        <v>1</v>
      </c>
      <c r="F690" s="47">
        <f t="shared" si="25"/>
        <v>0</v>
      </c>
    </row>
    <row r="691" spans="1:6" x14ac:dyDescent="0.25">
      <c r="A691" s="5" t="s">
        <v>35</v>
      </c>
      <c r="B691" s="2">
        <v>43921</v>
      </c>
      <c r="C691" s="1">
        <v>0</v>
      </c>
      <c r="D691" s="47">
        <v>1</v>
      </c>
      <c r="F691" s="47">
        <f t="shared" si="25"/>
        <v>0</v>
      </c>
    </row>
    <row r="692" spans="1:6" x14ac:dyDescent="0.25">
      <c r="A692" s="5" t="s">
        <v>36</v>
      </c>
      <c r="B692" s="2">
        <v>43921</v>
      </c>
      <c r="C692" s="1">
        <v>0</v>
      </c>
      <c r="D692" s="47">
        <v>6</v>
      </c>
      <c r="F692" s="47">
        <f t="shared" si="25"/>
        <v>0</v>
      </c>
    </row>
    <row r="693" spans="1:6" x14ac:dyDescent="0.25">
      <c r="A693" s="5" t="s">
        <v>37</v>
      </c>
      <c r="B693" s="2">
        <v>43921</v>
      </c>
      <c r="C693" s="1">
        <v>0</v>
      </c>
      <c r="D693" s="47">
        <v>9</v>
      </c>
      <c r="F693" s="47">
        <f t="shared" si="25"/>
        <v>0</v>
      </c>
    </row>
    <row r="694" spans="1:6" x14ac:dyDescent="0.25">
      <c r="A694" s="5" t="s">
        <v>22</v>
      </c>
      <c r="B694" s="2">
        <v>43921</v>
      </c>
      <c r="C694" s="1">
        <v>22</v>
      </c>
      <c r="D694" s="47">
        <v>133</v>
      </c>
      <c r="F694" s="47">
        <f t="shared" si="25"/>
        <v>0</v>
      </c>
    </row>
    <row r="695" spans="1:6" x14ac:dyDescent="0.25">
      <c r="A695" s="5" t="s">
        <v>38</v>
      </c>
      <c r="B695" s="2">
        <v>43921</v>
      </c>
      <c r="C695" s="1">
        <v>0</v>
      </c>
      <c r="D695" s="47">
        <v>2</v>
      </c>
      <c r="F695" s="47">
        <f t="shared" si="25"/>
        <v>0</v>
      </c>
    </row>
    <row r="696" spans="1:6" x14ac:dyDescent="0.25">
      <c r="A696" s="5" t="s">
        <v>39</v>
      </c>
      <c r="B696" s="2">
        <v>43921</v>
      </c>
      <c r="C696" s="1">
        <v>7</v>
      </c>
      <c r="D696" s="47">
        <v>39</v>
      </c>
      <c r="F696" s="47">
        <f t="shared" si="25"/>
        <v>0</v>
      </c>
    </row>
    <row r="697" spans="1:6" x14ac:dyDescent="0.25">
      <c r="A697" s="5" t="s">
        <v>40</v>
      </c>
      <c r="B697" s="2">
        <v>43921</v>
      </c>
      <c r="C697" s="1">
        <v>1</v>
      </c>
      <c r="D697" s="47">
        <v>16</v>
      </c>
      <c r="F697" s="47">
        <f t="shared" si="25"/>
        <v>1</v>
      </c>
    </row>
    <row r="698" spans="1:6" x14ac:dyDescent="0.25">
      <c r="A698" s="34" t="s">
        <v>16</v>
      </c>
      <c r="B698" s="2">
        <v>43922</v>
      </c>
      <c r="C698" s="1">
        <v>10</v>
      </c>
      <c r="D698" s="47">
        <v>280</v>
      </c>
      <c r="E698" s="1">
        <v>2</v>
      </c>
      <c r="F698" s="47">
        <f>E698+F674</f>
        <v>10</v>
      </c>
    </row>
    <row r="699" spans="1:6" x14ac:dyDescent="0.25">
      <c r="A699" s="5" t="s">
        <v>28</v>
      </c>
      <c r="B699" s="2">
        <v>43922</v>
      </c>
      <c r="C699" s="1">
        <v>0</v>
      </c>
      <c r="D699" s="47">
        <v>0</v>
      </c>
      <c r="F699" s="47">
        <f t="shared" ref="F699:F721" si="26">E699+F675</f>
        <v>0</v>
      </c>
    </row>
    <row r="700" spans="1:6" x14ac:dyDescent="0.25">
      <c r="A700" s="5" t="s">
        <v>15</v>
      </c>
      <c r="B700" s="2">
        <v>43922</v>
      </c>
      <c r="C700" s="1">
        <v>12</v>
      </c>
      <c r="D700" s="47">
        <v>96</v>
      </c>
      <c r="F700" s="47">
        <f t="shared" si="26"/>
        <v>4</v>
      </c>
    </row>
    <row r="701" spans="1:6" x14ac:dyDescent="0.25">
      <c r="A701" s="5" t="s">
        <v>29</v>
      </c>
      <c r="B701" s="2">
        <v>43922</v>
      </c>
      <c r="C701" s="1">
        <v>0</v>
      </c>
      <c r="D701" s="47">
        <v>0</v>
      </c>
      <c r="F701" s="47">
        <f t="shared" si="26"/>
        <v>1</v>
      </c>
    </row>
    <row r="702" spans="1:6" x14ac:dyDescent="0.25">
      <c r="A702" s="5" t="s">
        <v>43</v>
      </c>
      <c r="B702" s="2">
        <v>43922</v>
      </c>
      <c r="C702" s="1">
        <v>10</v>
      </c>
      <c r="D702" s="47">
        <v>321</v>
      </c>
      <c r="E702" s="1">
        <v>1</v>
      </c>
      <c r="F702" s="47">
        <f t="shared" si="26"/>
        <v>6</v>
      </c>
    </row>
    <row r="703" spans="1:6" x14ac:dyDescent="0.25">
      <c r="A703" s="5" t="s">
        <v>20</v>
      </c>
      <c r="B703" s="2">
        <v>43922</v>
      </c>
      <c r="C703" s="1">
        <v>6</v>
      </c>
      <c r="D703" s="47">
        <v>101</v>
      </c>
      <c r="F703" s="47">
        <f t="shared" si="26"/>
        <v>1</v>
      </c>
    </row>
    <row r="704" spans="1:6" x14ac:dyDescent="0.25">
      <c r="A704" s="5" t="s">
        <v>30</v>
      </c>
      <c r="B704" s="2">
        <v>43922</v>
      </c>
      <c r="C704" s="1">
        <v>1</v>
      </c>
      <c r="D704" s="47">
        <v>21</v>
      </c>
      <c r="F704" s="47">
        <f t="shared" si="26"/>
        <v>0</v>
      </c>
    </row>
    <row r="705" spans="1:6" x14ac:dyDescent="0.25">
      <c r="A705" s="5" t="s">
        <v>31</v>
      </c>
      <c r="B705" s="2">
        <v>43922</v>
      </c>
      <c r="C705" s="1">
        <v>1</v>
      </c>
      <c r="D705" s="47">
        <v>14</v>
      </c>
      <c r="F705" s="47">
        <f t="shared" si="26"/>
        <v>0</v>
      </c>
    </row>
    <row r="706" spans="1:6" x14ac:dyDescent="0.25">
      <c r="A706" s="5" t="s">
        <v>41</v>
      </c>
      <c r="B706" s="2">
        <v>43922</v>
      </c>
      <c r="C706" s="1">
        <v>0</v>
      </c>
      <c r="D706" s="47">
        <v>0</v>
      </c>
      <c r="F706" s="47">
        <f t="shared" si="26"/>
        <v>0</v>
      </c>
    </row>
    <row r="707" spans="1:6" x14ac:dyDescent="0.25">
      <c r="A707" s="5" t="s">
        <v>32</v>
      </c>
      <c r="B707" s="2">
        <v>43922</v>
      </c>
      <c r="C707" s="1">
        <v>0</v>
      </c>
      <c r="D707" s="47">
        <v>3</v>
      </c>
      <c r="F707" s="47">
        <f t="shared" si="26"/>
        <v>0</v>
      </c>
    </row>
    <row r="708" spans="1:6" x14ac:dyDescent="0.25">
      <c r="A708" s="5" t="s">
        <v>33</v>
      </c>
      <c r="B708" s="2">
        <v>43922</v>
      </c>
      <c r="C708" s="1">
        <v>0</v>
      </c>
      <c r="D708" s="47">
        <v>3</v>
      </c>
      <c r="F708" s="47">
        <f t="shared" si="26"/>
        <v>0</v>
      </c>
    </row>
    <row r="709" spans="1:6" x14ac:dyDescent="0.25">
      <c r="A709" s="5" t="s">
        <v>21</v>
      </c>
      <c r="B709" s="2">
        <v>43922</v>
      </c>
      <c r="C709" s="1">
        <v>0</v>
      </c>
      <c r="D709" s="47">
        <v>1</v>
      </c>
      <c r="F709" s="47">
        <f t="shared" si="26"/>
        <v>1</v>
      </c>
    </row>
    <row r="710" spans="1:6" x14ac:dyDescent="0.25">
      <c r="A710" s="5" t="s">
        <v>17</v>
      </c>
      <c r="B710" s="2">
        <v>43922</v>
      </c>
      <c r="C710" s="1">
        <v>10</v>
      </c>
      <c r="D710" s="47">
        <v>25</v>
      </c>
      <c r="F710" s="47">
        <f t="shared" si="26"/>
        <v>1</v>
      </c>
    </row>
    <row r="711" spans="1:6" x14ac:dyDescent="0.25">
      <c r="A711" s="5" t="s">
        <v>23</v>
      </c>
      <c r="B711" s="2">
        <v>43922</v>
      </c>
      <c r="C711" s="1">
        <v>0</v>
      </c>
      <c r="D711" s="47">
        <v>3</v>
      </c>
      <c r="F711" s="47">
        <f t="shared" si="26"/>
        <v>0</v>
      </c>
    </row>
    <row r="712" spans="1:6" x14ac:dyDescent="0.25">
      <c r="A712" s="5" t="s">
        <v>19</v>
      </c>
      <c r="B712" s="2">
        <v>43922</v>
      </c>
      <c r="C712" s="1">
        <v>4</v>
      </c>
      <c r="D712" s="47">
        <v>24</v>
      </c>
      <c r="F712" s="47">
        <f t="shared" si="26"/>
        <v>1</v>
      </c>
    </row>
    <row r="713" spans="1:6" x14ac:dyDescent="0.25">
      <c r="A713" s="5" t="s">
        <v>18</v>
      </c>
      <c r="B713" s="2">
        <v>43922</v>
      </c>
      <c r="C713" s="1">
        <v>0</v>
      </c>
      <c r="D713" s="47">
        <v>9</v>
      </c>
      <c r="E713" s="1">
        <v>1</v>
      </c>
      <c r="F713" s="47">
        <f t="shared" si="26"/>
        <v>2</v>
      </c>
    </row>
    <row r="714" spans="1:6" x14ac:dyDescent="0.25">
      <c r="A714" s="5" t="s">
        <v>34</v>
      </c>
      <c r="B714" s="2">
        <v>43922</v>
      </c>
      <c r="C714" s="1">
        <v>2</v>
      </c>
      <c r="D714" s="47">
        <v>3</v>
      </c>
      <c r="F714" s="47">
        <f t="shared" si="26"/>
        <v>0</v>
      </c>
    </row>
    <row r="715" spans="1:6" x14ac:dyDescent="0.25">
      <c r="A715" s="5" t="s">
        <v>35</v>
      </c>
      <c r="B715" s="2">
        <v>43922</v>
      </c>
      <c r="C715" s="1">
        <v>0</v>
      </c>
      <c r="D715" s="47">
        <v>1</v>
      </c>
      <c r="F715" s="47">
        <f t="shared" si="26"/>
        <v>0</v>
      </c>
    </row>
    <row r="716" spans="1:6" x14ac:dyDescent="0.25">
      <c r="A716" s="5" t="s">
        <v>36</v>
      </c>
      <c r="B716" s="2">
        <v>43922</v>
      </c>
      <c r="C716" s="1">
        <v>1</v>
      </c>
      <c r="D716" s="47">
        <v>7</v>
      </c>
      <c r="F716" s="47">
        <f t="shared" si="26"/>
        <v>0</v>
      </c>
    </row>
    <row r="717" spans="1:6" x14ac:dyDescent="0.25">
      <c r="A717" s="5" t="s">
        <v>37</v>
      </c>
      <c r="B717" s="2">
        <v>43922</v>
      </c>
      <c r="C717" s="1">
        <v>10</v>
      </c>
      <c r="D717" s="47">
        <v>19</v>
      </c>
      <c r="F717" s="47">
        <f t="shared" si="26"/>
        <v>0</v>
      </c>
    </row>
    <row r="718" spans="1:6" x14ac:dyDescent="0.25">
      <c r="A718" s="5" t="s">
        <v>22</v>
      </c>
      <c r="B718" s="2">
        <v>43922</v>
      </c>
      <c r="C718" s="1">
        <v>11</v>
      </c>
      <c r="D718" s="47">
        <v>144</v>
      </c>
      <c r="E718" s="1">
        <v>1</v>
      </c>
      <c r="F718" s="47">
        <f>E718+F694</f>
        <v>1</v>
      </c>
    </row>
    <row r="719" spans="1:6" x14ac:dyDescent="0.25">
      <c r="A719" s="5" t="s">
        <v>38</v>
      </c>
      <c r="B719" s="2">
        <v>43922</v>
      </c>
      <c r="C719" s="1">
        <v>0</v>
      </c>
      <c r="D719" s="47">
        <v>2</v>
      </c>
      <c r="F719" s="47">
        <f t="shared" si="26"/>
        <v>0</v>
      </c>
    </row>
    <row r="720" spans="1:6" x14ac:dyDescent="0.25">
      <c r="A720" s="5" t="s">
        <v>39</v>
      </c>
      <c r="B720" s="2">
        <v>43922</v>
      </c>
      <c r="C720" s="1">
        <v>0</v>
      </c>
      <c r="D720" s="47">
        <v>39</v>
      </c>
      <c r="F720" s="47">
        <f t="shared" si="26"/>
        <v>0</v>
      </c>
    </row>
    <row r="721" spans="1:6" x14ac:dyDescent="0.25">
      <c r="A721" s="5" t="s">
        <v>40</v>
      </c>
      <c r="B721" s="2">
        <v>43922</v>
      </c>
      <c r="C721" s="1">
        <v>1</v>
      </c>
      <c r="D721" s="47">
        <v>17</v>
      </c>
      <c r="F721" s="47">
        <f t="shared" si="26"/>
        <v>1</v>
      </c>
    </row>
    <row r="722" spans="1:6" x14ac:dyDescent="0.25">
      <c r="A722" s="34" t="s">
        <v>16</v>
      </c>
      <c r="B722" s="2">
        <v>43923</v>
      </c>
      <c r="C722" s="1">
        <v>36</v>
      </c>
      <c r="D722" s="47">
        <v>316</v>
      </c>
      <c r="E722" s="1">
        <v>2</v>
      </c>
      <c r="F722" s="47">
        <f>E722+F698</f>
        <v>12</v>
      </c>
    </row>
    <row r="723" spans="1:6" x14ac:dyDescent="0.25">
      <c r="A723" s="5" t="s">
        <v>28</v>
      </c>
      <c r="B723" s="2">
        <v>43923</v>
      </c>
      <c r="C723" s="1">
        <v>0</v>
      </c>
      <c r="D723" s="47">
        <v>0</v>
      </c>
      <c r="F723" s="47">
        <f t="shared" ref="F723:F745" si="27">E723+F699</f>
        <v>0</v>
      </c>
    </row>
    <row r="724" spans="1:6" x14ac:dyDescent="0.25">
      <c r="A724" s="5" t="s">
        <v>15</v>
      </c>
      <c r="B724" s="2">
        <v>43923</v>
      </c>
      <c r="C724" s="1">
        <v>3</v>
      </c>
      <c r="D724" s="47">
        <v>99</v>
      </c>
      <c r="E724" s="1">
        <v>1</v>
      </c>
      <c r="F724" s="47">
        <f t="shared" si="27"/>
        <v>5</v>
      </c>
    </row>
    <row r="725" spans="1:6" x14ac:dyDescent="0.25">
      <c r="A725" s="5" t="s">
        <v>29</v>
      </c>
      <c r="B725" s="2">
        <v>43923</v>
      </c>
      <c r="C725" s="1">
        <v>0</v>
      </c>
      <c r="D725" s="47">
        <v>0</v>
      </c>
      <c r="F725" s="47">
        <f t="shared" si="27"/>
        <v>1</v>
      </c>
    </row>
    <row r="726" spans="1:6" x14ac:dyDescent="0.25">
      <c r="A726" s="5" t="s">
        <v>43</v>
      </c>
      <c r="B726" s="2">
        <v>43923</v>
      </c>
      <c r="C726" s="1">
        <v>24</v>
      </c>
      <c r="D726" s="47">
        <v>345</v>
      </c>
      <c r="F726" s="47">
        <f t="shared" si="27"/>
        <v>6</v>
      </c>
    </row>
    <row r="727" spans="1:6" x14ac:dyDescent="0.25">
      <c r="A727" s="5" t="s">
        <v>20</v>
      </c>
      <c r="B727" s="2">
        <v>43923</v>
      </c>
      <c r="C727" s="1">
        <v>16</v>
      </c>
      <c r="D727" s="47">
        <v>117</v>
      </c>
      <c r="F727" s="47">
        <f t="shared" si="27"/>
        <v>1</v>
      </c>
    </row>
    <row r="728" spans="1:6" x14ac:dyDescent="0.25">
      <c r="A728" s="5" t="s">
        <v>30</v>
      </c>
      <c r="B728" s="2">
        <v>43923</v>
      </c>
      <c r="C728" s="1">
        <v>1</v>
      </c>
      <c r="D728" s="47">
        <v>22</v>
      </c>
      <c r="F728" s="47">
        <f t="shared" si="27"/>
        <v>0</v>
      </c>
    </row>
    <row r="729" spans="1:6" x14ac:dyDescent="0.25">
      <c r="A729" s="5" t="s">
        <v>31</v>
      </c>
      <c r="B729" s="2">
        <v>43923</v>
      </c>
      <c r="C729" s="1">
        <v>2</v>
      </c>
      <c r="D729" s="47">
        <v>16</v>
      </c>
      <c r="F729" s="47">
        <f t="shared" si="27"/>
        <v>0</v>
      </c>
    </row>
    <row r="730" spans="1:6" x14ac:dyDescent="0.25">
      <c r="A730" s="5" t="s">
        <v>41</v>
      </c>
      <c r="B730" s="2">
        <v>43923</v>
      </c>
      <c r="C730" s="1">
        <v>0</v>
      </c>
      <c r="D730" s="47">
        <v>0</v>
      </c>
      <c r="F730" s="47">
        <f t="shared" si="27"/>
        <v>0</v>
      </c>
    </row>
    <row r="731" spans="1:6" x14ac:dyDescent="0.25">
      <c r="A731" s="5" t="s">
        <v>32</v>
      </c>
      <c r="B731" s="2">
        <v>43923</v>
      </c>
      <c r="C731" s="1">
        <v>2</v>
      </c>
      <c r="D731" s="47">
        <v>5</v>
      </c>
      <c r="F731" s="47">
        <f t="shared" si="27"/>
        <v>0</v>
      </c>
    </row>
    <row r="732" spans="1:6" x14ac:dyDescent="0.25">
      <c r="A732" s="5" t="s">
        <v>33</v>
      </c>
      <c r="B732" s="2">
        <v>43923</v>
      </c>
      <c r="C732" s="1">
        <v>0</v>
      </c>
      <c r="D732" s="47">
        <v>3</v>
      </c>
      <c r="F732" s="47">
        <f t="shared" si="27"/>
        <v>0</v>
      </c>
    </row>
    <row r="733" spans="1:6" x14ac:dyDescent="0.25">
      <c r="A733" s="5" t="s">
        <v>21</v>
      </c>
      <c r="B733" s="2">
        <v>43923</v>
      </c>
      <c r="C733" s="1">
        <v>3</v>
      </c>
      <c r="D733" s="47">
        <v>4</v>
      </c>
      <c r="F733" s="47">
        <f t="shared" si="27"/>
        <v>1</v>
      </c>
    </row>
    <row r="734" spans="1:6" x14ac:dyDescent="0.25">
      <c r="A734" s="5" t="s">
        <v>17</v>
      </c>
      <c r="B734" s="2">
        <v>43923</v>
      </c>
      <c r="C734" s="1">
        <v>0</v>
      </c>
      <c r="D734" s="47">
        <v>25</v>
      </c>
      <c r="E734" s="1">
        <v>1</v>
      </c>
      <c r="F734" s="47">
        <f t="shared" si="27"/>
        <v>2</v>
      </c>
    </row>
    <row r="735" spans="1:6" x14ac:dyDescent="0.25">
      <c r="A735" s="5" t="s">
        <v>23</v>
      </c>
      <c r="B735" s="2">
        <v>43923</v>
      </c>
      <c r="C735" s="1">
        <v>0</v>
      </c>
      <c r="D735" s="47">
        <v>3</v>
      </c>
      <c r="F735" s="47">
        <f t="shared" si="27"/>
        <v>0</v>
      </c>
    </row>
    <row r="736" spans="1:6" x14ac:dyDescent="0.25">
      <c r="A736" s="5" t="s">
        <v>19</v>
      </c>
      <c r="B736" s="2">
        <v>43923</v>
      </c>
      <c r="C736" s="1">
        <v>4</v>
      </c>
      <c r="D736" s="47">
        <v>28</v>
      </c>
      <c r="F736" s="47">
        <f t="shared" si="27"/>
        <v>1</v>
      </c>
    </row>
    <row r="737" spans="1:6" x14ac:dyDescent="0.25">
      <c r="A737" s="5" t="s">
        <v>18</v>
      </c>
      <c r="B737" s="2">
        <v>43923</v>
      </c>
      <c r="C737" s="1">
        <v>0</v>
      </c>
      <c r="D737" s="47">
        <v>9</v>
      </c>
      <c r="F737" s="47">
        <f t="shared" si="27"/>
        <v>2</v>
      </c>
    </row>
    <row r="738" spans="1:6" x14ac:dyDescent="0.25">
      <c r="A738" s="5" t="s">
        <v>34</v>
      </c>
      <c r="B738" s="2">
        <v>43923</v>
      </c>
      <c r="C738" s="1">
        <v>0</v>
      </c>
      <c r="D738" s="47">
        <v>3</v>
      </c>
      <c r="F738" s="47">
        <f t="shared" si="27"/>
        <v>0</v>
      </c>
    </row>
    <row r="739" spans="1:6" x14ac:dyDescent="0.25">
      <c r="A739" s="5" t="s">
        <v>35</v>
      </c>
      <c r="B739" s="2">
        <v>43923</v>
      </c>
      <c r="C739" s="1">
        <v>0</v>
      </c>
      <c r="D739" s="47">
        <v>1</v>
      </c>
      <c r="F739" s="47">
        <f t="shared" si="27"/>
        <v>0</v>
      </c>
    </row>
    <row r="740" spans="1:6" x14ac:dyDescent="0.25">
      <c r="A740" s="5" t="s">
        <v>36</v>
      </c>
      <c r="B740" s="2">
        <v>43923</v>
      </c>
      <c r="C740" s="1">
        <v>2</v>
      </c>
      <c r="D740" s="47">
        <v>9</v>
      </c>
      <c r="F740" s="47">
        <f t="shared" si="27"/>
        <v>0</v>
      </c>
    </row>
    <row r="741" spans="1:6" x14ac:dyDescent="0.25">
      <c r="A741" s="5" t="s">
        <v>37</v>
      </c>
      <c r="B741" s="2">
        <v>43923</v>
      </c>
      <c r="C741" s="1">
        <v>2</v>
      </c>
      <c r="D741" s="47">
        <v>21</v>
      </c>
      <c r="F741" s="47">
        <f t="shared" si="27"/>
        <v>0</v>
      </c>
    </row>
    <row r="742" spans="1:6" x14ac:dyDescent="0.25">
      <c r="A742" s="5" t="s">
        <v>22</v>
      </c>
      <c r="B742" s="2">
        <v>43923</v>
      </c>
      <c r="C742" s="1">
        <v>8</v>
      </c>
      <c r="D742" s="47">
        <v>152</v>
      </c>
      <c r="F742" s="47">
        <f>E742+F718</f>
        <v>1</v>
      </c>
    </row>
    <row r="743" spans="1:6" x14ac:dyDescent="0.25">
      <c r="A743" s="5" t="s">
        <v>38</v>
      </c>
      <c r="B743" s="2">
        <v>43923</v>
      </c>
      <c r="C743" s="1">
        <v>1</v>
      </c>
      <c r="D743" s="47">
        <v>3</v>
      </c>
      <c r="F743" s="47">
        <f t="shared" si="27"/>
        <v>0</v>
      </c>
    </row>
    <row r="744" spans="1:6" x14ac:dyDescent="0.25">
      <c r="A744" s="5" t="s">
        <v>39</v>
      </c>
      <c r="B744" s="2">
        <v>43923</v>
      </c>
      <c r="C744" s="1">
        <v>24</v>
      </c>
      <c r="D744" s="47">
        <v>63</v>
      </c>
      <c r="F744" s="47">
        <f t="shared" si="27"/>
        <v>0</v>
      </c>
    </row>
    <row r="745" spans="1:6" x14ac:dyDescent="0.25">
      <c r="A745" s="5" t="s">
        <v>40</v>
      </c>
      <c r="B745" s="2">
        <v>43923</v>
      </c>
      <c r="C745" s="1">
        <v>4</v>
      </c>
      <c r="D745" s="47">
        <v>21</v>
      </c>
      <c r="F745" s="47">
        <f t="shared" si="27"/>
        <v>1</v>
      </c>
    </row>
    <row r="746" spans="1:6" x14ac:dyDescent="0.25">
      <c r="A746" s="34" t="s">
        <v>16</v>
      </c>
      <c r="B746" s="2">
        <v>43924</v>
      </c>
      <c r="C746" s="1">
        <v>22</v>
      </c>
      <c r="D746" s="47">
        <v>338</v>
      </c>
      <c r="E746" s="1">
        <v>3</v>
      </c>
      <c r="F746" s="47">
        <f>E746+F722</f>
        <v>15</v>
      </c>
    </row>
    <row r="747" spans="1:6" x14ac:dyDescent="0.25">
      <c r="A747" s="5" t="s">
        <v>28</v>
      </c>
      <c r="B747" s="2">
        <v>43924</v>
      </c>
      <c r="C747" s="1">
        <v>0</v>
      </c>
      <c r="D747" s="47">
        <v>0</v>
      </c>
      <c r="F747" s="47">
        <f t="shared" ref="F747:F769" si="28">E747+F723</f>
        <v>0</v>
      </c>
    </row>
    <row r="748" spans="1:6" x14ac:dyDescent="0.25">
      <c r="A748" s="5" t="s">
        <v>15</v>
      </c>
      <c r="B748" s="2">
        <v>43924</v>
      </c>
      <c r="C748" s="1">
        <v>8</v>
      </c>
      <c r="D748" s="47">
        <v>107</v>
      </c>
      <c r="E748" s="1">
        <v>1</v>
      </c>
      <c r="F748" s="47">
        <f t="shared" si="28"/>
        <v>6</v>
      </c>
    </row>
    <row r="749" spans="1:6" x14ac:dyDescent="0.25">
      <c r="A749" s="5" t="s">
        <v>29</v>
      </c>
      <c r="B749" s="2">
        <v>43924</v>
      </c>
      <c r="C749" s="1">
        <v>0</v>
      </c>
      <c r="D749" s="47">
        <v>0</v>
      </c>
      <c r="F749" s="47">
        <f t="shared" si="28"/>
        <v>1</v>
      </c>
    </row>
    <row r="750" spans="1:6" x14ac:dyDescent="0.25">
      <c r="A750" s="5" t="s">
        <v>43</v>
      </c>
      <c r="B750" s="2">
        <v>43924</v>
      </c>
      <c r="C750" s="1">
        <v>28</v>
      </c>
      <c r="D750" s="47">
        <v>373</v>
      </c>
      <c r="F750" s="47">
        <f t="shared" si="28"/>
        <v>6</v>
      </c>
    </row>
    <row r="751" spans="1:6" x14ac:dyDescent="0.25">
      <c r="A751" s="5" t="s">
        <v>20</v>
      </c>
      <c r="B751" s="2">
        <v>43924</v>
      </c>
      <c r="C751" s="1">
        <v>14</v>
      </c>
      <c r="D751" s="47">
        <v>131</v>
      </c>
      <c r="F751" s="47">
        <f t="shared" si="28"/>
        <v>1</v>
      </c>
    </row>
    <row r="752" spans="1:6" x14ac:dyDescent="0.25">
      <c r="A752" s="5" t="s">
        <v>30</v>
      </c>
      <c r="B752" s="2">
        <v>43924</v>
      </c>
      <c r="C752" s="1">
        <v>0</v>
      </c>
      <c r="D752" s="47">
        <v>22</v>
      </c>
      <c r="F752" s="47">
        <f t="shared" si="28"/>
        <v>0</v>
      </c>
    </row>
    <row r="753" spans="1:6" x14ac:dyDescent="0.25">
      <c r="A753" s="5" t="s">
        <v>31</v>
      </c>
      <c r="B753" s="2">
        <v>43924</v>
      </c>
      <c r="C753" s="1">
        <v>2</v>
      </c>
      <c r="D753" s="47">
        <v>18</v>
      </c>
      <c r="F753" s="47">
        <f t="shared" si="28"/>
        <v>0</v>
      </c>
    </row>
    <row r="754" spans="1:6" x14ac:dyDescent="0.25">
      <c r="A754" s="5" t="s">
        <v>41</v>
      </c>
      <c r="B754" s="2">
        <v>43924</v>
      </c>
      <c r="C754" s="1">
        <v>0</v>
      </c>
      <c r="D754" s="47">
        <v>0</v>
      </c>
      <c r="F754" s="47">
        <f t="shared" si="28"/>
        <v>0</v>
      </c>
    </row>
    <row r="755" spans="1:6" x14ac:dyDescent="0.25">
      <c r="A755" s="5" t="s">
        <v>32</v>
      </c>
      <c r="B755" s="2">
        <v>43924</v>
      </c>
      <c r="C755" s="1">
        <v>0</v>
      </c>
      <c r="D755" s="47">
        <v>5</v>
      </c>
      <c r="F755" s="47">
        <f t="shared" si="28"/>
        <v>0</v>
      </c>
    </row>
    <row r="756" spans="1:6" x14ac:dyDescent="0.25">
      <c r="A756" s="5" t="s">
        <v>33</v>
      </c>
      <c r="B756" s="2">
        <v>43924</v>
      </c>
      <c r="C756" s="1">
        <v>0</v>
      </c>
      <c r="D756" s="47">
        <v>3</v>
      </c>
      <c r="F756" s="47">
        <f t="shared" si="28"/>
        <v>0</v>
      </c>
    </row>
    <row r="757" spans="1:6" x14ac:dyDescent="0.25">
      <c r="A757" s="5" t="s">
        <v>21</v>
      </c>
      <c r="B757" s="2">
        <v>43924</v>
      </c>
      <c r="C757" s="1">
        <v>0</v>
      </c>
      <c r="D757" s="47">
        <v>4</v>
      </c>
      <c r="F757" s="47">
        <f t="shared" si="28"/>
        <v>1</v>
      </c>
    </row>
    <row r="758" spans="1:6" x14ac:dyDescent="0.25">
      <c r="A758" s="5" t="s">
        <v>17</v>
      </c>
      <c r="B758" s="2">
        <v>43924</v>
      </c>
      <c r="C758" s="1">
        <v>2</v>
      </c>
      <c r="D758" s="47">
        <v>27</v>
      </c>
      <c r="E758" s="1">
        <v>1</v>
      </c>
      <c r="F758" s="47">
        <f t="shared" si="28"/>
        <v>3</v>
      </c>
    </row>
    <row r="759" spans="1:6" x14ac:dyDescent="0.25">
      <c r="A759" s="5" t="s">
        <v>23</v>
      </c>
      <c r="B759" s="2">
        <v>43924</v>
      </c>
      <c r="C759" s="1">
        <v>0</v>
      </c>
      <c r="D759" s="47">
        <v>3</v>
      </c>
      <c r="F759" s="47">
        <f t="shared" si="28"/>
        <v>0</v>
      </c>
    </row>
    <row r="760" spans="1:6" x14ac:dyDescent="0.25">
      <c r="A760" s="5" t="s">
        <v>19</v>
      </c>
      <c r="B760" s="2">
        <v>43924</v>
      </c>
      <c r="C760" s="1">
        <v>1</v>
      </c>
      <c r="D760" s="47">
        <v>29</v>
      </c>
      <c r="F760" s="47">
        <f t="shared" si="28"/>
        <v>1</v>
      </c>
    </row>
    <row r="761" spans="1:6" x14ac:dyDescent="0.25">
      <c r="A761" s="5" t="s">
        <v>18</v>
      </c>
      <c r="B761" s="2">
        <v>43924</v>
      </c>
      <c r="C761" s="1">
        <v>1</v>
      </c>
      <c r="D761" s="47">
        <v>10</v>
      </c>
      <c r="F761" s="47">
        <f t="shared" si="28"/>
        <v>2</v>
      </c>
    </row>
    <row r="762" spans="1:6" x14ac:dyDescent="0.25">
      <c r="A762" s="5" t="s">
        <v>34</v>
      </c>
      <c r="B762" s="2">
        <v>43924</v>
      </c>
      <c r="C762" s="1">
        <v>0</v>
      </c>
      <c r="D762" s="47">
        <v>3</v>
      </c>
      <c r="F762" s="47">
        <f t="shared" si="28"/>
        <v>0</v>
      </c>
    </row>
    <row r="763" spans="1:6" x14ac:dyDescent="0.25">
      <c r="A763" s="5" t="s">
        <v>35</v>
      </c>
      <c r="B763" s="2">
        <v>43924</v>
      </c>
      <c r="C763" s="1">
        <v>0</v>
      </c>
      <c r="D763" s="47">
        <v>1</v>
      </c>
      <c r="F763" s="47">
        <f t="shared" si="28"/>
        <v>0</v>
      </c>
    </row>
    <row r="764" spans="1:6" x14ac:dyDescent="0.25">
      <c r="A764" s="5" t="s">
        <v>36</v>
      </c>
      <c r="B764" s="2">
        <v>43924</v>
      </c>
      <c r="C764" s="1">
        <v>1</v>
      </c>
      <c r="D764" s="47">
        <v>10</v>
      </c>
      <c r="F764" s="47">
        <f t="shared" si="28"/>
        <v>0</v>
      </c>
    </row>
    <row r="765" spans="1:6" x14ac:dyDescent="0.25">
      <c r="A765" s="5" t="s">
        <v>37</v>
      </c>
      <c r="B765" s="2">
        <v>43924</v>
      </c>
      <c r="C765" s="1">
        <v>0</v>
      </c>
      <c r="D765" s="47">
        <v>21</v>
      </c>
      <c r="F765" s="47">
        <f t="shared" si="28"/>
        <v>0</v>
      </c>
    </row>
    <row r="766" spans="1:6" x14ac:dyDescent="0.25">
      <c r="A766" s="5" t="s">
        <v>22</v>
      </c>
      <c r="B766" s="2">
        <v>43924</v>
      </c>
      <c r="C766" s="1">
        <v>8</v>
      </c>
      <c r="D766" s="47">
        <v>160</v>
      </c>
      <c r="F766" s="47">
        <f>E766+F742</f>
        <v>1</v>
      </c>
    </row>
    <row r="767" spans="1:6" x14ac:dyDescent="0.25">
      <c r="A767" s="5" t="s">
        <v>38</v>
      </c>
      <c r="B767" s="2">
        <v>43924</v>
      </c>
      <c r="C767" s="1">
        <v>0</v>
      </c>
      <c r="D767" s="47">
        <v>3</v>
      </c>
      <c r="F767" s="47">
        <f t="shared" si="28"/>
        <v>0</v>
      </c>
    </row>
    <row r="768" spans="1:6" x14ac:dyDescent="0.25">
      <c r="A768" s="5" t="s">
        <v>39</v>
      </c>
      <c r="B768" s="2">
        <v>43924</v>
      </c>
      <c r="C768" s="1">
        <v>1</v>
      </c>
      <c r="D768" s="47">
        <v>64</v>
      </c>
      <c r="F768" s="47">
        <f t="shared" si="28"/>
        <v>0</v>
      </c>
    </row>
    <row r="769" spans="1:6" x14ac:dyDescent="0.25">
      <c r="A769" s="5" t="s">
        <v>40</v>
      </c>
      <c r="B769" s="2">
        <v>43924</v>
      </c>
      <c r="C769" s="1">
        <v>0</v>
      </c>
      <c r="D769" s="47">
        <v>21</v>
      </c>
      <c r="F769" s="47">
        <f t="shared" si="28"/>
        <v>1</v>
      </c>
    </row>
    <row r="770" spans="1:6" x14ac:dyDescent="0.25">
      <c r="A770" s="34" t="s">
        <v>16</v>
      </c>
      <c r="B770" s="2">
        <v>43925</v>
      </c>
      <c r="C770" s="1">
        <v>26</v>
      </c>
      <c r="D770" s="47">
        <v>364</v>
      </c>
      <c r="E770" s="1">
        <v>1</v>
      </c>
      <c r="F770" s="47">
        <f>E770+F746</f>
        <v>16</v>
      </c>
    </row>
    <row r="771" spans="1:6" x14ac:dyDescent="0.25">
      <c r="A771" s="5" t="s">
        <v>28</v>
      </c>
      <c r="B771" s="2">
        <v>43925</v>
      </c>
      <c r="C771" s="1">
        <v>0</v>
      </c>
      <c r="D771" s="47">
        <v>0</v>
      </c>
      <c r="F771" s="47">
        <f t="shared" ref="F771:F793" si="29">E771+F747</f>
        <v>0</v>
      </c>
    </row>
    <row r="772" spans="1:6" x14ac:dyDescent="0.25">
      <c r="A772" s="5" t="s">
        <v>15</v>
      </c>
      <c r="B772" s="2">
        <v>43925</v>
      </c>
      <c r="C772" s="1">
        <v>8</v>
      </c>
      <c r="D772" s="47">
        <v>115</v>
      </c>
      <c r="F772" s="47">
        <f t="shared" si="29"/>
        <v>6</v>
      </c>
    </row>
    <row r="773" spans="1:6" x14ac:dyDescent="0.25">
      <c r="A773" s="5" t="s">
        <v>29</v>
      </c>
      <c r="B773" s="2">
        <v>43925</v>
      </c>
      <c r="C773" s="1">
        <v>0</v>
      </c>
      <c r="D773" s="47">
        <v>0</v>
      </c>
      <c r="F773" s="47">
        <f t="shared" si="29"/>
        <v>1</v>
      </c>
    </row>
    <row r="774" spans="1:6" x14ac:dyDescent="0.25">
      <c r="A774" s="5" t="s">
        <v>43</v>
      </c>
      <c r="B774" s="2">
        <v>43925</v>
      </c>
      <c r="C774" s="1">
        <v>34</v>
      </c>
      <c r="D774" s="47">
        <v>407</v>
      </c>
      <c r="E774" s="1">
        <v>1</v>
      </c>
      <c r="F774" s="47">
        <f t="shared" si="29"/>
        <v>7</v>
      </c>
    </row>
    <row r="775" spans="1:6" x14ac:dyDescent="0.25">
      <c r="A775" s="5" t="s">
        <v>20</v>
      </c>
      <c r="B775" s="2">
        <v>43925</v>
      </c>
      <c r="C775" s="1">
        <v>3</v>
      </c>
      <c r="D775" s="47">
        <v>134</v>
      </c>
      <c r="F775" s="47">
        <f t="shared" si="29"/>
        <v>1</v>
      </c>
    </row>
    <row r="776" spans="1:6" x14ac:dyDescent="0.25">
      <c r="A776" s="5" t="s">
        <v>30</v>
      </c>
      <c r="B776" s="2">
        <v>43925</v>
      </c>
      <c r="C776" s="1">
        <v>0</v>
      </c>
      <c r="D776" s="47">
        <v>22</v>
      </c>
      <c r="F776" s="47">
        <f t="shared" si="29"/>
        <v>0</v>
      </c>
    </row>
    <row r="777" spans="1:6" x14ac:dyDescent="0.25">
      <c r="A777" s="5" t="s">
        <v>31</v>
      </c>
      <c r="B777" s="2">
        <v>43925</v>
      </c>
      <c r="C777" s="1">
        <v>0</v>
      </c>
      <c r="D777" s="47">
        <v>18</v>
      </c>
      <c r="F777" s="47">
        <f t="shared" si="29"/>
        <v>0</v>
      </c>
    </row>
    <row r="778" spans="1:6" x14ac:dyDescent="0.25">
      <c r="A778" s="5" t="s">
        <v>41</v>
      </c>
      <c r="B778" s="2">
        <v>43925</v>
      </c>
      <c r="C778" s="1">
        <v>0</v>
      </c>
      <c r="D778" s="47">
        <v>0</v>
      </c>
      <c r="F778" s="47">
        <f t="shared" si="29"/>
        <v>0</v>
      </c>
    </row>
    <row r="779" spans="1:6" x14ac:dyDescent="0.25">
      <c r="A779" s="5" t="s">
        <v>32</v>
      </c>
      <c r="B779" s="2">
        <v>43925</v>
      </c>
      <c r="C779" s="1">
        <v>0</v>
      </c>
      <c r="D779" s="47">
        <v>5</v>
      </c>
      <c r="F779" s="47">
        <f t="shared" si="29"/>
        <v>0</v>
      </c>
    </row>
    <row r="780" spans="1:6" x14ac:dyDescent="0.25">
      <c r="A780" s="5" t="s">
        <v>33</v>
      </c>
      <c r="B780" s="2">
        <v>43925</v>
      </c>
      <c r="C780" s="1">
        <v>0</v>
      </c>
      <c r="D780" s="47">
        <v>3</v>
      </c>
      <c r="F780" s="47">
        <f t="shared" si="29"/>
        <v>0</v>
      </c>
    </row>
    <row r="781" spans="1:6" x14ac:dyDescent="0.25">
      <c r="A781" s="5" t="s">
        <v>21</v>
      </c>
      <c r="B781" s="2">
        <v>43925</v>
      </c>
      <c r="C781" s="1">
        <v>2</v>
      </c>
      <c r="D781" s="47">
        <v>6</v>
      </c>
      <c r="F781" s="47">
        <f t="shared" si="29"/>
        <v>1</v>
      </c>
    </row>
    <row r="782" spans="1:6" x14ac:dyDescent="0.25">
      <c r="A782" s="5" t="s">
        <v>17</v>
      </c>
      <c r="B782" s="2">
        <v>43925</v>
      </c>
      <c r="C782" s="1">
        <v>0</v>
      </c>
      <c r="D782" s="47">
        <v>27</v>
      </c>
      <c r="F782" s="47">
        <f t="shared" si="29"/>
        <v>3</v>
      </c>
    </row>
    <row r="783" spans="1:6" x14ac:dyDescent="0.25">
      <c r="A783" s="5" t="s">
        <v>23</v>
      </c>
      <c r="B783" s="2">
        <v>43925</v>
      </c>
      <c r="C783" s="1">
        <v>0</v>
      </c>
      <c r="D783" s="47">
        <v>3</v>
      </c>
      <c r="F783" s="47">
        <f t="shared" si="29"/>
        <v>0</v>
      </c>
    </row>
    <row r="784" spans="1:6" x14ac:dyDescent="0.25">
      <c r="A784" s="5" t="s">
        <v>19</v>
      </c>
      <c r="B784" s="2">
        <v>43925</v>
      </c>
      <c r="C784" s="1">
        <v>4</v>
      </c>
      <c r="D784" s="47">
        <v>33</v>
      </c>
      <c r="F784" s="47">
        <f t="shared" si="29"/>
        <v>1</v>
      </c>
    </row>
    <row r="785" spans="1:6" x14ac:dyDescent="0.25">
      <c r="A785" s="5" t="s">
        <v>18</v>
      </c>
      <c r="B785" s="2">
        <v>43925</v>
      </c>
      <c r="C785" s="1">
        <v>5</v>
      </c>
      <c r="D785" s="47">
        <v>15</v>
      </c>
      <c r="F785" s="47">
        <f t="shared" si="29"/>
        <v>2</v>
      </c>
    </row>
    <row r="786" spans="1:6" x14ac:dyDescent="0.25">
      <c r="A786" s="5" t="s">
        <v>34</v>
      </c>
      <c r="B786" s="2">
        <v>43925</v>
      </c>
      <c r="C786" s="1">
        <v>0</v>
      </c>
      <c r="D786" s="47">
        <v>3</v>
      </c>
      <c r="F786" s="47">
        <f t="shared" si="29"/>
        <v>0</v>
      </c>
    </row>
    <row r="787" spans="1:6" x14ac:dyDescent="0.25">
      <c r="A787" s="5" t="s">
        <v>35</v>
      </c>
      <c r="B787" s="2">
        <v>43925</v>
      </c>
      <c r="C787" s="1">
        <v>0</v>
      </c>
      <c r="D787" s="47">
        <v>1</v>
      </c>
      <c r="F787" s="47">
        <f t="shared" si="29"/>
        <v>0</v>
      </c>
    </row>
    <row r="788" spans="1:6" x14ac:dyDescent="0.25">
      <c r="A788" s="5" t="s">
        <v>36</v>
      </c>
      <c r="B788" s="2">
        <v>43925</v>
      </c>
      <c r="C788" s="1">
        <v>0</v>
      </c>
      <c r="D788" s="47">
        <v>10</v>
      </c>
      <c r="F788" s="47">
        <f t="shared" si="29"/>
        <v>0</v>
      </c>
    </row>
    <row r="789" spans="1:6" x14ac:dyDescent="0.25">
      <c r="A789" s="5" t="s">
        <v>37</v>
      </c>
      <c r="B789" s="2">
        <v>43925</v>
      </c>
      <c r="C789" s="1">
        <v>1</v>
      </c>
      <c r="D789" s="47">
        <v>22</v>
      </c>
      <c r="F789" s="47">
        <f t="shared" si="29"/>
        <v>0</v>
      </c>
    </row>
    <row r="790" spans="1:6" x14ac:dyDescent="0.25">
      <c r="A790" s="5" t="s">
        <v>22</v>
      </c>
      <c r="B790" s="2">
        <v>43925</v>
      </c>
      <c r="C790" s="1">
        <v>5</v>
      </c>
      <c r="D790" s="47">
        <v>165</v>
      </c>
      <c r="F790" s="47">
        <f>E790+F766</f>
        <v>1</v>
      </c>
    </row>
    <row r="791" spans="1:6" x14ac:dyDescent="0.25">
      <c r="A791" s="5" t="s">
        <v>38</v>
      </c>
      <c r="B791" s="2">
        <v>43925</v>
      </c>
      <c r="C791" s="1">
        <v>1</v>
      </c>
      <c r="D791" s="47">
        <v>4</v>
      </c>
      <c r="F791" s="47">
        <f t="shared" si="29"/>
        <v>0</v>
      </c>
    </row>
    <row r="792" spans="1:6" x14ac:dyDescent="0.25">
      <c r="A792" s="5" t="s">
        <v>39</v>
      </c>
      <c r="B792" s="2">
        <v>43925</v>
      </c>
      <c r="C792" s="1">
        <v>8</v>
      </c>
      <c r="D792" s="47">
        <v>72</v>
      </c>
      <c r="F792" s="47">
        <f t="shared" si="29"/>
        <v>0</v>
      </c>
    </row>
    <row r="793" spans="1:6" x14ac:dyDescent="0.25">
      <c r="A793" s="5" t="s">
        <v>40</v>
      </c>
      <c r="B793" s="2">
        <v>43925</v>
      </c>
      <c r="C793" s="1">
        <v>1</v>
      </c>
      <c r="D793" s="47">
        <v>22</v>
      </c>
      <c r="F793" s="47">
        <f t="shared" si="29"/>
        <v>1</v>
      </c>
    </row>
    <row r="794" spans="1:6" x14ac:dyDescent="0.25">
      <c r="A794" s="34" t="s">
        <v>16</v>
      </c>
      <c r="B794" s="2">
        <v>43926</v>
      </c>
      <c r="C794" s="1">
        <v>33</v>
      </c>
      <c r="D794" s="47">
        <v>397</v>
      </c>
      <c r="E794" s="1">
        <v>1</v>
      </c>
      <c r="F794" s="47">
        <f>E794+F770</f>
        <v>17</v>
      </c>
    </row>
    <row r="795" spans="1:6" x14ac:dyDescent="0.25">
      <c r="A795" s="5" t="s">
        <v>28</v>
      </c>
      <c r="B795" s="2">
        <v>43926</v>
      </c>
      <c r="C795" s="1">
        <v>0</v>
      </c>
      <c r="D795" s="47">
        <v>0</v>
      </c>
      <c r="F795" s="47">
        <f t="shared" ref="F795:F817" si="30">E795+F771</f>
        <v>0</v>
      </c>
    </row>
    <row r="796" spans="1:6" x14ac:dyDescent="0.25">
      <c r="A796" s="5" t="s">
        <v>15</v>
      </c>
      <c r="B796" s="2">
        <v>43926</v>
      </c>
      <c r="C796" s="1">
        <v>0</v>
      </c>
      <c r="D796" s="47">
        <v>115</v>
      </c>
      <c r="F796" s="47">
        <f t="shared" si="30"/>
        <v>6</v>
      </c>
    </row>
    <row r="797" spans="1:6" x14ac:dyDescent="0.25">
      <c r="A797" s="5" t="s">
        <v>29</v>
      </c>
      <c r="B797" s="2">
        <v>43926</v>
      </c>
      <c r="C797" s="1">
        <v>0</v>
      </c>
      <c r="D797" s="47">
        <v>0</v>
      </c>
      <c r="F797" s="47">
        <f t="shared" si="30"/>
        <v>1</v>
      </c>
    </row>
    <row r="798" spans="1:6" x14ac:dyDescent="0.25">
      <c r="A798" s="5" t="s">
        <v>43</v>
      </c>
      <c r="B798" s="2">
        <v>43926</v>
      </c>
      <c r="C798" s="1">
        <v>32</v>
      </c>
      <c r="D798" s="47">
        <v>439</v>
      </c>
      <c r="F798" s="47">
        <f>E798+F774</f>
        <v>7</v>
      </c>
    </row>
    <row r="799" spans="1:6" x14ac:dyDescent="0.25">
      <c r="A799" s="5" t="s">
        <v>20</v>
      </c>
      <c r="B799" s="2">
        <v>43926</v>
      </c>
      <c r="C799" s="1">
        <v>5</v>
      </c>
      <c r="D799" s="47">
        <v>139</v>
      </c>
      <c r="E799" s="1">
        <v>1</v>
      </c>
      <c r="F799" s="47">
        <f t="shared" si="30"/>
        <v>2</v>
      </c>
    </row>
    <row r="800" spans="1:6" x14ac:dyDescent="0.25">
      <c r="A800" s="5" t="s">
        <v>30</v>
      </c>
      <c r="B800" s="2">
        <v>43926</v>
      </c>
      <c r="C800" s="1">
        <v>0</v>
      </c>
      <c r="D800" s="47">
        <v>22</v>
      </c>
      <c r="F800" s="47">
        <f t="shared" si="30"/>
        <v>0</v>
      </c>
    </row>
    <row r="801" spans="1:6" x14ac:dyDescent="0.25">
      <c r="A801" s="5" t="s">
        <v>31</v>
      </c>
      <c r="B801" s="2">
        <v>43926</v>
      </c>
      <c r="C801" s="1">
        <v>1</v>
      </c>
      <c r="D801" s="47">
        <v>19</v>
      </c>
      <c r="F801" s="47">
        <f t="shared" si="30"/>
        <v>0</v>
      </c>
    </row>
    <row r="802" spans="1:6" x14ac:dyDescent="0.25">
      <c r="A802" s="5" t="s">
        <v>41</v>
      </c>
      <c r="B802" s="2">
        <v>43926</v>
      </c>
      <c r="C802" s="1">
        <v>0</v>
      </c>
      <c r="D802" s="47">
        <v>0</v>
      </c>
      <c r="F802" s="47">
        <f t="shared" si="30"/>
        <v>0</v>
      </c>
    </row>
    <row r="803" spans="1:6" x14ac:dyDescent="0.25">
      <c r="A803" s="5" t="s">
        <v>32</v>
      </c>
      <c r="B803" s="2">
        <v>43926</v>
      </c>
      <c r="C803" s="1">
        <v>0</v>
      </c>
      <c r="D803" s="47">
        <v>5</v>
      </c>
      <c r="F803" s="47">
        <f t="shared" si="30"/>
        <v>0</v>
      </c>
    </row>
    <row r="804" spans="1:6" x14ac:dyDescent="0.25">
      <c r="A804" s="5" t="s">
        <v>33</v>
      </c>
      <c r="B804" s="2">
        <v>43926</v>
      </c>
      <c r="C804" s="1">
        <v>0</v>
      </c>
      <c r="D804" s="47">
        <v>3</v>
      </c>
      <c r="F804" s="47">
        <f t="shared" si="30"/>
        <v>0</v>
      </c>
    </row>
    <row r="805" spans="1:6" x14ac:dyDescent="0.25">
      <c r="A805" s="5" t="s">
        <v>21</v>
      </c>
      <c r="B805" s="2">
        <v>43926</v>
      </c>
      <c r="C805" s="1">
        <v>2</v>
      </c>
      <c r="D805" s="47">
        <v>8</v>
      </c>
      <c r="F805" s="47">
        <f t="shared" si="30"/>
        <v>1</v>
      </c>
    </row>
    <row r="806" spans="1:6" x14ac:dyDescent="0.25">
      <c r="A806" s="5" t="s">
        <v>17</v>
      </c>
      <c r="B806" s="2">
        <v>43926</v>
      </c>
      <c r="C806" s="1">
        <v>2</v>
      </c>
      <c r="D806" s="47">
        <v>29</v>
      </c>
      <c r="F806" s="47">
        <f t="shared" si="30"/>
        <v>3</v>
      </c>
    </row>
    <row r="807" spans="1:6" x14ac:dyDescent="0.25">
      <c r="A807" s="5" t="s">
        <v>23</v>
      </c>
      <c r="B807" s="2">
        <v>43926</v>
      </c>
      <c r="C807" s="1">
        <v>0</v>
      </c>
      <c r="D807" s="47">
        <v>3</v>
      </c>
      <c r="F807" s="47">
        <f t="shared" si="30"/>
        <v>0</v>
      </c>
    </row>
    <row r="808" spans="1:6" x14ac:dyDescent="0.25">
      <c r="A808" s="5" t="s">
        <v>19</v>
      </c>
      <c r="B808" s="2">
        <v>43926</v>
      </c>
      <c r="C808" s="1">
        <v>11</v>
      </c>
      <c r="D808" s="47">
        <v>44</v>
      </c>
      <c r="F808" s="47">
        <f t="shared" si="30"/>
        <v>1</v>
      </c>
    </row>
    <row r="809" spans="1:6" x14ac:dyDescent="0.25">
      <c r="A809" s="5" t="s">
        <v>18</v>
      </c>
      <c r="B809" s="2">
        <v>43926</v>
      </c>
      <c r="C809" s="1">
        <v>2</v>
      </c>
      <c r="D809" s="47">
        <v>17</v>
      </c>
      <c r="F809" s="47">
        <f t="shared" si="30"/>
        <v>2</v>
      </c>
    </row>
    <row r="810" spans="1:6" x14ac:dyDescent="0.25">
      <c r="A810" s="5" t="s">
        <v>34</v>
      </c>
      <c r="B810" s="2">
        <v>43926</v>
      </c>
      <c r="C810" s="1">
        <v>0</v>
      </c>
      <c r="D810" s="47">
        <v>3</v>
      </c>
      <c r="F810" s="47">
        <f t="shared" si="30"/>
        <v>0</v>
      </c>
    </row>
    <row r="811" spans="1:6" x14ac:dyDescent="0.25">
      <c r="A811" s="5" t="s">
        <v>35</v>
      </c>
      <c r="B811" s="2">
        <v>43926</v>
      </c>
      <c r="C811" s="1">
        <v>0</v>
      </c>
      <c r="D811" s="47">
        <v>1</v>
      </c>
      <c r="F811" s="47">
        <f t="shared" si="30"/>
        <v>0</v>
      </c>
    </row>
    <row r="812" spans="1:6" x14ac:dyDescent="0.25">
      <c r="A812" s="5" t="s">
        <v>36</v>
      </c>
      <c r="B812" s="2">
        <v>43926</v>
      </c>
      <c r="C812" s="1">
        <v>0</v>
      </c>
      <c r="D812" s="47">
        <v>10</v>
      </c>
      <c r="F812" s="47">
        <f t="shared" si="30"/>
        <v>0</v>
      </c>
    </row>
    <row r="813" spans="1:6" x14ac:dyDescent="0.25">
      <c r="A813" s="5" t="s">
        <v>37</v>
      </c>
      <c r="B813" s="2">
        <v>43926</v>
      </c>
      <c r="C813" s="1">
        <v>1</v>
      </c>
      <c r="D813" s="47">
        <v>23</v>
      </c>
      <c r="F813" s="47">
        <f t="shared" si="30"/>
        <v>0</v>
      </c>
    </row>
    <row r="814" spans="1:6" x14ac:dyDescent="0.25">
      <c r="A814" s="5" t="s">
        <v>22</v>
      </c>
      <c r="B814" s="2">
        <v>43926</v>
      </c>
      <c r="C814" s="1">
        <v>11</v>
      </c>
      <c r="D814" s="47">
        <v>176</v>
      </c>
      <c r="F814" s="47">
        <f>E814+F790</f>
        <v>1</v>
      </c>
    </row>
    <row r="815" spans="1:6" x14ac:dyDescent="0.25">
      <c r="A815" s="5" t="s">
        <v>38</v>
      </c>
      <c r="B815" s="2">
        <v>43926</v>
      </c>
      <c r="C815" s="1">
        <v>0</v>
      </c>
      <c r="D815" s="47">
        <v>4</v>
      </c>
      <c r="F815" s="47">
        <f t="shared" si="30"/>
        <v>0</v>
      </c>
    </row>
    <row r="816" spans="1:6" x14ac:dyDescent="0.25">
      <c r="A816" s="5" t="s">
        <v>39</v>
      </c>
      <c r="B816" s="2">
        <v>43926</v>
      </c>
      <c r="C816" s="1">
        <v>3</v>
      </c>
      <c r="D816" s="47">
        <v>75</v>
      </c>
      <c r="F816" s="47">
        <f t="shared" si="30"/>
        <v>0</v>
      </c>
    </row>
    <row r="817" spans="1:6" x14ac:dyDescent="0.25">
      <c r="A817" s="5" t="s">
        <v>40</v>
      </c>
      <c r="B817" s="2">
        <v>43926</v>
      </c>
      <c r="C817" s="1">
        <v>0</v>
      </c>
      <c r="D817" s="47">
        <v>22</v>
      </c>
      <c r="F817" s="47">
        <f t="shared" si="30"/>
        <v>1</v>
      </c>
    </row>
    <row r="818" spans="1:6" x14ac:dyDescent="0.25">
      <c r="A818" s="34" t="s">
        <v>16</v>
      </c>
      <c r="B818" s="2">
        <v>43927</v>
      </c>
      <c r="C818" s="1">
        <v>12</v>
      </c>
      <c r="D818" s="47">
        <v>409</v>
      </c>
      <c r="E818" s="353">
        <v>2</v>
      </c>
      <c r="F818" s="47">
        <f>E818+F794</f>
        <v>19</v>
      </c>
    </row>
    <row r="819" spans="1:6" x14ac:dyDescent="0.25">
      <c r="A819" s="5" t="s">
        <v>28</v>
      </c>
      <c r="B819" s="2">
        <v>43927</v>
      </c>
      <c r="C819" s="1">
        <v>0</v>
      </c>
      <c r="D819" s="47">
        <v>0</v>
      </c>
      <c r="F819" s="47">
        <f t="shared" ref="F819:F841" si="31">E819+F795</f>
        <v>0</v>
      </c>
    </row>
    <row r="820" spans="1:6" x14ac:dyDescent="0.25">
      <c r="A820" s="5" t="s">
        <v>15</v>
      </c>
      <c r="B820" s="2">
        <v>43927</v>
      </c>
      <c r="C820" s="1">
        <v>4</v>
      </c>
      <c r="D820" s="47">
        <v>119</v>
      </c>
      <c r="F820" s="47">
        <f t="shared" si="31"/>
        <v>6</v>
      </c>
    </row>
    <row r="821" spans="1:6" x14ac:dyDescent="0.25">
      <c r="A821" s="5" t="s">
        <v>29</v>
      </c>
      <c r="B821" s="2">
        <v>43927</v>
      </c>
      <c r="C821" s="1">
        <v>0</v>
      </c>
      <c r="D821" s="47">
        <v>0</v>
      </c>
      <c r="F821" s="47">
        <f t="shared" si="31"/>
        <v>1</v>
      </c>
    </row>
    <row r="822" spans="1:6" x14ac:dyDescent="0.25">
      <c r="A822" s="5" t="s">
        <v>43</v>
      </c>
      <c r="B822" s="2">
        <v>43927</v>
      </c>
      <c r="C822" s="1">
        <v>17</v>
      </c>
      <c r="D822" s="47">
        <v>456</v>
      </c>
      <c r="E822" s="1">
        <v>3</v>
      </c>
      <c r="F822" s="47">
        <f t="shared" si="31"/>
        <v>10</v>
      </c>
    </row>
    <row r="823" spans="1:6" x14ac:dyDescent="0.25">
      <c r="A823" s="5" t="s">
        <v>20</v>
      </c>
      <c r="B823" s="2">
        <v>43927</v>
      </c>
      <c r="C823" s="1">
        <v>7</v>
      </c>
      <c r="D823" s="47">
        <v>146</v>
      </c>
      <c r="F823" s="47">
        <f t="shared" si="31"/>
        <v>2</v>
      </c>
    </row>
    <row r="824" spans="1:6" x14ac:dyDescent="0.25">
      <c r="A824" s="5" t="s">
        <v>30</v>
      </c>
      <c r="B824" s="2">
        <v>43927</v>
      </c>
      <c r="C824" s="1">
        <v>2</v>
      </c>
      <c r="D824" s="47">
        <v>24</v>
      </c>
      <c r="F824" s="47">
        <f t="shared" si="31"/>
        <v>0</v>
      </c>
    </row>
    <row r="825" spans="1:6" x14ac:dyDescent="0.25">
      <c r="A825" s="5" t="s">
        <v>31</v>
      </c>
      <c r="B825" s="2">
        <v>43927</v>
      </c>
      <c r="C825" s="1">
        <v>0</v>
      </c>
      <c r="D825" s="47">
        <v>19</v>
      </c>
      <c r="F825" s="47">
        <f t="shared" si="31"/>
        <v>0</v>
      </c>
    </row>
    <row r="826" spans="1:6" x14ac:dyDescent="0.25">
      <c r="A826" s="5" t="s">
        <v>41</v>
      </c>
      <c r="B826" s="2">
        <v>43927</v>
      </c>
      <c r="C826" s="1">
        <v>0</v>
      </c>
      <c r="D826" s="47">
        <v>0</v>
      </c>
      <c r="F826" s="47">
        <f t="shared" si="31"/>
        <v>0</v>
      </c>
    </row>
    <row r="827" spans="1:6" x14ac:dyDescent="0.25">
      <c r="A827" s="5" t="s">
        <v>32</v>
      </c>
      <c r="B827" s="2">
        <v>43927</v>
      </c>
      <c r="C827" s="1">
        <v>0</v>
      </c>
      <c r="D827" s="47">
        <v>5</v>
      </c>
      <c r="F827" s="47">
        <f t="shared" si="31"/>
        <v>0</v>
      </c>
    </row>
    <row r="828" spans="1:6" x14ac:dyDescent="0.25">
      <c r="A828" s="5" t="s">
        <v>33</v>
      </c>
      <c r="B828" s="2">
        <v>43927</v>
      </c>
      <c r="C828" s="1">
        <v>0</v>
      </c>
      <c r="D828" s="47">
        <v>3</v>
      </c>
      <c r="F828" s="47">
        <f t="shared" si="31"/>
        <v>0</v>
      </c>
    </row>
    <row r="829" spans="1:6" x14ac:dyDescent="0.25">
      <c r="A829" s="5" t="s">
        <v>21</v>
      </c>
      <c r="B829" s="2">
        <v>43927</v>
      </c>
      <c r="C829" s="1">
        <v>1</v>
      </c>
      <c r="D829" s="47">
        <v>9</v>
      </c>
      <c r="F829" s="47">
        <f t="shared" si="31"/>
        <v>1</v>
      </c>
    </row>
    <row r="830" spans="1:6" x14ac:dyDescent="0.25">
      <c r="A830" s="5" t="s">
        <v>17</v>
      </c>
      <c r="B830" s="2">
        <v>43927</v>
      </c>
      <c r="C830" s="1">
        <v>1</v>
      </c>
      <c r="D830" s="47">
        <v>30</v>
      </c>
      <c r="F830" s="47">
        <f t="shared" si="31"/>
        <v>3</v>
      </c>
    </row>
    <row r="831" spans="1:6" x14ac:dyDescent="0.25">
      <c r="A831" s="5" t="s">
        <v>23</v>
      </c>
      <c r="B831" s="2">
        <v>43927</v>
      </c>
      <c r="C831" s="1">
        <v>0</v>
      </c>
      <c r="D831" s="47">
        <v>3</v>
      </c>
      <c r="F831" s="47">
        <f t="shared" si="31"/>
        <v>0</v>
      </c>
    </row>
    <row r="832" spans="1:6" x14ac:dyDescent="0.25">
      <c r="A832" s="5" t="s">
        <v>19</v>
      </c>
      <c r="B832" s="2">
        <v>43927</v>
      </c>
      <c r="C832" s="1">
        <v>6</v>
      </c>
      <c r="D832" s="47">
        <v>50</v>
      </c>
      <c r="E832" s="1">
        <v>1</v>
      </c>
      <c r="F832" s="47">
        <f t="shared" si="31"/>
        <v>2</v>
      </c>
    </row>
    <row r="833" spans="1:6" x14ac:dyDescent="0.25">
      <c r="A833" s="5" t="s">
        <v>18</v>
      </c>
      <c r="B833" s="2">
        <v>43927</v>
      </c>
      <c r="C833" s="1">
        <v>2</v>
      </c>
      <c r="D833" s="47">
        <v>19</v>
      </c>
      <c r="F833" s="47">
        <f t="shared" si="31"/>
        <v>2</v>
      </c>
    </row>
    <row r="834" spans="1:6" x14ac:dyDescent="0.25">
      <c r="A834" s="5" t="s">
        <v>34</v>
      </c>
      <c r="B834" s="2">
        <v>43927</v>
      </c>
      <c r="C834" s="1">
        <v>0</v>
      </c>
      <c r="D834" s="47">
        <v>3</v>
      </c>
      <c r="F834" s="47">
        <f t="shared" si="31"/>
        <v>0</v>
      </c>
    </row>
    <row r="835" spans="1:6" x14ac:dyDescent="0.25">
      <c r="A835" s="5" t="s">
        <v>35</v>
      </c>
      <c r="B835" s="2">
        <v>43927</v>
      </c>
      <c r="C835" s="1">
        <v>0</v>
      </c>
      <c r="D835" s="47">
        <v>1</v>
      </c>
      <c r="F835" s="47">
        <f t="shared" si="31"/>
        <v>0</v>
      </c>
    </row>
    <row r="836" spans="1:6" x14ac:dyDescent="0.25">
      <c r="A836" s="5" t="s">
        <v>36</v>
      </c>
      <c r="B836" s="2">
        <v>43927</v>
      </c>
      <c r="C836" s="1">
        <v>1</v>
      </c>
      <c r="D836" s="47">
        <v>11</v>
      </c>
      <c r="F836" s="47">
        <f t="shared" si="31"/>
        <v>0</v>
      </c>
    </row>
    <row r="837" spans="1:6" x14ac:dyDescent="0.25">
      <c r="A837" s="5" t="s">
        <v>37</v>
      </c>
      <c r="B837" s="2">
        <v>43927</v>
      </c>
      <c r="C837" s="1">
        <v>0</v>
      </c>
      <c r="D837" s="47">
        <v>23</v>
      </c>
      <c r="F837" s="47">
        <f t="shared" si="31"/>
        <v>0</v>
      </c>
    </row>
    <row r="838" spans="1:6" x14ac:dyDescent="0.25">
      <c r="A838" s="5" t="s">
        <v>22</v>
      </c>
      <c r="B838" s="2">
        <v>43927</v>
      </c>
      <c r="C838" s="1">
        <v>8</v>
      </c>
      <c r="D838" s="47">
        <v>184</v>
      </c>
      <c r="F838" s="47">
        <f>E838+F814</f>
        <v>1</v>
      </c>
    </row>
    <row r="839" spans="1:6" x14ac:dyDescent="0.25">
      <c r="A839" s="5" t="s">
        <v>38</v>
      </c>
      <c r="B839" s="2">
        <v>43927</v>
      </c>
      <c r="C839" s="1">
        <v>6</v>
      </c>
      <c r="D839" s="47">
        <v>10</v>
      </c>
      <c r="F839" s="47">
        <f t="shared" si="31"/>
        <v>0</v>
      </c>
    </row>
    <row r="840" spans="1:6" x14ac:dyDescent="0.25">
      <c r="A840" s="5" t="s">
        <v>39</v>
      </c>
      <c r="B840" s="2">
        <v>43927</v>
      </c>
      <c r="C840" s="1">
        <v>2</v>
      </c>
      <c r="D840" s="47">
        <v>77</v>
      </c>
      <c r="F840" s="47">
        <f t="shared" si="31"/>
        <v>0</v>
      </c>
    </row>
    <row r="841" spans="1:6" x14ac:dyDescent="0.25">
      <c r="A841" s="5" t="s">
        <v>40</v>
      </c>
      <c r="B841" s="2">
        <v>43927</v>
      </c>
      <c r="C841" s="1">
        <v>5</v>
      </c>
      <c r="D841" s="47">
        <v>27</v>
      </c>
      <c r="F841" s="47">
        <f t="shared" si="31"/>
        <v>1</v>
      </c>
    </row>
    <row r="842" spans="1:6" x14ac:dyDescent="0.25">
      <c r="A842" s="34" t="s">
        <v>16</v>
      </c>
      <c r="B842" s="2">
        <v>43928</v>
      </c>
      <c r="C842" s="1">
        <v>34</v>
      </c>
      <c r="D842" s="47">
        <v>443</v>
      </c>
      <c r="E842" s="1">
        <v>4</v>
      </c>
      <c r="F842" s="47">
        <f>E842+F818</f>
        <v>23</v>
      </c>
    </row>
    <row r="843" spans="1:6" x14ac:dyDescent="0.25">
      <c r="A843" s="5" t="s">
        <v>28</v>
      </c>
      <c r="B843" s="2">
        <v>43928</v>
      </c>
      <c r="C843" s="1">
        <v>0</v>
      </c>
      <c r="D843" s="47">
        <v>0</v>
      </c>
      <c r="F843" s="47">
        <f t="shared" ref="F843:F865" si="32">E843+F819</f>
        <v>0</v>
      </c>
    </row>
    <row r="844" spans="1:6" x14ac:dyDescent="0.25">
      <c r="A844" s="5" t="s">
        <v>15</v>
      </c>
      <c r="B844" s="2">
        <v>43928</v>
      </c>
      <c r="C844" s="1">
        <v>4</v>
      </c>
      <c r="D844" s="47">
        <v>123</v>
      </c>
      <c r="F844" s="47">
        <f t="shared" si="32"/>
        <v>6</v>
      </c>
    </row>
    <row r="845" spans="1:6" x14ac:dyDescent="0.25">
      <c r="A845" s="5" t="s">
        <v>29</v>
      </c>
      <c r="B845" s="2">
        <v>43928</v>
      </c>
      <c r="C845" s="1">
        <v>0</v>
      </c>
      <c r="D845" s="47">
        <v>0</v>
      </c>
      <c r="F845" s="47">
        <f t="shared" si="32"/>
        <v>1</v>
      </c>
    </row>
    <row r="846" spans="1:6" x14ac:dyDescent="0.25">
      <c r="A846" s="5" t="s">
        <v>43</v>
      </c>
      <c r="B846" s="2">
        <v>43928</v>
      </c>
      <c r="C846" s="1">
        <v>24</v>
      </c>
      <c r="D846" s="47">
        <v>480</v>
      </c>
      <c r="E846" s="1">
        <v>2</v>
      </c>
      <c r="F846" s="47">
        <f t="shared" si="32"/>
        <v>12</v>
      </c>
    </row>
    <row r="847" spans="1:6" x14ac:dyDescent="0.25">
      <c r="A847" s="5" t="s">
        <v>20</v>
      </c>
      <c r="B847" s="2">
        <v>43928</v>
      </c>
      <c r="C847" s="1">
        <v>4</v>
      </c>
      <c r="D847" s="47">
        <v>150</v>
      </c>
      <c r="F847" s="47">
        <f t="shared" si="32"/>
        <v>2</v>
      </c>
    </row>
    <row r="848" spans="1:6" x14ac:dyDescent="0.25">
      <c r="A848" s="5" t="s">
        <v>30</v>
      </c>
      <c r="B848" s="2">
        <v>43928</v>
      </c>
      <c r="C848" s="1">
        <v>0</v>
      </c>
      <c r="D848" s="47">
        <v>24</v>
      </c>
      <c r="F848" s="47">
        <f t="shared" si="32"/>
        <v>0</v>
      </c>
    </row>
    <row r="849" spans="1:6" x14ac:dyDescent="0.25">
      <c r="A849" s="5" t="s">
        <v>31</v>
      </c>
      <c r="B849" s="2">
        <v>43928</v>
      </c>
      <c r="C849" s="1">
        <v>1</v>
      </c>
      <c r="D849" s="47">
        <v>20</v>
      </c>
      <c r="F849" s="47">
        <f t="shared" si="32"/>
        <v>0</v>
      </c>
    </row>
    <row r="850" spans="1:6" x14ac:dyDescent="0.25">
      <c r="A850" s="5" t="s">
        <v>41</v>
      </c>
      <c r="B850" s="2">
        <v>43928</v>
      </c>
      <c r="C850" s="1">
        <v>0</v>
      </c>
      <c r="D850" s="47">
        <v>0</v>
      </c>
      <c r="F850" s="47">
        <f t="shared" si="32"/>
        <v>0</v>
      </c>
    </row>
    <row r="851" spans="1:6" x14ac:dyDescent="0.25">
      <c r="A851" s="5" t="s">
        <v>32</v>
      </c>
      <c r="B851" s="2">
        <v>43928</v>
      </c>
      <c r="C851" s="1">
        <v>0</v>
      </c>
      <c r="D851" s="47">
        <v>5</v>
      </c>
      <c r="F851" s="47">
        <f t="shared" si="32"/>
        <v>0</v>
      </c>
    </row>
    <row r="852" spans="1:6" x14ac:dyDescent="0.25">
      <c r="A852" s="5" t="s">
        <v>33</v>
      </c>
      <c r="B852" s="2">
        <v>43928</v>
      </c>
      <c r="C852" s="1">
        <v>0</v>
      </c>
      <c r="D852" s="47">
        <v>3</v>
      </c>
      <c r="F852" s="47">
        <f t="shared" si="32"/>
        <v>0</v>
      </c>
    </row>
    <row r="853" spans="1:6" x14ac:dyDescent="0.25">
      <c r="A853" s="5" t="s">
        <v>21</v>
      </c>
      <c r="B853" s="2">
        <v>43928</v>
      </c>
      <c r="C853" s="1">
        <v>0</v>
      </c>
      <c r="D853" s="47">
        <v>9</v>
      </c>
      <c r="F853" s="47">
        <f t="shared" si="32"/>
        <v>1</v>
      </c>
    </row>
    <row r="854" spans="1:6" x14ac:dyDescent="0.25">
      <c r="A854" s="5" t="s">
        <v>17</v>
      </c>
      <c r="B854" s="2">
        <v>43928</v>
      </c>
      <c r="C854" s="1">
        <v>2</v>
      </c>
      <c r="D854" s="47">
        <v>32</v>
      </c>
      <c r="E854" s="1">
        <v>1</v>
      </c>
      <c r="F854" s="47">
        <f t="shared" si="32"/>
        <v>4</v>
      </c>
    </row>
    <row r="855" spans="1:6" x14ac:dyDescent="0.25">
      <c r="A855" s="5" t="s">
        <v>23</v>
      </c>
      <c r="B855" s="2">
        <v>43928</v>
      </c>
      <c r="C855" s="1">
        <v>0</v>
      </c>
      <c r="D855" s="47">
        <v>3</v>
      </c>
      <c r="F855" s="47">
        <f t="shared" si="32"/>
        <v>0</v>
      </c>
    </row>
    <row r="856" spans="1:6" x14ac:dyDescent="0.25">
      <c r="A856" s="5" t="s">
        <v>19</v>
      </c>
      <c r="B856" s="2">
        <v>43928</v>
      </c>
      <c r="C856" s="1">
        <v>3</v>
      </c>
      <c r="D856" s="47">
        <v>53</v>
      </c>
      <c r="F856" s="47">
        <f t="shared" si="32"/>
        <v>2</v>
      </c>
    </row>
    <row r="857" spans="1:6" x14ac:dyDescent="0.25">
      <c r="A857" s="5" t="s">
        <v>18</v>
      </c>
      <c r="B857" s="2">
        <v>43928</v>
      </c>
      <c r="C857" s="1">
        <v>2</v>
      </c>
      <c r="D857" s="47">
        <v>21</v>
      </c>
      <c r="F857" s="47">
        <f t="shared" si="32"/>
        <v>2</v>
      </c>
    </row>
    <row r="858" spans="1:6" x14ac:dyDescent="0.25">
      <c r="A858" s="5" t="s">
        <v>34</v>
      </c>
      <c r="B858" s="2">
        <v>43928</v>
      </c>
      <c r="C858" s="1">
        <v>0</v>
      </c>
      <c r="D858" s="47">
        <v>3</v>
      </c>
      <c r="F858" s="47">
        <f t="shared" si="32"/>
        <v>0</v>
      </c>
    </row>
    <row r="859" spans="1:6" x14ac:dyDescent="0.25">
      <c r="A859" s="5" t="s">
        <v>35</v>
      </c>
      <c r="B859" s="2">
        <v>43928</v>
      </c>
      <c r="C859" s="1">
        <v>0</v>
      </c>
      <c r="D859" s="47">
        <v>1</v>
      </c>
      <c r="F859" s="47">
        <f t="shared" si="32"/>
        <v>0</v>
      </c>
    </row>
    <row r="860" spans="1:6" x14ac:dyDescent="0.25">
      <c r="A860" s="5" t="s">
        <v>36</v>
      </c>
      <c r="B860" s="2">
        <v>43928</v>
      </c>
      <c r="C860" s="1">
        <v>0</v>
      </c>
      <c r="D860" s="47">
        <v>11</v>
      </c>
      <c r="F860" s="47">
        <f t="shared" si="32"/>
        <v>0</v>
      </c>
    </row>
    <row r="861" spans="1:6" x14ac:dyDescent="0.25">
      <c r="A861" s="5" t="s">
        <v>37</v>
      </c>
      <c r="B861" s="2">
        <v>43928</v>
      </c>
      <c r="C861" s="1">
        <v>8</v>
      </c>
      <c r="D861" s="47">
        <v>31</v>
      </c>
      <c r="F861" s="47">
        <f t="shared" si="32"/>
        <v>0</v>
      </c>
    </row>
    <row r="862" spans="1:6" x14ac:dyDescent="0.25">
      <c r="A862" s="5" t="s">
        <v>22</v>
      </c>
      <c r="B862" s="2">
        <v>43928</v>
      </c>
      <c r="C862" s="1">
        <v>3</v>
      </c>
      <c r="D862" s="47">
        <v>187</v>
      </c>
      <c r="F862" s="47">
        <f>E862+F838</f>
        <v>1</v>
      </c>
    </row>
    <row r="863" spans="1:6" x14ac:dyDescent="0.25">
      <c r="A863" s="5" t="s">
        <v>38</v>
      </c>
      <c r="B863" s="2">
        <v>43928</v>
      </c>
      <c r="C863" s="1">
        <v>-1</v>
      </c>
      <c r="D863" s="47">
        <v>9</v>
      </c>
      <c r="F863" s="47">
        <f t="shared" si="32"/>
        <v>0</v>
      </c>
    </row>
    <row r="864" spans="1:6" x14ac:dyDescent="0.25">
      <c r="A864" s="5" t="s">
        <v>39</v>
      </c>
      <c r="B864" s="2">
        <v>43928</v>
      </c>
      <c r="C864" s="1">
        <v>2</v>
      </c>
      <c r="D864" s="47">
        <v>79</v>
      </c>
      <c r="F864" s="47">
        <f t="shared" si="32"/>
        <v>0</v>
      </c>
    </row>
    <row r="865" spans="1:6" x14ac:dyDescent="0.25">
      <c r="A865" s="5" t="s">
        <v>40</v>
      </c>
      <c r="B865" s="2">
        <v>43928</v>
      </c>
      <c r="C865" s="1">
        <v>1</v>
      </c>
      <c r="D865" s="47">
        <v>28</v>
      </c>
      <c r="F865" s="47">
        <f t="shared" si="32"/>
        <v>1</v>
      </c>
    </row>
    <row r="866" spans="1:6" x14ac:dyDescent="0.25">
      <c r="A866" s="34" t="s">
        <v>16</v>
      </c>
      <c r="B866" s="2">
        <v>43929</v>
      </c>
      <c r="C866" s="1">
        <v>17</v>
      </c>
      <c r="D866" s="47">
        <v>460</v>
      </c>
      <c r="E866" s="1">
        <v>1</v>
      </c>
      <c r="F866" s="47">
        <f>E866+F842</f>
        <v>24</v>
      </c>
    </row>
    <row r="867" spans="1:6" x14ac:dyDescent="0.25">
      <c r="A867" s="5" t="s">
        <v>28</v>
      </c>
      <c r="B867" s="2">
        <v>43929</v>
      </c>
      <c r="C867" s="1">
        <v>0</v>
      </c>
      <c r="D867" s="47">
        <v>0</v>
      </c>
      <c r="F867" s="47">
        <f t="shared" ref="F867:F889" si="33">E867+F843</f>
        <v>0</v>
      </c>
    </row>
    <row r="868" spans="1:6" x14ac:dyDescent="0.25">
      <c r="A868" s="5" t="s">
        <v>15</v>
      </c>
      <c r="B868" s="2">
        <v>43929</v>
      </c>
      <c r="C868" s="1">
        <v>15</v>
      </c>
      <c r="D868" s="47">
        <v>138</v>
      </c>
      <c r="F868" s="47">
        <f t="shared" si="33"/>
        <v>6</v>
      </c>
    </row>
    <row r="869" spans="1:6" x14ac:dyDescent="0.25">
      <c r="A869" s="5" t="s">
        <v>29</v>
      </c>
      <c r="B869" s="2">
        <v>43929</v>
      </c>
      <c r="C869" s="1">
        <v>0</v>
      </c>
      <c r="D869" s="47">
        <v>0</v>
      </c>
      <c r="F869" s="47">
        <f t="shared" si="33"/>
        <v>1</v>
      </c>
    </row>
    <row r="870" spans="1:6" x14ac:dyDescent="0.25">
      <c r="A870" s="5" t="s">
        <v>43</v>
      </c>
      <c r="B870" s="2">
        <v>43929</v>
      </c>
      <c r="C870" s="1">
        <v>18</v>
      </c>
      <c r="D870" s="47">
        <v>498</v>
      </c>
      <c r="E870" s="1">
        <v>2</v>
      </c>
      <c r="F870" s="47">
        <f t="shared" si="33"/>
        <v>14</v>
      </c>
    </row>
    <row r="871" spans="1:6" x14ac:dyDescent="0.25">
      <c r="A871" s="5" t="s">
        <v>20</v>
      </c>
      <c r="B871" s="2">
        <v>43929</v>
      </c>
      <c r="C871" s="1">
        <v>1</v>
      </c>
      <c r="D871" s="47">
        <v>151</v>
      </c>
      <c r="F871" s="47">
        <f t="shared" si="33"/>
        <v>2</v>
      </c>
    </row>
    <row r="872" spans="1:6" x14ac:dyDescent="0.25">
      <c r="A872" s="5" t="s">
        <v>30</v>
      </c>
      <c r="B872" s="2">
        <v>43929</v>
      </c>
      <c r="C872" s="1">
        <v>0</v>
      </c>
      <c r="D872" s="47">
        <v>24</v>
      </c>
      <c r="F872" s="47">
        <f t="shared" si="33"/>
        <v>0</v>
      </c>
    </row>
    <row r="873" spans="1:6" x14ac:dyDescent="0.25">
      <c r="A873" s="5" t="s">
        <v>31</v>
      </c>
      <c r="B873" s="2">
        <v>43929</v>
      </c>
      <c r="C873" s="1">
        <v>0</v>
      </c>
      <c r="D873" s="47">
        <v>20</v>
      </c>
      <c r="F873" s="47">
        <f t="shared" si="33"/>
        <v>0</v>
      </c>
    </row>
    <row r="874" spans="1:6" x14ac:dyDescent="0.25">
      <c r="A874" s="5" t="s">
        <v>41</v>
      </c>
      <c r="B874" s="2">
        <v>43929</v>
      </c>
      <c r="C874" s="1">
        <v>0</v>
      </c>
      <c r="D874" s="47">
        <v>0</v>
      </c>
      <c r="F874" s="47">
        <f t="shared" si="33"/>
        <v>0</v>
      </c>
    </row>
    <row r="875" spans="1:6" x14ac:dyDescent="0.25">
      <c r="A875" s="5" t="s">
        <v>32</v>
      </c>
      <c r="B875" s="2">
        <v>43929</v>
      </c>
      <c r="C875" s="1">
        <v>0</v>
      </c>
      <c r="D875" s="47">
        <v>5</v>
      </c>
      <c r="F875" s="47">
        <f t="shared" si="33"/>
        <v>0</v>
      </c>
    </row>
    <row r="876" spans="1:6" x14ac:dyDescent="0.25">
      <c r="A876" s="5" t="s">
        <v>33</v>
      </c>
      <c r="B876" s="2">
        <v>43929</v>
      </c>
      <c r="C876" s="1">
        <v>1</v>
      </c>
      <c r="D876" s="47">
        <v>4</v>
      </c>
      <c r="F876" s="47">
        <f t="shared" si="33"/>
        <v>0</v>
      </c>
    </row>
    <row r="877" spans="1:6" x14ac:dyDescent="0.25">
      <c r="A877" s="5" t="s">
        <v>21</v>
      </c>
      <c r="B877" s="2">
        <v>43929</v>
      </c>
      <c r="C877" s="1">
        <v>0</v>
      </c>
      <c r="D877" s="47">
        <v>9</v>
      </c>
      <c r="F877" s="47">
        <f t="shared" si="33"/>
        <v>1</v>
      </c>
    </row>
    <row r="878" spans="1:6" x14ac:dyDescent="0.25">
      <c r="A878" s="5" t="s">
        <v>17</v>
      </c>
      <c r="B878" s="2">
        <v>43929</v>
      </c>
      <c r="C878" s="1">
        <v>6</v>
      </c>
      <c r="D878" s="47">
        <v>38</v>
      </c>
      <c r="F878" s="47">
        <f t="shared" si="33"/>
        <v>4</v>
      </c>
    </row>
    <row r="879" spans="1:6" x14ac:dyDescent="0.25">
      <c r="A879" s="5" t="s">
        <v>23</v>
      </c>
      <c r="B879" s="2">
        <v>43929</v>
      </c>
      <c r="C879" s="1">
        <v>0</v>
      </c>
      <c r="D879" s="47">
        <v>3</v>
      </c>
      <c r="F879" s="47">
        <f t="shared" si="33"/>
        <v>0</v>
      </c>
    </row>
    <row r="880" spans="1:6" x14ac:dyDescent="0.25">
      <c r="A880" s="5" t="s">
        <v>19</v>
      </c>
      <c r="B880" s="2">
        <v>43929</v>
      </c>
      <c r="C880" s="1">
        <v>17</v>
      </c>
      <c r="D880" s="47">
        <v>70</v>
      </c>
      <c r="E880" s="1">
        <v>1</v>
      </c>
      <c r="F880" s="47">
        <f t="shared" si="33"/>
        <v>3</v>
      </c>
    </row>
    <row r="881" spans="1:6" x14ac:dyDescent="0.25">
      <c r="A881" s="5" t="s">
        <v>18</v>
      </c>
      <c r="B881" s="2">
        <v>43929</v>
      </c>
      <c r="C881" s="1">
        <v>1</v>
      </c>
      <c r="D881" s="47">
        <v>22</v>
      </c>
      <c r="F881" s="47">
        <f t="shared" si="33"/>
        <v>2</v>
      </c>
    </row>
    <row r="882" spans="1:6" x14ac:dyDescent="0.25">
      <c r="A882" s="5" t="s">
        <v>34</v>
      </c>
      <c r="B882" s="2">
        <v>43929</v>
      </c>
      <c r="C882" s="1">
        <v>0</v>
      </c>
      <c r="D882" s="47">
        <v>3</v>
      </c>
      <c r="F882" s="47">
        <f t="shared" si="33"/>
        <v>0</v>
      </c>
    </row>
    <row r="883" spans="1:6" x14ac:dyDescent="0.25">
      <c r="A883" s="5" t="s">
        <v>35</v>
      </c>
      <c r="B883" s="2">
        <v>43929</v>
      </c>
      <c r="C883" s="1">
        <v>0</v>
      </c>
      <c r="D883" s="47">
        <v>1</v>
      </c>
      <c r="F883" s="47">
        <f t="shared" si="33"/>
        <v>0</v>
      </c>
    </row>
    <row r="884" spans="1:6" x14ac:dyDescent="0.25">
      <c r="A884" s="5" t="s">
        <v>36</v>
      </c>
      <c r="B884" s="2">
        <v>43929</v>
      </c>
      <c r="C884" s="1">
        <v>0</v>
      </c>
      <c r="D884" s="47">
        <v>11</v>
      </c>
      <c r="F884" s="47">
        <f t="shared" si="33"/>
        <v>0</v>
      </c>
    </row>
    <row r="885" spans="1:6" x14ac:dyDescent="0.25">
      <c r="A885" s="5" t="s">
        <v>37</v>
      </c>
      <c r="B885" s="2">
        <v>43929</v>
      </c>
      <c r="C885" s="1">
        <v>0</v>
      </c>
      <c r="D885" s="47">
        <v>31</v>
      </c>
      <c r="F885" s="47">
        <f t="shared" si="33"/>
        <v>0</v>
      </c>
    </row>
    <row r="886" spans="1:6" x14ac:dyDescent="0.25">
      <c r="A886" s="5" t="s">
        <v>22</v>
      </c>
      <c r="B886" s="2">
        <v>43929</v>
      </c>
      <c r="C886" s="1">
        <v>2</v>
      </c>
      <c r="D886" s="47">
        <v>189</v>
      </c>
      <c r="F886" s="47">
        <f>E886+F862</f>
        <v>1</v>
      </c>
    </row>
    <row r="887" spans="1:6" x14ac:dyDescent="0.25">
      <c r="A887" s="5" t="s">
        <v>38</v>
      </c>
      <c r="B887" s="2">
        <v>43929</v>
      </c>
      <c r="C887" s="1">
        <v>0</v>
      </c>
      <c r="D887" s="47">
        <v>9</v>
      </c>
      <c r="F887" s="47">
        <f t="shared" si="33"/>
        <v>0</v>
      </c>
    </row>
    <row r="888" spans="1:6" x14ac:dyDescent="0.25">
      <c r="A888" s="5" t="s">
        <v>39</v>
      </c>
      <c r="B888" s="2">
        <v>43929</v>
      </c>
      <c r="C888" s="1">
        <v>2</v>
      </c>
      <c r="D888" s="47">
        <v>81</v>
      </c>
      <c r="F888" s="47">
        <f t="shared" si="33"/>
        <v>0</v>
      </c>
    </row>
    <row r="889" spans="1:6" x14ac:dyDescent="0.25">
      <c r="A889" s="5" t="s">
        <v>40</v>
      </c>
      <c r="B889" s="2">
        <v>43929</v>
      </c>
      <c r="C889" s="1">
        <v>0</v>
      </c>
      <c r="D889" s="47">
        <v>28</v>
      </c>
      <c r="E889" s="1">
        <v>1</v>
      </c>
      <c r="F889" s="47">
        <f t="shared" si="33"/>
        <v>2</v>
      </c>
    </row>
    <row r="890" spans="1:6" x14ac:dyDescent="0.25">
      <c r="A890" s="34" t="s">
        <v>16</v>
      </c>
      <c r="B890" s="2">
        <v>43930</v>
      </c>
      <c r="C890" s="1">
        <v>28</v>
      </c>
      <c r="D890" s="47">
        <v>488</v>
      </c>
      <c r="E890" s="1">
        <v>6</v>
      </c>
      <c r="F890" s="47">
        <f>E890+F866</f>
        <v>30</v>
      </c>
    </row>
    <row r="891" spans="1:6" x14ac:dyDescent="0.25">
      <c r="A891" s="5" t="s">
        <v>28</v>
      </c>
      <c r="B891" s="2">
        <v>43930</v>
      </c>
      <c r="C891" s="1">
        <v>0</v>
      </c>
      <c r="D891" s="47">
        <v>0</v>
      </c>
      <c r="F891" s="47">
        <f t="shared" ref="F891:F913" si="34">E891+F867</f>
        <v>0</v>
      </c>
    </row>
    <row r="892" spans="1:6" x14ac:dyDescent="0.25">
      <c r="A892" s="5" t="s">
        <v>15</v>
      </c>
      <c r="B892" s="2">
        <v>43930</v>
      </c>
      <c r="C892" s="1">
        <v>6</v>
      </c>
      <c r="D892" s="47">
        <v>144</v>
      </c>
      <c r="E892" s="1">
        <v>1</v>
      </c>
      <c r="F892" s="47">
        <f t="shared" si="34"/>
        <v>7</v>
      </c>
    </row>
    <row r="893" spans="1:6" x14ac:dyDescent="0.25">
      <c r="A893" s="5" t="s">
        <v>29</v>
      </c>
      <c r="B893" s="2">
        <v>43930</v>
      </c>
      <c r="C893" s="1">
        <v>0</v>
      </c>
      <c r="D893" s="47">
        <v>0</v>
      </c>
      <c r="F893" s="47">
        <f t="shared" si="34"/>
        <v>1</v>
      </c>
    </row>
    <row r="894" spans="1:6" x14ac:dyDescent="0.25">
      <c r="A894" s="5" t="s">
        <v>43</v>
      </c>
      <c r="B894" s="2">
        <v>43930</v>
      </c>
      <c r="C894" s="1">
        <v>23</v>
      </c>
      <c r="D894" s="47">
        <v>521</v>
      </c>
      <c r="E894" s="1">
        <v>6</v>
      </c>
      <c r="F894" s="47">
        <f t="shared" si="34"/>
        <v>20</v>
      </c>
    </row>
    <row r="895" spans="1:6" x14ac:dyDescent="0.25">
      <c r="A895" s="5" t="s">
        <v>20</v>
      </c>
      <c r="B895" s="2">
        <v>43930</v>
      </c>
      <c r="C895" s="1">
        <v>5</v>
      </c>
      <c r="D895" s="47">
        <v>156</v>
      </c>
      <c r="F895" s="47">
        <f t="shared" si="34"/>
        <v>2</v>
      </c>
    </row>
    <row r="896" spans="1:6" x14ac:dyDescent="0.25">
      <c r="A896" s="5" t="s">
        <v>30</v>
      </c>
      <c r="B896" s="2">
        <v>43930</v>
      </c>
      <c r="C896" s="1">
        <v>0</v>
      </c>
      <c r="D896" s="47">
        <v>24</v>
      </c>
      <c r="F896" s="47">
        <f t="shared" si="34"/>
        <v>0</v>
      </c>
    </row>
    <row r="897" spans="1:6" x14ac:dyDescent="0.25">
      <c r="A897" s="5" t="s">
        <v>31</v>
      </c>
      <c r="B897" s="2">
        <v>43930</v>
      </c>
      <c r="C897" s="1">
        <v>2</v>
      </c>
      <c r="D897" s="47">
        <v>22</v>
      </c>
      <c r="F897" s="47">
        <f t="shared" si="34"/>
        <v>0</v>
      </c>
    </row>
    <row r="898" spans="1:6" x14ac:dyDescent="0.25">
      <c r="A898" s="5" t="s">
        <v>41</v>
      </c>
      <c r="B898" s="2">
        <v>43930</v>
      </c>
      <c r="C898" s="1">
        <v>0</v>
      </c>
      <c r="D898" s="47">
        <v>0</v>
      </c>
      <c r="F898" s="47">
        <f t="shared" si="34"/>
        <v>0</v>
      </c>
    </row>
    <row r="899" spans="1:6" x14ac:dyDescent="0.25">
      <c r="A899" s="5" t="s">
        <v>32</v>
      </c>
      <c r="B899" s="2">
        <v>43930</v>
      </c>
      <c r="C899" s="1">
        <v>0</v>
      </c>
      <c r="D899" s="47">
        <v>5</v>
      </c>
      <c r="F899" s="47">
        <f t="shared" si="34"/>
        <v>0</v>
      </c>
    </row>
    <row r="900" spans="1:6" x14ac:dyDescent="0.25">
      <c r="A900" s="5" t="s">
        <v>33</v>
      </c>
      <c r="B900" s="2">
        <v>43930</v>
      </c>
      <c r="C900" s="1">
        <v>0</v>
      </c>
      <c r="D900" s="47">
        <v>4</v>
      </c>
      <c r="F900" s="47">
        <f t="shared" si="34"/>
        <v>0</v>
      </c>
    </row>
    <row r="901" spans="1:6" x14ac:dyDescent="0.25">
      <c r="A901" s="5" t="s">
        <v>21</v>
      </c>
      <c r="B901" s="2">
        <v>43930</v>
      </c>
      <c r="C901" s="1">
        <v>5</v>
      </c>
      <c r="D901" s="47">
        <v>14</v>
      </c>
      <c r="F901" s="47">
        <f t="shared" si="34"/>
        <v>1</v>
      </c>
    </row>
    <row r="902" spans="1:6" x14ac:dyDescent="0.25">
      <c r="A902" s="5" t="s">
        <v>17</v>
      </c>
      <c r="B902" s="2">
        <v>43930</v>
      </c>
      <c r="C902" s="1">
        <v>2</v>
      </c>
      <c r="D902" s="47">
        <v>40</v>
      </c>
      <c r="F902" s="47">
        <f t="shared" si="34"/>
        <v>4</v>
      </c>
    </row>
    <row r="903" spans="1:6" x14ac:dyDescent="0.25">
      <c r="A903" s="5" t="s">
        <v>23</v>
      </c>
      <c r="B903" s="2">
        <v>43930</v>
      </c>
      <c r="C903" s="1">
        <v>0</v>
      </c>
      <c r="D903" s="47">
        <v>3</v>
      </c>
      <c r="F903" s="47">
        <f t="shared" si="34"/>
        <v>0</v>
      </c>
    </row>
    <row r="904" spans="1:6" x14ac:dyDescent="0.25">
      <c r="A904" s="5" t="s">
        <v>19</v>
      </c>
      <c r="B904" s="2">
        <v>43930</v>
      </c>
      <c r="C904" s="1">
        <v>7</v>
      </c>
      <c r="D904" s="47">
        <v>77</v>
      </c>
      <c r="F904" s="47">
        <f t="shared" si="34"/>
        <v>3</v>
      </c>
    </row>
    <row r="905" spans="1:6" x14ac:dyDescent="0.25">
      <c r="A905" s="5" t="s">
        <v>18</v>
      </c>
      <c r="B905" s="2">
        <v>43930</v>
      </c>
      <c r="C905" s="1">
        <v>13</v>
      </c>
      <c r="D905" s="47">
        <v>35</v>
      </c>
      <c r="F905" s="47">
        <f t="shared" si="34"/>
        <v>2</v>
      </c>
    </row>
    <row r="906" spans="1:6" x14ac:dyDescent="0.25">
      <c r="A906" s="5" t="s">
        <v>34</v>
      </c>
      <c r="B906" s="2">
        <v>43930</v>
      </c>
      <c r="C906" s="1">
        <v>0</v>
      </c>
      <c r="D906" s="47">
        <v>3</v>
      </c>
      <c r="F906" s="47">
        <f t="shared" si="34"/>
        <v>0</v>
      </c>
    </row>
    <row r="907" spans="1:6" x14ac:dyDescent="0.25">
      <c r="A907" s="5" t="s">
        <v>35</v>
      </c>
      <c r="B907" s="2">
        <v>43930</v>
      </c>
      <c r="C907" s="1">
        <v>0</v>
      </c>
      <c r="D907" s="47">
        <v>1</v>
      </c>
      <c r="F907" s="47">
        <f t="shared" si="34"/>
        <v>0</v>
      </c>
    </row>
    <row r="908" spans="1:6" x14ac:dyDescent="0.25">
      <c r="A908" s="5" t="s">
        <v>36</v>
      </c>
      <c r="B908" s="2">
        <v>43930</v>
      </c>
      <c r="C908" s="1">
        <v>0</v>
      </c>
      <c r="D908" s="47">
        <v>11</v>
      </c>
      <c r="F908" s="47">
        <f t="shared" si="34"/>
        <v>0</v>
      </c>
    </row>
    <row r="909" spans="1:6" x14ac:dyDescent="0.25">
      <c r="A909" s="5" t="s">
        <v>37</v>
      </c>
      <c r="B909" s="2">
        <v>43930</v>
      </c>
      <c r="C909" s="1">
        <v>0</v>
      </c>
      <c r="D909" s="47">
        <v>31</v>
      </c>
      <c r="F909" s="47">
        <f t="shared" si="34"/>
        <v>0</v>
      </c>
    </row>
    <row r="910" spans="1:6" x14ac:dyDescent="0.25">
      <c r="A910" s="5" t="s">
        <v>22</v>
      </c>
      <c r="B910" s="2">
        <v>43930</v>
      </c>
      <c r="C910" s="1">
        <v>7</v>
      </c>
      <c r="D910" s="47">
        <v>196</v>
      </c>
      <c r="E910" s="1">
        <v>1</v>
      </c>
      <c r="F910" s="47">
        <f>E910+F886</f>
        <v>2</v>
      </c>
    </row>
    <row r="911" spans="1:6" x14ac:dyDescent="0.25">
      <c r="A911" s="5" t="s">
        <v>38</v>
      </c>
      <c r="B911" s="2">
        <v>43930</v>
      </c>
      <c r="C911" s="1">
        <v>0</v>
      </c>
      <c r="D911" s="47">
        <v>9</v>
      </c>
      <c r="F911" s="47">
        <f t="shared" si="34"/>
        <v>0</v>
      </c>
    </row>
    <row r="912" spans="1:6" x14ac:dyDescent="0.25">
      <c r="A912" s="5" t="s">
        <v>39</v>
      </c>
      <c r="B912" s="2">
        <v>43930</v>
      </c>
      <c r="C912" s="1">
        <v>0</v>
      </c>
      <c r="D912" s="47">
        <v>81</v>
      </c>
      <c r="F912" s="47">
        <f t="shared" si="34"/>
        <v>0</v>
      </c>
    </row>
    <row r="913" spans="1:6" x14ac:dyDescent="0.25">
      <c r="A913" s="5" t="s">
        <v>40</v>
      </c>
      <c r="B913" s="2">
        <v>43930</v>
      </c>
      <c r="C913" s="1">
        <v>1</v>
      </c>
      <c r="D913" s="47">
        <v>29</v>
      </c>
      <c r="F913" s="47">
        <f t="shared" si="34"/>
        <v>2</v>
      </c>
    </row>
    <row r="914" spans="1:6" x14ac:dyDescent="0.25">
      <c r="A914" s="34" t="s">
        <v>16</v>
      </c>
      <c r="B914" s="2">
        <v>43931</v>
      </c>
      <c r="C914" s="1">
        <v>19</v>
      </c>
      <c r="D914" s="47">
        <v>507</v>
      </c>
      <c r="E914" s="1">
        <v>1</v>
      </c>
      <c r="F914" s="47">
        <f>E914+F890</f>
        <v>31</v>
      </c>
    </row>
    <row r="915" spans="1:6" x14ac:dyDescent="0.25">
      <c r="A915" s="5" t="s">
        <v>28</v>
      </c>
      <c r="B915" s="2">
        <v>43931</v>
      </c>
      <c r="C915" s="1">
        <v>0</v>
      </c>
      <c r="D915" s="47">
        <v>0</v>
      </c>
      <c r="F915" s="47">
        <f t="shared" ref="F915:F937" si="35">E915+F891</f>
        <v>0</v>
      </c>
    </row>
    <row r="916" spans="1:6" x14ac:dyDescent="0.25">
      <c r="A916" s="5" t="s">
        <v>15</v>
      </c>
      <c r="B916" s="2">
        <v>43931</v>
      </c>
      <c r="C916" s="1">
        <v>5</v>
      </c>
      <c r="D916" s="47">
        <v>149</v>
      </c>
      <c r="F916" s="47">
        <f t="shared" si="35"/>
        <v>7</v>
      </c>
    </row>
    <row r="917" spans="1:6" x14ac:dyDescent="0.25">
      <c r="A917" s="5" t="s">
        <v>29</v>
      </c>
      <c r="B917" s="2">
        <v>43931</v>
      </c>
      <c r="C917" s="1">
        <v>0</v>
      </c>
      <c r="D917" s="47">
        <v>0</v>
      </c>
      <c r="F917" s="47">
        <f t="shared" si="35"/>
        <v>1</v>
      </c>
    </row>
    <row r="918" spans="1:6" x14ac:dyDescent="0.25">
      <c r="A918" s="5" t="s">
        <v>43</v>
      </c>
      <c r="B918" s="2">
        <v>43931</v>
      </c>
      <c r="C918" s="1">
        <v>11</v>
      </c>
      <c r="D918" s="47">
        <v>532</v>
      </c>
      <c r="E918" s="1">
        <v>1</v>
      </c>
      <c r="F918" s="47">
        <f t="shared" si="35"/>
        <v>21</v>
      </c>
    </row>
    <row r="919" spans="1:6" x14ac:dyDescent="0.25">
      <c r="A919" s="5" t="s">
        <v>20</v>
      </c>
      <c r="B919" s="2">
        <v>43931</v>
      </c>
      <c r="C919" s="1">
        <v>13</v>
      </c>
      <c r="D919" s="47">
        <v>169</v>
      </c>
      <c r="F919" s="47">
        <f t="shared" si="35"/>
        <v>2</v>
      </c>
    </row>
    <row r="920" spans="1:6" x14ac:dyDescent="0.25">
      <c r="A920" s="5" t="s">
        <v>30</v>
      </c>
      <c r="B920" s="2">
        <v>43931</v>
      </c>
      <c r="C920" s="1">
        <v>0</v>
      </c>
      <c r="D920" s="47">
        <v>24</v>
      </c>
      <c r="F920" s="47">
        <f t="shared" si="35"/>
        <v>0</v>
      </c>
    </row>
    <row r="921" spans="1:6" x14ac:dyDescent="0.25">
      <c r="A921" s="5" t="s">
        <v>31</v>
      </c>
      <c r="B921" s="2">
        <v>43931</v>
      </c>
      <c r="C921" s="1">
        <v>0</v>
      </c>
      <c r="D921" s="47">
        <v>22</v>
      </c>
      <c r="F921" s="47">
        <f t="shared" si="35"/>
        <v>0</v>
      </c>
    </row>
    <row r="922" spans="1:6" x14ac:dyDescent="0.25">
      <c r="A922" s="5" t="s">
        <v>41</v>
      </c>
      <c r="B922" s="2">
        <v>43931</v>
      </c>
      <c r="C922" s="1">
        <v>0</v>
      </c>
      <c r="D922" s="47">
        <v>0</v>
      </c>
      <c r="F922" s="47">
        <f t="shared" si="35"/>
        <v>0</v>
      </c>
    </row>
    <row r="923" spans="1:6" x14ac:dyDescent="0.25">
      <c r="A923" s="5" t="s">
        <v>32</v>
      </c>
      <c r="B923" s="2">
        <v>43931</v>
      </c>
      <c r="C923" s="1">
        <v>0</v>
      </c>
      <c r="D923" s="47">
        <v>5</v>
      </c>
      <c r="F923" s="47">
        <f t="shared" si="35"/>
        <v>0</v>
      </c>
    </row>
    <row r="924" spans="1:6" x14ac:dyDescent="0.25">
      <c r="A924" s="5" t="s">
        <v>33</v>
      </c>
      <c r="B924" s="2">
        <v>43931</v>
      </c>
      <c r="C924" s="1">
        <v>1</v>
      </c>
      <c r="D924" s="47">
        <v>5</v>
      </c>
      <c r="F924" s="47">
        <f t="shared" si="35"/>
        <v>0</v>
      </c>
    </row>
    <row r="925" spans="1:6" x14ac:dyDescent="0.25">
      <c r="A925" s="5" t="s">
        <v>21</v>
      </c>
      <c r="B925" s="2">
        <v>43931</v>
      </c>
      <c r="C925" s="1">
        <v>0</v>
      </c>
      <c r="D925" s="47">
        <v>14</v>
      </c>
      <c r="F925" s="47">
        <f t="shared" si="35"/>
        <v>1</v>
      </c>
    </row>
    <row r="926" spans="1:6" x14ac:dyDescent="0.25">
      <c r="A926" s="5" t="s">
        <v>17</v>
      </c>
      <c r="B926" s="2">
        <v>43931</v>
      </c>
      <c r="C926" s="1">
        <v>9</v>
      </c>
      <c r="D926" s="47">
        <v>49</v>
      </c>
      <c r="F926" s="47">
        <f t="shared" si="35"/>
        <v>4</v>
      </c>
    </row>
    <row r="927" spans="1:6" x14ac:dyDescent="0.25">
      <c r="A927" s="5" t="s">
        <v>23</v>
      </c>
      <c r="B927" s="2">
        <v>43931</v>
      </c>
      <c r="C927" s="1">
        <v>0</v>
      </c>
      <c r="D927" s="47">
        <v>3</v>
      </c>
      <c r="F927" s="47">
        <f t="shared" si="35"/>
        <v>0</v>
      </c>
    </row>
    <row r="928" spans="1:6" x14ac:dyDescent="0.25">
      <c r="A928" s="5" t="s">
        <v>19</v>
      </c>
      <c r="B928" s="2">
        <v>43931</v>
      </c>
      <c r="C928" s="1">
        <v>7</v>
      </c>
      <c r="D928" s="47">
        <v>84</v>
      </c>
      <c r="F928" s="47">
        <f t="shared" si="35"/>
        <v>3</v>
      </c>
    </row>
    <row r="929" spans="1:6" x14ac:dyDescent="0.25">
      <c r="A929" s="5" t="s">
        <v>18</v>
      </c>
      <c r="B929" s="2">
        <v>43931</v>
      </c>
      <c r="C929" s="1">
        <v>7</v>
      </c>
      <c r="D929" s="47">
        <v>42</v>
      </c>
      <c r="E929" s="1">
        <v>1</v>
      </c>
      <c r="F929" s="47">
        <f t="shared" si="35"/>
        <v>3</v>
      </c>
    </row>
    <row r="930" spans="1:6" x14ac:dyDescent="0.25">
      <c r="A930" s="5" t="s">
        <v>34</v>
      </c>
      <c r="B930" s="2">
        <v>43931</v>
      </c>
      <c r="C930" s="1">
        <v>0</v>
      </c>
      <c r="D930" s="47">
        <v>3</v>
      </c>
      <c r="F930" s="47">
        <f t="shared" si="35"/>
        <v>0</v>
      </c>
    </row>
    <row r="931" spans="1:6" x14ac:dyDescent="0.25">
      <c r="A931" s="5" t="s">
        <v>35</v>
      </c>
      <c r="B931" s="2">
        <v>43931</v>
      </c>
      <c r="C931" s="1">
        <v>0</v>
      </c>
      <c r="D931" s="47">
        <v>1</v>
      </c>
      <c r="F931" s="47">
        <f t="shared" si="35"/>
        <v>0</v>
      </c>
    </row>
    <row r="932" spans="1:6" x14ac:dyDescent="0.25">
      <c r="A932" s="5" t="s">
        <v>36</v>
      </c>
      <c r="B932" s="2">
        <v>43931</v>
      </c>
      <c r="C932" s="1">
        <v>0</v>
      </c>
      <c r="D932" s="47">
        <v>11</v>
      </c>
      <c r="F932" s="47">
        <f t="shared" si="35"/>
        <v>0</v>
      </c>
    </row>
    <row r="933" spans="1:6" x14ac:dyDescent="0.25">
      <c r="A933" s="5" t="s">
        <v>37</v>
      </c>
      <c r="B933" s="2">
        <v>43931</v>
      </c>
      <c r="C933" s="1">
        <v>6</v>
      </c>
      <c r="D933" s="47">
        <v>37</v>
      </c>
      <c r="F933" s="47">
        <f t="shared" si="35"/>
        <v>0</v>
      </c>
    </row>
    <row r="934" spans="1:6" x14ac:dyDescent="0.25">
      <c r="A934" s="5" t="s">
        <v>22</v>
      </c>
      <c r="B934" s="2">
        <v>43931</v>
      </c>
      <c r="C934" s="1">
        <v>1</v>
      </c>
      <c r="D934" s="47">
        <v>197</v>
      </c>
      <c r="F934" s="47">
        <f>E934+F910</f>
        <v>2</v>
      </c>
    </row>
    <row r="935" spans="1:6" x14ac:dyDescent="0.25">
      <c r="A935" s="5" t="s">
        <v>38</v>
      </c>
      <c r="B935" s="2">
        <v>43931</v>
      </c>
      <c r="C935" s="1">
        <v>0</v>
      </c>
      <c r="D935" s="47">
        <v>9</v>
      </c>
      <c r="F935" s="47">
        <f t="shared" si="35"/>
        <v>0</v>
      </c>
    </row>
    <row r="936" spans="1:6" x14ac:dyDescent="0.25">
      <c r="A936" s="5" t="s">
        <v>39</v>
      </c>
      <c r="B936" s="2">
        <v>43931</v>
      </c>
      <c r="C936" s="1">
        <v>2</v>
      </c>
      <c r="D936" s="47">
        <v>83</v>
      </c>
      <c r="F936" s="47">
        <f t="shared" si="35"/>
        <v>0</v>
      </c>
    </row>
    <row r="937" spans="1:6" x14ac:dyDescent="0.25">
      <c r="A937" s="5" t="s">
        <v>40</v>
      </c>
      <c r="B937" s="2">
        <v>43931</v>
      </c>
      <c r="C937" s="1">
        <v>0</v>
      </c>
      <c r="D937" s="47">
        <v>29</v>
      </c>
      <c r="F937" s="47">
        <f t="shared" si="35"/>
        <v>2</v>
      </c>
    </row>
    <row r="938" spans="1:6" x14ac:dyDescent="0.25">
      <c r="A938" s="34" t="s">
        <v>16</v>
      </c>
      <c r="B938" s="2">
        <v>43932</v>
      </c>
      <c r="C938" s="1">
        <v>37</v>
      </c>
      <c r="D938" s="47">
        <v>544</v>
      </c>
      <c r="E938" s="1">
        <v>4</v>
      </c>
      <c r="F938" s="47">
        <f>E938+F914</f>
        <v>35</v>
      </c>
    </row>
    <row r="939" spans="1:6" x14ac:dyDescent="0.25">
      <c r="A939" s="5" t="s">
        <v>28</v>
      </c>
      <c r="B939" s="2">
        <v>43932</v>
      </c>
      <c r="C939" s="1">
        <v>0</v>
      </c>
      <c r="D939" s="47">
        <v>0</v>
      </c>
      <c r="F939" s="47">
        <f t="shared" ref="F939:F961" si="36">E939+F915</f>
        <v>0</v>
      </c>
    </row>
    <row r="940" spans="1:6" x14ac:dyDescent="0.25">
      <c r="A940" s="5" t="s">
        <v>15</v>
      </c>
      <c r="B940" s="2">
        <v>43932</v>
      </c>
      <c r="C940" s="1">
        <v>0</v>
      </c>
      <c r="D940" s="47">
        <v>149</v>
      </c>
      <c r="F940" s="47">
        <f t="shared" si="36"/>
        <v>7</v>
      </c>
    </row>
    <row r="941" spans="1:6" x14ac:dyDescent="0.25">
      <c r="A941" s="5" t="s">
        <v>29</v>
      </c>
      <c r="B941" s="2">
        <v>43932</v>
      </c>
      <c r="C941" s="1">
        <v>0</v>
      </c>
      <c r="D941" s="47">
        <v>0</v>
      </c>
      <c r="F941" s="47">
        <f t="shared" si="36"/>
        <v>1</v>
      </c>
    </row>
    <row r="942" spans="1:6" x14ac:dyDescent="0.25">
      <c r="A942" s="5" t="s">
        <v>43</v>
      </c>
      <c r="B942" s="2">
        <v>43932</v>
      </c>
      <c r="C942" s="1">
        <v>46</v>
      </c>
      <c r="D942" s="47">
        <v>578</v>
      </c>
      <c r="E942" s="1">
        <v>3</v>
      </c>
      <c r="F942" s="47">
        <f t="shared" si="36"/>
        <v>24</v>
      </c>
    </row>
    <row r="943" spans="1:6" x14ac:dyDescent="0.25">
      <c r="A943" s="5" t="s">
        <v>20</v>
      </c>
      <c r="B943" s="2">
        <v>43932</v>
      </c>
      <c r="C943" s="1">
        <v>32</v>
      </c>
      <c r="D943" s="47">
        <v>201</v>
      </c>
      <c r="F943" s="47">
        <f t="shared" si="36"/>
        <v>2</v>
      </c>
    </row>
    <row r="944" spans="1:6" x14ac:dyDescent="0.25">
      <c r="A944" s="5" t="s">
        <v>30</v>
      </c>
      <c r="B944" s="2">
        <v>43932</v>
      </c>
      <c r="C944" s="1">
        <v>0</v>
      </c>
      <c r="D944" s="47">
        <v>24</v>
      </c>
      <c r="F944" s="47">
        <f t="shared" si="36"/>
        <v>0</v>
      </c>
    </row>
    <row r="945" spans="1:6" x14ac:dyDescent="0.25">
      <c r="A945" s="5" t="s">
        <v>31</v>
      </c>
      <c r="B945" s="2">
        <v>43932</v>
      </c>
      <c r="C945" s="1">
        <v>0</v>
      </c>
      <c r="D945" s="47">
        <v>22</v>
      </c>
      <c r="F945" s="47">
        <f t="shared" si="36"/>
        <v>0</v>
      </c>
    </row>
    <row r="946" spans="1:6" x14ac:dyDescent="0.25">
      <c r="A946" s="5" t="s">
        <v>41</v>
      </c>
      <c r="B946" s="2">
        <v>43932</v>
      </c>
      <c r="C946" s="1">
        <v>0</v>
      </c>
      <c r="D946" s="47">
        <v>0</v>
      </c>
      <c r="F946" s="47">
        <f t="shared" si="36"/>
        <v>0</v>
      </c>
    </row>
    <row r="947" spans="1:6" x14ac:dyDescent="0.25">
      <c r="A947" s="5" t="s">
        <v>32</v>
      </c>
      <c r="B947" s="2">
        <v>43932</v>
      </c>
      <c r="C947" s="1">
        <v>0</v>
      </c>
      <c r="D947" s="47">
        <v>5</v>
      </c>
      <c r="F947" s="47">
        <f t="shared" si="36"/>
        <v>0</v>
      </c>
    </row>
    <row r="948" spans="1:6" x14ac:dyDescent="0.25">
      <c r="A948" s="5" t="s">
        <v>33</v>
      </c>
      <c r="B948" s="2">
        <v>43932</v>
      </c>
      <c r="C948" s="1">
        <v>0</v>
      </c>
      <c r="D948" s="47">
        <v>5</v>
      </c>
      <c r="F948" s="47">
        <f t="shared" si="36"/>
        <v>0</v>
      </c>
    </row>
    <row r="949" spans="1:6" x14ac:dyDescent="0.25">
      <c r="A949" s="5" t="s">
        <v>21</v>
      </c>
      <c r="B949" s="2">
        <v>43932</v>
      </c>
      <c r="C949" s="1">
        <v>4</v>
      </c>
      <c r="D949" s="47">
        <v>18</v>
      </c>
      <c r="F949" s="47">
        <f t="shared" si="36"/>
        <v>1</v>
      </c>
    </row>
    <row r="950" spans="1:6" x14ac:dyDescent="0.25">
      <c r="A950" s="5" t="s">
        <v>17</v>
      </c>
      <c r="B950" s="2">
        <v>43932</v>
      </c>
      <c r="C950" s="1">
        <v>5</v>
      </c>
      <c r="D950" s="47">
        <v>54</v>
      </c>
      <c r="F950" s="47">
        <f t="shared" si="36"/>
        <v>4</v>
      </c>
    </row>
    <row r="951" spans="1:6" x14ac:dyDescent="0.25">
      <c r="A951" s="5" t="s">
        <v>23</v>
      </c>
      <c r="B951" s="2">
        <v>43932</v>
      </c>
      <c r="C951" s="1">
        <v>0</v>
      </c>
      <c r="D951" s="47">
        <v>3</v>
      </c>
      <c r="F951" s="47">
        <f t="shared" si="36"/>
        <v>0</v>
      </c>
    </row>
    <row r="952" spans="1:6" x14ac:dyDescent="0.25">
      <c r="A952" s="5" t="s">
        <v>19</v>
      </c>
      <c r="B952" s="2">
        <v>43932</v>
      </c>
      <c r="C952" s="1">
        <v>1</v>
      </c>
      <c r="D952" s="47">
        <v>85</v>
      </c>
      <c r="F952" s="47">
        <f t="shared" si="36"/>
        <v>3</v>
      </c>
    </row>
    <row r="953" spans="1:6" x14ac:dyDescent="0.25">
      <c r="A953" s="5" t="s">
        <v>18</v>
      </c>
      <c r="B953" s="2">
        <v>43932</v>
      </c>
      <c r="C953" s="1">
        <v>23</v>
      </c>
      <c r="D953" s="47">
        <v>65</v>
      </c>
      <c r="F953" s="47">
        <f t="shared" si="36"/>
        <v>3</v>
      </c>
    </row>
    <row r="954" spans="1:6" x14ac:dyDescent="0.25">
      <c r="A954" s="5" t="s">
        <v>34</v>
      </c>
      <c r="B954" s="2">
        <v>43932</v>
      </c>
      <c r="C954" s="1">
        <v>0</v>
      </c>
      <c r="D954" s="47">
        <v>3</v>
      </c>
      <c r="F954" s="47">
        <f t="shared" si="36"/>
        <v>0</v>
      </c>
    </row>
    <row r="955" spans="1:6" x14ac:dyDescent="0.25">
      <c r="A955" s="5" t="s">
        <v>35</v>
      </c>
      <c r="B955" s="2">
        <v>43932</v>
      </c>
      <c r="C955" s="1">
        <v>1</v>
      </c>
      <c r="D955" s="47">
        <v>2</v>
      </c>
      <c r="F955" s="47">
        <f t="shared" si="36"/>
        <v>0</v>
      </c>
    </row>
    <row r="956" spans="1:6" x14ac:dyDescent="0.25">
      <c r="A956" s="5" t="s">
        <v>36</v>
      </c>
      <c r="B956" s="2">
        <v>43932</v>
      </c>
      <c r="C956" s="1">
        <v>0</v>
      </c>
      <c r="D956" s="47">
        <v>11</v>
      </c>
      <c r="F956" s="47">
        <f t="shared" si="36"/>
        <v>0</v>
      </c>
    </row>
    <row r="957" spans="1:6" x14ac:dyDescent="0.25">
      <c r="A957" s="5" t="s">
        <v>37</v>
      </c>
      <c r="B957" s="2">
        <v>43932</v>
      </c>
      <c r="C957" s="1">
        <v>3</v>
      </c>
      <c r="D957" s="47">
        <v>40</v>
      </c>
      <c r="F957" s="47">
        <f t="shared" si="36"/>
        <v>0</v>
      </c>
    </row>
    <row r="958" spans="1:6" x14ac:dyDescent="0.25">
      <c r="A958" s="5" t="s">
        <v>22</v>
      </c>
      <c r="B958" s="2">
        <v>43932</v>
      </c>
      <c r="C958" s="1">
        <v>3</v>
      </c>
      <c r="D958" s="47">
        <v>200</v>
      </c>
      <c r="F958" s="47">
        <f>E958+F934</f>
        <v>2</v>
      </c>
    </row>
    <row r="959" spans="1:6" x14ac:dyDescent="0.25">
      <c r="A959" s="5" t="s">
        <v>38</v>
      </c>
      <c r="B959" s="2">
        <v>43932</v>
      </c>
      <c r="C959" s="1">
        <v>3</v>
      </c>
      <c r="D959" s="47">
        <v>12</v>
      </c>
      <c r="F959" s="47">
        <f t="shared" si="36"/>
        <v>0</v>
      </c>
    </row>
    <row r="960" spans="1:6" x14ac:dyDescent="0.25">
      <c r="A960" s="5" t="s">
        <v>39</v>
      </c>
      <c r="B960" s="2">
        <v>43932</v>
      </c>
      <c r="C960" s="1">
        <v>8</v>
      </c>
      <c r="D960" s="47">
        <v>91</v>
      </c>
      <c r="F960" s="47">
        <f t="shared" si="36"/>
        <v>0</v>
      </c>
    </row>
    <row r="961" spans="1:6" x14ac:dyDescent="0.25">
      <c r="A961" s="5" t="s">
        <v>40</v>
      </c>
      <c r="B961" s="2">
        <v>43932</v>
      </c>
      <c r="C961" s="1">
        <v>1</v>
      </c>
      <c r="D961" s="47">
        <v>30</v>
      </c>
      <c r="F961" s="47">
        <f t="shared" si="36"/>
        <v>2</v>
      </c>
    </row>
    <row r="962" spans="1:6" x14ac:dyDescent="0.25">
      <c r="A962" s="34" t="s">
        <v>16</v>
      </c>
      <c r="B962" s="2">
        <v>43933</v>
      </c>
      <c r="C962" s="1">
        <v>28</v>
      </c>
      <c r="D962" s="47">
        <v>572</v>
      </c>
      <c r="E962" s="1">
        <v>4</v>
      </c>
      <c r="F962" s="47">
        <f>E962+F938</f>
        <v>39</v>
      </c>
    </row>
    <row r="963" spans="1:6" x14ac:dyDescent="0.25">
      <c r="A963" s="5" t="s">
        <v>28</v>
      </c>
      <c r="B963" s="2">
        <v>43933</v>
      </c>
      <c r="C963" s="1">
        <v>0</v>
      </c>
      <c r="D963" s="47">
        <v>0</v>
      </c>
      <c r="F963" s="47">
        <f t="shared" ref="F963:F985" si="37">E963+F939</f>
        <v>0</v>
      </c>
    </row>
    <row r="964" spans="1:6" x14ac:dyDescent="0.25">
      <c r="A964" s="5" t="s">
        <v>15</v>
      </c>
      <c r="B964" s="2">
        <v>43933</v>
      </c>
      <c r="C964" s="1">
        <v>1</v>
      </c>
      <c r="D964" s="47">
        <v>150</v>
      </c>
      <c r="F964" s="47">
        <f t="shared" si="37"/>
        <v>7</v>
      </c>
    </row>
    <row r="965" spans="1:6" x14ac:dyDescent="0.25">
      <c r="A965" s="5" t="s">
        <v>29</v>
      </c>
      <c r="B965" s="2">
        <v>43933</v>
      </c>
      <c r="C965" s="1">
        <v>0</v>
      </c>
      <c r="D965" s="47">
        <v>0</v>
      </c>
      <c r="F965" s="47">
        <f t="shared" si="37"/>
        <v>1</v>
      </c>
    </row>
    <row r="966" spans="1:6" x14ac:dyDescent="0.25">
      <c r="A966" s="5" t="s">
        <v>43</v>
      </c>
      <c r="B966" s="2">
        <v>43933</v>
      </c>
      <c r="C966" s="1">
        <v>8</v>
      </c>
      <c r="D966" s="47">
        <v>586</v>
      </c>
      <c r="E966" s="1">
        <v>1</v>
      </c>
      <c r="F966" s="47">
        <f t="shared" si="37"/>
        <v>25</v>
      </c>
    </row>
    <row r="967" spans="1:6" x14ac:dyDescent="0.25">
      <c r="A967" s="5" t="s">
        <v>20</v>
      </c>
      <c r="B967" s="2">
        <v>43933</v>
      </c>
      <c r="C967" s="1">
        <v>5</v>
      </c>
      <c r="D967" s="47">
        <v>206</v>
      </c>
      <c r="E967" s="1">
        <v>1</v>
      </c>
      <c r="F967" s="47">
        <f t="shared" si="37"/>
        <v>3</v>
      </c>
    </row>
    <row r="968" spans="1:6" x14ac:dyDescent="0.25">
      <c r="A968" s="5" t="s">
        <v>30</v>
      </c>
      <c r="B968" s="2">
        <v>43933</v>
      </c>
      <c r="C968" s="1">
        <v>0</v>
      </c>
      <c r="D968" s="47">
        <v>24</v>
      </c>
      <c r="F968" s="47">
        <f t="shared" si="37"/>
        <v>0</v>
      </c>
    </row>
    <row r="969" spans="1:6" x14ac:dyDescent="0.25">
      <c r="A969" s="5" t="s">
        <v>31</v>
      </c>
      <c r="B969" s="2">
        <v>43933</v>
      </c>
      <c r="C969" s="1">
        <v>-1</v>
      </c>
      <c r="D969" s="47">
        <v>21</v>
      </c>
      <c r="F969" s="47">
        <f t="shared" si="37"/>
        <v>0</v>
      </c>
    </row>
    <row r="970" spans="1:6" x14ac:dyDescent="0.25">
      <c r="A970" s="5" t="s">
        <v>41</v>
      </c>
      <c r="B970" s="2">
        <v>43933</v>
      </c>
      <c r="C970" s="1">
        <v>0</v>
      </c>
      <c r="D970" s="47">
        <v>0</v>
      </c>
      <c r="F970" s="47">
        <f t="shared" si="37"/>
        <v>0</v>
      </c>
    </row>
    <row r="971" spans="1:6" x14ac:dyDescent="0.25">
      <c r="A971" s="5" t="s">
        <v>32</v>
      </c>
      <c r="B971" s="2">
        <v>43933</v>
      </c>
      <c r="C971" s="1">
        <v>0</v>
      </c>
      <c r="D971" s="47">
        <v>5</v>
      </c>
      <c r="F971" s="47">
        <f t="shared" si="37"/>
        <v>0</v>
      </c>
    </row>
    <row r="972" spans="1:6" x14ac:dyDescent="0.25">
      <c r="A972" s="5" t="s">
        <v>33</v>
      </c>
      <c r="B972" s="2">
        <v>43933</v>
      </c>
      <c r="C972" s="1">
        <v>0</v>
      </c>
      <c r="D972" s="47">
        <v>5</v>
      </c>
      <c r="F972" s="47">
        <f t="shared" si="37"/>
        <v>0</v>
      </c>
    </row>
    <row r="973" spans="1:6" x14ac:dyDescent="0.25">
      <c r="A973" s="5" t="s">
        <v>21</v>
      </c>
      <c r="B973" s="2">
        <v>43933</v>
      </c>
      <c r="C973" s="1">
        <v>1</v>
      </c>
      <c r="D973" s="47">
        <v>19</v>
      </c>
      <c r="F973" s="47">
        <f t="shared" si="37"/>
        <v>1</v>
      </c>
    </row>
    <row r="974" spans="1:6" x14ac:dyDescent="0.25">
      <c r="A974" s="5" t="s">
        <v>17</v>
      </c>
      <c r="B974" s="2">
        <v>43933</v>
      </c>
      <c r="C974" s="1">
        <v>3</v>
      </c>
      <c r="D974" s="47">
        <v>57</v>
      </c>
      <c r="F974" s="47">
        <f t="shared" si="37"/>
        <v>4</v>
      </c>
    </row>
    <row r="975" spans="1:6" x14ac:dyDescent="0.25">
      <c r="A975" s="5" t="s">
        <v>23</v>
      </c>
      <c r="B975" s="2">
        <v>43933</v>
      </c>
      <c r="C975" s="1">
        <v>0</v>
      </c>
      <c r="D975" s="47">
        <v>3</v>
      </c>
      <c r="F975" s="47">
        <f t="shared" si="37"/>
        <v>0</v>
      </c>
    </row>
    <row r="976" spans="1:6" x14ac:dyDescent="0.25">
      <c r="A976" s="5" t="s">
        <v>19</v>
      </c>
      <c r="B976" s="2">
        <v>43933</v>
      </c>
      <c r="C976" s="1">
        <v>1</v>
      </c>
      <c r="D976" s="47">
        <v>86</v>
      </c>
      <c r="F976" s="47">
        <f t="shared" si="37"/>
        <v>3</v>
      </c>
    </row>
    <row r="977" spans="1:6" x14ac:dyDescent="0.25">
      <c r="A977" s="5" t="s">
        <v>18</v>
      </c>
      <c r="B977" s="2">
        <v>43933</v>
      </c>
      <c r="C977" s="1">
        <v>13</v>
      </c>
      <c r="D977" s="47">
        <v>78</v>
      </c>
      <c r="F977" s="47">
        <f t="shared" si="37"/>
        <v>3</v>
      </c>
    </row>
    <row r="978" spans="1:6" x14ac:dyDescent="0.25">
      <c r="A978" s="5" t="s">
        <v>34</v>
      </c>
      <c r="B978" s="2">
        <v>43933</v>
      </c>
      <c r="C978" s="1">
        <v>0</v>
      </c>
      <c r="D978" s="47">
        <v>3</v>
      </c>
      <c r="F978" s="47">
        <f t="shared" si="37"/>
        <v>0</v>
      </c>
    </row>
    <row r="979" spans="1:6" x14ac:dyDescent="0.25">
      <c r="A979" s="5" t="s">
        <v>35</v>
      </c>
      <c r="B979" s="2">
        <v>43933</v>
      </c>
      <c r="C979" s="1">
        <v>0</v>
      </c>
      <c r="D979" s="47">
        <v>2</v>
      </c>
      <c r="F979" s="47">
        <f t="shared" si="37"/>
        <v>0</v>
      </c>
    </row>
    <row r="980" spans="1:6" x14ac:dyDescent="0.25">
      <c r="A980" s="5" t="s">
        <v>36</v>
      </c>
      <c r="B980" s="2">
        <v>43933</v>
      </c>
      <c r="C980" s="1">
        <v>0</v>
      </c>
      <c r="D980" s="47">
        <v>11</v>
      </c>
      <c r="F980" s="47">
        <f t="shared" si="37"/>
        <v>0</v>
      </c>
    </row>
    <row r="981" spans="1:6" x14ac:dyDescent="0.25">
      <c r="A981" s="5" t="s">
        <v>37</v>
      </c>
      <c r="B981" s="2">
        <v>43933</v>
      </c>
      <c r="C981" s="1">
        <v>0</v>
      </c>
      <c r="D981" s="47">
        <v>40</v>
      </c>
      <c r="F981" s="47">
        <f t="shared" si="37"/>
        <v>0</v>
      </c>
    </row>
    <row r="982" spans="1:6" x14ac:dyDescent="0.25">
      <c r="A982" s="5" t="s">
        <v>22</v>
      </c>
      <c r="B982" s="2">
        <v>43933</v>
      </c>
      <c r="C982" s="1">
        <v>3</v>
      </c>
      <c r="D982" s="47">
        <v>203</v>
      </c>
      <c r="F982" s="47">
        <f>E982+F958</f>
        <v>2</v>
      </c>
    </row>
    <row r="983" spans="1:6" x14ac:dyDescent="0.25">
      <c r="A983" s="5" t="s">
        <v>38</v>
      </c>
      <c r="B983" s="2">
        <v>43933</v>
      </c>
      <c r="C983" s="1">
        <v>0</v>
      </c>
      <c r="D983" s="47">
        <v>12</v>
      </c>
      <c r="F983" s="47">
        <f t="shared" si="37"/>
        <v>0</v>
      </c>
    </row>
    <row r="984" spans="1:6" x14ac:dyDescent="0.25">
      <c r="A984" s="5" t="s">
        <v>39</v>
      </c>
      <c r="B984" s="2">
        <v>43933</v>
      </c>
      <c r="C984" s="1">
        <v>4</v>
      </c>
      <c r="D984" s="47">
        <v>95</v>
      </c>
      <c r="F984" s="47">
        <f t="shared" si="37"/>
        <v>0</v>
      </c>
    </row>
    <row r="985" spans="1:6" x14ac:dyDescent="0.25">
      <c r="A985" s="5" t="s">
        <v>40</v>
      </c>
      <c r="B985" s="2">
        <v>43933</v>
      </c>
      <c r="C985" s="1">
        <v>0</v>
      </c>
      <c r="D985" s="47">
        <v>30</v>
      </c>
      <c r="F985" s="47">
        <f t="shared" si="37"/>
        <v>2</v>
      </c>
    </row>
    <row r="986" spans="1:6" x14ac:dyDescent="0.25">
      <c r="A986" s="34" t="s">
        <v>16</v>
      </c>
      <c r="B986" s="2">
        <v>43934</v>
      </c>
      <c r="C986" s="1">
        <v>29</v>
      </c>
      <c r="D986" s="47">
        <v>601</v>
      </c>
      <c r="E986" s="1">
        <v>1</v>
      </c>
      <c r="F986" s="47">
        <f>E986+F962</f>
        <v>40</v>
      </c>
    </row>
    <row r="987" spans="1:6" x14ac:dyDescent="0.25">
      <c r="A987" s="5" t="s">
        <v>28</v>
      </c>
      <c r="B987" s="2">
        <v>43934</v>
      </c>
      <c r="C987" s="1">
        <v>0</v>
      </c>
      <c r="D987" s="47">
        <v>0</v>
      </c>
      <c r="F987" s="47">
        <f t="shared" ref="F987:F1009" si="38">E987+F963</f>
        <v>0</v>
      </c>
    </row>
    <row r="988" spans="1:6" x14ac:dyDescent="0.25">
      <c r="A988" s="5" t="s">
        <v>15</v>
      </c>
      <c r="B988" s="2">
        <v>43934</v>
      </c>
      <c r="C988" s="1">
        <v>3</v>
      </c>
      <c r="D988" s="47">
        <v>153</v>
      </c>
      <c r="F988" s="47">
        <f t="shared" si="38"/>
        <v>7</v>
      </c>
    </row>
    <row r="989" spans="1:6" x14ac:dyDescent="0.25">
      <c r="A989" s="5" t="s">
        <v>29</v>
      </c>
      <c r="B989" s="2">
        <v>43934</v>
      </c>
      <c r="C989" s="1">
        <v>0</v>
      </c>
      <c r="D989" s="47">
        <v>0</v>
      </c>
      <c r="F989" s="47">
        <f t="shared" si="38"/>
        <v>1</v>
      </c>
    </row>
    <row r="990" spans="1:6" x14ac:dyDescent="0.25">
      <c r="A990" s="5" t="s">
        <v>43</v>
      </c>
      <c r="B990" s="2">
        <v>43934</v>
      </c>
      <c r="C990" s="1">
        <v>10</v>
      </c>
      <c r="D990" s="47">
        <v>596</v>
      </c>
      <c r="E990" s="1">
        <v>1</v>
      </c>
      <c r="F990" s="47">
        <f t="shared" si="38"/>
        <v>26</v>
      </c>
    </row>
    <row r="991" spans="1:6" x14ac:dyDescent="0.25">
      <c r="A991" s="5" t="s">
        <v>20</v>
      </c>
      <c r="B991" s="2">
        <v>43934</v>
      </c>
      <c r="C991" s="1">
        <v>4</v>
      </c>
      <c r="D991" s="47">
        <v>210</v>
      </c>
      <c r="E991" s="1">
        <v>1</v>
      </c>
      <c r="F991" s="47">
        <f t="shared" si="38"/>
        <v>4</v>
      </c>
    </row>
    <row r="992" spans="1:6" x14ac:dyDescent="0.25">
      <c r="A992" s="5" t="s">
        <v>30</v>
      </c>
      <c r="B992" s="2">
        <v>43934</v>
      </c>
      <c r="C992" s="1">
        <v>7</v>
      </c>
      <c r="D992" s="47">
        <v>31</v>
      </c>
      <c r="F992" s="47">
        <f t="shared" si="38"/>
        <v>0</v>
      </c>
    </row>
    <row r="993" spans="1:6" x14ac:dyDescent="0.25">
      <c r="A993" s="5" t="s">
        <v>31</v>
      </c>
      <c r="B993" s="2">
        <v>43934</v>
      </c>
      <c r="C993" s="1">
        <v>0</v>
      </c>
      <c r="D993" s="47">
        <v>21</v>
      </c>
      <c r="F993" s="47">
        <f t="shared" si="38"/>
        <v>0</v>
      </c>
    </row>
    <row r="994" spans="1:6" x14ac:dyDescent="0.25">
      <c r="A994" s="5" t="s">
        <v>41</v>
      </c>
      <c r="B994" s="2">
        <v>43934</v>
      </c>
      <c r="C994" s="1">
        <v>0</v>
      </c>
      <c r="D994" s="47">
        <v>0</v>
      </c>
      <c r="F994" s="47">
        <f t="shared" si="38"/>
        <v>0</v>
      </c>
    </row>
    <row r="995" spans="1:6" x14ac:dyDescent="0.25">
      <c r="A995" s="5" t="s">
        <v>32</v>
      </c>
      <c r="B995" s="2">
        <v>43934</v>
      </c>
      <c r="C995" s="1">
        <v>0</v>
      </c>
      <c r="D995" s="47">
        <v>5</v>
      </c>
      <c r="F995" s="47">
        <f t="shared" si="38"/>
        <v>0</v>
      </c>
    </row>
    <row r="996" spans="1:6" x14ac:dyDescent="0.25">
      <c r="A996" s="5" t="s">
        <v>33</v>
      </c>
      <c r="B996" s="2">
        <v>43934</v>
      </c>
      <c r="C996" s="1">
        <v>0</v>
      </c>
      <c r="D996" s="47">
        <v>5</v>
      </c>
      <c r="F996" s="47">
        <f t="shared" si="38"/>
        <v>0</v>
      </c>
    </row>
    <row r="997" spans="1:6" x14ac:dyDescent="0.25">
      <c r="A997" s="5" t="s">
        <v>21</v>
      </c>
      <c r="B997" s="2">
        <v>43934</v>
      </c>
      <c r="C997" s="1">
        <v>3</v>
      </c>
      <c r="D997" s="47">
        <v>22</v>
      </c>
      <c r="F997" s="47">
        <f t="shared" si="38"/>
        <v>1</v>
      </c>
    </row>
    <row r="998" spans="1:6" x14ac:dyDescent="0.25">
      <c r="A998" s="5" t="s">
        <v>17</v>
      </c>
      <c r="B998" s="2">
        <v>43934</v>
      </c>
      <c r="C998" s="1">
        <v>2</v>
      </c>
      <c r="D998" s="47">
        <v>59</v>
      </c>
      <c r="F998" s="47">
        <f t="shared" si="38"/>
        <v>4</v>
      </c>
    </row>
    <row r="999" spans="1:6" x14ac:dyDescent="0.25">
      <c r="A999" s="5" t="s">
        <v>23</v>
      </c>
      <c r="B999" s="2">
        <v>43934</v>
      </c>
      <c r="C999" s="1">
        <v>0</v>
      </c>
      <c r="D999" s="47">
        <v>3</v>
      </c>
      <c r="F999" s="47">
        <f t="shared" si="38"/>
        <v>0</v>
      </c>
    </row>
    <row r="1000" spans="1:6" x14ac:dyDescent="0.25">
      <c r="A1000" s="5" t="s">
        <v>19</v>
      </c>
      <c r="B1000" s="2">
        <v>43934</v>
      </c>
      <c r="C1000" s="1">
        <v>2</v>
      </c>
      <c r="D1000" s="47">
        <v>88</v>
      </c>
      <c r="F1000" s="47">
        <f t="shared" si="38"/>
        <v>3</v>
      </c>
    </row>
    <row r="1001" spans="1:6" x14ac:dyDescent="0.25">
      <c r="A1001" s="5" t="s">
        <v>18</v>
      </c>
      <c r="B1001" s="2">
        <v>43934</v>
      </c>
      <c r="C1001" s="1">
        <v>3</v>
      </c>
      <c r="D1001" s="47">
        <v>81</v>
      </c>
      <c r="F1001" s="47">
        <f t="shared" si="38"/>
        <v>3</v>
      </c>
    </row>
    <row r="1002" spans="1:6" x14ac:dyDescent="0.25">
      <c r="A1002" s="5" t="s">
        <v>34</v>
      </c>
      <c r="B1002" s="2">
        <v>43934</v>
      </c>
      <c r="C1002" s="1">
        <v>0</v>
      </c>
      <c r="D1002" s="47">
        <v>3</v>
      </c>
      <c r="F1002" s="47">
        <f t="shared" si="38"/>
        <v>0</v>
      </c>
    </row>
    <row r="1003" spans="1:6" x14ac:dyDescent="0.25">
      <c r="A1003" s="5" t="s">
        <v>35</v>
      </c>
      <c r="B1003" s="2">
        <v>43934</v>
      </c>
      <c r="C1003" s="1">
        <v>0</v>
      </c>
      <c r="D1003" s="47">
        <v>2</v>
      </c>
      <c r="F1003" s="47">
        <f t="shared" si="38"/>
        <v>0</v>
      </c>
    </row>
    <row r="1004" spans="1:6" x14ac:dyDescent="0.25">
      <c r="A1004" s="5" t="s">
        <v>36</v>
      </c>
      <c r="B1004" s="2">
        <v>43934</v>
      </c>
      <c r="C1004" s="1">
        <v>0</v>
      </c>
      <c r="D1004" s="47">
        <v>11</v>
      </c>
      <c r="F1004" s="47">
        <f t="shared" si="38"/>
        <v>0</v>
      </c>
    </row>
    <row r="1005" spans="1:6" x14ac:dyDescent="0.25">
      <c r="A1005" s="5" t="s">
        <v>37</v>
      </c>
      <c r="B1005" s="2">
        <v>43934</v>
      </c>
      <c r="C1005" s="1">
        <v>0</v>
      </c>
      <c r="D1005" s="47">
        <v>40</v>
      </c>
      <c r="F1005" s="47">
        <f t="shared" si="38"/>
        <v>0</v>
      </c>
    </row>
    <row r="1006" spans="1:6" x14ac:dyDescent="0.25">
      <c r="A1006" s="5" t="s">
        <v>22</v>
      </c>
      <c r="B1006" s="2">
        <v>43934</v>
      </c>
      <c r="C1006" s="1">
        <v>2</v>
      </c>
      <c r="D1006" s="47">
        <v>205</v>
      </c>
      <c r="F1006" s="47">
        <f>E1006+F982</f>
        <v>2</v>
      </c>
    </row>
    <row r="1007" spans="1:6" x14ac:dyDescent="0.25">
      <c r="A1007" s="5" t="s">
        <v>38</v>
      </c>
      <c r="B1007" s="2">
        <v>43934</v>
      </c>
      <c r="C1007" s="1">
        <v>0</v>
      </c>
      <c r="D1007" s="47">
        <v>12</v>
      </c>
      <c r="F1007" s="47">
        <f t="shared" si="38"/>
        <v>0</v>
      </c>
    </row>
    <row r="1008" spans="1:6" x14ac:dyDescent="0.25">
      <c r="A1008" s="5" t="s">
        <v>39</v>
      </c>
      <c r="B1008" s="2">
        <v>43934</v>
      </c>
      <c r="C1008" s="1">
        <v>4</v>
      </c>
      <c r="D1008" s="47">
        <v>99</v>
      </c>
      <c r="F1008" s="47">
        <f t="shared" si="38"/>
        <v>0</v>
      </c>
    </row>
    <row r="1009" spans="1:6" x14ac:dyDescent="0.25">
      <c r="A1009" s="5" t="s">
        <v>40</v>
      </c>
      <c r="B1009" s="2">
        <v>43934</v>
      </c>
      <c r="C1009" s="1">
        <v>0</v>
      </c>
      <c r="D1009" s="47">
        <v>30</v>
      </c>
      <c r="F1009" s="47">
        <f t="shared" si="38"/>
        <v>2</v>
      </c>
    </row>
    <row r="1010" spans="1:6" x14ac:dyDescent="0.25">
      <c r="A1010" s="34" t="s">
        <v>16</v>
      </c>
      <c r="B1010" s="2">
        <v>43935</v>
      </c>
      <c r="C1010" s="1">
        <v>66</v>
      </c>
      <c r="D1010" s="47">
        <v>667</v>
      </c>
      <c r="E1010" s="1">
        <v>2</v>
      </c>
      <c r="F1010" s="47">
        <f>E1010+F986</f>
        <v>42</v>
      </c>
    </row>
    <row r="1011" spans="1:6" x14ac:dyDescent="0.25">
      <c r="A1011" s="5" t="s">
        <v>28</v>
      </c>
      <c r="B1011" s="2">
        <v>43935</v>
      </c>
      <c r="C1011" s="1">
        <v>0</v>
      </c>
      <c r="D1011" s="47">
        <v>0</v>
      </c>
      <c r="F1011" s="47">
        <f t="shared" ref="F1011:F1033" si="39">E1011+F987</f>
        <v>0</v>
      </c>
    </row>
    <row r="1012" spans="1:6" x14ac:dyDescent="0.25">
      <c r="A1012" s="5" t="s">
        <v>15</v>
      </c>
      <c r="B1012" s="2">
        <v>43935</v>
      </c>
      <c r="C1012" s="1">
        <v>31</v>
      </c>
      <c r="D1012" s="47">
        <v>184</v>
      </c>
      <c r="E1012" s="1">
        <v>1</v>
      </c>
      <c r="F1012" s="47">
        <f t="shared" si="39"/>
        <v>8</v>
      </c>
    </row>
    <row r="1013" spans="1:6" x14ac:dyDescent="0.25">
      <c r="A1013" s="5" t="s">
        <v>29</v>
      </c>
      <c r="B1013" s="2">
        <v>43935</v>
      </c>
      <c r="C1013" s="1">
        <v>0</v>
      </c>
      <c r="D1013" s="47">
        <v>0</v>
      </c>
      <c r="F1013" s="47">
        <f t="shared" si="39"/>
        <v>1</v>
      </c>
    </row>
    <row r="1014" spans="1:6" x14ac:dyDescent="0.25">
      <c r="A1014" s="5" t="s">
        <v>43</v>
      </c>
      <c r="B1014" s="2">
        <v>43935</v>
      </c>
      <c r="C1014" s="1">
        <v>22</v>
      </c>
      <c r="D1014" s="47">
        <v>618</v>
      </c>
      <c r="E1014" s="1">
        <v>2</v>
      </c>
      <c r="F1014" s="47">
        <f t="shared" si="39"/>
        <v>28</v>
      </c>
    </row>
    <row r="1015" spans="1:6" x14ac:dyDescent="0.25">
      <c r="A1015" s="5" t="s">
        <v>20</v>
      </c>
      <c r="B1015" s="2">
        <v>43935</v>
      </c>
      <c r="C1015" s="1">
        <v>12</v>
      </c>
      <c r="D1015" s="47">
        <v>222</v>
      </c>
      <c r="E1015" s="1">
        <v>1</v>
      </c>
      <c r="F1015" s="47">
        <f t="shared" si="39"/>
        <v>5</v>
      </c>
    </row>
    <row r="1016" spans="1:6" x14ac:dyDescent="0.25">
      <c r="A1016" s="5" t="s">
        <v>30</v>
      </c>
      <c r="B1016" s="2">
        <v>43935</v>
      </c>
      <c r="C1016" s="1">
        <v>1</v>
      </c>
      <c r="D1016" s="47">
        <v>32</v>
      </c>
      <c r="F1016" s="47">
        <f t="shared" si="39"/>
        <v>0</v>
      </c>
    </row>
    <row r="1017" spans="1:6" x14ac:dyDescent="0.25">
      <c r="A1017" s="5" t="s">
        <v>31</v>
      </c>
      <c r="B1017" s="2">
        <v>43935</v>
      </c>
      <c r="C1017" s="1">
        <v>0</v>
      </c>
      <c r="D1017" s="47">
        <v>21</v>
      </c>
      <c r="F1017" s="47">
        <f t="shared" si="39"/>
        <v>0</v>
      </c>
    </row>
    <row r="1018" spans="1:6" x14ac:dyDescent="0.25">
      <c r="A1018" s="5" t="s">
        <v>41</v>
      </c>
      <c r="B1018" s="2">
        <v>43935</v>
      </c>
      <c r="C1018" s="1">
        <v>0</v>
      </c>
      <c r="D1018" s="47">
        <v>0</v>
      </c>
      <c r="F1018" s="47">
        <f t="shared" si="39"/>
        <v>0</v>
      </c>
    </row>
    <row r="1019" spans="1:6" x14ac:dyDescent="0.25">
      <c r="A1019" s="5" t="s">
        <v>32</v>
      </c>
      <c r="B1019" s="2">
        <v>43935</v>
      </c>
      <c r="C1019" s="1">
        <v>0</v>
      </c>
      <c r="D1019" s="47">
        <v>5</v>
      </c>
      <c r="F1019" s="47">
        <f t="shared" si="39"/>
        <v>0</v>
      </c>
    </row>
    <row r="1020" spans="1:6" x14ac:dyDescent="0.25">
      <c r="A1020" s="5" t="s">
        <v>33</v>
      </c>
      <c r="B1020" s="2">
        <v>43935</v>
      </c>
      <c r="C1020" s="1">
        <v>0</v>
      </c>
      <c r="D1020" s="47">
        <v>5</v>
      </c>
      <c r="F1020" s="47">
        <f t="shared" si="39"/>
        <v>0</v>
      </c>
    </row>
    <row r="1021" spans="1:6" x14ac:dyDescent="0.25">
      <c r="A1021" s="5" t="s">
        <v>21</v>
      </c>
      <c r="B1021" s="2">
        <v>43935</v>
      </c>
      <c r="C1021" s="1">
        <v>6</v>
      </c>
      <c r="D1021" s="47">
        <v>28</v>
      </c>
      <c r="F1021" s="47">
        <f t="shared" si="39"/>
        <v>1</v>
      </c>
    </row>
    <row r="1022" spans="1:6" x14ac:dyDescent="0.25">
      <c r="A1022" s="5" t="s">
        <v>17</v>
      </c>
      <c r="B1022" s="2">
        <v>43935</v>
      </c>
      <c r="C1022" s="1">
        <v>3</v>
      </c>
      <c r="D1022" s="47">
        <v>62</v>
      </c>
      <c r="F1022" s="47">
        <f t="shared" si="39"/>
        <v>4</v>
      </c>
    </row>
    <row r="1023" spans="1:6" x14ac:dyDescent="0.25">
      <c r="A1023" s="5" t="s">
        <v>23</v>
      </c>
      <c r="B1023" s="2">
        <v>43935</v>
      </c>
      <c r="C1023" s="1">
        <v>0</v>
      </c>
      <c r="D1023" s="47">
        <v>3</v>
      </c>
      <c r="F1023" s="47">
        <f t="shared" si="39"/>
        <v>0</v>
      </c>
    </row>
    <row r="1024" spans="1:6" x14ac:dyDescent="0.25">
      <c r="A1024" s="5" t="s">
        <v>19</v>
      </c>
      <c r="B1024" s="2">
        <v>43935</v>
      </c>
      <c r="C1024" s="1">
        <v>2</v>
      </c>
      <c r="D1024" s="47">
        <v>90</v>
      </c>
      <c r="F1024" s="47">
        <f t="shared" si="39"/>
        <v>3</v>
      </c>
    </row>
    <row r="1025" spans="1:6" x14ac:dyDescent="0.25">
      <c r="A1025" s="5" t="s">
        <v>18</v>
      </c>
      <c r="B1025" s="2">
        <v>43935</v>
      </c>
      <c r="C1025" s="1">
        <v>13</v>
      </c>
      <c r="D1025" s="47">
        <v>94</v>
      </c>
      <c r="E1025" s="1">
        <v>1</v>
      </c>
      <c r="F1025" s="47">
        <f t="shared" si="39"/>
        <v>4</v>
      </c>
    </row>
    <row r="1026" spans="1:6" x14ac:dyDescent="0.25">
      <c r="A1026" s="5" t="s">
        <v>34</v>
      </c>
      <c r="B1026" s="2">
        <v>43935</v>
      </c>
      <c r="C1026" s="1">
        <v>0</v>
      </c>
      <c r="D1026" s="47">
        <v>3</v>
      </c>
      <c r="F1026" s="47">
        <f t="shared" si="39"/>
        <v>0</v>
      </c>
    </row>
    <row r="1027" spans="1:6" x14ac:dyDescent="0.25">
      <c r="A1027" s="5" t="s">
        <v>35</v>
      </c>
      <c r="B1027" s="2">
        <v>43935</v>
      </c>
      <c r="C1027" s="1">
        <v>0</v>
      </c>
      <c r="D1027" s="47">
        <v>2</v>
      </c>
      <c r="F1027" s="47">
        <f t="shared" si="39"/>
        <v>0</v>
      </c>
    </row>
    <row r="1028" spans="1:6" x14ac:dyDescent="0.25">
      <c r="A1028" s="5" t="s">
        <v>36</v>
      </c>
      <c r="B1028" s="2">
        <v>43935</v>
      </c>
      <c r="C1028" s="1">
        <v>0</v>
      </c>
      <c r="D1028" s="47">
        <v>11</v>
      </c>
      <c r="F1028" s="47">
        <f t="shared" si="39"/>
        <v>0</v>
      </c>
    </row>
    <row r="1029" spans="1:6" x14ac:dyDescent="0.25">
      <c r="A1029" s="5" t="s">
        <v>37</v>
      </c>
      <c r="B1029" s="2">
        <v>43935</v>
      </c>
      <c r="C1029" s="1">
        <v>0</v>
      </c>
      <c r="D1029" s="47">
        <v>40</v>
      </c>
      <c r="F1029" s="47">
        <f t="shared" si="39"/>
        <v>0</v>
      </c>
    </row>
    <row r="1030" spans="1:6" x14ac:dyDescent="0.25">
      <c r="A1030" s="5" t="s">
        <v>22</v>
      </c>
      <c r="B1030" s="2">
        <v>43935</v>
      </c>
      <c r="C1030" s="1">
        <v>2</v>
      </c>
      <c r="D1030" s="47">
        <v>207</v>
      </c>
      <c r="F1030" s="47">
        <f>E1030+F1006</f>
        <v>2</v>
      </c>
    </row>
    <row r="1031" spans="1:6" x14ac:dyDescent="0.25">
      <c r="A1031" s="5" t="s">
        <v>38</v>
      </c>
      <c r="B1031" s="2">
        <v>43935</v>
      </c>
      <c r="C1031" s="1">
        <v>0</v>
      </c>
      <c r="D1031" s="47">
        <v>12</v>
      </c>
      <c r="F1031" s="47">
        <f t="shared" si="39"/>
        <v>0</v>
      </c>
    </row>
    <row r="1032" spans="1:6" x14ac:dyDescent="0.25">
      <c r="A1032" s="5" t="s">
        <v>39</v>
      </c>
      <c r="B1032" s="2">
        <v>43935</v>
      </c>
      <c r="C1032" s="1">
        <v>8</v>
      </c>
      <c r="D1032" s="47">
        <v>107</v>
      </c>
      <c r="F1032" s="47">
        <f t="shared" si="39"/>
        <v>0</v>
      </c>
    </row>
    <row r="1033" spans="1:6" x14ac:dyDescent="0.25">
      <c r="A1033" s="5" t="s">
        <v>40</v>
      </c>
      <c r="B1033" s="2">
        <v>43935</v>
      </c>
      <c r="C1033" s="1">
        <v>0</v>
      </c>
      <c r="D1033" s="47">
        <v>30</v>
      </c>
      <c r="F1033" s="47">
        <f t="shared" si="39"/>
        <v>2</v>
      </c>
    </row>
    <row r="1034" spans="1:6" x14ac:dyDescent="0.25">
      <c r="A1034" s="34" t="s">
        <v>16</v>
      </c>
      <c r="B1034" s="2">
        <v>43936</v>
      </c>
      <c r="C1034" s="1">
        <v>62</v>
      </c>
      <c r="D1034" s="47">
        <v>729</v>
      </c>
      <c r="E1034" s="1">
        <v>1</v>
      </c>
      <c r="F1034" s="47">
        <f>E1034+F1010</f>
        <v>43</v>
      </c>
    </row>
    <row r="1035" spans="1:6" x14ac:dyDescent="0.25">
      <c r="A1035" s="5" t="s">
        <v>28</v>
      </c>
      <c r="B1035" s="2">
        <v>43936</v>
      </c>
      <c r="C1035" s="1">
        <v>0</v>
      </c>
      <c r="D1035" s="47">
        <v>0</v>
      </c>
      <c r="F1035" s="47">
        <f t="shared" ref="F1035:F1057" si="40">E1035+F1011</f>
        <v>0</v>
      </c>
    </row>
    <row r="1036" spans="1:6" x14ac:dyDescent="0.25">
      <c r="A1036" s="5" t="s">
        <v>15</v>
      </c>
      <c r="B1036" s="2">
        <v>43936</v>
      </c>
      <c r="C1036" s="1">
        <v>7</v>
      </c>
      <c r="D1036" s="47">
        <v>191</v>
      </c>
      <c r="F1036" s="47">
        <f t="shared" si="40"/>
        <v>8</v>
      </c>
    </row>
    <row r="1037" spans="1:6" x14ac:dyDescent="0.25">
      <c r="A1037" s="5" t="s">
        <v>29</v>
      </c>
      <c r="B1037" s="2">
        <v>43936</v>
      </c>
      <c r="C1037" s="1">
        <v>1</v>
      </c>
      <c r="D1037" s="47">
        <v>1</v>
      </c>
      <c r="F1037" s="47">
        <f t="shared" si="40"/>
        <v>1</v>
      </c>
    </row>
    <row r="1038" spans="1:6" x14ac:dyDescent="0.25">
      <c r="A1038" s="5" t="s">
        <v>43</v>
      </c>
      <c r="B1038" s="2">
        <v>43936</v>
      </c>
      <c r="C1038" s="1">
        <v>30</v>
      </c>
      <c r="D1038" s="47">
        <v>648</v>
      </c>
      <c r="E1038" s="1">
        <v>4</v>
      </c>
      <c r="F1038" s="47">
        <f t="shared" si="40"/>
        <v>32</v>
      </c>
    </row>
    <row r="1039" spans="1:6" x14ac:dyDescent="0.25">
      <c r="A1039" s="5" t="s">
        <v>20</v>
      </c>
      <c r="B1039" s="2">
        <v>43936</v>
      </c>
      <c r="C1039" s="1">
        <v>6</v>
      </c>
      <c r="D1039" s="47">
        <v>228</v>
      </c>
      <c r="E1039" s="1">
        <v>1</v>
      </c>
      <c r="F1039" s="47">
        <f t="shared" si="40"/>
        <v>6</v>
      </c>
    </row>
    <row r="1040" spans="1:6" x14ac:dyDescent="0.25">
      <c r="A1040" s="5" t="s">
        <v>30</v>
      </c>
      <c r="B1040" s="2">
        <v>43936</v>
      </c>
      <c r="C1040" s="1">
        <v>-1</v>
      </c>
      <c r="D1040" s="47">
        <v>31</v>
      </c>
      <c r="F1040" s="47">
        <f t="shared" si="40"/>
        <v>0</v>
      </c>
    </row>
    <row r="1041" spans="1:6" x14ac:dyDescent="0.25">
      <c r="A1041" s="5" t="s">
        <v>31</v>
      </c>
      <c r="B1041" s="2">
        <v>43936</v>
      </c>
      <c r="C1041" s="1">
        <v>0</v>
      </c>
      <c r="D1041" s="47">
        <v>21</v>
      </c>
      <c r="F1041" s="47">
        <f t="shared" si="40"/>
        <v>0</v>
      </c>
    </row>
    <row r="1042" spans="1:6" x14ac:dyDescent="0.25">
      <c r="A1042" s="5" t="s">
        <v>41</v>
      </c>
      <c r="B1042" s="2">
        <v>43936</v>
      </c>
      <c r="C1042" s="1">
        <v>0</v>
      </c>
      <c r="D1042" s="47">
        <v>0</v>
      </c>
      <c r="F1042" s="47">
        <f t="shared" si="40"/>
        <v>0</v>
      </c>
    </row>
    <row r="1043" spans="1:6" x14ac:dyDescent="0.25">
      <c r="A1043" s="5" t="s">
        <v>32</v>
      </c>
      <c r="B1043" s="2">
        <v>43936</v>
      </c>
      <c r="C1043" s="1">
        <v>0</v>
      </c>
      <c r="D1043" s="47">
        <v>5</v>
      </c>
      <c r="F1043" s="47">
        <f t="shared" si="40"/>
        <v>0</v>
      </c>
    </row>
    <row r="1044" spans="1:6" x14ac:dyDescent="0.25">
      <c r="A1044" s="5" t="s">
        <v>33</v>
      </c>
      <c r="B1044" s="2">
        <v>43936</v>
      </c>
      <c r="C1044" s="1">
        <v>0</v>
      </c>
      <c r="D1044" s="47">
        <v>5</v>
      </c>
      <c r="F1044" s="47">
        <f t="shared" si="40"/>
        <v>0</v>
      </c>
    </row>
    <row r="1045" spans="1:6" x14ac:dyDescent="0.25">
      <c r="A1045" s="5" t="s">
        <v>21</v>
      </c>
      <c r="B1045" s="2">
        <v>43936</v>
      </c>
      <c r="C1045" s="1">
        <v>3</v>
      </c>
      <c r="D1045" s="47">
        <v>31</v>
      </c>
      <c r="E1045" s="1">
        <v>1</v>
      </c>
      <c r="F1045" s="47">
        <f t="shared" si="40"/>
        <v>2</v>
      </c>
    </row>
    <row r="1046" spans="1:6" x14ac:dyDescent="0.25">
      <c r="A1046" s="5" t="s">
        <v>17</v>
      </c>
      <c r="B1046" s="2">
        <v>43936</v>
      </c>
      <c r="C1046" s="1">
        <v>1</v>
      </c>
      <c r="D1046" s="47">
        <v>63</v>
      </c>
      <c r="F1046" s="47">
        <f t="shared" si="40"/>
        <v>4</v>
      </c>
    </row>
    <row r="1047" spans="1:6" x14ac:dyDescent="0.25">
      <c r="A1047" s="5" t="s">
        <v>23</v>
      </c>
      <c r="B1047" s="2">
        <v>43936</v>
      </c>
      <c r="C1047" s="1">
        <v>0</v>
      </c>
      <c r="D1047" s="47">
        <v>3</v>
      </c>
      <c r="F1047" s="47">
        <f t="shared" si="40"/>
        <v>0</v>
      </c>
    </row>
    <row r="1048" spans="1:6" x14ac:dyDescent="0.25">
      <c r="A1048" s="5" t="s">
        <v>19</v>
      </c>
      <c r="B1048" s="2">
        <v>43936</v>
      </c>
      <c r="C1048" s="1">
        <v>1</v>
      </c>
      <c r="D1048" s="47">
        <v>91</v>
      </c>
      <c r="F1048" s="47">
        <f t="shared" si="40"/>
        <v>3</v>
      </c>
    </row>
    <row r="1049" spans="1:6" x14ac:dyDescent="0.25">
      <c r="A1049" s="5" t="s">
        <v>18</v>
      </c>
      <c r="B1049" s="2">
        <v>43936</v>
      </c>
      <c r="C1049" s="1">
        <v>12</v>
      </c>
      <c r="D1049" s="47">
        <v>106</v>
      </c>
      <c r="F1049" s="47">
        <f t="shared" si="40"/>
        <v>4</v>
      </c>
    </row>
    <row r="1050" spans="1:6" x14ac:dyDescent="0.25">
      <c r="A1050" s="5" t="s">
        <v>34</v>
      </c>
      <c r="B1050" s="2">
        <v>43936</v>
      </c>
      <c r="C1050" s="1">
        <v>1</v>
      </c>
      <c r="D1050" s="47">
        <v>4</v>
      </c>
      <c r="F1050" s="47">
        <f t="shared" si="40"/>
        <v>0</v>
      </c>
    </row>
    <row r="1051" spans="1:6" x14ac:dyDescent="0.25">
      <c r="A1051" s="5" t="s">
        <v>35</v>
      </c>
      <c r="B1051" s="2">
        <v>43936</v>
      </c>
      <c r="C1051" s="1">
        <v>0</v>
      </c>
      <c r="D1051" s="47">
        <v>2</v>
      </c>
      <c r="F1051" s="47">
        <f t="shared" si="40"/>
        <v>0</v>
      </c>
    </row>
    <row r="1052" spans="1:6" x14ac:dyDescent="0.25">
      <c r="A1052" s="5" t="s">
        <v>36</v>
      </c>
      <c r="B1052" s="2">
        <v>43936</v>
      </c>
      <c r="C1052" s="1">
        <v>0</v>
      </c>
      <c r="D1052" s="47">
        <v>11</v>
      </c>
      <c r="F1052" s="47">
        <f t="shared" si="40"/>
        <v>0</v>
      </c>
    </row>
    <row r="1053" spans="1:6" x14ac:dyDescent="0.25">
      <c r="A1053" s="5" t="s">
        <v>37</v>
      </c>
      <c r="B1053" s="2">
        <v>43936</v>
      </c>
      <c r="C1053" s="1">
        <v>0</v>
      </c>
      <c r="D1053" s="47">
        <v>40</v>
      </c>
      <c r="F1053" s="47">
        <f t="shared" si="40"/>
        <v>0</v>
      </c>
    </row>
    <row r="1054" spans="1:6" x14ac:dyDescent="0.25">
      <c r="A1054" s="5" t="s">
        <v>22</v>
      </c>
      <c r="B1054" s="2">
        <v>43936</v>
      </c>
      <c r="C1054" s="1">
        <v>2</v>
      </c>
      <c r="D1054" s="47">
        <v>209</v>
      </c>
      <c r="F1054" s="47">
        <f>E1054+F1030</f>
        <v>2</v>
      </c>
    </row>
    <row r="1055" spans="1:6" x14ac:dyDescent="0.25">
      <c r="A1055" s="5" t="s">
        <v>38</v>
      </c>
      <c r="B1055" s="2">
        <v>43936</v>
      </c>
      <c r="C1055" s="1">
        <v>0</v>
      </c>
      <c r="D1055" s="47">
        <v>12</v>
      </c>
      <c r="F1055" s="47">
        <f t="shared" si="40"/>
        <v>0</v>
      </c>
    </row>
    <row r="1056" spans="1:6" x14ac:dyDescent="0.25">
      <c r="A1056" s="5" t="s">
        <v>39</v>
      </c>
      <c r="B1056" s="2">
        <v>43936</v>
      </c>
      <c r="C1056" s="1">
        <v>3</v>
      </c>
      <c r="D1056" s="47">
        <v>110</v>
      </c>
      <c r="F1056" s="47">
        <f t="shared" si="40"/>
        <v>0</v>
      </c>
    </row>
    <row r="1057" spans="1:6" x14ac:dyDescent="0.25">
      <c r="A1057" s="5" t="s">
        <v>40</v>
      </c>
      <c r="B1057" s="2">
        <v>43936</v>
      </c>
      <c r="C1057" s="1">
        <v>0</v>
      </c>
      <c r="D1057" s="47">
        <v>30</v>
      </c>
      <c r="F1057" s="47">
        <f t="shared" si="40"/>
        <v>2</v>
      </c>
    </row>
    <row r="1058" spans="1:6" x14ac:dyDescent="0.25">
      <c r="A1058" s="34" t="s">
        <v>16</v>
      </c>
      <c r="B1058" s="2">
        <v>43937</v>
      </c>
      <c r="C1058" s="1">
        <v>30</v>
      </c>
      <c r="D1058" s="47">
        <v>759</v>
      </c>
      <c r="E1058" s="1">
        <v>5</v>
      </c>
      <c r="F1058" s="47">
        <f>E1058+F1034</f>
        <v>48</v>
      </c>
    </row>
    <row r="1059" spans="1:6" x14ac:dyDescent="0.25">
      <c r="A1059" s="5" t="s">
        <v>28</v>
      </c>
      <c r="B1059" s="2">
        <v>43937</v>
      </c>
      <c r="C1059" s="1">
        <v>0</v>
      </c>
      <c r="D1059" s="47">
        <v>0</v>
      </c>
      <c r="F1059" s="47">
        <f t="shared" ref="F1059:F1081" si="41">E1059+F1035</f>
        <v>0</v>
      </c>
    </row>
    <row r="1060" spans="1:6" x14ac:dyDescent="0.25">
      <c r="A1060" s="5" t="s">
        <v>15</v>
      </c>
      <c r="B1060" s="2">
        <v>43937</v>
      </c>
      <c r="C1060" s="1">
        <v>11</v>
      </c>
      <c r="D1060" s="47">
        <v>202</v>
      </c>
      <c r="E1060" s="1">
        <v>1</v>
      </c>
      <c r="F1060" s="47">
        <f t="shared" si="41"/>
        <v>9</v>
      </c>
    </row>
    <row r="1061" spans="1:6" x14ac:dyDescent="0.25">
      <c r="A1061" s="5" t="s">
        <v>29</v>
      </c>
      <c r="B1061" s="2">
        <v>43937</v>
      </c>
      <c r="C1061" s="1">
        <v>0</v>
      </c>
      <c r="D1061" s="47">
        <v>1</v>
      </c>
      <c r="F1061" s="47">
        <f t="shared" si="41"/>
        <v>1</v>
      </c>
    </row>
    <row r="1062" spans="1:6" x14ac:dyDescent="0.25">
      <c r="A1062" s="5" t="s">
        <v>43</v>
      </c>
      <c r="B1062" s="2">
        <v>43937</v>
      </c>
      <c r="C1062" s="1">
        <v>15</v>
      </c>
      <c r="D1062" s="47">
        <v>663</v>
      </c>
      <c r="E1062" s="1">
        <v>3</v>
      </c>
      <c r="F1062" s="47">
        <f t="shared" si="41"/>
        <v>35</v>
      </c>
    </row>
    <row r="1063" spans="1:6" x14ac:dyDescent="0.25">
      <c r="A1063" s="5" t="s">
        <v>20</v>
      </c>
      <c r="B1063" s="2">
        <v>43937</v>
      </c>
      <c r="C1063" s="1">
        <v>13</v>
      </c>
      <c r="D1063" s="47">
        <v>241</v>
      </c>
      <c r="F1063" s="47">
        <f t="shared" si="41"/>
        <v>6</v>
      </c>
    </row>
    <row r="1064" spans="1:6" x14ac:dyDescent="0.25">
      <c r="A1064" s="5" t="s">
        <v>30</v>
      </c>
      <c r="B1064" s="2">
        <v>43937</v>
      </c>
      <c r="C1064" s="1">
        <v>0</v>
      </c>
      <c r="D1064" s="47">
        <v>31</v>
      </c>
      <c r="F1064" s="47">
        <f t="shared" si="41"/>
        <v>0</v>
      </c>
    </row>
    <row r="1065" spans="1:6" x14ac:dyDescent="0.25">
      <c r="A1065" s="5" t="s">
        <v>31</v>
      </c>
      <c r="B1065" s="2">
        <v>43937</v>
      </c>
      <c r="C1065" s="1">
        <v>1</v>
      </c>
      <c r="D1065" s="47">
        <v>22</v>
      </c>
      <c r="F1065" s="47">
        <f t="shared" si="41"/>
        <v>0</v>
      </c>
    </row>
    <row r="1066" spans="1:6" x14ac:dyDescent="0.25">
      <c r="A1066" s="5" t="s">
        <v>41</v>
      </c>
      <c r="B1066" s="2">
        <v>43937</v>
      </c>
      <c r="C1066" s="1">
        <v>0</v>
      </c>
      <c r="D1066" s="47">
        <v>0</v>
      </c>
      <c r="F1066" s="47">
        <f t="shared" si="41"/>
        <v>0</v>
      </c>
    </row>
    <row r="1067" spans="1:6" x14ac:dyDescent="0.25">
      <c r="A1067" s="5" t="s">
        <v>32</v>
      </c>
      <c r="B1067" s="2">
        <v>43937</v>
      </c>
      <c r="C1067" s="1">
        <v>0</v>
      </c>
      <c r="D1067" s="47">
        <v>5</v>
      </c>
      <c r="F1067" s="47">
        <f t="shared" si="41"/>
        <v>0</v>
      </c>
    </row>
    <row r="1068" spans="1:6" x14ac:dyDescent="0.25">
      <c r="A1068" s="5" t="s">
        <v>33</v>
      </c>
      <c r="B1068" s="2">
        <v>43937</v>
      </c>
      <c r="C1068" s="1">
        <v>0</v>
      </c>
      <c r="D1068" s="47">
        <v>5</v>
      </c>
      <c r="F1068" s="47">
        <f t="shared" si="41"/>
        <v>0</v>
      </c>
    </row>
    <row r="1069" spans="1:6" x14ac:dyDescent="0.25">
      <c r="A1069" s="5" t="s">
        <v>21</v>
      </c>
      <c r="B1069" s="2">
        <v>43937</v>
      </c>
      <c r="C1069" s="1">
        <v>3</v>
      </c>
      <c r="D1069" s="47">
        <v>34</v>
      </c>
      <c r="F1069" s="47">
        <f t="shared" si="41"/>
        <v>2</v>
      </c>
    </row>
    <row r="1070" spans="1:6" x14ac:dyDescent="0.25">
      <c r="A1070" s="5" t="s">
        <v>17</v>
      </c>
      <c r="B1070" s="2">
        <v>43937</v>
      </c>
      <c r="C1070" s="1">
        <v>5</v>
      </c>
      <c r="D1070" s="47">
        <v>68</v>
      </c>
      <c r="E1070" s="1">
        <v>1</v>
      </c>
      <c r="F1070" s="47">
        <f t="shared" si="41"/>
        <v>5</v>
      </c>
    </row>
    <row r="1071" spans="1:6" x14ac:dyDescent="0.25">
      <c r="A1071" s="5" t="s">
        <v>23</v>
      </c>
      <c r="B1071" s="2">
        <v>43937</v>
      </c>
      <c r="C1071" s="1">
        <v>0</v>
      </c>
      <c r="D1071" s="47">
        <v>3</v>
      </c>
      <c r="F1071" s="47">
        <f t="shared" si="41"/>
        <v>0</v>
      </c>
    </row>
    <row r="1072" spans="1:6" x14ac:dyDescent="0.25">
      <c r="A1072" s="5" t="s">
        <v>19</v>
      </c>
      <c r="B1072" s="2">
        <v>43937</v>
      </c>
      <c r="C1072" s="1">
        <v>1</v>
      </c>
      <c r="D1072" s="47">
        <v>92</v>
      </c>
      <c r="F1072" s="47">
        <f t="shared" si="41"/>
        <v>3</v>
      </c>
    </row>
    <row r="1073" spans="1:6" x14ac:dyDescent="0.25">
      <c r="A1073" s="5" t="s">
        <v>18</v>
      </c>
      <c r="B1073" s="2">
        <v>43937</v>
      </c>
      <c r="C1073" s="1">
        <v>9</v>
      </c>
      <c r="D1073" s="47">
        <v>115</v>
      </c>
      <c r="F1073" s="47">
        <f t="shared" si="41"/>
        <v>4</v>
      </c>
    </row>
    <row r="1074" spans="1:6" x14ac:dyDescent="0.25">
      <c r="A1074" s="5" t="s">
        <v>34</v>
      </c>
      <c r="B1074" s="2">
        <v>43937</v>
      </c>
      <c r="C1074" s="1">
        <v>-1</v>
      </c>
      <c r="D1074" s="47">
        <v>3</v>
      </c>
      <c r="F1074" s="47">
        <f t="shared" si="41"/>
        <v>0</v>
      </c>
    </row>
    <row r="1075" spans="1:6" x14ac:dyDescent="0.25">
      <c r="A1075" s="5" t="s">
        <v>35</v>
      </c>
      <c r="B1075" s="2">
        <v>43937</v>
      </c>
      <c r="C1075" s="1">
        <v>0</v>
      </c>
      <c r="D1075" s="47">
        <v>2</v>
      </c>
      <c r="F1075" s="47">
        <f t="shared" si="41"/>
        <v>0</v>
      </c>
    </row>
    <row r="1076" spans="1:6" x14ac:dyDescent="0.25">
      <c r="A1076" s="5" t="s">
        <v>36</v>
      </c>
      <c r="B1076" s="2">
        <v>43937</v>
      </c>
      <c r="C1076" s="1">
        <v>0</v>
      </c>
      <c r="D1076" s="47">
        <v>11</v>
      </c>
      <c r="F1076" s="47">
        <f t="shared" si="41"/>
        <v>0</v>
      </c>
    </row>
    <row r="1077" spans="1:6" x14ac:dyDescent="0.25">
      <c r="A1077" s="5" t="s">
        <v>37</v>
      </c>
      <c r="B1077" s="2">
        <v>43937</v>
      </c>
      <c r="C1077" s="1">
        <v>0</v>
      </c>
      <c r="D1077" s="47">
        <v>40</v>
      </c>
      <c r="F1077" s="47">
        <f t="shared" si="41"/>
        <v>0</v>
      </c>
    </row>
    <row r="1078" spans="1:6" x14ac:dyDescent="0.25">
      <c r="A1078" s="5" t="s">
        <v>22</v>
      </c>
      <c r="B1078" s="2">
        <v>43937</v>
      </c>
      <c r="C1078" s="1">
        <v>3</v>
      </c>
      <c r="D1078" s="47">
        <v>212</v>
      </c>
      <c r="F1078" s="47">
        <f>E1078+F1054</f>
        <v>2</v>
      </c>
    </row>
    <row r="1079" spans="1:6" x14ac:dyDescent="0.25">
      <c r="A1079" s="5" t="s">
        <v>38</v>
      </c>
      <c r="B1079" s="2">
        <v>43937</v>
      </c>
      <c r="C1079" s="1">
        <v>0</v>
      </c>
      <c r="D1079" s="47">
        <v>12</v>
      </c>
      <c r="F1079" s="47">
        <f t="shared" si="41"/>
        <v>0</v>
      </c>
    </row>
    <row r="1080" spans="1:6" x14ac:dyDescent="0.25">
      <c r="A1080" s="5" t="s">
        <v>39</v>
      </c>
      <c r="B1080" s="2">
        <v>43937</v>
      </c>
      <c r="C1080" s="1">
        <v>7</v>
      </c>
      <c r="D1080" s="47">
        <v>117</v>
      </c>
      <c r="F1080" s="47">
        <f t="shared" si="41"/>
        <v>0</v>
      </c>
    </row>
    <row r="1081" spans="1:6" x14ac:dyDescent="0.25">
      <c r="A1081" s="5" t="s">
        <v>40</v>
      </c>
      <c r="B1081" s="2">
        <v>43937</v>
      </c>
      <c r="C1081" s="1">
        <v>0</v>
      </c>
      <c r="D1081" s="47">
        <v>30</v>
      </c>
      <c r="F1081" s="47">
        <f t="shared" si="41"/>
        <v>2</v>
      </c>
    </row>
    <row r="1082" spans="1:6" x14ac:dyDescent="0.25">
      <c r="A1082" s="34" t="s">
        <v>16</v>
      </c>
      <c r="B1082" s="2">
        <v>43938</v>
      </c>
      <c r="C1082" s="1">
        <v>35</v>
      </c>
      <c r="D1082" s="47">
        <v>794</v>
      </c>
      <c r="E1082" s="1">
        <v>3</v>
      </c>
      <c r="F1082" s="47">
        <f>E1082+F1058</f>
        <v>51</v>
      </c>
    </row>
    <row r="1083" spans="1:6" x14ac:dyDescent="0.25">
      <c r="A1083" s="5" t="s">
        <v>28</v>
      </c>
      <c r="B1083" s="2">
        <v>43938</v>
      </c>
      <c r="C1083" s="1">
        <v>0</v>
      </c>
      <c r="D1083" s="47">
        <v>0</v>
      </c>
      <c r="F1083" s="47">
        <f t="shared" ref="F1083:F1105" si="42">E1083+F1059</f>
        <v>0</v>
      </c>
    </row>
    <row r="1084" spans="1:6" x14ac:dyDescent="0.25">
      <c r="A1084" s="5" t="s">
        <v>15</v>
      </c>
      <c r="B1084" s="2">
        <v>43938</v>
      </c>
      <c r="C1084" s="1">
        <v>22</v>
      </c>
      <c r="D1084" s="47">
        <v>224</v>
      </c>
      <c r="F1084" s="47">
        <f t="shared" si="42"/>
        <v>9</v>
      </c>
    </row>
    <row r="1085" spans="1:6" x14ac:dyDescent="0.25">
      <c r="A1085" s="5" t="s">
        <v>29</v>
      </c>
      <c r="B1085" s="2">
        <v>43938</v>
      </c>
      <c r="C1085" s="1">
        <v>0</v>
      </c>
      <c r="D1085" s="47">
        <v>1</v>
      </c>
      <c r="F1085" s="47">
        <f t="shared" si="42"/>
        <v>1</v>
      </c>
    </row>
    <row r="1086" spans="1:6" x14ac:dyDescent="0.25">
      <c r="A1086" s="5" t="s">
        <v>43</v>
      </c>
      <c r="B1086" s="2">
        <v>43938</v>
      </c>
      <c r="C1086" s="1">
        <v>14</v>
      </c>
      <c r="D1086" s="47">
        <v>677</v>
      </c>
      <c r="E1086" s="1">
        <v>1</v>
      </c>
      <c r="F1086" s="47">
        <f t="shared" si="42"/>
        <v>36</v>
      </c>
    </row>
    <row r="1087" spans="1:6" x14ac:dyDescent="0.25">
      <c r="A1087" s="5" t="s">
        <v>20</v>
      </c>
      <c r="B1087" s="2">
        <v>43938</v>
      </c>
      <c r="C1087" s="1">
        <v>6</v>
      </c>
      <c r="D1087" s="47">
        <v>247</v>
      </c>
      <c r="F1087" s="47">
        <f t="shared" si="42"/>
        <v>6</v>
      </c>
    </row>
    <row r="1088" spans="1:6" x14ac:dyDescent="0.25">
      <c r="A1088" s="5" t="s">
        <v>30</v>
      </c>
      <c r="B1088" s="2">
        <v>43938</v>
      </c>
      <c r="C1088" s="1">
        <v>0</v>
      </c>
      <c r="D1088" s="47">
        <v>31</v>
      </c>
      <c r="F1088" s="47">
        <f t="shared" si="42"/>
        <v>0</v>
      </c>
    </row>
    <row r="1089" spans="1:6" x14ac:dyDescent="0.25">
      <c r="A1089" s="5" t="s">
        <v>31</v>
      </c>
      <c r="B1089" s="2">
        <v>43938</v>
      </c>
      <c r="C1089" s="1">
        <v>0</v>
      </c>
      <c r="D1089" s="47">
        <v>22</v>
      </c>
      <c r="F1089" s="47">
        <f t="shared" si="42"/>
        <v>0</v>
      </c>
    </row>
    <row r="1090" spans="1:6" x14ac:dyDescent="0.25">
      <c r="A1090" s="5" t="s">
        <v>41</v>
      </c>
      <c r="B1090" s="2">
        <v>43938</v>
      </c>
      <c r="C1090" s="1">
        <v>0</v>
      </c>
      <c r="D1090" s="47">
        <v>0</v>
      </c>
      <c r="F1090" s="47">
        <f t="shared" si="42"/>
        <v>0</v>
      </c>
    </row>
    <row r="1091" spans="1:6" x14ac:dyDescent="0.25">
      <c r="A1091" s="5" t="s">
        <v>32</v>
      </c>
      <c r="B1091" s="2">
        <v>43938</v>
      </c>
      <c r="C1091" s="1">
        <v>0</v>
      </c>
      <c r="D1091" s="47">
        <v>5</v>
      </c>
      <c r="F1091" s="47">
        <f t="shared" si="42"/>
        <v>0</v>
      </c>
    </row>
    <row r="1092" spans="1:6" x14ac:dyDescent="0.25">
      <c r="A1092" s="5" t="s">
        <v>33</v>
      </c>
      <c r="B1092" s="2">
        <v>43938</v>
      </c>
      <c r="C1092" s="1">
        <v>0</v>
      </c>
      <c r="D1092" s="47">
        <v>5</v>
      </c>
      <c r="F1092" s="47">
        <f t="shared" si="42"/>
        <v>0</v>
      </c>
    </row>
    <row r="1093" spans="1:6" x14ac:dyDescent="0.25">
      <c r="A1093" s="5" t="s">
        <v>21</v>
      </c>
      <c r="B1093" s="2">
        <v>43938</v>
      </c>
      <c r="C1093" s="1">
        <v>1</v>
      </c>
      <c r="D1093" s="47">
        <v>35</v>
      </c>
      <c r="E1093" s="1">
        <v>1</v>
      </c>
      <c r="F1093" s="47">
        <f t="shared" si="42"/>
        <v>3</v>
      </c>
    </row>
    <row r="1094" spans="1:6" x14ac:dyDescent="0.25">
      <c r="A1094" s="5" t="s">
        <v>17</v>
      </c>
      <c r="B1094" s="2">
        <v>43938</v>
      </c>
      <c r="C1094" s="1">
        <v>1</v>
      </c>
      <c r="D1094" s="47">
        <v>69</v>
      </c>
      <c r="E1094" s="1">
        <v>2</v>
      </c>
      <c r="F1094" s="47">
        <f t="shared" si="42"/>
        <v>7</v>
      </c>
    </row>
    <row r="1095" spans="1:6" x14ac:dyDescent="0.25">
      <c r="A1095" s="5" t="s">
        <v>23</v>
      </c>
      <c r="B1095" s="2">
        <v>43938</v>
      </c>
      <c r="C1095" s="1">
        <v>1</v>
      </c>
      <c r="D1095" s="47">
        <v>4</v>
      </c>
      <c r="F1095" s="47">
        <f t="shared" si="42"/>
        <v>0</v>
      </c>
    </row>
    <row r="1096" spans="1:6" x14ac:dyDescent="0.25">
      <c r="A1096" s="5" t="s">
        <v>19</v>
      </c>
      <c r="B1096" s="2">
        <v>43938</v>
      </c>
      <c r="C1096" s="1">
        <v>1</v>
      </c>
      <c r="D1096" s="47">
        <v>93</v>
      </c>
      <c r="F1096" s="47">
        <f t="shared" si="42"/>
        <v>3</v>
      </c>
    </row>
    <row r="1097" spans="1:6" x14ac:dyDescent="0.25">
      <c r="A1097" s="5" t="s">
        <v>18</v>
      </c>
      <c r="B1097" s="2">
        <v>43938</v>
      </c>
      <c r="C1097" s="1">
        <v>1</v>
      </c>
      <c r="D1097" s="47">
        <v>116</v>
      </c>
      <c r="F1097" s="47">
        <f t="shared" si="42"/>
        <v>4</v>
      </c>
    </row>
    <row r="1098" spans="1:6" x14ac:dyDescent="0.25">
      <c r="A1098" s="5" t="s">
        <v>34</v>
      </c>
      <c r="B1098" s="2">
        <v>43938</v>
      </c>
      <c r="C1098" s="1">
        <v>0</v>
      </c>
      <c r="D1098" s="47">
        <v>3</v>
      </c>
      <c r="F1098" s="47">
        <f t="shared" si="42"/>
        <v>0</v>
      </c>
    </row>
    <row r="1099" spans="1:6" x14ac:dyDescent="0.25">
      <c r="A1099" s="5" t="s">
        <v>35</v>
      </c>
      <c r="B1099" s="2">
        <v>43938</v>
      </c>
      <c r="C1099" s="1">
        <v>0</v>
      </c>
      <c r="D1099" s="47">
        <v>2</v>
      </c>
      <c r="F1099" s="47">
        <f t="shared" si="42"/>
        <v>0</v>
      </c>
    </row>
    <row r="1100" spans="1:6" x14ac:dyDescent="0.25">
      <c r="A1100" s="5" t="s">
        <v>36</v>
      </c>
      <c r="B1100" s="2">
        <v>43938</v>
      </c>
      <c r="C1100" s="1">
        <v>0</v>
      </c>
      <c r="D1100" s="47">
        <v>11</v>
      </c>
      <c r="F1100" s="47">
        <f t="shared" si="42"/>
        <v>0</v>
      </c>
    </row>
    <row r="1101" spans="1:6" x14ac:dyDescent="0.25">
      <c r="A1101" s="5" t="s">
        <v>37</v>
      </c>
      <c r="B1101" s="2">
        <v>43938</v>
      </c>
      <c r="C1101" s="1">
        <v>0</v>
      </c>
      <c r="D1101" s="47">
        <v>40</v>
      </c>
      <c r="F1101" s="47">
        <f t="shared" si="42"/>
        <v>0</v>
      </c>
    </row>
    <row r="1102" spans="1:6" x14ac:dyDescent="0.25">
      <c r="A1102" s="5" t="s">
        <v>22</v>
      </c>
      <c r="B1102" s="2">
        <v>43938</v>
      </c>
      <c r="C1102" s="1">
        <v>6</v>
      </c>
      <c r="D1102" s="47">
        <v>218</v>
      </c>
      <c r="F1102" s="47">
        <f>E1102+F1078</f>
        <v>2</v>
      </c>
    </row>
    <row r="1103" spans="1:6" x14ac:dyDescent="0.25">
      <c r="A1103" s="5" t="s">
        <v>38</v>
      </c>
      <c r="B1103" s="2">
        <v>43938</v>
      </c>
      <c r="C1103" s="1">
        <v>0</v>
      </c>
      <c r="D1103" s="47">
        <v>12</v>
      </c>
      <c r="F1103" s="47">
        <f t="shared" si="42"/>
        <v>0</v>
      </c>
    </row>
    <row r="1104" spans="1:6" x14ac:dyDescent="0.25">
      <c r="A1104" s="5" t="s">
        <v>39</v>
      </c>
      <c r="B1104" s="2">
        <v>43938</v>
      </c>
      <c r="C1104" s="1">
        <v>2</v>
      </c>
      <c r="D1104" s="47">
        <v>119</v>
      </c>
      <c r="F1104" s="47">
        <f t="shared" si="42"/>
        <v>0</v>
      </c>
    </row>
    <row r="1105" spans="1:6" x14ac:dyDescent="0.25">
      <c r="A1105" s="5" t="s">
        <v>40</v>
      </c>
      <c r="B1105" s="2">
        <v>43938</v>
      </c>
      <c r="C1105" s="1">
        <v>0</v>
      </c>
      <c r="D1105" s="47">
        <v>30</v>
      </c>
      <c r="F1105" s="47">
        <f t="shared" si="42"/>
        <v>2</v>
      </c>
    </row>
    <row r="1106" spans="1:6" x14ac:dyDescent="0.25">
      <c r="A1106" s="34" t="s">
        <v>16</v>
      </c>
      <c r="B1106" s="2">
        <v>43939</v>
      </c>
      <c r="C1106" s="1">
        <v>31</v>
      </c>
      <c r="D1106" s="47">
        <v>825</v>
      </c>
      <c r="E1106" s="1">
        <v>2</v>
      </c>
      <c r="F1106" s="47">
        <f>E1106+F1082</f>
        <v>53</v>
      </c>
    </row>
    <row r="1107" spans="1:6" x14ac:dyDescent="0.25">
      <c r="A1107" s="5" t="s">
        <v>28</v>
      </c>
      <c r="B1107" s="2">
        <v>43939</v>
      </c>
      <c r="C1107" s="1">
        <v>0</v>
      </c>
      <c r="D1107" s="47">
        <v>0</v>
      </c>
      <c r="F1107" s="47">
        <f t="shared" ref="F1107:F1129" si="43">E1107+F1083</f>
        <v>0</v>
      </c>
    </row>
    <row r="1108" spans="1:6" x14ac:dyDescent="0.25">
      <c r="A1108" s="5" t="s">
        <v>15</v>
      </c>
      <c r="B1108" s="2">
        <v>43939</v>
      </c>
      <c r="C1108" s="1">
        <v>24</v>
      </c>
      <c r="D1108" s="47">
        <v>248</v>
      </c>
      <c r="F1108" s="47">
        <f t="shared" si="43"/>
        <v>9</v>
      </c>
    </row>
    <row r="1109" spans="1:6" x14ac:dyDescent="0.25">
      <c r="A1109" s="5" t="s">
        <v>29</v>
      </c>
      <c r="B1109" s="2">
        <v>43939</v>
      </c>
      <c r="C1109" s="1">
        <v>0</v>
      </c>
      <c r="D1109" s="47">
        <v>1</v>
      </c>
      <c r="F1109" s="47">
        <f t="shared" si="43"/>
        <v>1</v>
      </c>
    </row>
    <row r="1110" spans="1:6" x14ac:dyDescent="0.25">
      <c r="A1110" s="5" t="s">
        <v>43</v>
      </c>
      <c r="B1110" s="2">
        <v>43939</v>
      </c>
      <c r="C1110" s="1">
        <v>14</v>
      </c>
      <c r="D1110" s="47">
        <v>691</v>
      </c>
      <c r="E1110" s="1">
        <v>1</v>
      </c>
      <c r="F1110" s="47">
        <f t="shared" si="43"/>
        <v>37</v>
      </c>
    </row>
    <row r="1111" spans="1:6" x14ac:dyDescent="0.25">
      <c r="A1111" s="5" t="s">
        <v>20</v>
      </c>
      <c r="B1111" s="2">
        <v>43939</v>
      </c>
      <c r="C1111" s="1">
        <v>2</v>
      </c>
      <c r="D1111" s="47">
        <v>249</v>
      </c>
      <c r="F1111" s="47">
        <f t="shared" si="43"/>
        <v>6</v>
      </c>
    </row>
    <row r="1112" spans="1:6" x14ac:dyDescent="0.25">
      <c r="A1112" s="5" t="s">
        <v>30</v>
      </c>
      <c r="B1112" s="2">
        <v>43939</v>
      </c>
      <c r="C1112" s="1">
        <v>0</v>
      </c>
      <c r="D1112" s="47">
        <v>31</v>
      </c>
      <c r="F1112" s="47">
        <f t="shared" si="43"/>
        <v>0</v>
      </c>
    </row>
    <row r="1113" spans="1:6" x14ac:dyDescent="0.25">
      <c r="A1113" s="5" t="s">
        <v>31</v>
      </c>
      <c r="B1113" s="2">
        <v>43939</v>
      </c>
      <c r="C1113" s="1">
        <v>0</v>
      </c>
      <c r="D1113" s="47">
        <v>22</v>
      </c>
      <c r="F1113" s="47">
        <f t="shared" si="43"/>
        <v>0</v>
      </c>
    </row>
    <row r="1114" spans="1:6" x14ac:dyDescent="0.25">
      <c r="A1114" s="5" t="s">
        <v>41</v>
      </c>
      <c r="B1114" s="2">
        <v>43939</v>
      </c>
      <c r="C1114" s="1">
        <v>0</v>
      </c>
      <c r="D1114" s="47">
        <v>0</v>
      </c>
      <c r="F1114" s="47">
        <f t="shared" si="43"/>
        <v>0</v>
      </c>
    </row>
    <row r="1115" spans="1:6" x14ac:dyDescent="0.25">
      <c r="A1115" s="5" t="s">
        <v>32</v>
      </c>
      <c r="B1115" s="2">
        <v>43939</v>
      </c>
      <c r="C1115" s="1">
        <v>0</v>
      </c>
      <c r="D1115" s="47">
        <v>5</v>
      </c>
      <c r="F1115" s="47">
        <f t="shared" si="43"/>
        <v>0</v>
      </c>
    </row>
    <row r="1116" spans="1:6" x14ac:dyDescent="0.25">
      <c r="A1116" s="5" t="s">
        <v>33</v>
      </c>
      <c r="B1116" s="2">
        <v>43939</v>
      </c>
      <c r="C1116" s="1">
        <v>0</v>
      </c>
      <c r="D1116" s="47">
        <v>5</v>
      </c>
      <c r="F1116" s="47">
        <f t="shared" si="43"/>
        <v>0</v>
      </c>
    </row>
    <row r="1117" spans="1:6" x14ac:dyDescent="0.25">
      <c r="A1117" s="5" t="s">
        <v>21</v>
      </c>
      <c r="B1117" s="2">
        <v>43939</v>
      </c>
      <c r="C1117" s="1">
        <v>0</v>
      </c>
      <c r="D1117" s="47">
        <v>35</v>
      </c>
      <c r="F1117" s="47">
        <f t="shared" si="43"/>
        <v>3</v>
      </c>
    </row>
    <row r="1118" spans="1:6" x14ac:dyDescent="0.25">
      <c r="A1118" s="5" t="s">
        <v>17</v>
      </c>
      <c r="B1118" s="2">
        <v>43939</v>
      </c>
      <c r="C1118" s="1">
        <v>0</v>
      </c>
      <c r="D1118" s="47">
        <v>69</v>
      </c>
      <c r="F1118" s="47">
        <f t="shared" si="43"/>
        <v>7</v>
      </c>
    </row>
    <row r="1119" spans="1:6" x14ac:dyDescent="0.25">
      <c r="A1119" s="5" t="s">
        <v>23</v>
      </c>
      <c r="B1119" s="2">
        <v>43939</v>
      </c>
      <c r="C1119" s="1">
        <v>1</v>
      </c>
      <c r="D1119" s="47">
        <v>5</v>
      </c>
      <c r="F1119" s="47">
        <f t="shared" si="43"/>
        <v>0</v>
      </c>
    </row>
    <row r="1120" spans="1:6" x14ac:dyDescent="0.25">
      <c r="A1120" s="5" t="s">
        <v>19</v>
      </c>
      <c r="B1120" s="2">
        <v>43939</v>
      </c>
      <c r="C1120" s="1">
        <v>3</v>
      </c>
      <c r="D1120" s="47">
        <v>96</v>
      </c>
      <c r="F1120" s="47">
        <f t="shared" si="43"/>
        <v>3</v>
      </c>
    </row>
    <row r="1121" spans="1:6" x14ac:dyDescent="0.25">
      <c r="A1121" s="5" t="s">
        <v>18</v>
      </c>
      <c r="B1121" s="2">
        <v>43939</v>
      </c>
      <c r="C1121" s="1">
        <v>3</v>
      </c>
      <c r="D1121" s="47">
        <v>119</v>
      </c>
      <c r="F1121" s="47">
        <f t="shared" si="43"/>
        <v>4</v>
      </c>
    </row>
    <row r="1122" spans="1:6" x14ac:dyDescent="0.25">
      <c r="A1122" s="5" t="s">
        <v>34</v>
      </c>
      <c r="B1122" s="2">
        <v>43939</v>
      </c>
      <c r="C1122" s="1">
        <v>0</v>
      </c>
      <c r="D1122" s="47">
        <v>3</v>
      </c>
      <c r="F1122" s="47">
        <f t="shared" si="43"/>
        <v>0</v>
      </c>
    </row>
    <row r="1123" spans="1:6" x14ac:dyDescent="0.25">
      <c r="A1123" s="5" t="s">
        <v>35</v>
      </c>
      <c r="B1123" s="2">
        <v>43939</v>
      </c>
      <c r="C1123" s="1">
        <v>0</v>
      </c>
      <c r="D1123" s="47">
        <v>2</v>
      </c>
      <c r="F1123" s="47">
        <f t="shared" si="43"/>
        <v>0</v>
      </c>
    </row>
    <row r="1124" spans="1:6" x14ac:dyDescent="0.25">
      <c r="A1124" s="5" t="s">
        <v>36</v>
      </c>
      <c r="B1124" s="2">
        <v>43939</v>
      </c>
      <c r="C1124" s="1">
        <v>0</v>
      </c>
      <c r="D1124" s="47">
        <v>11</v>
      </c>
      <c r="F1124" s="47">
        <f t="shared" si="43"/>
        <v>0</v>
      </c>
    </row>
    <row r="1125" spans="1:6" x14ac:dyDescent="0.25">
      <c r="A1125" s="5" t="s">
        <v>37</v>
      </c>
      <c r="B1125" s="2">
        <v>43939</v>
      </c>
      <c r="C1125" s="1">
        <v>0</v>
      </c>
      <c r="D1125" s="47">
        <v>40</v>
      </c>
      <c r="F1125" s="47">
        <f t="shared" si="43"/>
        <v>0</v>
      </c>
    </row>
    <row r="1126" spans="1:6" x14ac:dyDescent="0.25">
      <c r="A1126" s="5" t="s">
        <v>22</v>
      </c>
      <c r="B1126" s="2">
        <v>43939</v>
      </c>
      <c r="C1126" s="1">
        <v>3</v>
      </c>
      <c r="D1126" s="47">
        <v>221</v>
      </c>
      <c r="F1126" s="47">
        <f>E1126+F1102</f>
        <v>2</v>
      </c>
    </row>
    <row r="1127" spans="1:6" x14ac:dyDescent="0.25">
      <c r="A1127" s="5" t="s">
        <v>38</v>
      </c>
      <c r="B1127" s="2">
        <v>43939</v>
      </c>
      <c r="C1127" s="1">
        <v>0</v>
      </c>
      <c r="D1127" s="47">
        <v>12</v>
      </c>
      <c r="F1127" s="47">
        <f t="shared" si="43"/>
        <v>0</v>
      </c>
    </row>
    <row r="1128" spans="1:6" x14ac:dyDescent="0.25">
      <c r="A1128" s="5" t="s">
        <v>39</v>
      </c>
      <c r="B1128" s="2">
        <v>43939</v>
      </c>
      <c r="C1128" s="1">
        <v>0</v>
      </c>
      <c r="D1128" s="47">
        <v>119</v>
      </c>
      <c r="F1128" s="47">
        <f t="shared" si="43"/>
        <v>0</v>
      </c>
    </row>
    <row r="1129" spans="1:6" x14ac:dyDescent="0.25">
      <c r="A1129" s="5" t="s">
        <v>40</v>
      </c>
      <c r="B1129" s="2">
        <v>43939</v>
      </c>
      <c r="C1129" s="1">
        <v>0</v>
      </c>
      <c r="D1129" s="47">
        <v>30</v>
      </c>
      <c r="F1129" s="47">
        <f t="shared" si="43"/>
        <v>2</v>
      </c>
    </row>
    <row r="1130" spans="1:6" x14ac:dyDescent="0.25">
      <c r="A1130" s="34" t="s">
        <v>16</v>
      </c>
      <c r="B1130" s="2">
        <v>43940</v>
      </c>
      <c r="C1130" s="1">
        <v>48</v>
      </c>
      <c r="D1130" s="47">
        <v>873</v>
      </c>
      <c r="E1130" s="1">
        <v>1</v>
      </c>
      <c r="F1130" s="47">
        <f>E1130+F1106</f>
        <v>54</v>
      </c>
    </row>
    <row r="1131" spans="1:6" x14ac:dyDescent="0.25">
      <c r="A1131" s="5" t="s">
        <v>28</v>
      </c>
      <c r="B1131" s="2">
        <v>43940</v>
      </c>
      <c r="C1131" s="1">
        <v>0</v>
      </c>
      <c r="D1131" s="47">
        <v>0</v>
      </c>
      <c r="F1131" s="47">
        <f t="shared" ref="F1131:F1153" si="44">E1131+F1107</f>
        <v>0</v>
      </c>
    </row>
    <row r="1132" spans="1:6" x14ac:dyDescent="0.25">
      <c r="A1132" s="5" t="s">
        <v>15</v>
      </c>
      <c r="B1132" s="2">
        <v>43940</v>
      </c>
      <c r="C1132" s="1">
        <v>5</v>
      </c>
      <c r="D1132" s="47">
        <v>253</v>
      </c>
      <c r="F1132" s="47">
        <f t="shared" si="44"/>
        <v>9</v>
      </c>
    </row>
    <row r="1133" spans="1:6" x14ac:dyDescent="0.25">
      <c r="A1133" s="5" t="s">
        <v>29</v>
      </c>
      <c r="B1133" s="2">
        <v>43940</v>
      </c>
      <c r="C1133" s="1">
        <v>1</v>
      </c>
      <c r="D1133" s="47">
        <v>2</v>
      </c>
      <c r="F1133" s="47">
        <f t="shared" si="44"/>
        <v>1</v>
      </c>
    </row>
    <row r="1134" spans="1:6" x14ac:dyDescent="0.25">
      <c r="A1134" s="5" t="s">
        <v>43</v>
      </c>
      <c r="B1134" s="2">
        <v>43940</v>
      </c>
      <c r="C1134" s="1">
        <v>15</v>
      </c>
      <c r="D1134" s="47">
        <v>706</v>
      </c>
      <c r="F1134" s="47">
        <f t="shared" si="44"/>
        <v>37</v>
      </c>
    </row>
    <row r="1135" spans="1:6" x14ac:dyDescent="0.25">
      <c r="A1135" s="5" t="s">
        <v>20</v>
      </c>
      <c r="B1135" s="2">
        <v>43940</v>
      </c>
      <c r="C1135" s="1">
        <v>11</v>
      </c>
      <c r="D1135" s="47">
        <v>260</v>
      </c>
      <c r="E1135" s="1">
        <v>1</v>
      </c>
      <c r="F1135" s="47">
        <f t="shared" si="44"/>
        <v>7</v>
      </c>
    </row>
    <row r="1136" spans="1:6" x14ac:dyDescent="0.25">
      <c r="A1136" s="5" t="s">
        <v>30</v>
      </c>
      <c r="B1136" s="2">
        <v>43940</v>
      </c>
      <c r="C1136" s="1">
        <v>0</v>
      </c>
      <c r="D1136" s="47">
        <v>31</v>
      </c>
      <c r="F1136" s="47">
        <f t="shared" si="44"/>
        <v>0</v>
      </c>
    </row>
    <row r="1137" spans="1:6" x14ac:dyDescent="0.25">
      <c r="A1137" s="5" t="s">
        <v>31</v>
      </c>
      <c r="B1137" s="2">
        <v>43940</v>
      </c>
      <c r="C1137" s="1">
        <v>0</v>
      </c>
      <c r="D1137" s="47">
        <v>22</v>
      </c>
      <c r="F1137" s="47">
        <f t="shared" si="44"/>
        <v>0</v>
      </c>
    </row>
    <row r="1138" spans="1:6" x14ac:dyDescent="0.25">
      <c r="A1138" s="5" t="s">
        <v>41</v>
      </c>
      <c r="B1138" s="2">
        <v>43940</v>
      </c>
      <c r="C1138" s="1">
        <v>0</v>
      </c>
      <c r="D1138" s="47">
        <v>0</v>
      </c>
      <c r="F1138" s="47">
        <f t="shared" si="44"/>
        <v>0</v>
      </c>
    </row>
    <row r="1139" spans="1:6" x14ac:dyDescent="0.25">
      <c r="A1139" s="5" t="s">
        <v>32</v>
      </c>
      <c r="B1139" s="2">
        <v>43940</v>
      </c>
      <c r="C1139" s="1">
        <v>0</v>
      </c>
      <c r="D1139" s="47">
        <v>5</v>
      </c>
      <c r="F1139" s="47">
        <f t="shared" si="44"/>
        <v>0</v>
      </c>
    </row>
    <row r="1140" spans="1:6" x14ac:dyDescent="0.25">
      <c r="A1140" s="5" t="s">
        <v>33</v>
      </c>
      <c r="B1140" s="2">
        <v>43940</v>
      </c>
      <c r="C1140" s="1">
        <v>0</v>
      </c>
      <c r="D1140" s="47">
        <v>5</v>
      </c>
      <c r="F1140" s="47">
        <f t="shared" si="44"/>
        <v>0</v>
      </c>
    </row>
    <row r="1141" spans="1:6" x14ac:dyDescent="0.25">
      <c r="A1141" s="5" t="s">
        <v>21</v>
      </c>
      <c r="B1141" s="2">
        <v>43940</v>
      </c>
      <c r="C1141" s="1">
        <v>4</v>
      </c>
      <c r="D1141" s="47">
        <v>39</v>
      </c>
      <c r="F1141" s="47">
        <f t="shared" si="44"/>
        <v>3</v>
      </c>
    </row>
    <row r="1142" spans="1:6" x14ac:dyDescent="0.25">
      <c r="A1142" s="5" t="s">
        <v>17</v>
      </c>
      <c r="B1142" s="2">
        <v>43940</v>
      </c>
      <c r="C1142" s="1">
        <v>3</v>
      </c>
      <c r="D1142" s="47">
        <v>72</v>
      </c>
      <c r="F1142" s="47">
        <f t="shared" si="44"/>
        <v>7</v>
      </c>
    </row>
    <row r="1143" spans="1:6" x14ac:dyDescent="0.25">
      <c r="A1143" s="5" t="s">
        <v>23</v>
      </c>
      <c r="B1143" s="2">
        <v>43940</v>
      </c>
      <c r="C1143" s="1">
        <v>0</v>
      </c>
      <c r="D1143" s="47">
        <v>5</v>
      </c>
      <c r="F1143" s="47">
        <f t="shared" si="44"/>
        <v>0</v>
      </c>
    </row>
    <row r="1144" spans="1:6" x14ac:dyDescent="0.25">
      <c r="A1144" s="5" t="s">
        <v>19</v>
      </c>
      <c r="B1144" s="2">
        <v>43940</v>
      </c>
      <c r="C1144" s="1">
        <v>3</v>
      </c>
      <c r="D1144" s="47">
        <v>99</v>
      </c>
      <c r="F1144" s="47">
        <f t="shared" si="44"/>
        <v>3</v>
      </c>
    </row>
    <row r="1145" spans="1:6" x14ac:dyDescent="0.25">
      <c r="A1145" s="5" t="s">
        <v>18</v>
      </c>
      <c r="B1145" s="2">
        <v>43940</v>
      </c>
      <c r="C1145" s="1">
        <v>8</v>
      </c>
      <c r="D1145" s="47">
        <v>127</v>
      </c>
      <c r="F1145" s="47">
        <f t="shared" si="44"/>
        <v>4</v>
      </c>
    </row>
    <row r="1146" spans="1:6" x14ac:dyDescent="0.25">
      <c r="A1146" s="5" t="s">
        <v>34</v>
      </c>
      <c r="B1146" s="2">
        <v>43940</v>
      </c>
      <c r="C1146" s="1">
        <v>0</v>
      </c>
      <c r="D1146" s="47">
        <v>3</v>
      </c>
      <c r="F1146" s="47">
        <f t="shared" si="44"/>
        <v>0</v>
      </c>
    </row>
    <row r="1147" spans="1:6" x14ac:dyDescent="0.25">
      <c r="A1147" s="5" t="s">
        <v>35</v>
      </c>
      <c r="B1147" s="2">
        <v>43940</v>
      </c>
      <c r="C1147" s="1">
        <v>0</v>
      </c>
      <c r="D1147" s="47">
        <v>2</v>
      </c>
      <c r="F1147" s="47">
        <f t="shared" si="44"/>
        <v>0</v>
      </c>
    </row>
    <row r="1148" spans="1:6" x14ac:dyDescent="0.25">
      <c r="A1148" s="5" t="s">
        <v>36</v>
      </c>
      <c r="B1148" s="2">
        <v>43940</v>
      </c>
      <c r="C1148" s="1">
        <v>0</v>
      </c>
      <c r="D1148" s="47">
        <v>11</v>
      </c>
      <c r="F1148" s="47">
        <f t="shared" si="44"/>
        <v>0</v>
      </c>
    </row>
    <row r="1149" spans="1:6" x14ac:dyDescent="0.25">
      <c r="A1149" s="5" t="s">
        <v>37</v>
      </c>
      <c r="B1149" s="2">
        <v>43940</v>
      </c>
      <c r="C1149" s="1">
        <v>0</v>
      </c>
      <c r="D1149" s="47">
        <v>40</v>
      </c>
      <c r="F1149" s="47">
        <f t="shared" si="44"/>
        <v>0</v>
      </c>
    </row>
    <row r="1150" spans="1:6" x14ac:dyDescent="0.25">
      <c r="A1150" s="5" t="s">
        <v>22</v>
      </c>
      <c r="B1150" s="2">
        <v>43940</v>
      </c>
      <c r="C1150" s="1">
        <v>1</v>
      </c>
      <c r="D1150" s="47">
        <v>222</v>
      </c>
      <c r="F1150" s="47">
        <f>E1150+F1126</f>
        <v>2</v>
      </c>
    </row>
    <row r="1151" spans="1:6" x14ac:dyDescent="0.25">
      <c r="A1151" s="5" t="s">
        <v>38</v>
      </c>
      <c r="B1151" s="2">
        <v>43940</v>
      </c>
      <c r="C1151" s="1">
        <v>0</v>
      </c>
      <c r="D1151" s="47">
        <v>12</v>
      </c>
      <c r="F1151" s="47">
        <f t="shared" si="44"/>
        <v>0</v>
      </c>
    </row>
    <row r="1152" spans="1:6" x14ac:dyDescent="0.25">
      <c r="A1152" s="5" t="s">
        <v>39</v>
      </c>
      <c r="B1152" s="2">
        <v>43940</v>
      </c>
      <c r="C1152" s="1">
        <v>3</v>
      </c>
      <c r="D1152" s="47">
        <v>122</v>
      </c>
      <c r="F1152" s="47">
        <f t="shared" si="44"/>
        <v>0</v>
      </c>
    </row>
    <row r="1153" spans="1:6" x14ac:dyDescent="0.25">
      <c r="A1153" s="5" t="s">
        <v>40</v>
      </c>
      <c r="B1153" s="2">
        <v>43940</v>
      </c>
      <c r="C1153" s="1">
        <v>0</v>
      </c>
      <c r="D1153" s="47">
        <v>30</v>
      </c>
      <c r="F1153" s="47">
        <f t="shared" si="44"/>
        <v>2</v>
      </c>
    </row>
    <row r="1154" spans="1:6" x14ac:dyDescent="0.25">
      <c r="A1154" s="34" t="s">
        <v>16</v>
      </c>
      <c r="B1154" s="2">
        <v>43941</v>
      </c>
      <c r="C1154" s="1">
        <v>42</v>
      </c>
      <c r="D1154" s="47">
        <v>915</v>
      </c>
      <c r="F1154" s="47">
        <f>E1154+F1130</f>
        <v>54</v>
      </c>
    </row>
    <row r="1155" spans="1:6" x14ac:dyDescent="0.25">
      <c r="A1155" s="5" t="s">
        <v>28</v>
      </c>
      <c r="B1155" s="2">
        <v>43941</v>
      </c>
      <c r="C1155" s="1">
        <v>0</v>
      </c>
      <c r="D1155" s="47">
        <v>0</v>
      </c>
      <c r="F1155" s="47">
        <f t="shared" ref="F1155:F1177" si="45">E1155+F1131</f>
        <v>0</v>
      </c>
    </row>
    <row r="1156" spans="1:6" x14ac:dyDescent="0.25">
      <c r="A1156" s="5" t="s">
        <v>15</v>
      </c>
      <c r="B1156" s="2">
        <v>43941</v>
      </c>
      <c r="C1156" s="1">
        <v>5</v>
      </c>
      <c r="D1156" s="47">
        <v>258</v>
      </c>
      <c r="E1156" s="1">
        <v>1</v>
      </c>
      <c r="F1156" s="47">
        <f t="shared" si="45"/>
        <v>10</v>
      </c>
    </row>
    <row r="1157" spans="1:6" x14ac:dyDescent="0.25">
      <c r="A1157" s="5" t="s">
        <v>29</v>
      </c>
      <c r="B1157" s="2">
        <v>43941</v>
      </c>
      <c r="C1157" s="1">
        <v>0</v>
      </c>
      <c r="D1157" s="47">
        <v>2</v>
      </c>
      <c r="F1157" s="47">
        <f t="shared" si="45"/>
        <v>1</v>
      </c>
    </row>
    <row r="1158" spans="1:6" x14ac:dyDescent="0.25">
      <c r="A1158" s="5" t="s">
        <v>43</v>
      </c>
      <c r="B1158" s="2">
        <v>43941</v>
      </c>
      <c r="C1158" s="1">
        <v>22</v>
      </c>
      <c r="D1158" s="47">
        <v>728</v>
      </c>
      <c r="E1158" s="1">
        <v>1</v>
      </c>
      <c r="F1158" s="47">
        <f t="shared" si="45"/>
        <v>38</v>
      </c>
    </row>
    <row r="1159" spans="1:6" x14ac:dyDescent="0.25">
      <c r="A1159" s="5" t="s">
        <v>20</v>
      </c>
      <c r="B1159" s="2">
        <v>43941</v>
      </c>
      <c r="C1159" s="1">
        <v>0</v>
      </c>
      <c r="D1159" s="47">
        <v>260</v>
      </c>
      <c r="E1159" s="1">
        <v>2</v>
      </c>
      <c r="F1159" s="47">
        <f t="shared" si="45"/>
        <v>9</v>
      </c>
    </row>
    <row r="1160" spans="1:6" x14ac:dyDescent="0.25">
      <c r="A1160" s="5" t="s">
        <v>30</v>
      </c>
      <c r="B1160" s="2">
        <v>43941</v>
      </c>
      <c r="C1160" s="1">
        <v>3</v>
      </c>
      <c r="D1160" s="47">
        <v>34</v>
      </c>
      <c r="F1160" s="47">
        <f t="shared" si="45"/>
        <v>0</v>
      </c>
    </row>
    <row r="1161" spans="1:6" x14ac:dyDescent="0.25">
      <c r="A1161" s="5" t="s">
        <v>31</v>
      </c>
      <c r="B1161" s="2">
        <v>43941</v>
      </c>
      <c r="C1161" s="1">
        <v>0</v>
      </c>
      <c r="D1161" s="47">
        <v>22</v>
      </c>
      <c r="F1161" s="47">
        <f t="shared" si="45"/>
        <v>0</v>
      </c>
    </row>
    <row r="1162" spans="1:6" x14ac:dyDescent="0.25">
      <c r="A1162" s="5" t="s">
        <v>41</v>
      </c>
      <c r="B1162" s="2">
        <v>43941</v>
      </c>
      <c r="C1162" s="1">
        <v>0</v>
      </c>
      <c r="D1162" s="47">
        <v>0</v>
      </c>
      <c r="F1162" s="47">
        <f t="shared" si="45"/>
        <v>0</v>
      </c>
    </row>
    <row r="1163" spans="1:6" x14ac:dyDescent="0.25">
      <c r="A1163" s="5" t="s">
        <v>32</v>
      </c>
      <c r="B1163" s="2">
        <v>43941</v>
      </c>
      <c r="C1163" s="1">
        <v>0</v>
      </c>
      <c r="D1163" s="47">
        <v>5</v>
      </c>
      <c r="F1163" s="47">
        <f t="shared" si="45"/>
        <v>0</v>
      </c>
    </row>
    <row r="1164" spans="1:6" x14ac:dyDescent="0.25">
      <c r="A1164" s="5" t="s">
        <v>33</v>
      </c>
      <c r="B1164" s="2">
        <v>43941</v>
      </c>
      <c r="C1164" s="1">
        <v>0</v>
      </c>
      <c r="D1164" s="47">
        <v>5</v>
      </c>
      <c r="F1164" s="47">
        <f t="shared" si="45"/>
        <v>0</v>
      </c>
    </row>
    <row r="1165" spans="1:6" x14ac:dyDescent="0.25">
      <c r="A1165" s="5" t="s">
        <v>21</v>
      </c>
      <c r="B1165" s="2">
        <v>43941</v>
      </c>
      <c r="C1165" s="1">
        <v>0</v>
      </c>
      <c r="D1165" s="47">
        <v>39</v>
      </c>
      <c r="F1165" s="47">
        <f t="shared" si="45"/>
        <v>3</v>
      </c>
    </row>
    <row r="1166" spans="1:6" x14ac:dyDescent="0.25">
      <c r="A1166" s="5" t="s">
        <v>17</v>
      </c>
      <c r="B1166" s="2">
        <v>43941</v>
      </c>
      <c r="C1166" s="1">
        <v>1</v>
      </c>
      <c r="D1166" s="47">
        <v>73</v>
      </c>
      <c r="E1166" s="1">
        <v>1</v>
      </c>
      <c r="F1166" s="47">
        <f t="shared" si="45"/>
        <v>8</v>
      </c>
    </row>
    <row r="1167" spans="1:6" x14ac:dyDescent="0.25">
      <c r="A1167" s="5" t="s">
        <v>23</v>
      </c>
      <c r="B1167" s="2">
        <v>43941</v>
      </c>
      <c r="C1167" s="1">
        <v>0</v>
      </c>
      <c r="D1167" s="47">
        <v>5</v>
      </c>
      <c r="F1167" s="47">
        <f t="shared" si="45"/>
        <v>0</v>
      </c>
    </row>
    <row r="1168" spans="1:6" x14ac:dyDescent="0.25">
      <c r="A1168" s="5" t="s">
        <v>19</v>
      </c>
      <c r="B1168" s="2">
        <v>43941</v>
      </c>
      <c r="C1168" s="1">
        <v>3</v>
      </c>
      <c r="D1168" s="47">
        <v>102</v>
      </c>
      <c r="F1168" s="47">
        <f t="shared" si="45"/>
        <v>3</v>
      </c>
    </row>
    <row r="1169" spans="1:6" x14ac:dyDescent="0.25">
      <c r="A1169" s="5" t="s">
        <v>18</v>
      </c>
      <c r="B1169" s="2">
        <v>43941</v>
      </c>
      <c r="C1169" s="1">
        <v>10</v>
      </c>
      <c r="D1169" s="47">
        <v>137</v>
      </c>
      <c r="E1169" s="1">
        <v>3</v>
      </c>
      <c r="F1169" s="47">
        <f t="shared" si="45"/>
        <v>7</v>
      </c>
    </row>
    <row r="1170" spans="1:6" x14ac:dyDescent="0.25">
      <c r="A1170" s="5" t="s">
        <v>34</v>
      </c>
      <c r="B1170" s="2">
        <v>43941</v>
      </c>
      <c r="C1170" s="1">
        <v>0</v>
      </c>
      <c r="D1170" s="47">
        <v>3</v>
      </c>
      <c r="F1170" s="47">
        <f t="shared" si="45"/>
        <v>0</v>
      </c>
    </row>
    <row r="1171" spans="1:6" x14ac:dyDescent="0.25">
      <c r="A1171" s="5" t="s">
        <v>35</v>
      </c>
      <c r="B1171" s="2">
        <v>43941</v>
      </c>
      <c r="C1171" s="1">
        <v>0</v>
      </c>
      <c r="D1171" s="47">
        <v>2</v>
      </c>
      <c r="F1171" s="47">
        <f t="shared" si="45"/>
        <v>0</v>
      </c>
    </row>
    <row r="1172" spans="1:6" x14ac:dyDescent="0.25">
      <c r="A1172" s="5" t="s">
        <v>36</v>
      </c>
      <c r="B1172" s="2">
        <v>43941</v>
      </c>
      <c r="C1172" s="1">
        <v>0</v>
      </c>
      <c r="D1172" s="47">
        <v>11</v>
      </c>
      <c r="F1172" s="47">
        <f t="shared" si="45"/>
        <v>0</v>
      </c>
    </row>
    <row r="1173" spans="1:6" x14ac:dyDescent="0.25">
      <c r="A1173" s="5" t="s">
        <v>37</v>
      </c>
      <c r="B1173" s="2">
        <v>43941</v>
      </c>
      <c r="C1173" s="1">
        <v>1</v>
      </c>
      <c r="D1173" s="47">
        <v>41</v>
      </c>
      <c r="F1173" s="47">
        <f t="shared" si="45"/>
        <v>0</v>
      </c>
    </row>
    <row r="1174" spans="1:6" x14ac:dyDescent="0.25">
      <c r="A1174" s="5" t="s">
        <v>22</v>
      </c>
      <c r="B1174" s="2">
        <v>43941</v>
      </c>
      <c r="C1174" s="1">
        <v>2</v>
      </c>
      <c r="D1174" s="47">
        <v>224</v>
      </c>
      <c r="F1174" s="47">
        <f>E1174+F1150</f>
        <v>2</v>
      </c>
    </row>
    <row r="1175" spans="1:6" x14ac:dyDescent="0.25">
      <c r="A1175" s="5" t="s">
        <v>38</v>
      </c>
      <c r="B1175" s="2">
        <v>43941</v>
      </c>
      <c r="C1175" s="1">
        <v>0</v>
      </c>
      <c r="D1175" s="47">
        <v>12</v>
      </c>
      <c r="F1175" s="47">
        <f t="shared" si="45"/>
        <v>0</v>
      </c>
    </row>
    <row r="1176" spans="1:6" x14ac:dyDescent="0.25">
      <c r="A1176" s="5" t="s">
        <v>39</v>
      </c>
      <c r="B1176" s="2">
        <v>43941</v>
      </c>
      <c r="C1176" s="1">
        <v>0</v>
      </c>
      <c r="D1176" s="47">
        <v>122</v>
      </c>
      <c r="F1176" s="47">
        <f t="shared" si="45"/>
        <v>0</v>
      </c>
    </row>
    <row r="1177" spans="1:6" x14ac:dyDescent="0.25">
      <c r="A1177" s="5" t="s">
        <v>40</v>
      </c>
      <c r="B1177" s="2">
        <v>43941</v>
      </c>
      <c r="C1177" s="1">
        <v>1</v>
      </c>
      <c r="D1177" s="47">
        <v>31</v>
      </c>
      <c r="F1177" s="47">
        <f t="shared" si="45"/>
        <v>2</v>
      </c>
    </row>
    <row r="1178" spans="1:6" x14ac:dyDescent="0.25">
      <c r="A1178" s="34" t="s">
        <v>16</v>
      </c>
      <c r="B1178" s="2">
        <v>43942</v>
      </c>
      <c r="C1178" s="1">
        <v>60</v>
      </c>
      <c r="D1178" s="47">
        <v>975</v>
      </c>
      <c r="E1178" s="1">
        <v>4</v>
      </c>
      <c r="F1178" s="47">
        <f>E1178+F1154</f>
        <v>58</v>
      </c>
    </row>
    <row r="1179" spans="1:6" x14ac:dyDescent="0.25">
      <c r="A1179" s="5" t="s">
        <v>28</v>
      </c>
      <c r="B1179" s="2">
        <v>43942</v>
      </c>
      <c r="C1179" s="1">
        <v>0</v>
      </c>
      <c r="D1179" s="47">
        <v>0</v>
      </c>
      <c r="F1179" s="47">
        <f t="shared" ref="F1179:F1201" si="46">E1179+F1155</f>
        <v>0</v>
      </c>
    </row>
    <row r="1180" spans="1:6" x14ac:dyDescent="0.25">
      <c r="A1180" s="5" t="s">
        <v>15</v>
      </c>
      <c r="B1180" s="2">
        <v>43942</v>
      </c>
      <c r="C1180" s="1">
        <v>5</v>
      </c>
      <c r="D1180" s="47">
        <v>263</v>
      </c>
      <c r="F1180" s="47">
        <f t="shared" si="46"/>
        <v>10</v>
      </c>
    </row>
    <row r="1181" spans="1:6" x14ac:dyDescent="0.25">
      <c r="A1181" s="5" t="s">
        <v>29</v>
      </c>
      <c r="B1181" s="2">
        <v>43942</v>
      </c>
      <c r="C1181" s="1">
        <v>0</v>
      </c>
      <c r="D1181" s="47">
        <v>2</v>
      </c>
      <c r="F1181" s="47">
        <f t="shared" si="46"/>
        <v>1</v>
      </c>
    </row>
    <row r="1182" spans="1:6" x14ac:dyDescent="0.25">
      <c r="A1182" s="5" t="s">
        <v>43</v>
      </c>
      <c r="B1182" s="2">
        <v>43942</v>
      </c>
      <c r="C1182" s="1">
        <v>33</v>
      </c>
      <c r="D1182" s="47">
        <v>761</v>
      </c>
      <c r="E1182" s="1">
        <v>3</v>
      </c>
      <c r="F1182" s="47">
        <f t="shared" si="46"/>
        <v>41</v>
      </c>
    </row>
    <row r="1183" spans="1:6" x14ac:dyDescent="0.25">
      <c r="A1183" s="5" t="s">
        <v>20</v>
      </c>
      <c r="B1183" s="2">
        <v>43942</v>
      </c>
      <c r="C1183" s="1">
        <v>0</v>
      </c>
      <c r="D1183" s="47">
        <v>260</v>
      </c>
      <c r="F1183" s="47">
        <f t="shared" si="46"/>
        <v>9</v>
      </c>
    </row>
    <row r="1184" spans="1:6" x14ac:dyDescent="0.25">
      <c r="A1184" s="5" t="s">
        <v>30</v>
      </c>
      <c r="B1184" s="2">
        <v>43942</v>
      </c>
      <c r="C1184" s="1">
        <v>0</v>
      </c>
      <c r="D1184" s="47">
        <v>34</v>
      </c>
      <c r="F1184" s="47">
        <f t="shared" si="46"/>
        <v>0</v>
      </c>
    </row>
    <row r="1185" spans="1:6" x14ac:dyDescent="0.25">
      <c r="A1185" s="5" t="s">
        <v>31</v>
      </c>
      <c r="B1185" s="2">
        <v>43942</v>
      </c>
      <c r="C1185" s="1">
        <v>0</v>
      </c>
      <c r="D1185" s="47">
        <v>22</v>
      </c>
      <c r="F1185" s="47">
        <f t="shared" si="46"/>
        <v>0</v>
      </c>
    </row>
    <row r="1186" spans="1:6" x14ac:dyDescent="0.25">
      <c r="A1186" s="5" t="s">
        <v>41</v>
      </c>
      <c r="B1186" s="2">
        <v>43942</v>
      </c>
      <c r="C1186" s="1">
        <v>0</v>
      </c>
      <c r="D1186" s="47">
        <v>0</v>
      </c>
      <c r="F1186" s="47">
        <f t="shared" si="46"/>
        <v>0</v>
      </c>
    </row>
    <row r="1187" spans="1:6" x14ac:dyDescent="0.25">
      <c r="A1187" s="5" t="s">
        <v>32</v>
      </c>
      <c r="B1187" s="2">
        <v>43942</v>
      </c>
      <c r="C1187" s="1">
        <v>0</v>
      </c>
      <c r="D1187" s="47">
        <v>5</v>
      </c>
      <c r="F1187" s="47">
        <f t="shared" si="46"/>
        <v>0</v>
      </c>
    </row>
    <row r="1188" spans="1:6" x14ac:dyDescent="0.25">
      <c r="A1188" s="5" t="s">
        <v>33</v>
      </c>
      <c r="B1188" s="2">
        <v>43942</v>
      </c>
      <c r="C1188" s="1">
        <v>0</v>
      </c>
      <c r="D1188" s="47">
        <v>5</v>
      </c>
      <c r="F1188" s="47">
        <f t="shared" si="46"/>
        <v>0</v>
      </c>
    </row>
    <row r="1189" spans="1:6" x14ac:dyDescent="0.25">
      <c r="A1189" s="5" t="s">
        <v>21</v>
      </c>
      <c r="B1189" s="2">
        <v>43942</v>
      </c>
      <c r="C1189" s="1">
        <v>1</v>
      </c>
      <c r="D1189" s="47">
        <v>40</v>
      </c>
      <c r="E1189" s="1">
        <v>2</v>
      </c>
      <c r="F1189" s="47">
        <f t="shared" si="46"/>
        <v>5</v>
      </c>
    </row>
    <row r="1190" spans="1:6" x14ac:dyDescent="0.25">
      <c r="A1190" s="5" t="s">
        <v>17</v>
      </c>
      <c r="B1190" s="2">
        <v>43942</v>
      </c>
      <c r="C1190" s="1">
        <v>0</v>
      </c>
      <c r="D1190" s="47">
        <v>73</v>
      </c>
      <c r="F1190" s="47">
        <f t="shared" si="46"/>
        <v>8</v>
      </c>
    </row>
    <row r="1191" spans="1:6" x14ac:dyDescent="0.25">
      <c r="A1191" s="5" t="s">
        <v>23</v>
      </c>
      <c r="B1191" s="2">
        <v>43942</v>
      </c>
      <c r="C1191" s="1">
        <v>0</v>
      </c>
      <c r="D1191" s="47">
        <v>5</v>
      </c>
      <c r="F1191" s="47">
        <f t="shared" si="46"/>
        <v>0</v>
      </c>
    </row>
    <row r="1192" spans="1:6" x14ac:dyDescent="0.25">
      <c r="A1192" s="5" t="s">
        <v>19</v>
      </c>
      <c r="B1192" s="2">
        <v>43942</v>
      </c>
      <c r="C1192" s="1">
        <v>0</v>
      </c>
      <c r="D1192" s="47">
        <v>102</v>
      </c>
      <c r="F1192" s="47">
        <f t="shared" si="46"/>
        <v>3</v>
      </c>
    </row>
    <row r="1193" spans="1:6" x14ac:dyDescent="0.25">
      <c r="A1193" s="5" t="s">
        <v>18</v>
      </c>
      <c r="B1193" s="2">
        <v>43942</v>
      </c>
      <c r="C1193" s="1">
        <v>11</v>
      </c>
      <c r="D1193" s="47">
        <v>148</v>
      </c>
      <c r="F1193" s="47">
        <f t="shared" si="46"/>
        <v>7</v>
      </c>
    </row>
    <row r="1194" spans="1:6" x14ac:dyDescent="0.25">
      <c r="A1194" s="5" t="s">
        <v>34</v>
      </c>
      <c r="B1194" s="2">
        <v>43942</v>
      </c>
      <c r="C1194" s="1">
        <v>0</v>
      </c>
      <c r="D1194" s="47">
        <v>3</v>
      </c>
      <c r="F1194" s="47">
        <f t="shared" si="46"/>
        <v>0</v>
      </c>
    </row>
    <row r="1195" spans="1:6" x14ac:dyDescent="0.25">
      <c r="A1195" s="5" t="s">
        <v>35</v>
      </c>
      <c r="B1195" s="2">
        <v>43942</v>
      </c>
      <c r="C1195" s="1">
        <v>0</v>
      </c>
      <c r="D1195" s="47">
        <v>2</v>
      </c>
      <c r="F1195" s="47">
        <f t="shared" si="46"/>
        <v>0</v>
      </c>
    </row>
    <row r="1196" spans="1:6" x14ac:dyDescent="0.25">
      <c r="A1196" s="5" t="s">
        <v>36</v>
      </c>
      <c r="B1196" s="2">
        <v>43942</v>
      </c>
      <c r="C1196" s="1">
        <v>0</v>
      </c>
      <c r="D1196" s="47">
        <v>11</v>
      </c>
      <c r="F1196" s="47">
        <f t="shared" si="46"/>
        <v>0</v>
      </c>
    </row>
    <row r="1197" spans="1:6" x14ac:dyDescent="0.25">
      <c r="A1197" s="5" t="s">
        <v>37</v>
      </c>
      <c r="B1197" s="2">
        <v>43942</v>
      </c>
      <c r="C1197" s="1">
        <v>0</v>
      </c>
      <c r="D1197" s="47">
        <v>41</v>
      </c>
      <c r="F1197" s="47">
        <f t="shared" si="46"/>
        <v>0</v>
      </c>
    </row>
    <row r="1198" spans="1:6" x14ac:dyDescent="0.25">
      <c r="A1198" s="5" t="s">
        <v>22</v>
      </c>
      <c r="B1198" s="2">
        <v>43942</v>
      </c>
      <c r="C1198" s="1">
        <v>1</v>
      </c>
      <c r="D1198" s="47">
        <v>225</v>
      </c>
      <c r="F1198" s="47">
        <f>E1198+F1174</f>
        <v>2</v>
      </c>
    </row>
    <row r="1199" spans="1:6" x14ac:dyDescent="0.25">
      <c r="A1199" s="5" t="s">
        <v>38</v>
      </c>
      <c r="B1199" s="2">
        <v>43942</v>
      </c>
      <c r="C1199" s="1">
        <v>0</v>
      </c>
      <c r="D1199" s="47">
        <v>12</v>
      </c>
      <c r="F1199" s="47">
        <f t="shared" si="46"/>
        <v>0</v>
      </c>
    </row>
    <row r="1200" spans="1:6" x14ac:dyDescent="0.25">
      <c r="A1200" s="5" t="s">
        <v>39</v>
      </c>
      <c r="B1200" s="2">
        <v>43942</v>
      </c>
      <c r="C1200" s="1">
        <v>2</v>
      </c>
      <c r="D1200" s="47">
        <v>124</v>
      </c>
      <c r="F1200" s="47">
        <f t="shared" si="46"/>
        <v>0</v>
      </c>
    </row>
    <row r="1201" spans="1:6" x14ac:dyDescent="0.25">
      <c r="A1201" s="5" t="s">
        <v>40</v>
      </c>
      <c r="B1201" s="2">
        <v>43942</v>
      </c>
      <c r="C1201" s="1">
        <v>0</v>
      </c>
      <c r="D1201" s="47">
        <v>31</v>
      </c>
      <c r="F1201" s="47">
        <f t="shared" si="46"/>
        <v>2</v>
      </c>
    </row>
    <row r="1202" spans="1:6" x14ac:dyDescent="0.25">
      <c r="A1202" s="34" t="s">
        <v>16</v>
      </c>
      <c r="B1202" s="2">
        <v>43943</v>
      </c>
      <c r="C1202" s="1">
        <v>61</v>
      </c>
      <c r="D1202" s="47">
        <v>1036</v>
      </c>
      <c r="E1202" s="1">
        <v>5</v>
      </c>
      <c r="F1202" s="47">
        <f>E1202+F1178</f>
        <v>63</v>
      </c>
    </row>
    <row r="1203" spans="1:6" x14ac:dyDescent="0.25">
      <c r="A1203" s="5" t="s">
        <v>28</v>
      </c>
      <c r="B1203" s="2">
        <v>43943</v>
      </c>
      <c r="C1203" s="1">
        <v>0</v>
      </c>
      <c r="D1203" s="47">
        <v>0</v>
      </c>
      <c r="F1203" s="47">
        <f t="shared" ref="F1203:F1225" si="47">E1203+F1179</f>
        <v>0</v>
      </c>
    </row>
    <row r="1204" spans="1:6" x14ac:dyDescent="0.25">
      <c r="A1204" s="5" t="s">
        <v>15</v>
      </c>
      <c r="B1204" s="2">
        <v>43943</v>
      </c>
      <c r="C1204" s="1">
        <v>7</v>
      </c>
      <c r="D1204" s="47">
        <v>270</v>
      </c>
      <c r="F1204" s="47">
        <f t="shared" si="47"/>
        <v>10</v>
      </c>
    </row>
    <row r="1205" spans="1:6" x14ac:dyDescent="0.25">
      <c r="A1205" s="5" t="s">
        <v>29</v>
      </c>
      <c r="B1205" s="2">
        <v>43943</v>
      </c>
      <c r="C1205" s="1">
        <v>0</v>
      </c>
      <c r="D1205" s="47">
        <v>2</v>
      </c>
      <c r="F1205" s="47">
        <f t="shared" si="47"/>
        <v>1</v>
      </c>
    </row>
    <row r="1206" spans="1:6" x14ac:dyDescent="0.25">
      <c r="A1206" s="5" t="s">
        <v>43</v>
      </c>
      <c r="B1206" s="2">
        <v>43943</v>
      </c>
      <c r="C1206" s="1">
        <v>39</v>
      </c>
      <c r="D1206" s="47">
        <v>800</v>
      </c>
      <c r="E1206" s="1">
        <v>2</v>
      </c>
      <c r="F1206" s="47">
        <f t="shared" si="47"/>
        <v>43</v>
      </c>
    </row>
    <row r="1207" spans="1:6" x14ac:dyDescent="0.25">
      <c r="A1207" s="5" t="s">
        <v>20</v>
      </c>
      <c r="B1207" s="2">
        <v>43943</v>
      </c>
      <c r="C1207" s="1">
        <v>4</v>
      </c>
      <c r="D1207" s="47">
        <v>264</v>
      </c>
      <c r="E1207" s="1">
        <v>1</v>
      </c>
      <c r="F1207" s="47">
        <f t="shared" si="47"/>
        <v>10</v>
      </c>
    </row>
    <row r="1208" spans="1:6" x14ac:dyDescent="0.25">
      <c r="A1208" s="5" t="s">
        <v>30</v>
      </c>
      <c r="B1208" s="2">
        <v>43943</v>
      </c>
      <c r="C1208" s="1">
        <v>0</v>
      </c>
      <c r="D1208" s="47">
        <v>34</v>
      </c>
      <c r="F1208" s="47">
        <f t="shared" si="47"/>
        <v>0</v>
      </c>
    </row>
    <row r="1209" spans="1:6" x14ac:dyDescent="0.25">
      <c r="A1209" s="5" t="s">
        <v>31</v>
      </c>
      <c r="B1209" s="2">
        <v>43943</v>
      </c>
      <c r="C1209" s="1">
        <v>0</v>
      </c>
      <c r="D1209" s="47">
        <v>22</v>
      </c>
      <c r="F1209" s="47">
        <f t="shared" si="47"/>
        <v>0</v>
      </c>
    </row>
    <row r="1210" spans="1:6" x14ac:dyDescent="0.25">
      <c r="A1210" s="5" t="s">
        <v>41</v>
      </c>
      <c r="B1210" s="2">
        <v>43943</v>
      </c>
      <c r="C1210" s="1">
        <v>0</v>
      </c>
      <c r="D1210" s="47">
        <v>0</v>
      </c>
      <c r="F1210" s="47">
        <f t="shared" si="47"/>
        <v>0</v>
      </c>
    </row>
    <row r="1211" spans="1:6" x14ac:dyDescent="0.25">
      <c r="A1211" s="5" t="s">
        <v>32</v>
      </c>
      <c r="B1211" s="2">
        <v>43943</v>
      </c>
      <c r="C1211" s="1">
        <v>0</v>
      </c>
      <c r="D1211" s="47">
        <v>5</v>
      </c>
      <c r="F1211" s="47">
        <f t="shared" si="47"/>
        <v>0</v>
      </c>
    </row>
    <row r="1212" spans="1:6" x14ac:dyDescent="0.25">
      <c r="A1212" s="5" t="s">
        <v>33</v>
      </c>
      <c r="B1212" s="2">
        <v>43943</v>
      </c>
      <c r="C1212" s="1">
        <v>0</v>
      </c>
      <c r="D1212" s="47">
        <v>5</v>
      </c>
      <c r="F1212" s="47">
        <f t="shared" si="47"/>
        <v>0</v>
      </c>
    </row>
    <row r="1213" spans="1:6" x14ac:dyDescent="0.25">
      <c r="A1213" s="5" t="s">
        <v>21</v>
      </c>
      <c r="B1213" s="2">
        <v>43943</v>
      </c>
      <c r="C1213" s="1">
        <v>5</v>
      </c>
      <c r="D1213" s="47">
        <v>45</v>
      </c>
      <c r="F1213" s="47">
        <f t="shared" si="47"/>
        <v>5</v>
      </c>
    </row>
    <row r="1214" spans="1:6" x14ac:dyDescent="0.25">
      <c r="A1214" s="5" t="s">
        <v>17</v>
      </c>
      <c r="B1214" s="2">
        <v>43943</v>
      </c>
      <c r="C1214" s="1">
        <v>1</v>
      </c>
      <c r="D1214" s="47">
        <v>74</v>
      </c>
      <c r="F1214" s="47">
        <f t="shared" si="47"/>
        <v>8</v>
      </c>
    </row>
    <row r="1215" spans="1:6" x14ac:dyDescent="0.25">
      <c r="A1215" s="5" t="s">
        <v>23</v>
      </c>
      <c r="B1215" s="2">
        <v>43943</v>
      </c>
      <c r="C1215" s="1">
        <v>0</v>
      </c>
      <c r="D1215" s="47">
        <v>5</v>
      </c>
      <c r="F1215" s="47">
        <f t="shared" si="47"/>
        <v>0</v>
      </c>
    </row>
    <row r="1216" spans="1:6" x14ac:dyDescent="0.25">
      <c r="A1216" s="5" t="s">
        <v>19</v>
      </c>
      <c r="B1216" s="2">
        <v>43943</v>
      </c>
      <c r="C1216" s="1">
        <v>1</v>
      </c>
      <c r="D1216" s="47">
        <v>103</v>
      </c>
      <c r="F1216" s="47">
        <f t="shared" si="47"/>
        <v>3</v>
      </c>
    </row>
    <row r="1217" spans="1:6" x14ac:dyDescent="0.25">
      <c r="A1217" s="5" t="s">
        <v>18</v>
      </c>
      <c r="B1217" s="2">
        <v>43943</v>
      </c>
      <c r="C1217" s="1">
        <v>17</v>
      </c>
      <c r="D1217" s="47">
        <v>165</v>
      </c>
      <c r="F1217" s="47">
        <f t="shared" si="47"/>
        <v>7</v>
      </c>
    </row>
    <row r="1218" spans="1:6" x14ac:dyDescent="0.25">
      <c r="A1218" s="5" t="s">
        <v>34</v>
      </c>
      <c r="B1218" s="2">
        <v>43943</v>
      </c>
      <c r="C1218" s="1">
        <v>0</v>
      </c>
      <c r="D1218" s="47">
        <v>3</v>
      </c>
      <c r="F1218" s="47">
        <f t="shared" si="47"/>
        <v>0</v>
      </c>
    </row>
    <row r="1219" spans="1:6" x14ac:dyDescent="0.25">
      <c r="A1219" s="5" t="s">
        <v>35</v>
      </c>
      <c r="B1219" s="2">
        <v>43943</v>
      </c>
      <c r="C1219" s="1">
        <v>0</v>
      </c>
      <c r="D1219" s="47">
        <v>2</v>
      </c>
      <c r="F1219" s="47">
        <f t="shared" si="47"/>
        <v>0</v>
      </c>
    </row>
    <row r="1220" spans="1:6" x14ac:dyDescent="0.25">
      <c r="A1220" s="5" t="s">
        <v>36</v>
      </c>
      <c r="B1220" s="2">
        <v>43943</v>
      </c>
      <c r="C1220" s="1">
        <v>0</v>
      </c>
      <c r="D1220" s="47">
        <v>11</v>
      </c>
      <c r="F1220" s="47">
        <f t="shared" si="47"/>
        <v>0</v>
      </c>
    </row>
    <row r="1221" spans="1:6" x14ac:dyDescent="0.25">
      <c r="A1221" s="5" t="s">
        <v>37</v>
      </c>
      <c r="B1221" s="2">
        <v>43943</v>
      </c>
      <c r="C1221" s="1">
        <v>0</v>
      </c>
      <c r="D1221" s="47">
        <v>41</v>
      </c>
      <c r="F1221" s="47">
        <f t="shared" si="47"/>
        <v>0</v>
      </c>
    </row>
    <row r="1222" spans="1:6" x14ac:dyDescent="0.25">
      <c r="A1222" s="5" t="s">
        <v>22</v>
      </c>
      <c r="B1222" s="2">
        <v>43943</v>
      </c>
      <c r="C1222" s="1">
        <v>5</v>
      </c>
      <c r="D1222" s="47">
        <v>230</v>
      </c>
      <c r="F1222" s="47">
        <f>E1222+F1198</f>
        <v>2</v>
      </c>
    </row>
    <row r="1223" spans="1:6" x14ac:dyDescent="0.25">
      <c r="A1223" s="5" t="s">
        <v>38</v>
      </c>
      <c r="B1223" s="2">
        <v>43943</v>
      </c>
      <c r="C1223" s="1">
        <v>0</v>
      </c>
      <c r="D1223" s="47">
        <v>12</v>
      </c>
      <c r="F1223" s="47">
        <f t="shared" si="47"/>
        <v>0</v>
      </c>
    </row>
    <row r="1224" spans="1:6" x14ac:dyDescent="0.25">
      <c r="A1224" s="5" t="s">
        <v>39</v>
      </c>
      <c r="B1224" s="2">
        <v>43943</v>
      </c>
      <c r="C1224" s="1">
        <v>0</v>
      </c>
      <c r="D1224" s="47">
        <v>124</v>
      </c>
      <c r="F1224" s="47">
        <f t="shared" si="47"/>
        <v>0</v>
      </c>
    </row>
    <row r="1225" spans="1:6" x14ac:dyDescent="0.25">
      <c r="A1225" s="5" t="s">
        <v>40</v>
      </c>
      <c r="B1225" s="2">
        <v>43943</v>
      </c>
      <c r="C1225" s="1">
        <v>4</v>
      </c>
      <c r="D1225" s="47">
        <v>35</v>
      </c>
      <c r="F1225" s="47">
        <f t="shared" si="47"/>
        <v>2</v>
      </c>
    </row>
    <row r="1226" spans="1:6" x14ac:dyDescent="0.25">
      <c r="A1226" s="34" t="s">
        <v>16</v>
      </c>
      <c r="B1226" s="2">
        <v>43944</v>
      </c>
      <c r="C1226" s="1">
        <v>84</v>
      </c>
      <c r="D1226" s="47">
        <v>1120</v>
      </c>
      <c r="E1226" s="1">
        <v>4</v>
      </c>
      <c r="F1226" s="47">
        <f>E1226+F1202</f>
        <v>67</v>
      </c>
    </row>
    <row r="1227" spans="1:6" x14ac:dyDescent="0.25">
      <c r="A1227" s="5" t="s">
        <v>28</v>
      </c>
      <c r="B1227" s="2">
        <v>43944</v>
      </c>
      <c r="C1227" s="1">
        <v>0</v>
      </c>
      <c r="D1227" s="47">
        <v>0</v>
      </c>
      <c r="F1227" s="47">
        <f t="shared" ref="F1227:F1249" si="48">E1227+F1203</f>
        <v>0</v>
      </c>
    </row>
    <row r="1228" spans="1:6" x14ac:dyDescent="0.25">
      <c r="A1228" s="5" t="s">
        <v>15</v>
      </c>
      <c r="B1228" s="2">
        <v>43944</v>
      </c>
      <c r="C1228" s="1">
        <v>10</v>
      </c>
      <c r="D1228" s="47">
        <v>280</v>
      </c>
      <c r="F1228" s="47">
        <f t="shared" si="48"/>
        <v>10</v>
      </c>
    </row>
    <row r="1229" spans="1:6" x14ac:dyDescent="0.25">
      <c r="A1229" s="5" t="s">
        <v>29</v>
      </c>
      <c r="B1229" s="2">
        <v>43944</v>
      </c>
      <c r="C1229" s="1">
        <v>0</v>
      </c>
      <c r="D1229" s="47">
        <v>2</v>
      </c>
      <c r="F1229" s="47">
        <f t="shared" si="48"/>
        <v>1</v>
      </c>
    </row>
    <row r="1230" spans="1:6" x14ac:dyDescent="0.25">
      <c r="A1230" s="5" t="s">
        <v>43</v>
      </c>
      <c r="B1230" s="2">
        <v>43944</v>
      </c>
      <c r="C1230" s="1">
        <v>37</v>
      </c>
      <c r="D1230" s="47">
        <v>837</v>
      </c>
      <c r="E1230" s="1">
        <v>1</v>
      </c>
      <c r="F1230" s="47">
        <f t="shared" si="48"/>
        <v>44</v>
      </c>
    </row>
    <row r="1231" spans="1:6" x14ac:dyDescent="0.25">
      <c r="A1231" s="5" t="s">
        <v>20</v>
      </c>
      <c r="B1231" s="2">
        <v>43944</v>
      </c>
      <c r="C1231" s="1">
        <v>2</v>
      </c>
      <c r="D1231" s="47">
        <v>266</v>
      </c>
      <c r="F1231" s="47">
        <f t="shared" si="48"/>
        <v>10</v>
      </c>
    </row>
    <row r="1232" spans="1:6" x14ac:dyDescent="0.25">
      <c r="A1232" s="5" t="s">
        <v>30</v>
      </c>
      <c r="B1232" s="2">
        <v>43944</v>
      </c>
      <c r="C1232" s="1">
        <v>1</v>
      </c>
      <c r="D1232" s="47">
        <v>35</v>
      </c>
      <c r="F1232" s="47">
        <f t="shared" si="48"/>
        <v>0</v>
      </c>
    </row>
    <row r="1233" spans="1:6" x14ac:dyDescent="0.25">
      <c r="A1233" s="5" t="s">
        <v>31</v>
      </c>
      <c r="B1233" s="2">
        <v>43944</v>
      </c>
      <c r="C1233" s="1">
        <v>0</v>
      </c>
      <c r="D1233" s="47">
        <v>22</v>
      </c>
      <c r="F1233" s="47">
        <f t="shared" si="48"/>
        <v>0</v>
      </c>
    </row>
    <row r="1234" spans="1:6" x14ac:dyDescent="0.25">
      <c r="A1234" s="5" t="s">
        <v>41</v>
      </c>
      <c r="B1234" s="2">
        <v>43944</v>
      </c>
      <c r="C1234" s="1">
        <v>0</v>
      </c>
      <c r="D1234" s="47">
        <v>0</v>
      </c>
      <c r="F1234" s="47">
        <f t="shared" si="48"/>
        <v>0</v>
      </c>
    </row>
    <row r="1235" spans="1:6" x14ac:dyDescent="0.25">
      <c r="A1235" s="5" t="s">
        <v>32</v>
      </c>
      <c r="B1235" s="2">
        <v>43944</v>
      </c>
      <c r="C1235" s="1">
        <v>0</v>
      </c>
      <c r="D1235" s="47">
        <v>5</v>
      </c>
      <c r="F1235" s="47">
        <f t="shared" si="48"/>
        <v>0</v>
      </c>
    </row>
    <row r="1236" spans="1:6" x14ac:dyDescent="0.25">
      <c r="A1236" s="5" t="s">
        <v>33</v>
      </c>
      <c r="B1236" s="2">
        <v>43944</v>
      </c>
      <c r="C1236" s="1">
        <v>0</v>
      </c>
      <c r="D1236" s="47">
        <v>5</v>
      </c>
      <c r="F1236" s="47">
        <f t="shared" si="48"/>
        <v>0</v>
      </c>
    </row>
    <row r="1237" spans="1:6" x14ac:dyDescent="0.25">
      <c r="A1237" s="5" t="s">
        <v>21</v>
      </c>
      <c r="B1237" s="2">
        <v>43944</v>
      </c>
      <c r="C1237" s="1">
        <v>0</v>
      </c>
      <c r="D1237" s="47">
        <v>45</v>
      </c>
      <c r="F1237" s="47">
        <f t="shared" si="48"/>
        <v>5</v>
      </c>
    </row>
    <row r="1238" spans="1:6" x14ac:dyDescent="0.25">
      <c r="A1238" s="5" t="s">
        <v>17</v>
      </c>
      <c r="B1238" s="2">
        <v>43944</v>
      </c>
      <c r="C1238" s="1">
        <v>1</v>
      </c>
      <c r="D1238" s="47">
        <v>75</v>
      </c>
      <c r="E1238" s="1">
        <v>1</v>
      </c>
      <c r="F1238" s="47">
        <f t="shared" si="48"/>
        <v>9</v>
      </c>
    </row>
    <row r="1239" spans="1:6" x14ac:dyDescent="0.25">
      <c r="A1239" s="5" t="s">
        <v>23</v>
      </c>
      <c r="B1239" s="2">
        <v>43944</v>
      </c>
      <c r="C1239" s="1">
        <v>0</v>
      </c>
      <c r="D1239" s="47">
        <v>5</v>
      </c>
      <c r="F1239" s="47">
        <f t="shared" si="48"/>
        <v>0</v>
      </c>
    </row>
    <row r="1240" spans="1:6" x14ac:dyDescent="0.25">
      <c r="A1240" s="5" t="s">
        <v>19</v>
      </c>
      <c r="B1240" s="2">
        <v>43944</v>
      </c>
      <c r="C1240" s="1">
        <v>1</v>
      </c>
      <c r="D1240" s="47">
        <v>104</v>
      </c>
      <c r="F1240" s="47">
        <f t="shared" si="48"/>
        <v>3</v>
      </c>
    </row>
    <row r="1241" spans="1:6" x14ac:dyDescent="0.25">
      <c r="A1241" s="5" t="s">
        <v>18</v>
      </c>
      <c r="B1241" s="2">
        <v>43944</v>
      </c>
      <c r="C1241" s="1">
        <v>4</v>
      </c>
      <c r="D1241" s="47">
        <v>169</v>
      </c>
      <c r="F1241" s="47">
        <f t="shared" si="48"/>
        <v>7</v>
      </c>
    </row>
    <row r="1242" spans="1:6" x14ac:dyDescent="0.25">
      <c r="A1242" s="5" t="s">
        <v>34</v>
      </c>
      <c r="B1242" s="2">
        <v>43944</v>
      </c>
      <c r="C1242" s="1">
        <v>0</v>
      </c>
      <c r="D1242" s="47">
        <v>3</v>
      </c>
      <c r="F1242" s="47">
        <f t="shared" si="48"/>
        <v>0</v>
      </c>
    </row>
    <row r="1243" spans="1:6" x14ac:dyDescent="0.25">
      <c r="A1243" s="5" t="s">
        <v>35</v>
      </c>
      <c r="B1243" s="2">
        <v>43944</v>
      </c>
      <c r="C1243" s="1">
        <v>0</v>
      </c>
      <c r="D1243" s="47">
        <v>2</v>
      </c>
      <c r="F1243" s="47">
        <f t="shared" si="48"/>
        <v>0</v>
      </c>
    </row>
    <row r="1244" spans="1:6" x14ac:dyDescent="0.25">
      <c r="A1244" s="5" t="s">
        <v>36</v>
      </c>
      <c r="B1244" s="2">
        <v>43944</v>
      </c>
      <c r="C1244" s="1">
        <v>0</v>
      </c>
      <c r="D1244" s="47">
        <v>11</v>
      </c>
      <c r="F1244" s="47">
        <f t="shared" si="48"/>
        <v>0</v>
      </c>
    </row>
    <row r="1245" spans="1:6" x14ac:dyDescent="0.25">
      <c r="A1245" s="5" t="s">
        <v>37</v>
      </c>
      <c r="B1245" s="2">
        <v>43944</v>
      </c>
      <c r="C1245" s="1">
        <v>0</v>
      </c>
      <c r="D1245" s="47">
        <v>41</v>
      </c>
      <c r="F1245" s="47">
        <f t="shared" si="48"/>
        <v>0</v>
      </c>
    </row>
    <row r="1246" spans="1:6" x14ac:dyDescent="0.25">
      <c r="A1246" s="5" t="s">
        <v>22</v>
      </c>
      <c r="B1246" s="2">
        <v>43944</v>
      </c>
      <c r="C1246" s="1">
        <v>6</v>
      </c>
      <c r="D1246" s="47">
        <v>236</v>
      </c>
      <c r="F1246" s="47">
        <f>E1246+F1222</f>
        <v>2</v>
      </c>
    </row>
    <row r="1247" spans="1:6" x14ac:dyDescent="0.25">
      <c r="A1247" s="5" t="s">
        <v>38</v>
      </c>
      <c r="B1247" s="2">
        <v>43944</v>
      </c>
      <c r="C1247" s="1">
        <v>0</v>
      </c>
      <c r="D1247" s="47">
        <v>12</v>
      </c>
      <c r="F1247" s="47">
        <f t="shared" si="48"/>
        <v>0</v>
      </c>
    </row>
    <row r="1248" spans="1:6" x14ac:dyDescent="0.25">
      <c r="A1248" s="5" t="s">
        <v>39</v>
      </c>
      <c r="B1248" s="2">
        <v>43944</v>
      </c>
      <c r="C1248" s="1">
        <v>1</v>
      </c>
      <c r="D1248" s="47">
        <v>125</v>
      </c>
      <c r="F1248" s="47">
        <f t="shared" si="48"/>
        <v>0</v>
      </c>
    </row>
    <row r="1249" spans="1:6" x14ac:dyDescent="0.25">
      <c r="A1249" s="5" t="s">
        <v>40</v>
      </c>
      <c r="B1249" s="2">
        <v>43944</v>
      </c>
      <c r="C1249" s="1">
        <v>0</v>
      </c>
      <c r="D1249" s="47">
        <v>35</v>
      </c>
      <c r="F1249" s="47">
        <f t="shared" si="48"/>
        <v>2</v>
      </c>
    </row>
    <row r="1250" spans="1:6" x14ac:dyDescent="0.25">
      <c r="A1250" s="34" t="s">
        <v>16</v>
      </c>
      <c r="B1250" s="2">
        <v>43945</v>
      </c>
      <c r="C1250" s="1">
        <v>61</v>
      </c>
      <c r="D1250" s="47">
        <v>1181</v>
      </c>
      <c r="E1250" s="1">
        <v>4</v>
      </c>
      <c r="F1250" s="47">
        <f>E1250+F1226</f>
        <v>71</v>
      </c>
    </row>
    <row r="1251" spans="1:6" x14ac:dyDescent="0.25">
      <c r="A1251" s="5" t="s">
        <v>28</v>
      </c>
      <c r="B1251" s="2">
        <v>43945</v>
      </c>
      <c r="C1251" s="1">
        <v>0</v>
      </c>
      <c r="D1251" s="47">
        <v>0</v>
      </c>
      <c r="F1251" s="47">
        <f t="shared" ref="F1251:F1273" si="49">E1251+F1227</f>
        <v>0</v>
      </c>
    </row>
    <row r="1252" spans="1:6" x14ac:dyDescent="0.25">
      <c r="A1252" s="5" t="s">
        <v>15</v>
      </c>
      <c r="B1252" s="2">
        <v>43945</v>
      </c>
      <c r="C1252" s="1">
        <v>7</v>
      </c>
      <c r="D1252" s="47">
        <v>287</v>
      </c>
      <c r="E1252" s="1">
        <v>1</v>
      </c>
      <c r="F1252" s="47">
        <f t="shared" si="49"/>
        <v>11</v>
      </c>
    </row>
    <row r="1253" spans="1:6" x14ac:dyDescent="0.25">
      <c r="A1253" s="5" t="s">
        <v>29</v>
      </c>
      <c r="B1253" s="2">
        <v>43945</v>
      </c>
      <c r="C1253" s="1">
        <v>0</v>
      </c>
      <c r="D1253" s="47">
        <v>2</v>
      </c>
      <c r="F1253" s="47">
        <f t="shared" si="49"/>
        <v>1</v>
      </c>
    </row>
    <row r="1254" spans="1:6" x14ac:dyDescent="0.25">
      <c r="A1254" s="5" t="s">
        <v>43</v>
      </c>
      <c r="B1254" s="2">
        <v>43945</v>
      </c>
      <c r="C1254" s="1">
        <v>79</v>
      </c>
      <c r="D1254" s="47">
        <v>916</v>
      </c>
      <c r="E1254" s="1">
        <v>4</v>
      </c>
      <c r="F1254" s="47">
        <f t="shared" si="49"/>
        <v>48</v>
      </c>
    </row>
    <row r="1255" spans="1:6" x14ac:dyDescent="0.25">
      <c r="A1255" s="5" t="s">
        <v>20</v>
      </c>
      <c r="B1255" s="2">
        <v>43945</v>
      </c>
      <c r="C1255" s="1">
        <v>3</v>
      </c>
      <c r="D1255" s="47">
        <v>269</v>
      </c>
      <c r="E1255" s="1">
        <v>1</v>
      </c>
      <c r="F1255" s="47">
        <f t="shared" si="49"/>
        <v>11</v>
      </c>
    </row>
    <row r="1256" spans="1:6" x14ac:dyDescent="0.25">
      <c r="A1256" s="5" t="s">
        <v>30</v>
      </c>
      <c r="B1256" s="2">
        <v>43945</v>
      </c>
      <c r="C1256" s="1">
        <v>4</v>
      </c>
      <c r="D1256" s="47">
        <v>39</v>
      </c>
      <c r="F1256" s="47">
        <f t="shared" si="49"/>
        <v>0</v>
      </c>
    </row>
    <row r="1257" spans="1:6" x14ac:dyDescent="0.25">
      <c r="A1257" s="5" t="s">
        <v>31</v>
      </c>
      <c r="B1257" s="2">
        <v>43945</v>
      </c>
      <c r="C1257" s="1">
        <v>0</v>
      </c>
      <c r="D1257" s="47">
        <v>22</v>
      </c>
      <c r="F1257" s="47">
        <f t="shared" si="49"/>
        <v>0</v>
      </c>
    </row>
    <row r="1258" spans="1:6" x14ac:dyDescent="0.25">
      <c r="A1258" s="5" t="s">
        <v>41</v>
      </c>
      <c r="B1258" s="2">
        <v>43945</v>
      </c>
      <c r="C1258" s="1">
        <v>0</v>
      </c>
      <c r="D1258" s="47">
        <v>0</v>
      </c>
      <c r="F1258" s="47">
        <f t="shared" si="49"/>
        <v>0</v>
      </c>
    </row>
    <row r="1259" spans="1:6" x14ac:dyDescent="0.25">
      <c r="A1259" s="5" t="s">
        <v>32</v>
      </c>
      <c r="B1259" s="2">
        <v>43945</v>
      </c>
      <c r="C1259" s="1">
        <v>0</v>
      </c>
      <c r="D1259" s="47">
        <v>5</v>
      </c>
      <c r="F1259" s="47">
        <f t="shared" si="49"/>
        <v>0</v>
      </c>
    </row>
    <row r="1260" spans="1:6" x14ac:dyDescent="0.25">
      <c r="A1260" s="5" t="s">
        <v>33</v>
      </c>
      <c r="B1260" s="2">
        <v>43945</v>
      </c>
      <c r="C1260" s="1">
        <v>0</v>
      </c>
      <c r="D1260" s="47">
        <v>5</v>
      </c>
      <c r="F1260" s="47">
        <f t="shared" si="49"/>
        <v>0</v>
      </c>
    </row>
    <row r="1261" spans="1:6" x14ac:dyDescent="0.25">
      <c r="A1261" s="5" t="s">
        <v>21</v>
      </c>
      <c r="B1261" s="2">
        <v>43945</v>
      </c>
      <c r="C1261" s="1">
        <v>2</v>
      </c>
      <c r="D1261" s="47">
        <v>47</v>
      </c>
      <c r="F1261" s="47">
        <f t="shared" si="49"/>
        <v>5</v>
      </c>
    </row>
    <row r="1262" spans="1:6" x14ac:dyDescent="0.25">
      <c r="A1262" s="5" t="s">
        <v>17</v>
      </c>
      <c r="B1262" s="2">
        <v>43945</v>
      </c>
      <c r="C1262" s="1">
        <v>0</v>
      </c>
      <c r="D1262" s="47">
        <v>75</v>
      </c>
      <c r="F1262" s="47">
        <f t="shared" si="49"/>
        <v>9</v>
      </c>
    </row>
    <row r="1263" spans="1:6" x14ac:dyDescent="0.25">
      <c r="A1263" s="5" t="s">
        <v>23</v>
      </c>
      <c r="B1263" s="2">
        <v>43945</v>
      </c>
      <c r="C1263" s="1">
        <v>1</v>
      </c>
      <c r="D1263" s="47">
        <v>6</v>
      </c>
      <c r="E1263" s="1">
        <v>1</v>
      </c>
      <c r="F1263" s="47">
        <f t="shared" si="49"/>
        <v>1</v>
      </c>
    </row>
    <row r="1264" spans="1:6" x14ac:dyDescent="0.25">
      <c r="A1264" s="5" t="s">
        <v>19</v>
      </c>
      <c r="B1264" s="2">
        <v>43945</v>
      </c>
      <c r="C1264" s="1">
        <v>0</v>
      </c>
      <c r="D1264" s="47">
        <v>104</v>
      </c>
      <c r="F1264" s="47">
        <f t="shared" si="49"/>
        <v>3</v>
      </c>
    </row>
    <row r="1265" spans="1:6" x14ac:dyDescent="0.25">
      <c r="A1265" s="5" t="s">
        <v>18</v>
      </c>
      <c r="B1265" s="2">
        <v>43945</v>
      </c>
      <c r="C1265" s="1">
        <v>11</v>
      </c>
      <c r="D1265" s="47">
        <v>180</v>
      </c>
      <c r="F1265" s="47">
        <f t="shared" si="49"/>
        <v>7</v>
      </c>
    </row>
    <row r="1266" spans="1:6" x14ac:dyDescent="0.25">
      <c r="A1266" s="5" t="s">
        <v>34</v>
      </c>
      <c r="B1266" s="2">
        <v>43945</v>
      </c>
      <c r="C1266" s="1">
        <v>0</v>
      </c>
      <c r="D1266" s="47">
        <v>3</v>
      </c>
      <c r="F1266" s="47">
        <f t="shared" si="49"/>
        <v>0</v>
      </c>
    </row>
    <row r="1267" spans="1:6" x14ac:dyDescent="0.25">
      <c r="A1267" s="5" t="s">
        <v>35</v>
      </c>
      <c r="B1267" s="2">
        <v>43945</v>
      </c>
      <c r="C1267" s="1">
        <v>0</v>
      </c>
      <c r="D1267" s="47">
        <v>2</v>
      </c>
      <c r="F1267" s="47">
        <f t="shared" si="49"/>
        <v>0</v>
      </c>
    </row>
    <row r="1268" spans="1:6" x14ac:dyDescent="0.25">
      <c r="A1268" s="5" t="s">
        <v>36</v>
      </c>
      <c r="B1268" s="2">
        <v>43945</v>
      </c>
      <c r="C1268" s="1">
        <v>0</v>
      </c>
      <c r="D1268" s="47">
        <v>11</v>
      </c>
      <c r="F1268" s="47">
        <f t="shared" si="49"/>
        <v>0</v>
      </c>
    </row>
    <row r="1269" spans="1:6" x14ac:dyDescent="0.25">
      <c r="A1269" s="5" t="s">
        <v>37</v>
      </c>
      <c r="B1269" s="2">
        <v>43945</v>
      </c>
      <c r="C1269" s="1">
        <v>1</v>
      </c>
      <c r="D1269" s="47">
        <v>42</v>
      </c>
      <c r="F1269" s="47">
        <f t="shared" si="49"/>
        <v>0</v>
      </c>
    </row>
    <row r="1270" spans="1:6" x14ac:dyDescent="0.25">
      <c r="A1270" s="5" t="s">
        <v>22</v>
      </c>
      <c r="B1270" s="2">
        <v>43945</v>
      </c>
      <c r="C1270" s="1">
        <v>3</v>
      </c>
      <c r="D1270" s="47">
        <v>239</v>
      </c>
      <c r="F1270" s="47">
        <f>E1270+F1246</f>
        <v>2</v>
      </c>
    </row>
    <row r="1271" spans="1:6" x14ac:dyDescent="0.25">
      <c r="A1271" s="5" t="s">
        <v>38</v>
      </c>
      <c r="B1271" s="2">
        <v>43945</v>
      </c>
      <c r="C1271" s="1">
        <v>0</v>
      </c>
      <c r="D1271" s="47">
        <v>12</v>
      </c>
      <c r="F1271" s="47">
        <f t="shared" si="49"/>
        <v>0</v>
      </c>
    </row>
    <row r="1272" spans="1:6" x14ac:dyDescent="0.25">
      <c r="A1272" s="5" t="s">
        <v>39</v>
      </c>
      <c r="B1272" s="2">
        <v>43945</v>
      </c>
      <c r="C1272" s="1">
        <v>1</v>
      </c>
      <c r="D1272" s="47">
        <v>126</v>
      </c>
      <c r="F1272" s="47">
        <f t="shared" si="49"/>
        <v>0</v>
      </c>
    </row>
    <row r="1273" spans="1:6" x14ac:dyDescent="0.25">
      <c r="A1273" s="5" t="s">
        <v>40</v>
      </c>
      <c r="B1273" s="2">
        <v>43945</v>
      </c>
      <c r="C1273" s="1">
        <v>-1</v>
      </c>
      <c r="D1273" s="47">
        <v>34</v>
      </c>
      <c r="F1273" s="47">
        <f t="shared" si="49"/>
        <v>2</v>
      </c>
    </row>
    <row r="1274" spans="1:6" x14ac:dyDescent="0.25">
      <c r="A1274" s="34" t="s">
        <v>16</v>
      </c>
      <c r="B1274" s="2">
        <v>43946</v>
      </c>
      <c r="C1274" s="1">
        <v>94</v>
      </c>
      <c r="D1274" s="47">
        <v>1275</v>
      </c>
      <c r="E1274" s="1">
        <v>2</v>
      </c>
      <c r="F1274" s="47">
        <f>E1274+F1250</f>
        <v>73</v>
      </c>
    </row>
    <row r="1275" spans="1:6" x14ac:dyDescent="0.25">
      <c r="A1275" s="5" t="s">
        <v>28</v>
      </c>
      <c r="B1275" s="2">
        <v>43946</v>
      </c>
      <c r="C1275" s="1">
        <v>0</v>
      </c>
      <c r="D1275" s="47">
        <v>0</v>
      </c>
      <c r="F1275" s="47">
        <f t="shared" ref="F1275:F1297" si="50">E1275+F1251</f>
        <v>0</v>
      </c>
    </row>
    <row r="1276" spans="1:6" x14ac:dyDescent="0.25">
      <c r="A1276" s="5" t="s">
        <v>15</v>
      </c>
      <c r="B1276" s="2">
        <v>43946</v>
      </c>
      <c r="C1276" s="1">
        <v>7</v>
      </c>
      <c r="D1276" s="47">
        <v>294</v>
      </c>
      <c r="F1276" s="47">
        <f t="shared" si="50"/>
        <v>11</v>
      </c>
    </row>
    <row r="1277" spans="1:6" x14ac:dyDescent="0.25">
      <c r="A1277" s="5" t="s">
        <v>29</v>
      </c>
      <c r="B1277" s="2">
        <v>43946</v>
      </c>
      <c r="C1277" s="1">
        <v>0</v>
      </c>
      <c r="D1277" s="47">
        <v>2</v>
      </c>
      <c r="F1277" s="47">
        <f t="shared" si="50"/>
        <v>1</v>
      </c>
    </row>
    <row r="1278" spans="1:6" x14ac:dyDescent="0.25">
      <c r="A1278" s="5" t="s">
        <v>43</v>
      </c>
      <c r="B1278" s="2">
        <v>43946</v>
      </c>
      <c r="C1278" s="1">
        <v>55</v>
      </c>
      <c r="D1278" s="47">
        <v>971</v>
      </c>
      <c r="E1278" s="1">
        <v>4</v>
      </c>
      <c r="F1278" s="47">
        <f t="shared" si="50"/>
        <v>52</v>
      </c>
    </row>
    <row r="1279" spans="1:6" x14ac:dyDescent="0.25">
      <c r="A1279" s="5" t="s">
        <v>20</v>
      </c>
      <c r="B1279" s="2">
        <v>43946</v>
      </c>
      <c r="C1279" s="1">
        <v>1</v>
      </c>
      <c r="D1279" s="47">
        <v>270</v>
      </c>
      <c r="E1279" s="1">
        <v>1</v>
      </c>
      <c r="F1279" s="47">
        <f t="shared" si="50"/>
        <v>12</v>
      </c>
    </row>
    <row r="1280" spans="1:6" x14ac:dyDescent="0.25">
      <c r="A1280" s="5" t="s">
        <v>30</v>
      </c>
      <c r="B1280" s="2">
        <v>43946</v>
      </c>
      <c r="C1280" s="1">
        <v>1</v>
      </c>
      <c r="D1280" s="47">
        <v>40</v>
      </c>
      <c r="F1280" s="47">
        <f t="shared" si="50"/>
        <v>0</v>
      </c>
    </row>
    <row r="1281" spans="1:6" x14ac:dyDescent="0.25">
      <c r="A1281" s="5" t="s">
        <v>31</v>
      </c>
      <c r="B1281" s="2">
        <v>43946</v>
      </c>
      <c r="C1281" s="1">
        <v>0</v>
      </c>
      <c r="D1281" s="47">
        <v>22</v>
      </c>
      <c r="F1281" s="47">
        <f t="shared" si="50"/>
        <v>0</v>
      </c>
    </row>
    <row r="1282" spans="1:6" x14ac:dyDescent="0.25">
      <c r="A1282" s="5" t="s">
        <v>41</v>
      </c>
      <c r="B1282" s="2">
        <v>43946</v>
      </c>
      <c r="C1282" s="1">
        <v>0</v>
      </c>
      <c r="D1282" s="47">
        <v>0</v>
      </c>
      <c r="F1282" s="47">
        <f t="shared" si="50"/>
        <v>0</v>
      </c>
    </row>
    <row r="1283" spans="1:6" x14ac:dyDescent="0.25">
      <c r="A1283" s="5" t="s">
        <v>32</v>
      </c>
      <c r="B1283" s="2">
        <v>43946</v>
      </c>
      <c r="C1283" s="1">
        <v>0</v>
      </c>
      <c r="D1283" s="47">
        <v>5</v>
      </c>
      <c r="F1283" s="47">
        <f t="shared" si="50"/>
        <v>0</v>
      </c>
    </row>
    <row r="1284" spans="1:6" x14ac:dyDescent="0.25">
      <c r="A1284" s="5" t="s">
        <v>33</v>
      </c>
      <c r="B1284" s="2">
        <v>43946</v>
      </c>
      <c r="C1284" s="1">
        <v>0</v>
      </c>
      <c r="D1284" s="47">
        <v>5</v>
      </c>
      <c r="F1284" s="47">
        <f t="shared" si="50"/>
        <v>0</v>
      </c>
    </row>
    <row r="1285" spans="1:6" x14ac:dyDescent="0.25">
      <c r="A1285" s="5" t="s">
        <v>21</v>
      </c>
      <c r="B1285" s="2">
        <v>43946</v>
      </c>
      <c r="C1285" s="1">
        <v>3</v>
      </c>
      <c r="D1285" s="47">
        <v>50</v>
      </c>
      <c r="E1285" s="1">
        <v>1</v>
      </c>
      <c r="F1285" s="47">
        <f t="shared" si="50"/>
        <v>6</v>
      </c>
    </row>
    <row r="1286" spans="1:6" x14ac:dyDescent="0.25">
      <c r="A1286" s="5" t="s">
        <v>17</v>
      </c>
      <c r="B1286" s="2">
        <v>43946</v>
      </c>
      <c r="C1286" s="1">
        <v>0</v>
      </c>
      <c r="D1286" s="47">
        <v>75</v>
      </c>
      <c r="F1286" s="47">
        <f t="shared" si="50"/>
        <v>9</v>
      </c>
    </row>
    <row r="1287" spans="1:6" x14ac:dyDescent="0.25">
      <c r="A1287" s="5" t="s">
        <v>23</v>
      </c>
      <c r="B1287" s="2">
        <v>43946</v>
      </c>
      <c r="C1287" s="1">
        <v>0</v>
      </c>
      <c r="D1287" s="47">
        <v>6</v>
      </c>
      <c r="F1287" s="47">
        <f t="shared" si="50"/>
        <v>1</v>
      </c>
    </row>
    <row r="1288" spans="1:6" x14ac:dyDescent="0.25">
      <c r="A1288" s="5" t="s">
        <v>19</v>
      </c>
      <c r="B1288" s="2">
        <v>43946</v>
      </c>
      <c r="C1288" s="1">
        <v>0</v>
      </c>
      <c r="D1288" s="47">
        <v>104</v>
      </c>
      <c r="F1288" s="47">
        <f t="shared" si="50"/>
        <v>3</v>
      </c>
    </row>
    <row r="1289" spans="1:6" x14ac:dyDescent="0.25">
      <c r="A1289" s="5" t="s">
        <v>18</v>
      </c>
      <c r="B1289" s="2">
        <v>43946</v>
      </c>
      <c r="C1289" s="1">
        <v>4</v>
      </c>
      <c r="D1289" s="47">
        <v>184</v>
      </c>
      <c r="E1289" s="1">
        <v>1</v>
      </c>
      <c r="F1289" s="47">
        <f t="shared" si="50"/>
        <v>8</v>
      </c>
    </row>
    <row r="1290" spans="1:6" x14ac:dyDescent="0.25">
      <c r="A1290" s="5" t="s">
        <v>34</v>
      </c>
      <c r="B1290" s="2">
        <v>43946</v>
      </c>
      <c r="C1290" s="1">
        <v>0</v>
      </c>
      <c r="D1290" s="47">
        <v>3</v>
      </c>
      <c r="F1290" s="47">
        <f t="shared" si="50"/>
        <v>0</v>
      </c>
    </row>
    <row r="1291" spans="1:6" x14ac:dyDescent="0.25">
      <c r="A1291" s="5" t="s">
        <v>35</v>
      </c>
      <c r="B1291" s="2">
        <v>43946</v>
      </c>
      <c r="C1291" s="1">
        <v>0</v>
      </c>
      <c r="D1291" s="47">
        <v>2</v>
      </c>
      <c r="F1291" s="47">
        <f t="shared" si="50"/>
        <v>0</v>
      </c>
    </row>
    <row r="1292" spans="1:6" x14ac:dyDescent="0.25">
      <c r="A1292" s="5" t="s">
        <v>36</v>
      </c>
      <c r="B1292" s="2">
        <v>43946</v>
      </c>
      <c r="C1292" s="1">
        <v>0</v>
      </c>
      <c r="D1292" s="47">
        <v>11</v>
      </c>
      <c r="F1292" s="47">
        <f t="shared" si="50"/>
        <v>0</v>
      </c>
    </row>
    <row r="1293" spans="1:6" x14ac:dyDescent="0.25">
      <c r="A1293" s="5" t="s">
        <v>37</v>
      </c>
      <c r="B1293" s="2">
        <v>43946</v>
      </c>
      <c r="C1293" s="1">
        <v>0</v>
      </c>
      <c r="D1293" s="47">
        <v>42</v>
      </c>
      <c r="F1293" s="47">
        <f t="shared" si="50"/>
        <v>0</v>
      </c>
    </row>
    <row r="1294" spans="1:6" x14ac:dyDescent="0.25">
      <c r="A1294" s="5" t="s">
        <v>22</v>
      </c>
      <c r="B1294" s="2">
        <v>43946</v>
      </c>
      <c r="C1294" s="1">
        <v>3</v>
      </c>
      <c r="D1294" s="47">
        <v>242</v>
      </c>
      <c r="F1294" s="47">
        <f>E1294+F1270</f>
        <v>2</v>
      </c>
    </row>
    <row r="1295" spans="1:6" x14ac:dyDescent="0.25">
      <c r="A1295" s="5" t="s">
        <v>38</v>
      </c>
      <c r="B1295" s="2">
        <v>43946</v>
      </c>
      <c r="C1295" s="1">
        <v>1</v>
      </c>
      <c r="D1295" s="47">
        <v>13</v>
      </c>
      <c r="F1295" s="47">
        <f t="shared" si="50"/>
        <v>0</v>
      </c>
    </row>
    <row r="1296" spans="1:6" x14ac:dyDescent="0.25">
      <c r="A1296" s="5" t="s">
        <v>39</v>
      </c>
      <c r="B1296" s="2">
        <v>43946</v>
      </c>
      <c r="C1296" s="1">
        <v>4</v>
      </c>
      <c r="D1296" s="47">
        <v>130</v>
      </c>
      <c r="F1296" s="47">
        <f t="shared" si="50"/>
        <v>0</v>
      </c>
    </row>
    <row r="1297" spans="1:6" x14ac:dyDescent="0.25">
      <c r="A1297" s="5" t="s">
        <v>40</v>
      </c>
      <c r="B1297" s="2">
        <v>43946</v>
      </c>
      <c r="C1297" s="1">
        <v>0</v>
      </c>
      <c r="D1297" s="47">
        <v>34</v>
      </c>
      <c r="F1297" s="47">
        <f t="shared" si="50"/>
        <v>2</v>
      </c>
    </row>
    <row r="1298" spans="1:6" x14ac:dyDescent="0.25">
      <c r="A1298" s="34" t="s">
        <v>16</v>
      </c>
      <c r="B1298" s="2">
        <v>43947</v>
      </c>
      <c r="C1298" s="1">
        <v>56</v>
      </c>
      <c r="D1298" s="47">
        <v>1331</v>
      </c>
      <c r="E1298" s="1">
        <v>2</v>
      </c>
      <c r="F1298" s="47">
        <f>E1298+F1274</f>
        <v>75</v>
      </c>
    </row>
    <row r="1299" spans="1:6" x14ac:dyDescent="0.25">
      <c r="A1299" s="5" t="s">
        <v>28</v>
      </c>
      <c r="B1299" s="2">
        <v>43947</v>
      </c>
      <c r="C1299" s="1">
        <v>0</v>
      </c>
      <c r="D1299" s="47">
        <v>0</v>
      </c>
      <c r="F1299" s="47">
        <f t="shared" ref="F1299:F1320" si="51">E1299+F1275</f>
        <v>0</v>
      </c>
    </row>
    <row r="1300" spans="1:6" x14ac:dyDescent="0.25">
      <c r="A1300" s="5" t="s">
        <v>15</v>
      </c>
      <c r="B1300" s="2">
        <v>43947</v>
      </c>
      <c r="C1300" s="1">
        <v>3</v>
      </c>
      <c r="D1300" s="47">
        <v>297</v>
      </c>
      <c r="F1300" s="47">
        <f t="shared" si="51"/>
        <v>11</v>
      </c>
    </row>
    <row r="1301" spans="1:6" x14ac:dyDescent="0.25">
      <c r="A1301" s="5" t="s">
        <v>29</v>
      </c>
      <c r="B1301" s="2">
        <v>43947</v>
      </c>
      <c r="C1301" s="1">
        <v>0</v>
      </c>
      <c r="D1301" s="47">
        <v>2</v>
      </c>
      <c r="F1301" s="47">
        <f t="shared" si="51"/>
        <v>1</v>
      </c>
    </row>
    <row r="1302" spans="1:6" x14ac:dyDescent="0.25">
      <c r="A1302" s="5" t="s">
        <v>43</v>
      </c>
      <c r="B1302" s="2">
        <v>43947</v>
      </c>
      <c r="C1302" s="1">
        <v>36</v>
      </c>
      <c r="D1302" s="47">
        <v>1007</v>
      </c>
      <c r="E1302" s="1">
        <v>5</v>
      </c>
      <c r="F1302" s="47">
        <f t="shared" si="51"/>
        <v>57</v>
      </c>
    </row>
    <row r="1303" spans="1:6" x14ac:dyDescent="0.25">
      <c r="A1303" s="5" t="s">
        <v>20</v>
      </c>
      <c r="B1303" s="2">
        <v>43947</v>
      </c>
      <c r="C1303" s="1">
        <v>3</v>
      </c>
      <c r="D1303" s="47">
        <v>273</v>
      </c>
      <c r="F1303" s="47">
        <f t="shared" si="51"/>
        <v>12</v>
      </c>
    </row>
    <row r="1304" spans="1:6" x14ac:dyDescent="0.25">
      <c r="A1304" s="5" t="s">
        <v>30</v>
      </c>
      <c r="B1304" s="2">
        <v>43947</v>
      </c>
      <c r="C1304" s="1">
        <v>6</v>
      </c>
      <c r="D1304" s="47">
        <v>46</v>
      </c>
      <c r="F1304" s="47">
        <f t="shared" si="51"/>
        <v>0</v>
      </c>
    </row>
    <row r="1305" spans="1:6" x14ac:dyDescent="0.25">
      <c r="A1305" s="5" t="s">
        <v>31</v>
      </c>
      <c r="B1305" s="2">
        <v>43947</v>
      </c>
      <c r="C1305" s="1">
        <v>1</v>
      </c>
      <c r="D1305" s="47">
        <v>23</v>
      </c>
      <c r="F1305" s="47">
        <f t="shared" si="51"/>
        <v>0</v>
      </c>
    </row>
    <row r="1306" spans="1:6" x14ac:dyDescent="0.25">
      <c r="A1306" s="5" t="s">
        <v>41</v>
      </c>
      <c r="B1306" s="2">
        <v>43947</v>
      </c>
      <c r="C1306" s="1">
        <v>0</v>
      </c>
      <c r="D1306" s="47">
        <v>0</v>
      </c>
      <c r="F1306" s="47">
        <f t="shared" si="51"/>
        <v>0</v>
      </c>
    </row>
    <row r="1307" spans="1:6" x14ac:dyDescent="0.25">
      <c r="A1307" s="5" t="s">
        <v>32</v>
      </c>
      <c r="B1307" s="2">
        <v>43947</v>
      </c>
      <c r="C1307" s="1">
        <v>0</v>
      </c>
      <c r="D1307" s="47">
        <v>5</v>
      </c>
      <c r="F1307" s="47">
        <f t="shared" si="51"/>
        <v>0</v>
      </c>
    </row>
    <row r="1308" spans="1:6" x14ac:dyDescent="0.25">
      <c r="A1308" s="5" t="s">
        <v>33</v>
      </c>
      <c r="B1308" s="2">
        <v>43947</v>
      </c>
      <c r="C1308" s="1">
        <v>0</v>
      </c>
      <c r="D1308" s="47">
        <v>5</v>
      </c>
      <c r="F1308" s="47">
        <f t="shared" si="51"/>
        <v>0</v>
      </c>
    </row>
    <row r="1309" spans="1:6" x14ac:dyDescent="0.25">
      <c r="A1309" s="5" t="s">
        <v>21</v>
      </c>
      <c r="B1309" s="2">
        <v>43947</v>
      </c>
      <c r="C1309" s="1">
        <v>0</v>
      </c>
      <c r="D1309" s="47">
        <v>50</v>
      </c>
      <c r="F1309" s="47">
        <f t="shared" si="51"/>
        <v>6</v>
      </c>
    </row>
    <row r="1310" spans="1:6" x14ac:dyDescent="0.25">
      <c r="A1310" s="5" t="s">
        <v>17</v>
      </c>
      <c r="B1310" s="2">
        <v>43947</v>
      </c>
      <c r="C1310" s="1">
        <v>0</v>
      </c>
      <c r="D1310" s="47">
        <v>75</v>
      </c>
      <c r="F1310" s="47">
        <f t="shared" si="51"/>
        <v>9</v>
      </c>
    </row>
    <row r="1311" spans="1:6" x14ac:dyDescent="0.25">
      <c r="A1311" s="5" t="s">
        <v>23</v>
      </c>
      <c r="B1311" s="2">
        <v>43947</v>
      </c>
      <c r="C1311" s="1">
        <v>0</v>
      </c>
      <c r="D1311" s="47">
        <v>6</v>
      </c>
      <c r="F1311" s="47">
        <f t="shared" si="51"/>
        <v>1</v>
      </c>
    </row>
    <row r="1312" spans="1:6" x14ac:dyDescent="0.25">
      <c r="A1312" s="5" t="s">
        <v>19</v>
      </c>
      <c r="B1312" s="2">
        <v>43947</v>
      </c>
      <c r="C1312" s="1">
        <v>1</v>
      </c>
      <c r="D1312" s="47">
        <v>105</v>
      </c>
      <c r="F1312" s="47">
        <f t="shared" si="51"/>
        <v>3</v>
      </c>
    </row>
    <row r="1313" spans="1:6" x14ac:dyDescent="0.25">
      <c r="A1313" s="5" t="s">
        <v>18</v>
      </c>
      <c r="B1313" s="2">
        <v>43947</v>
      </c>
      <c r="C1313" s="1">
        <v>1</v>
      </c>
      <c r="D1313" s="47">
        <v>185</v>
      </c>
      <c r="F1313" s="47">
        <f t="shared" si="51"/>
        <v>8</v>
      </c>
    </row>
    <row r="1314" spans="1:6" x14ac:dyDescent="0.25">
      <c r="A1314" s="5" t="s">
        <v>34</v>
      </c>
      <c r="B1314" s="2">
        <v>43947</v>
      </c>
      <c r="C1314" s="1">
        <v>1</v>
      </c>
      <c r="D1314" s="47">
        <v>4</v>
      </c>
      <c r="F1314" s="47">
        <f t="shared" si="51"/>
        <v>0</v>
      </c>
    </row>
    <row r="1315" spans="1:6" x14ac:dyDescent="0.25">
      <c r="A1315" s="5" t="s">
        <v>35</v>
      </c>
      <c r="B1315" s="2">
        <v>43947</v>
      </c>
      <c r="C1315" s="1">
        <v>0</v>
      </c>
      <c r="D1315" s="47">
        <v>2</v>
      </c>
      <c r="F1315" s="47">
        <f t="shared" si="51"/>
        <v>0</v>
      </c>
    </row>
    <row r="1316" spans="1:6" x14ac:dyDescent="0.25">
      <c r="A1316" s="5" t="s">
        <v>36</v>
      </c>
      <c r="B1316" s="2">
        <v>43947</v>
      </c>
      <c r="C1316" s="1">
        <v>0</v>
      </c>
      <c r="D1316" s="47">
        <v>11</v>
      </c>
      <c r="F1316" s="47">
        <f t="shared" si="51"/>
        <v>0</v>
      </c>
    </row>
    <row r="1317" spans="1:6" x14ac:dyDescent="0.25">
      <c r="A1317" s="5" t="s">
        <v>37</v>
      </c>
      <c r="B1317" s="2">
        <v>43947</v>
      </c>
      <c r="C1317" s="1">
        <v>1</v>
      </c>
      <c r="D1317" s="47">
        <v>43</v>
      </c>
      <c r="F1317" s="47">
        <f t="shared" si="51"/>
        <v>0</v>
      </c>
    </row>
    <row r="1318" spans="1:6" x14ac:dyDescent="0.25">
      <c r="A1318" s="5" t="s">
        <v>22</v>
      </c>
      <c r="B1318" s="2">
        <v>43947</v>
      </c>
      <c r="C1318" s="1">
        <v>0</v>
      </c>
      <c r="D1318" s="47">
        <v>242</v>
      </c>
      <c r="F1318" s="47">
        <f>E1318+F1294</f>
        <v>2</v>
      </c>
    </row>
    <row r="1319" spans="1:6" x14ac:dyDescent="0.25">
      <c r="A1319" s="5" t="s">
        <v>38</v>
      </c>
      <c r="B1319" s="2">
        <v>43947</v>
      </c>
      <c r="C1319" s="1">
        <v>2</v>
      </c>
      <c r="D1319" s="47">
        <v>15</v>
      </c>
      <c r="F1319" s="47">
        <f t="shared" si="51"/>
        <v>0</v>
      </c>
    </row>
    <row r="1320" spans="1:6" x14ac:dyDescent="0.25">
      <c r="A1320" s="5" t="s">
        <v>39</v>
      </c>
      <c r="B1320" s="2">
        <v>43947</v>
      </c>
      <c r="C1320" s="1">
        <v>0</v>
      </c>
      <c r="D1320" s="47">
        <v>130</v>
      </c>
      <c r="F1320" s="47">
        <f t="shared" si="51"/>
        <v>0</v>
      </c>
    </row>
    <row r="1321" spans="1:6" x14ac:dyDescent="0.25">
      <c r="A1321" s="5" t="s">
        <v>40</v>
      </c>
      <c r="B1321" s="2">
        <v>43947</v>
      </c>
      <c r="C1321" s="1">
        <v>1</v>
      </c>
      <c r="D1321" s="47">
        <v>35</v>
      </c>
      <c r="F1321" s="47">
        <f>E1321+F1297</f>
        <v>2</v>
      </c>
    </row>
    <row r="1322" spans="1:6" x14ac:dyDescent="0.25">
      <c r="A1322" s="34" t="s">
        <v>16</v>
      </c>
      <c r="B1322" s="2">
        <v>43948</v>
      </c>
      <c r="C1322" s="1">
        <v>50</v>
      </c>
      <c r="D1322" s="47">
        <v>1381</v>
      </c>
      <c r="E1322" s="1">
        <v>1</v>
      </c>
      <c r="F1322" s="47">
        <f>E1322+F1298</f>
        <v>76</v>
      </c>
    </row>
    <row r="1323" spans="1:6" x14ac:dyDescent="0.25">
      <c r="A1323" s="5" t="s">
        <v>28</v>
      </c>
      <c r="B1323" s="2">
        <v>43948</v>
      </c>
      <c r="C1323" s="1">
        <v>0</v>
      </c>
      <c r="D1323" s="47">
        <v>0</v>
      </c>
      <c r="F1323" s="47">
        <f t="shared" ref="F1323:F1344" si="52">E1323+F1299</f>
        <v>0</v>
      </c>
    </row>
    <row r="1324" spans="1:6" x14ac:dyDescent="0.25">
      <c r="A1324" s="5" t="s">
        <v>15</v>
      </c>
      <c r="B1324" s="2">
        <v>43948</v>
      </c>
      <c r="C1324" s="1">
        <v>10</v>
      </c>
      <c r="D1324" s="47">
        <v>307</v>
      </c>
      <c r="E1324" s="1">
        <v>1</v>
      </c>
      <c r="F1324" s="47">
        <f t="shared" si="52"/>
        <v>12</v>
      </c>
    </row>
    <row r="1325" spans="1:6" x14ac:dyDescent="0.25">
      <c r="A1325" s="5" t="s">
        <v>29</v>
      </c>
      <c r="B1325" s="2">
        <v>43948</v>
      </c>
      <c r="C1325" s="1">
        <v>0</v>
      </c>
      <c r="D1325" s="47">
        <v>2</v>
      </c>
      <c r="F1325" s="47">
        <f t="shared" si="52"/>
        <v>1</v>
      </c>
    </row>
    <row r="1326" spans="1:6" x14ac:dyDescent="0.25">
      <c r="A1326" s="5" t="s">
        <v>43</v>
      </c>
      <c r="B1326" s="2">
        <v>43948</v>
      </c>
      <c r="C1326" s="1">
        <v>32</v>
      </c>
      <c r="D1326" s="47">
        <v>1039</v>
      </c>
      <c r="E1326" s="1">
        <v>2</v>
      </c>
      <c r="F1326" s="47">
        <f t="shared" si="52"/>
        <v>59</v>
      </c>
    </row>
    <row r="1327" spans="1:6" x14ac:dyDescent="0.25">
      <c r="A1327" s="5" t="s">
        <v>20</v>
      </c>
      <c r="B1327" s="2">
        <v>43948</v>
      </c>
      <c r="C1327" s="1">
        <v>0</v>
      </c>
      <c r="D1327" s="47">
        <v>273</v>
      </c>
      <c r="E1327" s="1">
        <v>1</v>
      </c>
      <c r="F1327" s="47">
        <f t="shared" si="52"/>
        <v>13</v>
      </c>
    </row>
    <row r="1328" spans="1:6" x14ac:dyDescent="0.25">
      <c r="A1328" s="5" t="s">
        <v>30</v>
      </c>
      <c r="B1328" s="2">
        <v>43948</v>
      </c>
      <c r="C1328" s="1">
        <v>0</v>
      </c>
      <c r="D1328" s="47">
        <v>46</v>
      </c>
      <c r="F1328" s="47">
        <f t="shared" si="52"/>
        <v>0</v>
      </c>
    </row>
    <row r="1329" spans="1:6" x14ac:dyDescent="0.25">
      <c r="A1329" s="5" t="s">
        <v>31</v>
      </c>
      <c r="B1329" s="2">
        <v>43948</v>
      </c>
      <c r="C1329" s="1">
        <v>0</v>
      </c>
      <c r="D1329" s="47">
        <v>23</v>
      </c>
      <c r="F1329" s="47">
        <f t="shared" si="52"/>
        <v>0</v>
      </c>
    </row>
    <row r="1330" spans="1:6" x14ac:dyDescent="0.25">
      <c r="A1330" s="5" t="s">
        <v>41</v>
      </c>
      <c r="B1330" s="2">
        <v>43948</v>
      </c>
      <c r="C1330" s="1">
        <v>0</v>
      </c>
      <c r="D1330" s="47">
        <v>0</v>
      </c>
      <c r="F1330" s="47">
        <f t="shared" si="52"/>
        <v>0</v>
      </c>
    </row>
    <row r="1331" spans="1:6" x14ac:dyDescent="0.25">
      <c r="A1331" s="5" t="s">
        <v>32</v>
      </c>
      <c r="B1331" s="2">
        <v>43948</v>
      </c>
      <c r="C1331" s="1">
        <v>0</v>
      </c>
      <c r="D1331" s="47">
        <v>5</v>
      </c>
      <c r="F1331" s="47">
        <f t="shared" si="52"/>
        <v>0</v>
      </c>
    </row>
    <row r="1332" spans="1:6" x14ac:dyDescent="0.25">
      <c r="A1332" s="5" t="s">
        <v>33</v>
      </c>
      <c r="B1332" s="2">
        <v>43948</v>
      </c>
      <c r="C1332" s="1">
        <v>0</v>
      </c>
      <c r="D1332" s="47">
        <v>5</v>
      </c>
      <c r="F1332" s="47">
        <f t="shared" si="52"/>
        <v>0</v>
      </c>
    </row>
    <row r="1333" spans="1:6" x14ac:dyDescent="0.25">
      <c r="A1333" s="5" t="s">
        <v>21</v>
      </c>
      <c r="B1333" s="2">
        <v>43948</v>
      </c>
      <c r="C1333" s="1">
        <v>0</v>
      </c>
      <c r="D1333" s="47">
        <v>50</v>
      </c>
      <c r="F1333" s="47">
        <f t="shared" si="52"/>
        <v>6</v>
      </c>
    </row>
    <row r="1334" spans="1:6" x14ac:dyDescent="0.25">
      <c r="A1334" s="5" t="s">
        <v>17</v>
      </c>
      <c r="B1334" s="2">
        <v>43948</v>
      </c>
      <c r="C1334" s="1">
        <v>0</v>
      </c>
      <c r="D1334" s="47">
        <v>75</v>
      </c>
      <c r="F1334" s="47">
        <f t="shared" si="52"/>
        <v>9</v>
      </c>
    </row>
    <row r="1335" spans="1:6" x14ac:dyDescent="0.25">
      <c r="A1335" s="5" t="s">
        <v>23</v>
      </c>
      <c r="B1335" s="2">
        <v>43948</v>
      </c>
      <c r="C1335" s="1">
        <v>2</v>
      </c>
      <c r="D1335" s="47">
        <v>8</v>
      </c>
      <c r="F1335" s="47">
        <f t="shared" si="52"/>
        <v>1</v>
      </c>
    </row>
    <row r="1336" spans="1:6" x14ac:dyDescent="0.25">
      <c r="A1336" s="5" t="s">
        <v>19</v>
      </c>
      <c r="B1336" s="2">
        <v>43948</v>
      </c>
      <c r="C1336" s="1">
        <v>3</v>
      </c>
      <c r="D1336" s="47">
        <v>108</v>
      </c>
      <c r="F1336" s="47">
        <f t="shared" si="52"/>
        <v>3</v>
      </c>
    </row>
    <row r="1337" spans="1:6" x14ac:dyDescent="0.25">
      <c r="A1337" s="5" t="s">
        <v>18</v>
      </c>
      <c r="B1337" s="2">
        <v>43948</v>
      </c>
      <c r="C1337" s="1">
        <v>8</v>
      </c>
      <c r="D1337" s="47">
        <v>193</v>
      </c>
      <c r="F1337" s="47">
        <f t="shared" si="52"/>
        <v>8</v>
      </c>
    </row>
    <row r="1338" spans="1:6" x14ac:dyDescent="0.25">
      <c r="A1338" s="5" t="s">
        <v>34</v>
      </c>
      <c r="B1338" s="2">
        <v>43948</v>
      </c>
      <c r="C1338" s="1">
        <v>0</v>
      </c>
      <c r="D1338" s="47">
        <v>4</v>
      </c>
      <c r="F1338" s="47">
        <f t="shared" si="52"/>
        <v>0</v>
      </c>
    </row>
    <row r="1339" spans="1:6" x14ac:dyDescent="0.25">
      <c r="A1339" s="5" t="s">
        <v>35</v>
      </c>
      <c r="B1339" s="2">
        <v>43948</v>
      </c>
      <c r="C1339" s="1">
        <v>0</v>
      </c>
      <c r="D1339" s="47">
        <v>2</v>
      </c>
      <c r="F1339" s="47">
        <f t="shared" si="52"/>
        <v>0</v>
      </c>
    </row>
    <row r="1340" spans="1:6" x14ac:dyDescent="0.25">
      <c r="A1340" s="5" t="s">
        <v>36</v>
      </c>
      <c r="B1340" s="2">
        <v>43948</v>
      </c>
      <c r="C1340" s="1">
        <v>0</v>
      </c>
      <c r="D1340" s="47">
        <v>11</v>
      </c>
      <c r="F1340" s="47">
        <f t="shared" si="52"/>
        <v>0</v>
      </c>
    </row>
    <row r="1341" spans="1:6" x14ac:dyDescent="0.25">
      <c r="A1341" s="5" t="s">
        <v>37</v>
      </c>
      <c r="B1341" s="2">
        <v>43948</v>
      </c>
      <c r="C1341" s="1">
        <v>5</v>
      </c>
      <c r="D1341" s="47">
        <v>48</v>
      </c>
      <c r="F1341" s="47">
        <f t="shared" si="52"/>
        <v>0</v>
      </c>
    </row>
    <row r="1342" spans="1:6" x14ac:dyDescent="0.25">
      <c r="A1342" s="5" t="s">
        <v>22</v>
      </c>
      <c r="B1342" s="2">
        <v>43948</v>
      </c>
      <c r="C1342" s="1">
        <v>0</v>
      </c>
      <c r="D1342" s="47">
        <v>242</v>
      </c>
      <c r="F1342" s="47">
        <f>E1342+F1318</f>
        <v>2</v>
      </c>
    </row>
    <row r="1343" spans="1:6" x14ac:dyDescent="0.25">
      <c r="A1343" s="5" t="s">
        <v>38</v>
      </c>
      <c r="B1343" s="2">
        <v>43948</v>
      </c>
      <c r="C1343" s="1">
        <v>0</v>
      </c>
      <c r="D1343" s="47">
        <v>15</v>
      </c>
      <c r="F1343" s="47">
        <f>E1343+F1319</f>
        <v>0</v>
      </c>
    </row>
    <row r="1344" spans="1:6" x14ac:dyDescent="0.25">
      <c r="A1344" s="5" t="s">
        <v>39</v>
      </c>
      <c r="B1344" s="2">
        <v>43948</v>
      </c>
      <c r="C1344" s="1">
        <v>1</v>
      </c>
      <c r="D1344" s="47">
        <v>131</v>
      </c>
      <c r="F1344" s="47">
        <f t="shared" si="52"/>
        <v>0</v>
      </c>
    </row>
    <row r="1345" spans="1:8" x14ac:dyDescent="0.25">
      <c r="A1345" s="5" t="s">
        <v>40</v>
      </c>
      <c r="B1345" s="2">
        <v>43948</v>
      </c>
      <c r="C1345" s="1">
        <v>0</v>
      </c>
      <c r="D1345" s="47">
        <v>35</v>
      </c>
      <c r="F1345" s="47">
        <f>E1345+F1321</f>
        <v>2</v>
      </c>
    </row>
    <row r="1346" spans="1:8" x14ac:dyDescent="0.25">
      <c r="A1346" s="34" t="s">
        <v>16</v>
      </c>
      <c r="B1346" s="2">
        <v>43949</v>
      </c>
      <c r="C1346" s="1">
        <v>48</v>
      </c>
      <c r="D1346" s="47">
        <v>1429</v>
      </c>
      <c r="E1346" s="1">
        <v>6</v>
      </c>
      <c r="F1346" s="47">
        <f>E1346+F1322</f>
        <v>82</v>
      </c>
    </row>
    <row r="1347" spans="1:8" x14ac:dyDescent="0.25">
      <c r="A1347" s="5" t="s">
        <v>28</v>
      </c>
      <c r="B1347" s="2">
        <v>43949</v>
      </c>
      <c r="C1347" s="1">
        <v>0</v>
      </c>
      <c r="D1347" s="47">
        <v>0</v>
      </c>
      <c r="F1347" s="47">
        <f t="shared" ref="F1347:F1353" si="53">E1347+F1323</f>
        <v>0</v>
      </c>
    </row>
    <row r="1348" spans="1:8" x14ac:dyDescent="0.25">
      <c r="A1348" s="5" t="s">
        <v>15</v>
      </c>
      <c r="B1348" s="2">
        <v>43949</v>
      </c>
      <c r="C1348" s="1">
        <v>0</v>
      </c>
      <c r="D1348" s="47">
        <v>307</v>
      </c>
      <c r="F1348" s="47">
        <f t="shared" si="53"/>
        <v>12</v>
      </c>
    </row>
    <row r="1349" spans="1:8" x14ac:dyDescent="0.25">
      <c r="A1349" s="5" t="s">
        <v>29</v>
      </c>
      <c r="B1349" s="2">
        <v>43949</v>
      </c>
      <c r="C1349" s="1">
        <v>0</v>
      </c>
      <c r="D1349" s="47">
        <v>2</v>
      </c>
      <c r="F1349" s="47">
        <f t="shared" si="53"/>
        <v>1</v>
      </c>
    </row>
    <row r="1350" spans="1:8" x14ac:dyDescent="0.25">
      <c r="A1350" s="5" t="s">
        <v>43</v>
      </c>
      <c r="B1350" s="2">
        <v>43949</v>
      </c>
      <c r="C1350" s="1">
        <v>50</v>
      </c>
      <c r="D1350" s="47">
        <v>1089</v>
      </c>
      <c r="E1350" s="1">
        <v>2</v>
      </c>
      <c r="F1350" s="47">
        <f t="shared" si="53"/>
        <v>61</v>
      </c>
    </row>
    <row r="1351" spans="1:8" x14ac:dyDescent="0.25">
      <c r="A1351" s="5" t="s">
        <v>20</v>
      </c>
      <c r="B1351" s="2">
        <v>43949</v>
      </c>
      <c r="C1351" s="1">
        <v>2</v>
      </c>
      <c r="D1351" s="47">
        <v>275</v>
      </c>
      <c r="E1351" s="1">
        <v>1</v>
      </c>
      <c r="F1351" s="47">
        <f t="shared" si="53"/>
        <v>14</v>
      </c>
    </row>
    <row r="1352" spans="1:8" x14ac:dyDescent="0.25">
      <c r="A1352" s="5" t="s">
        <v>30</v>
      </c>
      <c r="B1352" s="2">
        <v>43949</v>
      </c>
      <c r="C1352" s="1">
        <v>1</v>
      </c>
      <c r="D1352" s="47">
        <v>47</v>
      </c>
      <c r="F1352" s="47">
        <f t="shared" si="53"/>
        <v>0</v>
      </c>
    </row>
    <row r="1353" spans="1:8" x14ac:dyDescent="0.25">
      <c r="A1353" s="5" t="s">
        <v>31</v>
      </c>
      <c r="B1353" s="2">
        <v>43949</v>
      </c>
      <c r="C1353" s="1">
        <v>0</v>
      </c>
      <c r="D1353" s="47">
        <v>23</v>
      </c>
      <c r="F1353" s="47">
        <f t="shared" si="53"/>
        <v>0</v>
      </c>
    </row>
    <row r="1354" spans="1:8" s="50" customFormat="1" x14ac:dyDescent="0.25">
      <c r="A1354" s="5" t="s">
        <v>41</v>
      </c>
      <c r="B1354" s="2">
        <v>43949</v>
      </c>
      <c r="C1354" s="1">
        <v>0</v>
      </c>
      <c r="D1354" s="47">
        <v>0</v>
      </c>
      <c r="E1354" s="1"/>
      <c r="F1354" s="47">
        <f t="shared" ref="F1354:F1368" si="54">E1354+F1329</f>
        <v>0</v>
      </c>
      <c r="G1354" s="17"/>
      <c r="H1354" s="17"/>
    </row>
    <row r="1355" spans="1:8" x14ac:dyDescent="0.25">
      <c r="A1355" s="5" t="s">
        <v>32</v>
      </c>
      <c r="B1355" s="2">
        <v>43949</v>
      </c>
      <c r="C1355" s="1">
        <v>0</v>
      </c>
      <c r="D1355" s="47">
        <v>5</v>
      </c>
      <c r="F1355" s="47">
        <f t="shared" si="54"/>
        <v>0</v>
      </c>
    </row>
    <row r="1356" spans="1:8" x14ac:dyDescent="0.25">
      <c r="A1356" s="5" t="s">
        <v>33</v>
      </c>
      <c r="B1356" s="2">
        <v>43949</v>
      </c>
      <c r="C1356" s="1">
        <v>0</v>
      </c>
      <c r="D1356" s="47">
        <v>5</v>
      </c>
      <c r="F1356" s="47">
        <f t="shared" si="54"/>
        <v>0</v>
      </c>
    </row>
    <row r="1357" spans="1:8" x14ac:dyDescent="0.25">
      <c r="A1357" s="5" t="s">
        <v>21</v>
      </c>
      <c r="B1357" s="2">
        <v>43949</v>
      </c>
      <c r="C1357" s="1">
        <v>1</v>
      </c>
      <c r="D1357" s="47">
        <v>51</v>
      </c>
      <c r="F1357" s="47">
        <f t="shared" si="54"/>
        <v>0</v>
      </c>
    </row>
    <row r="1358" spans="1:8" x14ac:dyDescent="0.25">
      <c r="A1358" s="5" t="s">
        <v>17</v>
      </c>
      <c r="B1358" s="2">
        <v>43949</v>
      </c>
      <c r="C1358" s="1">
        <v>1</v>
      </c>
      <c r="D1358" s="47">
        <v>76</v>
      </c>
      <c r="F1358" s="47">
        <f t="shared" si="54"/>
        <v>6</v>
      </c>
    </row>
    <row r="1359" spans="1:8" x14ac:dyDescent="0.25">
      <c r="A1359" s="5" t="s">
        <v>23</v>
      </c>
      <c r="B1359" s="2">
        <v>43949</v>
      </c>
      <c r="C1359" s="1">
        <v>0</v>
      </c>
      <c r="D1359" s="47">
        <v>8</v>
      </c>
      <c r="F1359" s="47">
        <f t="shared" si="54"/>
        <v>9</v>
      </c>
    </row>
    <row r="1360" spans="1:8" x14ac:dyDescent="0.25">
      <c r="A1360" s="5" t="s">
        <v>19</v>
      </c>
      <c r="B1360" s="2">
        <v>43949</v>
      </c>
      <c r="C1360" s="1">
        <v>0</v>
      </c>
      <c r="D1360" s="47">
        <v>108</v>
      </c>
      <c r="E1360" s="1">
        <v>1</v>
      </c>
      <c r="F1360" s="47">
        <f t="shared" si="54"/>
        <v>2</v>
      </c>
    </row>
    <row r="1361" spans="1:6" x14ac:dyDescent="0.25">
      <c r="A1361" s="5" t="s">
        <v>18</v>
      </c>
      <c r="B1361" s="2">
        <v>43949</v>
      </c>
      <c r="C1361" s="1">
        <v>13</v>
      </c>
      <c r="D1361" s="47">
        <v>206</v>
      </c>
      <c r="F1361" s="47">
        <f t="shared" si="54"/>
        <v>3</v>
      </c>
    </row>
    <row r="1362" spans="1:6" x14ac:dyDescent="0.25">
      <c r="A1362" s="5" t="s">
        <v>34</v>
      </c>
      <c r="B1362" s="2">
        <v>43949</v>
      </c>
      <c r="C1362" s="1">
        <v>0</v>
      </c>
      <c r="D1362" s="47">
        <v>4</v>
      </c>
      <c r="F1362" s="47">
        <f t="shared" si="54"/>
        <v>8</v>
      </c>
    </row>
    <row r="1363" spans="1:6" x14ac:dyDescent="0.25">
      <c r="A1363" s="5" t="s">
        <v>35</v>
      </c>
      <c r="B1363" s="2">
        <v>43949</v>
      </c>
      <c r="C1363" s="1">
        <v>0</v>
      </c>
      <c r="D1363" s="47">
        <v>2</v>
      </c>
      <c r="F1363" s="47">
        <f t="shared" si="54"/>
        <v>0</v>
      </c>
    </row>
    <row r="1364" spans="1:6" x14ac:dyDescent="0.25">
      <c r="A1364" s="5" t="s">
        <v>36</v>
      </c>
      <c r="B1364" s="2">
        <v>43949</v>
      </c>
      <c r="C1364" s="1">
        <v>0</v>
      </c>
      <c r="D1364" s="47">
        <v>11</v>
      </c>
      <c r="F1364" s="47">
        <f t="shared" si="54"/>
        <v>0</v>
      </c>
    </row>
    <row r="1365" spans="1:6" x14ac:dyDescent="0.25">
      <c r="A1365" s="5" t="s">
        <v>37</v>
      </c>
      <c r="B1365" s="2">
        <v>43949</v>
      </c>
      <c r="C1365" s="1">
        <v>0</v>
      </c>
      <c r="D1365" s="47">
        <v>48</v>
      </c>
      <c r="F1365" s="47">
        <f t="shared" si="54"/>
        <v>0</v>
      </c>
    </row>
    <row r="1366" spans="1:6" x14ac:dyDescent="0.25">
      <c r="A1366" s="5" t="s">
        <v>22</v>
      </c>
      <c r="B1366" s="2">
        <v>43949</v>
      </c>
      <c r="C1366" s="1">
        <v>1</v>
      </c>
      <c r="D1366" s="47">
        <v>243</v>
      </c>
      <c r="F1366" s="47">
        <f>E1366+F1342</f>
        <v>2</v>
      </c>
    </row>
    <row r="1367" spans="1:6" x14ac:dyDescent="0.25">
      <c r="A1367" s="5" t="s">
        <v>38</v>
      </c>
      <c r="B1367" s="2">
        <v>43949</v>
      </c>
      <c r="C1367" s="1">
        <v>0</v>
      </c>
      <c r="D1367" s="47">
        <v>15</v>
      </c>
      <c r="F1367" s="47">
        <f>E1367+F1343</f>
        <v>0</v>
      </c>
    </row>
    <row r="1368" spans="1:6" x14ac:dyDescent="0.25">
      <c r="A1368" s="5" t="s">
        <v>39</v>
      </c>
      <c r="B1368" s="2">
        <v>43949</v>
      </c>
      <c r="C1368" s="1">
        <v>6</v>
      </c>
      <c r="D1368" s="47">
        <v>137</v>
      </c>
      <c r="F1368" s="47">
        <f t="shared" si="54"/>
        <v>0</v>
      </c>
    </row>
    <row r="1369" spans="1:6" x14ac:dyDescent="0.25">
      <c r="A1369" s="5" t="s">
        <v>40</v>
      </c>
      <c r="B1369" s="2">
        <v>43949</v>
      </c>
      <c r="C1369" s="1">
        <v>1</v>
      </c>
      <c r="D1369" s="47">
        <v>36</v>
      </c>
      <c r="F1369" s="47">
        <f>E1369+F1345</f>
        <v>2</v>
      </c>
    </row>
    <row r="1370" spans="1:6" x14ac:dyDescent="0.25">
      <c r="A1370" s="34" t="s">
        <v>16</v>
      </c>
      <c r="B1370" s="2">
        <v>43950</v>
      </c>
      <c r="C1370" s="1">
        <v>103</v>
      </c>
      <c r="D1370" s="47">
        <v>1532</v>
      </c>
      <c r="E1370" s="1">
        <v>2</v>
      </c>
      <c r="F1370" s="47">
        <f>E1370+F1346</f>
        <v>84</v>
      </c>
    </row>
    <row r="1371" spans="1:6" x14ac:dyDescent="0.25">
      <c r="A1371" s="5" t="s">
        <v>28</v>
      </c>
      <c r="B1371" s="2">
        <v>43950</v>
      </c>
      <c r="C1371" s="1">
        <v>0</v>
      </c>
      <c r="D1371" s="47">
        <v>0</v>
      </c>
      <c r="F1371" s="47">
        <f t="shared" ref="F1371:F1377" si="55">E1371+F1347</f>
        <v>0</v>
      </c>
    </row>
    <row r="1372" spans="1:6" x14ac:dyDescent="0.25">
      <c r="A1372" s="5" t="s">
        <v>15</v>
      </c>
      <c r="B1372" s="2">
        <v>43950</v>
      </c>
      <c r="C1372" s="1">
        <v>4</v>
      </c>
      <c r="D1372" s="47">
        <v>311</v>
      </c>
      <c r="E1372" s="1">
        <v>1</v>
      </c>
      <c r="F1372" s="47">
        <f t="shared" si="55"/>
        <v>13</v>
      </c>
    </row>
    <row r="1373" spans="1:6" x14ac:dyDescent="0.25">
      <c r="A1373" s="5" t="s">
        <v>29</v>
      </c>
      <c r="B1373" s="2">
        <v>43950</v>
      </c>
      <c r="C1373" s="1">
        <v>0</v>
      </c>
      <c r="D1373" s="47">
        <v>2</v>
      </c>
      <c r="F1373" s="47">
        <f t="shared" si="55"/>
        <v>1</v>
      </c>
    </row>
    <row r="1374" spans="1:6" x14ac:dyDescent="0.25">
      <c r="A1374" s="5" t="s">
        <v>43</v>
      </c>
      <c r="B1374" s="2">
        <v>43950</v>
      </c>
      <c r="C1374" s="1">
        <v>34</v>
      </c>
      <c r="D1374" s="47">
        <v>1123</v>
      </c>
      <c r="E1374" s="1">
        <v>3</v>
      </c>
      <c r="F1374" s="47">
        <f t="shared" si="55"/>
        <v>64</v>
      </c>
    </row>
    <row r="1375" spans="1:6" x14ac:dyDescent="0.25">
      <c r="A1375" s="5" t="s">
        <v>20</v>
      </c>
      <c r="B1375" s="2">
        <v>43950</v>
      </c>
      <c r="C1375" s="1">
        <v>1</v>
      </c>
      <c r="D1375" s="47">
        <v>276</v>
      </c>
      <c r="F1375" s="47">
        <f t="shared" si="55"/>
        <v>14</v>
      </c>
    </row>
    <row r="1376" spans="1:6" x14ac:dyDescent="0.25">
      <c r="A1376" s="5" t="s">
        <v>30</v>
      </c>
      <c r="B1376" s="2">
        <v>43950</v>
      </c>
      <c r="C1376" s="1">
        <v>0</v>
      </c>
      <c r="D1376" s="47">
        <v>47</v>
      </c>
      <c r="F1376" s="47">
        <f t="shared" si="55"/>
        <v>0</v>
      </c>
    </row>
    <row r="1377" spans="1:6" x14ac:dyDescent="0.25">
      <c r="A1377" s="5" t="s">
        <v>31</v>
      </c>
      <c r="B1377" s="2">
        <v>43950</v>
      </c>
      <c r="C1377" s="1">
        <v>0</v>
      </c>
      <c r="D1377" s="47">
        <v>23</v>
      </c>
      <c r="F1377" s="47">
        <f t="shared" si="55"/>
        <v>0</v>
      </c>
    </row>
    <row r="1378" spans="1:6" x14ac:dyDescent="0.25">
      <c r="A1378" s="5" t="s">
        <v>41</v>
      </c>
      <c r="B1378" s="2">
        <v>43950</v>
      </c>
      <c r="C1378" s="1">
        <v>0</v>
      </c>
      <c r="D1378" s="47">
        <v>0</v>
      </c>
      <c r="F1378" s="47">
        <f t="shared" ref="F1378:F1392" si="56">E1378+F1353</f>
        <v>0</v>
      </c>
    </row>
    <row r="1379" spans="1:6" x14ac:dyDescent="0.25">
      <c r="A1379" s="5" t="s">
        <v>32</v>
      </c>
      <c r="B1379" s="2">
        <v>43950</v>
      </c>
      <c r="C1379" s="1">
        <v>0</v>
      </c>
      <c r="D1379" s="47">
        <v>5</v>
      </c>
      <c r="F1379" s="47">
        <f t="shared" si="56"/>
        <v>0</v>
      </c>
    </row>
    <row r="1380" spans="1:6" x14ac:dyDescent="0.25">
      <c r="A1380" s="5" t="s">
        <v>33</v>
      </c>
      <c r="B1380" s="2">
        <v>43950</v>
      </c>
      <c r="C1380" s="1">
        <v>0</v>
      </c>
      <c r="D1380" s="47">
        <v>5</v>
      </c>
      <c r="F1380" s="47">
        <f t="shared" si="56"/>
        <v>0</v>
      </c>
    </row>
    <row r="1381" spans="1:6" x14ac:dyDescent="0.25">
      <c r="A1381" s="5" t="s">
        <v>21</v>
      </c>
      <c r="B1381" s="2">
        <v>43950</v>
      </c>
      <c r="C1381" s="1">
        <v>1</v>
      </c>
      <c r="D1381" s="47">
        <v>52</v>
      </c>
      <c r="F1381" s="47">
        <f t="shared" si="56"/>
        <v>0</v>
      </c>
    </row>
    <row r="1382" spans="1:6" x14ac:dyDescent="0.25">
      <c r="A1382" s="5" t="s">
        <v>17</v>
      </c>
      <c r="B1382" s="2">
        <v>43950</v>
      </c>
      <c r="C1382" s="1">
        <v>2</v>
      </c>
      <c r="D1382" s="47">
        <v>78</v>
      </c>
      <c r="F1382" s="47">
        <f t="shared" si="56"/>
        <v>0</v>
      </c>
    </row>
    <row r="1383" spans="1:6" x14ac:dyDescent="0.25">
      <c r="A1383" s="5" t="s">
        <v>23</v>
      </c>
      <c r="B1383" s="2">
        <v>43950</v>
      </c>
      <c r="C1383" s="1">
        <v>4</v>
      </c>
      <c r="D1383" s="47">
        <v>12</v>
      </c>
      <c r="F1383" s="47">
        <f t="shared" si="56"/>
        <v>6</v>
      </c>
    </row>
    <row r="1384" spans="1:6" x14ac:dyDescent="0.25">
      <c r="A1384" s="5" t="s">
        <v>19</v>
      </c>
      <c r="B1384" s="2">
        <v>43950</v>
      </c>
      <c r="C1384" s="1">
        <v>1</v>
      </c>
      <c r="D1384" s="47">
        <v>109</v>
      </c>
      <c r="F1384" s="47">
        <f t="shared" si="56"/>
        <v>9</v>
      </c>
    </row>
    <row r="1385" spans="1:6" x14ac:dyDescent="0.25">
      <c r="A1385" s="5" t="s">
        <v>18</v>
      </c>
      <c r="B1385" s="2">
        <v>43950</v>
      </c>
      <c r="C1385" s="1">
        <v>8</v>
      </c>
      <c r="D1385" s="47">
        <v>214</v>
      </c>
      <c r="E1385" s="1">
        <v>1</v>
      </c>
      <c r="F1385" s="47">
        <f t="shared" si="56"/>
        <v>3</v>
      </c>
    </row>
    <row r="1386" spans="1:6" x14ac:dyDescent="0.25">
      <c r="A1386" s="5" t="s">
        <v>34</v>
      </c>
      <c r="B1386" s="2">
        <v>43950</v>
      </c>
      <c r="C1386" s="1">
        <v>0</v>
      </c>
      <c r="D1386" s="47">
        <v>4</v>
      </c>
      <c r="F1386" s="47">
        <f t="shared" si="56"/>
        <v>3</v>
      </c>
    </row>
    <row r="1387" spans="1:6" x14ac:dyDescent="0.25">
      <c r="A1387" s="5" t="s">
        <v>35</v>
      </c>
      <c r="B1387" s="2">
        <v>43950</v>
      </c>
      <c r="C1387" s="1">
        <v>0</v>
      </c>
      <c r="D1387" s="47">
        <v>2</v>
      </c>
      <c r="F1387" s="47">
        <f>E1387+F1363</f>
        <v>0</v>
      </c>
    </row>
    <row r="1388" spans="1:6" x14ac:dyDescent="0.25">
      <c r="A1388" s="5" t="s">
        <v>36</v>
      </c>
      <c r="B1388" s="2">
        <v>43950</v>
      </c>
      <c r="C1388" s="1">
        <v>0</v>
      </c>
      <c r="D1388" s="47">
        <v>11</v>
      </c>
      <c r="F1388" s="47">
        <f t="shared" si="56"/>
        <v>0</v>
      </c>
    </row>
    <row r="1389" spans="1:6" x14ac:dyDescent="0.25">
      <c r="A1389" s="5" t="s">
        <v>37</v>
      </c>
      <c r="B1389" s="2">
        <v>43950</v>
      </c>
      <c r="C1389" s="1">
        <v>0</v>
      </c>
      <c r="D1389" s="47">
        <v>48</v>
      </c>
      <c r="F1389" s="47">
        <f t="shared" si="56"/>
        <v>0</v>
      </c>
    </row>
    <row r="1390" spans="1:6" x14ac:dyDescent="0.25">
      <c r="A1390" s="5" t="s">
        <v>22</v>
      </c>
      <c r="B1390" s="2">
        <v>43950</v>
      </c>
      <c r="C1390" s="1">
        <v>0</v>
      </c>
      <c r="D1390" s="47">
        <v>243</v>
      </c>
      <c r="F1390" s="47">
        <f>E1390+F1366</f>
        <v>2</v>
      </c>
    </row>
    <row r="1391" spans="1:6" x14ac:dyDescent="0.25">
      <c r="A1391" s="5" t="s">
        <v>38</v>
      </c>
      <c r="B1391" s="2">
        <v>43950</v>
      </c>
      <c r="C1391" s="1">
        <v>0</v>
      </c>
      <c r="D1391" s="47">
        <v>15</v>
      </c>
      <c r="F1391" s="47">
        <f>E1391+F1367</f>
        <v>0</v>
      </c>
    </row>
    <row r="1392" spans="1:6" x14ac:dyDescent="0.25">
      <c r="A1392" s="5" t="s">
        <v>39</v>
      </c>
      <c r="B1392" s="2">
        <v>43950</v>
      </c>
      <c r="C1392" s="1">
        <v>0</v>
      </c>
      <c r="D1392" s="47">
        <v>137</v>
      </c>
      <c r="F1392" s="47">
        <f t="shared" si="56"/>
        <v>0</v>
      </c>
    </row>
    <row r="1393" spans="1:6" x14ac:dyDescent="0.25">
      <c r="A1393" s="5" t="s">
        <v>40</v>
      </c>
      <c r="B1393" s="2">
        <v>43950</v>
      </c>
      <c r="C1393" s="1">
        <v>0</v>
      </c>
      <c r="D1393" s="47">
        <v>36</v>
      </c>
      <c r="F1393" s="47">
        <f>E1393+F1369</f>
        <v>2</v>
      </c>
    </row>
    <row r="1394" spans="1:6" x14ac:dyDescent="0.25">
      <c r="A1394" s="34" t="s">
        <v>16</v>
      </c>
      <c r="B1394" s="2">
        <v>43951</v>
      </c>
      <c r="C1394" s="1">
        <v>66</v>
      </c>
      <c r="D1394" s="47">
        <v>1598</v>
      </c>
      <c r="E1394" s="1">
        <v>2</v>
      </c>
      <c r="F1394" s="47">
        <f>E1394+F1370</f>
        <v>86</v>
      </c>
    </row>
    <row r="1395" spans="1:6" x14ac:dyDescent="0.25">
      <c r="A1395" s="5" t="s">
        <v>28</v>
      </c>
      <c r="B1395" s="2">
        <v>43951</v>
      </c>
      <c r="C1395" s="1">
        <v>0</v>
      </c>
      <c r="D1395" s="47">
        <v>0</v>
      </c>
      <c r="F1395" s="47">
        <f t="shared" ref="F1395:F1400" si="57">E1395+F1371</f>
        <v>0</v>
      </c>
    </row>
    <row r="1396" spans="1:6" x14ac:dyDescent="0.25">
      <c r="A1396" s="5" t="s">
        <v>15</v>
      </c>
      <c r="B1396" s="2">
        <v>43951</v>
      </c>
      <c r="C1396" s="1">
        <v>3</v>
      </c>
      <c r="D1396" s="47">
        <v>314</v>
      </c>
      <c r="F1396" s="47">
        <f t="shared" si="57"/>
        <v>13</v>
      </c>
    </row>
    <row r="1397" spans="1:6" x14ac:dyDescent="0.25">
      <c r="A1397" s="5" t="s">
        <v>29</v>
      </c>
      <c r="B1397" s="2">
        <v>43951</v>
      </c>
      <c r="C1397" s="1">
        <v>0</v>
      </c>
      <c r="D1397" s="47">
        <v>2</v>
      </c>
      <c r="F1397" s="47">
        <f t="shared" si="57"/>
        <v>1</v>
      </c>
    </row>
    <row r="1398" spans="1:6" x14ac:dyDescent="0.25">
      <c r="A1398" s="5" t="s">
        <v>43</v>
      </c>
      <c r="B1398" s="2">
        <v>43951</v>
      </c>
      <c r="C1398" s="1">
        <v>45</v>
      </c>
      <c r="D1398" s="47">
        <v>1168</v>
      </c>
      <c r="E1398" s="1">
        <v>2</v>
      </c>
      <c r="F1398" s="47">
        <f t="shared" si="57"/>
        <v>66</v>
      </c>
    </row>
    <row r="1399" spans="1:6" x14ac:dyDescent="0.25">
      <c r="A1399" s="5" t="s">
        <v>20</v>
      </c>
      <c r="B1399" s="2">
        <v>43951</v>
      </c>
      <c r="C1399" s="1">
        <v>2</v>
      </c>
      <c r="D1399" s="47">
        <v>278</v>
      </c>
      <c r="F1399" s="47">
        <f t="shared" si="57"/>
        <v>14</v>
      </c>
    </row>
    <row r="1400" spans="1:6" x14ac:dyDescent="0.25">
      <c r="A1400" s="5" t="s">
        <v>30</v>
      </c>
      <c r="B1400" s="2">
        <v>43951</v>
      </c>
      <c r="C1400" s="1">
        <v>1</v>
      </c>
      <c r="D1400" s="47">
        <v>48</v>
      </c>
      <c r="F1400" s="47">
        <f t="shared" si="57"/>
        <v>0</v>
      </c>
    </row>
    <row r="1401" spans="1:6" x14ac:dyDescent="0.25">
      <c r="A1401" s="5" t="s">
        <v>31</v>
      </c>
      <c r="B1401" s="2">
        <v>43951</v>
      </c>
      <c r="C1401" s="1">
        <v>0</v>
      </c>
      <c r="D1401" s="47">
        <v>23</v>
      </c>
      <c r="F1401" s="47">
        <f>E1401+F1377</f>
        <v>0</v>
      </c>
    </row>
    <row r="1402" spans="1:6" x14ac:dyDescent="0.25">
      <c r="A1402" s="5" t="s">
        <v>41</v>
      </c>
      <c r="B1402" s="2">
        <v>43951</v>
      </c>
      <c r="C1402" s="1">
        <v>0</v>
      </c>
      <c r="D1402" s="47">
        <v>0</v>
      </c>
      <c r="F1402" s="47">
        <f t="shared" ref="F1402:F1416" si="58">E1402+F1377</f>
        <v>0</v>
      </c>
    </row>
    <row r="1403" spans="1:6" x14ac:dyDescent="0.25">
      <c r="A1403" s="5" t="s">
        <v>32</v>
      </c>
      <c r="B1403" s="2">
        <v>43951</v>
      </c>
      <c r="C1403" s="1">
        <v>0</v>
      </c>
      <c r="D1403" s="47">
        <v>5</v>
      </c>
      <c r="F1403" s="47">
        <f t="shared" si="58"/>
        <v>0</v>
      </c>
    </row>
    <row r="1404" spans="1:6" x14ac:dyDescent="0.25">
      <c r="A1404" s="5" t="s">
        <v>33</v>
      </c>
      <c r="B1404" s="2">
        <v>43951</v>
      </c>
      <c r="C1404" s="1">
        <v>0</v>
      </c>
      <c r="D1404" s="47">
        <v>5</v>
      </c>
      <c r="F1404" s="47">
        <f t="shared" si="58"/>
        <v>0</v>
      </c>
    </row>
    <row r="1405" spans="1:6" x14ac:dyDescent="0.25">
      <c r="A1405" s="5" t="s">
        <v>21</v>
      </c>
      <c r="B1405" s="2">
        <v>43951</v>
      </c>
      <c r="C1405" s="1">
        <v>0</v>
      </c>
      <c r="D1405" s="47">
        <v>52</v>
      </c>
      <c r="F1405" s="47">
        <f t="shared" si="58"/>
        <v>0</v>
      </c>
    </row>
    <row r="1406" spans="1:6" x14ac:dyDescent="0.25">
      <c r="A1406" s="5" t="s">
        <v>17</v>
      </c>
      <c r="B1406" s="2">
        <v>43951</v>
      </c>
      <c r="C1406" s="1">
        <v>5</v>
      </c>
      <c r="D1406" s="47">
        <v>83</v>
      </c>
      <c r="F1406" s="47">
        <f t="shared" si="58"/>
        <v>0</v>
      </c>
    </row>
    <row r="1407" spans="1:6" x14ac:dyDescent="0.25">
      <c r="A1407" s="5" t="s">
        <v>23</v>
      </c>
      <c r="B1407" s="2">
        <v>43951</v>
      </c>
      <c r="C1407" s="1">
        <v>0</v>
      </c>
      <c r="D1407" s="47">
        <v>12</v>
      </c>
      <c r="F1407" s="47">
        <f t="shared" si="58"/>
        <v>0</v>
      </c>
    </row>
    <row r="1408" spans="1:6" x14ac:dyDescent="0.25">
      <c r="A1408" s="5" t="s">
        <v>19</v>
      </c>
      <c r="B1408" s="2">
        <v>43951</v>
      </c>
      <c r="C1408" s="1">
        <v>1</v>
      </c>
      <c r="D1408" s="47">
        <v>110</v>
      </c>
      <c r="F1408" s="47">
        <f t="shared" si="58"/>
        <v>6</v>
      </c>
    </row>
    <row r="1409" spans="1:6" x14ac:dyDescent="0.25">
      <c r="A1409" s="5" t="s">
        <v>18</v>
      </c>
      <c r="B1409" s="2">
        <v>43951</v>
      </c>
      <c r="C1409" s="1">
        <v>14</v>
      </c>
      <c r="D1409" s="47">
        <v>228</v>
      </c>
      <c r="F1409" s="47">
        <f t="shared" si="58"/>
        <v>9</v>
      </c>
    </row>
    <row r="1410" spans="1:6" x14ac:dyDescent="0.25">
      <c r="A1410" s="5" t="s">
        <v>34</v>
      </c>
      <c r="B1410" s="2">
        <v>43951</v>
      </c>
      <c r="C1410" s="1">
        <v>0</v>
      </c>
      <c r="D1410" s="47">
        <v>4</v>
      </c>
      <c r="F1410" s="47">
        <f t="shared" si="58"/>
        <v>3</v>
      </c>
    </row>
    <row r="1411" spans="1:6" x14ac:dyDescent="0.25">
      <c r="A1411" s="5" t="s">
        <v>35</v>
      </c>
      <c r="B1411" s="2">
        <v>43951</v>
      </c>
      <c r="C1411" s="1">
        <v>0</v>
      </c>
      <c r="D1411" s="47">
        <v>2</v>
      </c>
      <c r="F1411" s="47">
        <f>E1411+F1387</f>
        <v>0</v>
      </c>
    </row>
    <row r="1412" spans="1:6" x14ac:dyDescent="0.25">
      <c r="A1412" s="5" t="s">
        <v>36</v>
      </c>
      <c r="B1412" s="2">
        <v>43951</v>
      </c>
      <c r="C1412" s="1">
        <v>0</v>
      </c>
      <c r="D1412" s="47">
        <v>11</v>
      </c>
      <c r="F1412" s="47">
        <f t="shared" si="58"/>
        <v>0</v>
      </c>
    </row>
    <row r="1413" spans="1:6" x14ac:dyDescent="0.25">
      <c r="A1413" s="5" t="s">
        <v>37</v>
      </c>
      <c r="B1413" s="2">
        <v>43951</v>
      </c>
      <c r="C1413" s="1">
        <v>1</v>
      </c>
      <c r="D1413" s="47">
        <v>49</v>
      </c>
      <c r="F1413" s="47">
        <f t="shared" si="58"/>
        <v>0</v>
      </c>
    </row>
    <row r="1414" spans="1:6" x14ac:dyDescent="0.25">
      <c r="A1414" s="5" t="s">
        <v>22</v>
      </c>
      <c r="B1414" s="2">
        <v>43951</v>
      </c>
      <c r="C1414" s="1">
        <v>0</v>
      </c>
      <c r="D1414" s="47">
        <v>243</v>
      </c>
      <c r="F1414" s="47">
        <f>E1414+F1390</f>
        <v>2</v>
      </c>
    </row>
    <row r="1415" spans="1:6" x14ac:dyDescent="0.25">
      <c r="A1415" s="5" t="s">
        <v>38</v>
      </c>
      <c r="B1415" s="2">
        <v>43951</v>
      </c>
      <c r="C1415" s="1">
        <v>0</v>
      </c>
      <c r="D1415" s="47">
        <v>15</v>
      </c>
      <c r="F1415" s="47">
        <f>E1415+F1391</f>
        <v>0</v>
      </c>
    </row>
    <row r="1416" spans="1:6" x14ac:dyDescent="0.25">
      <c r="A1416" s="5" t="s">
        <v>39</v>
      </c>
      <c r="B1416" s="2">
        <v>43951</v>
      </c>
      <c r="C1416" s="1">
        <v>2</v>
      </c>
      <c r="D1416" s="47">
        <v>139</v>
      </c>
      <c r="F1416" s="47">
        <f t="shared" si="58"/>
        <v>0</v>
      </c>
    </row>
    <row r="1417" spans="1:6" x14ac:dyDescent="0.25">
      <c r="A1417" s="5" t="s">
        <v>40</v>
      </c>
      <c r="B1417" s="2">
        <v>43951</v>
      </c>
      <c r="C1417" s="1">
        <v>2</v>
      </c>
      <c r="D1417" s="47">
        <v>38</v>
      </c>
      <c r="F1417" s="47">
        <f>E1417+F1393</f>
        <v>2</v>
      </c>
    </row>
    <row r="1418" spans="1:6" x14ac:dyDescent="0.25">
      <c r="A1418" s="34" t="s">
        <v>16</v>
      </c>
      <c r="B1418" s="2">
        <v>43952</v>
      </c>
      <c r="C1418" s="1">
        <v>34</v>
      </c>
      <c r="D1418" s="47">
        <v>1632</v>
      </c>
      <c r="E1418" s="1">
        <v>3</v>
      </c>
      <c r="F1418" s="47">
        <f>E1418+F1394</f>
        <v>89</v>
      </c>
    </row>
    <row r="1419" spans="1:6" x14ac:dyDescent="0.25">
      <c r="A1419" s="5" t="s">
        <v>28</v>
      </c>
      <c r="B1419" s="2">
        <v>43952</v>
      </c>
      <c r="C1419" s="1">
        <v>0</v>
      </c>
      <c r="D1419" s="47">
        <v>0</v>
      </c>
      <c r="F1419" s="47">
        <f t="shared" ref="F1419:F1424" si="59">E1419+F1395</f>
        <v>0</v>
      </c>
    </row>
    <row r="1420" spans="1:6" x14ac:dyDescent="0.25">
      <c r="A1420" s="5" t="s">
        <v>15</v>
      </c>
      <c r="B1420" s="2">
        <v>43952</v>
      </c>
      <c r="C1420" s="1">
        <v>12</v>
      </c>
      <c r="D1420" s="47">
        <v>326</v>
      </c>
      <c r="F1420" s="47">
        <f t="shared" si="59"/>
        <v>13</v>
      </c>
    </row>
    <row r="1421" spans="1:6" x14ac:dyDescent="0.25">
      <c r="A1421" s="5" t="s">
        <v>29</v>
      </c>
      <c r="B1421" s="2">
        <v>43952</v>
      </c>
      <c r="C1421" s="1">
        <v>1</v>
      </c>
      <c r="D1421" s="47">
        <v>3</v>
      </c>
      <c r="F1421" s="47">
        <f t="shared" si="59"/>
        <v>1</v>
      </c>
    </row>
    <row r="1422" spans="1:6" x14ac:dyDescent="0.25">
      <c r="A1422" s="5" t="s">
        <v>43</v>
      </c>
      <c r="B1422" s="2">
        <v>43952</v>
      </c>
      <c r="C1422" s="1">
        <v>29</v>
      </c>
      <c r="D1422" s="47">
        <v>1197</v>
      </c>
      <c r="E1422" s="1">
        <v>4</v>
      </c>
      <c r="F1422" s="47">
        <f t="shared" si="59"/>
        <v>70</v>
      </c>
    </row>
    <row r="1423" spans="1:6" x14ac:dyDescent="0.25">
      <c r="A1423" s="5" t="s">
        <v>20</v>
      </c>
      <c r="B1423" s="2">
        <v>43952</v>
      </c>
      <c r="C1423" s="1">
        <v>13</v>
      </c>
      <c r="D1423" s="47">
        <v>291</v>
      </c>
      <c r="F1423" s="47">
        <f t="shared" si="59"/>
        <v>14</v>
      </c>
    </row>
    <row r="1424" spans="1:6" x14ac:dyDescent="0.25">
      <c r="A1424" s="5" t="s">
        <v>30</v>
      </c>
      <c r="B1424" s="2">
        <v>43952</v>
      </c>
      <c r="C1424" s="1">
        <v>1</v>
      </c>
      <c r="D1424" s="47">
        <v>49</v>
      </c>
      <c r="F1424" s="47">
        <f t="shared" si="59"/>
        <v>0</v>
      </c>
    </row>
    <row r="1425" spans="1:6" x14ac:dyDescent="0.25">
      <c r="A1425" s="5" t="s">
        <v>31</v>
      </c>
      <c r="B1425" s="2">
        <v>43952</v>
      </c>
      <c r="C1425" s="1">
        <v>2</v>
      </c>
      <c r="D1425" s="47">
        <v>25</v>
      </c>
      <c r="F1425" s="47">
        <f>E1425+F1401</f>
        <v>0</v>
      </c>
    </row>
    <row r="1426" spans="1:6" x14ac:dyDescent="0.25">
      <c r="A1426" s="5" t="s">
        <v>41</v>
      </c>
      <c r="B1426" s="2">
        <v>43952</v>
      </c>
      <c r="C1426" s="1">
        <v>0</v>
      </c>
      <c r="D1426" s="47">
        <v>0</v>
      </c>
      <c r="F1426" s="47">
        <f t="shared" ref="F1426:F1440" si="60">E1426+F1401</f>
        <v>0</v>
      </c>
    </row>
    <row r="1427" spans="1:6" x14ac:dyDescent="0.25">
      <c r="A1427" s="5" t="s">
        <v>32</v>
      </c>
      <c r="B1427" s="2">
        <v>43952</v>
      </c>
      <c r="C1427" s="1">
        <v>0</v>
      </c>
      <c r="D1427" s="47">
        <v>5</v>
      </c>
      <c r="F1427" s="47">
        <f t="shared" si="60"/>
        <v>0</v>
      </c>
    </row>
    <row r="1428" spans="1:6" x14ac:dyDescent="0.25">
      <c r="A1428" s="5" t="s">
        <v>33</v>
      </c>
      <c r="B1428" s="2">
        <v>43952</v>
      </c>
      <c r="C1428" s="1">
        <v>0</v>
      </c>
      <c r="D1428" s="47">
        <v>5</v>
      </c>
      <c r="F1428" s="47">
        <f t="shared" si="60"/>
        <v>0</v>
      </c>
    </row>
    <row r="1429" spans="1:6" x14ac:dyDescent="0.25">
      <c r="A1429" s="5" t="s">
        <v>21</v>
      </c>
      <c r="B1429" s="2">
        <v>43952</v>
      </c>
      <c r="C1429" s="1">
        <v>3</v>
      </c>
      <c r="D1429" s="47">
        <v>55</v>
      </c>
      <c r="F1429" s="47">
        <f t="shared" si="60"/>
        <v>0</v>
      </c>
    </row>
    <row r="1430" spans="1:6" x14ac:dyDescent="0.25">
      <c r="A1430" s="5" t="s">
        <v>17</v>
      </c>
      <c r="B1430" s="2">
        <v>43952</v>
      </c>
      <c r="C1430" s="1">
        <v>1</v>
      </c>
      <c r="D1430" s="47">
        <v>84</v>
      </c>
      <c r="F1430" s="47">
        <f t="shared" si="60"/>
        <v>0</v>
      </c>
    </row>
    <row r="1431" spans="1:6" x14ac:dyDescent="0.25">
      <c r="A1431" s="5" t="s">
        <v>23</v>
      </c>
      <c r="B1431" s="2">
        <v>43952</v>
      </c>
      <c r="C1431" s="1">
        <v>0</v>
      </c>
      <c r="D1431" s="47">
        <v>12</v>
      </c>
      <c r="F1431" s="47">
        <f t="shared" si="60"/>
        <v>0</v>
      </c>
    </row>
    <row r="1432" spans="1:6" x14ac:dyDescent="0.25">
      <c r="A1432" s="5" t="s">
        <v>19</v>
      </c>
      <c r="B1432" s="2">
        <v>43952</v>
      </c>
      <c r="C1432" s="1">
        <v>0</v>
      </c>
      <c r="D1432" s="47">
        <v>110</v>
      </c>
      <c r="F1432" s="47">
        <f t="shared" si="60"/>
        <v>0</v>
      </c>
    </row>
    <row r="1433" spans="1:6" x14ac:dyDescent="0.25">
      <c r="A1433" s="5" t="s">
        <v>18</v>
      </c>
      <c r="B1433" s="2">
        <v>43952</v>
      </c>
      <c r="C1433" s="1">
        <v>8</v>
      </c>
      <c r="D1433" s="47">
        <v>236</v>
      </c>
      <c r="F1433" s="47">
        <f t="shared" si="60"/>
        <v>6</v>
      </c>
    </row>
    <row r="1434" spans="1:6" x14ac:dyDescent="0.25">
      <c r="A1434" s="5" t="s">
        <v>34</v>
      </c>
      <c r="B1434" s="2">
        <v>43952</v>
      </c>
      <c r="C1434" s="1">
        <v>0</v>
      </c>
      <c r="D1434" s="47">
        <v>4</v>
      </c>
      <c r="F1434" s="47">
        <f t="shared" si="60"/>
        <v>9</v>
      </c>
    </row>
    <row r="1435" spans="1:6" x14ac:dyDescent="0.25">
      <c r="A1435" s="5" t="s">
        <v>35</v>
      </c>
      <c r="B1435" s="2">
        <v>43952</v>
      </c>
      <c r="C1435" s="1">
        <v>0</v>
      </c>
      <c r="D1435" s="47">
        <v>2</v>
      </c>
      <c r="F1435" s="47">
        <f>E1435+F1411</f>
        <v>0</v>
      </c>
    </row>
    <row r="1436" spans="1:6" x14ac:dyDescent="0.25">
      <c r="A1436" s="5" t="s">
        <v>36</v>
      </c>
      <c r="B1436" s="2">
        <v>43952</v>
      </c>
      <c r="C1436" s="1">
        <v>0</v>
      </c>
      <c r="D1436" s="47">
        <v>11</v>
      </c>
      <c r="F1436" s="47">
        <f t="shared" si="60"/>
        <v>0</v>
      </c>
    </row>
    <row r="1437" spans="1:6" x14ac:dyDescent="0.25">
      <c r="A1437" s="5" t="s">
        <v>37</v>
      </c>
      <c r="B1437" s="2">
        <v>43952</v>
      </c>
      <c r="C1437" s="1">
        <v>0</v>
      </c>
      <c r="D1437" s="47">
        <v>49</v>
      </c>
      <c r="F1437" s="47">
        <f t="shared" si="60"/>
        <v>0</v>
      </c>
    </row>
    <row r="1438" spans="1:6" x14ac:dyDescent="0.25">
      <c r="A1438" s="5" t="s">
        <v>22</v>
      </c>
      <c r="B1438" s="2">
        <v>43952</v>
      </c>
      <c r="C1438" s="1">
        <v>0</v>
      </c>
      <c r="D1438" s="47">
        <v>243</v>
      </c>
      <c r="F1438" s="47">
        <f>E1438+F1414</f>
        <v>2</v>
      </c>
    </row>
    <row r="1439" spans="1:6" x14ac:dyDescent="0.25">
      <c r="A1439" s="5" t="s">
        <v>38</v>
      </c>
      <c r="B1439" s="2">
        <v>43952</v>
      </c>
      <c r="C1439" s="1">
        <v>0</v>
      </c>
      <c r="D1439" s="47">
        <v>15</v>
      </c>
      <c r="F1439" s="47">
        <f>E1439+F1415</f>
        <v>0</v>
      </c>
    </row>
    <row r="1440" spans="1:6" x14ac:dyDescent="0.25">
      <c r="A1440" s="5" t="s">
        <v>39</v>
      </c>
      <c r="B1440" s="2">
        <v>43952</v>
      </c>
      <c r="C1440" s="1">
        <v>1</v>
      </c>
      <c r="D1440" s="47">
        <v>140</v>
      </c>
      <c r="F1440" s="47">
        <f t="shared" si="60"/>
        <v>0</v>
      </c>
    </row>
    <row r="1441" spans="1:6" x14ac:dyDescent="0.25">
      <c r="A1441" s="5" t="s">
        <v>40</v>
      </c>
      <c r="B1441" s="2">
        <v>43952</v>
      </c>
      <c r="C1441" s="1">
        <v>0</v>
      </c>
      <c r="D1441" s="47">
        <v>38</v>
      </c>
      <c r="F1441" s="47">
        <f>E1441+F1417</f>
        <v>2</v>
      </c>
    </row>
    <row r="1442" spans="1:6" x14ac:dyDescent="0.25">
      <c r="A1442" s="34" t="s">
        <v>16</v>
      </c>
      <c r="B1442" s="2">
        <v>43953</v>
      </c>
      <c r="C1442" s="1">
        <v>45</v>
      </c>
      <c r="D1442" s="47">
        <v>1677</v>
      </c>
      <c r="E1442" s="1">
        <v>2</v>
      </c>
      <c r="F1442" s="47">
        <f>E1442+F1418</f>
        <v>91</v>
      </c>
    </row>
    <row r="1443" spans="1:6" x14ac:dyDescent="0.25">
      <c r="A1443" s="5" t="s">
        <v>28</v>
      </c>
      <c r="B1443" s="2">
        <v>43953</v>
      </c>
      <c r="C1443" s="1">
        <v>0</v>
      </c>
      <c r="D1443" s="47">
        <v>0</v>
      </c>
      <c r="F1443" s="47">
        <f t="shared" ref="F1443:F1448" si="61">E1443+F1419</f>
        <v>0</v>
      </c>
    </row>
    <row r="1444" spans="1:6" x14ac:dyDescent="0.25">
      <c r="A1444" s="5" t="s">
        <v>15</v>
      </c>
      <c r="B1444" s="2">
        <v>43953</v>
      </c>
      <c r="C1444" s="1">
        <v>11</v>
      </c>
      <c r="D1444" s="47">
        <v>337</v>
      </c>
      <c r="E1444" s="1">
        <v>3</v>
      </c>
      <c r="F1444" s="47">
        <f t="shared" si="61"/>
        <v>16</v>
      </c>
    </row>
    <row r="1445" spans="1:6" x14ac:dyDescent="0.25">
      <c r="A1445" s="5" t="s">
        <v>29</v>
      </c>
      <c r="B1445" s="2">
        <v>43953</v>
      </c>
      <c r="C1445" s="1">
        <v>1</v>
      </c>
      <c r="D1445" s="47">
        <v>4</v>
      </c>
      <c r="F1445" s="47">
        <f t="shared" si="61"/>
        <v>1</v>
      </c>
    </row>
    <row r="1446" spans="1:6" x14ac:dyDescent="0.25">
      <c r="A1446" s="5" t="s">
        <v>43</v>
      </c>
      <c r="B1446" s="2">
        <v>43953</v>
      </c>
      <c r="C1446" s="1">
        <v>58</v>
      </c>
      <c r="D1446" s="47">
        <v>1255</v>
      </c>
      <c r="E1446" s="1">
        <v>6</v>
      </c>
      <c r="F1446" s="47">
        <f t="shared" si="61"/>
        <v>76</v>
      </c>
    </row>
    <row r="1447" spans="1:6" x14ac:dyDescent="0.25">
      <c r="A1447" s="5" t="s">
        <v>20</v>
      </c>
      <c r="B1447" s="2">
        <v>43953</v>
      </c>
      <c r="C1447" s="1">
        <v>12</v>
      </c>
      <c r="D1447" s="47">
        <v>303</v>
      </c>
      <c r="E1447" s="1">
        <v>1</v>
      </c>
      <c r="F1447" s="47">
        <f t="shared" si="61"/>
        <v>15</v>
      </c>
    </row>
    <row r="1448" spans="1:6" x14ac:dyDescent="0.25">
      <c r="A1448" s="5" t="s">
        <v>30</v>
      </c>
      <c r="B1448" s="2">
        <v>43953</v>
      </c>
      <c r="C1448" s="1">
        <v>0</v>
      </c>
      <c r="D1448" s="47">
        <v>49</v>
      </c>
      <c r="F1448" s="47">
        <f t="shared" si="61"/>
        <v>0</v>
      </c>
    </row>
    <row r="1449" spans="1:6" x14ac:dyDescent="0.25">
      <c r="A1449" s="5" t="s">
        <v>31</v>
      </c>
      <c r="B1449" s="2">
        <v>43953</v>
      </c>
      <c r="C1449" s="1">
        <v>0</v>
      </c>
      <c r="D1449" s="47">
        <v>25</v>
      </c>
      <c r="F1449" s="47">
        <f>E1449+F1425</f>
        <v>0</v>
      </c>
    </row>
    <row r="1450" spans="1:6" x14ac:dyDescent="0.25">
      <c r="A1450" s="5" t="s">
        <v>41</v>
      </c>
      <c r="B1450" s="2">
        <v>43953</v>
      </c>
      <c r="C1450" s="1">
        <v>0</v>
      </c>
      <c r="D1450" s="47">
        <v>0</v>
      </c>
      <c r="F1450" s="47">
        <f t="shared" ref="F1450:F1464" si="62">E1450+F1425</f>
        <v>0</v>
      </c>
    </row>
    <row r="1451" spans="1:6" x14ac:dyDescent="0.25">
      <c r="A1451" s="5" t="s">
        <v>32</v>
      </c>
      <c r="B1451" s="2">
        <v>43953</v>
      </c>
      <c r="C1451" s="1">
        <v>0</v>
      </c>
      <c r="D1451" s="47">
        <v>5</v>
      </c>
      <c r="F1451" s="47">
        <f t="shared" si="62"/>
        <v>0</v>
      </c>
    </row>
    <row r="1452" spans="1:6" x14ac:dyDescent="0.25">
      <c r="A1452" s="5" t="s">
        <v>33</v>
      </c>
      <c r="B1452" s="2">
        <v>43953</v>
      </c>
      <c r="C1452" s="1">
        <v>0</v>
      </c>
      <c r="D1452" s="47">
        <v>5</v>
      </c>
      <c r="F1452" s="47">
        <f t="shared" si="62"/>
        <v>0</v>
      </c>
    </row>
    <row r="1453" spans="1:6" x14ac:dyDescent="0.25">
      <c r="A1453" s="5" t="s">
        <v>21</v>
      </c>
      <c r="B1453" s="2">
        <v>43953</v>
      </c>
      <c r="C1453" s="1">
        <v>0</v>
      </c>
      <c r="D1453" s="47">
        <v>55</v>
      </c>
      <c r="F1453" s="47">
        <f t="shared" si="62"/>
        <v>0</v>
      </c>
    </row>
    <row r="1454" spans="1:6" x14ac:dyDescent="0.25">
      <c r="A1454" s="5" t="s">
        <v>17</v>
      </c>
      <c r="B1454" s="2">
        <v>43953</v>
      </c>
      <c r="C1454" s="1">
        <v>1</v>
      </c>
      <c r="D1454" s="47">
        <v>85</v>
      </c>
      <c r="F1454" s="47">
        <f t="shared" si="62"/>
        <v>0</v>
      </c>
    </row>
    <row r="1455" spans="1:6" x14ac:dyDescent="0.25">
      <c r="A1455" s="5" t="s">
        <v>23</v>
      </c>
      <c r="B1455" s="2">
        <v>43953</v>
      </c>
      <c r="C1455" s="1">
        <v>12</v>
      </c>
      <c r="D1455" s="47">
        <v>24</v>
      </c>
      <c r="F1455" s="47">
        <f t="shared" si="62"/>
        <v>0</v>
      </c>
    </row>
    <row r="1456" spans="1:6" x14ac:dyDescent="0.25">
      <c r="A1456" s="5" t="s">
        <v>19</v>
      </c>
      <c r="B1456" s="2">
        <v>43953</v>
      </c>
      <c r="C1456" s="1">
        <v>0</v>
      </c>
      <c r="D1456" s="47">
        <v>110</v>
      </c>
      <c r="F1456" s="47">
        <f t="shared" si="62"/>
        <v>0</v>
      </c>
    </row>
    <row r="1457" spans="1:6" x14ac:dyDescent="0.25">
      <c r="A1457" s="5" t="s">
        <v>18</v>
      </c>
      <c r="B1457" s="2">
        <v>43953</v>
      </c>
      <c r="C1457" s="1">
        <v>6</v>
      </c>
      <c r="D1457" s="47">
        <v>242</v>
      </c>
      <c r="F1457" s="47">
        <f t="shared" si="62"/>
        <v>0</v>
      </c>
    </row>
    <row r="1458" spans="1:6" x14ac:dyDescent="0.25">
      <c r="A1458" s="5" t="s">
        <v>34</v>
      </c>
      <c r="B1458" s="2">
        <v>43953</v>
      </c>
      <c r="C1458" s="1">
        <v>0</v>
      </c>
      <c r="D1458" s="47">
        <v>4</v>
      </c>
      <c r="F1458" s="47">
        <f t="shared" si="62"/>
        <v>6</v>
      </c>
    </row>
    <row r="1459" spans="1:6" x14ac:dyDescent="0.25">
      <c r="A1459" s="5" t="s">
        <v>35</v>
      </c>
      <c r="B1459" s="2">
        <v>43953</v>
      </c>
      <c r="C1459" s="1">
        <v>0</v>
      </c>
      <c r="D1459" s="47">
        <v>2</v>
      </c>
      <c r="F1459" s="47">
        <f>E1459+F1435</f>
        <v>0</v>
      </c>
    </row>
    <row r="1460" spans="1:6" x14ac:dyDescent="0.25">
      <c r="A1460" s="5" t="s">
        <v>36</v>
      </c>
      <c r="B1460" s="2">
        <v>43953</v>
      </c>
      <c r="C1460" s="1">
        <v>0</v>
      </c>
      <c r="D1460" s="47">
        <v>11</v>
      </c>
      <c r="F1460" s="47">
        <f t="shared" si="62"/>
        <v>0</v>
      </c>
    </row>
    <row r="1461" spans="1:6" x14ac:dyDescent="0.25">
      <c r="A1461" s="5" t="s">
        <v>37</v>
      </c>
      <c r="B1461" s="2">
        <v>43953</v>
      </c>
      <c r="C1461" s="1">
        <v>0</v>
      </c>
      <c r="D1461" s="47">
        <v>49</v>
      </c>
      <c r="F1461" s="47">
        <f t="shared" si="62"/>
        <v>0</v>
      </c>
    </row>
    <row r="1462" spans="1:6" x14ac:dyDescent="0.25">
      <c r="A1462" s="5" t="s">
        <v>22</v>
      </c>
      <c r="B1462" s="2">
        <v>43953</v>
      </c>
      <c r="C1462" s="1">
        <v>0</v>
      </c>
      <c r="D1462" s="47">
        <v>243</v>
      </c>
      <c r="F1462" s="47">
        <f>E1462+F1438</f>
        <v>2</v>
      </c>
    </row>
    <row r="1463" spans="1:6" x14ac:dyDescent="0.25">
      <c r="A1463" s="5" t="s">
        <v>38</v>
      </c>
      <c r="B1463" s="2">
        <v>43953</v>
      </c>
      <c r="C1463" s="1">
        <v>0</v>
      </c>
      <c r="D1463" s="47">
        <v>15</v>
      </c>
      <c r="F1463" s="47">
        <f>E1463+F1439</f>
        <v>0</v>
      </c>
    </row>
    <row r="1464" spans="1:6" x14ac:dyDescent="0.25">
      <c r="A1464" s="5" t="s">
        <v>39</v>
      </c>
      <c r="B1464" s="2">
        <v>43953</v>
      </c>
      <c r="C1464" s="1">
        <v>3</v>
      </c>
      <c r="D1464" s="47">
        <v>143</v>
      </c>
      <c r="F1464" s="47">
        <f t="shared" si="62"/>
        <v>0</v>
      </c>
    </row>
    <row r="1465" spans="1:6" x14ac:dyDescent="0.25">
      <c r="A1465" s="5" t="s">
        <v>40</v>
      </c>
      <c r="B1465" s="2">
        <v>43953</v>
      </c>
      <c r="C1465" s="1">
        <v>0</v>
      </c>
      <c r="D1465" s="47">
        <v>38</v>
      </c>
      <c r="F1465" s="47">
        <f>E1465+F1441</f>
        <v>2</v>
      </c>
    </row>
    <row r="1466" spans="1:6" x14ac:dyDescent="0.25">
      <c r="A1466" s="34" t="s">
        <v>16</v>
      </c>
      <c r="B1466" s="2">
        <v>43954</v>
      </c>
      <c r="C1466" s="1">
        <v>38</v>
      </c>
      <c r="D1466" s="47">
        <v>1715</v>
      </c>
      <c r="E1466" s="1">
        <v>3</v>
      </c>
      <c r="F1466" s="47">
        <f>E1466+F1442</f>
        <v>94</v>
      </c>
    </row>
    <row r="1467" spans="1:6" x14ac:dyDescent="0.25">
      <c r="A1467" s="5" t="s">
        <v>28</v>
      </c>
      <c r="B1467" s="2">
        <v>43954</v>
      </c>
      <c r="C1467" s="1">
        <v>0</v>
      </c>
      <c r="D1467" s="47">
        <v>0</v>
      </c>
      <c r="F1467" s="47">
        <f t="shared" ref="F1467:F1472" si="63">E1467+F1443</f>
        <v>0</v>
      </c>
    </row>
    <row r="1468" spans="1:6" x14ac:dyDescent="0.25">
      <c r="A1468" s="5" t="s">
        <v>15</v>
      </c>
      <c r="B1468" s="2">
        <v>43954</v>
      </c>
      <c r="C1468" s="1">
        <v>5</v>
      </c>
      <c r="D1468" s="47">
        <v>342</v>
      </c>
      <c r="E1468" s="1">
        <v>2</v>
      </c>
      <c r="F1468" s="47">
        <f t="shared" si="63"/>
        <v>18</v>
      </c>
    </row>
    <row r="1469" spans="1:6" x14ac:dyDescent="0.25">
      <c r="A1469" s="5" t="s">
        <v>29</v>
      </c>
      <c r="B1469" s="2">
        <v>43954</v>
      </c>
      <c r="C1469" s="1">
        <v>0</v>
      </c>
      <c r="D1469" s="47">
        <v>4</v>
      </c>
      <c r="F1469" s="47">
        <f t="shared" si="63"/>
        <v>1</v>
      </c>
    </row>
    <row r="1470" spans="1:6" x14ac:dyDescent="0.25">
      <c r="A1470" s="5" t="s">
        <v>43</v>
      </c>
      <c r="B1470" s="2">
        <v>43954</v>
      </c>
      <c r="C1470" s="1">
        <v>49</v>
      </c>
      <c r="D1470" s="47">
        <v>1304</v>
      </c>
      <c r="E1470" s="1">
        <v>2</v>
      </c>
      <c r="F1470" s="47">
        <f t="shared" si="63"/>
        <v>78</v>
      </c>
    </row>
    <row r="1471" spans="1:6" x14ac:dyDescent="0.25">
      <c r="A1471" s="5" t="s">
        <v>20</v>
      </c>
      <c r="B1471" s="2">
        <v>43954</v>
      </c>
      <c r="C1471" s="1">
        <v>1</v>
      </c>
      <c r="D1471" s="47">
        <v>304</v>
      </c>
      <c r="E1471" s="1">
        <v>1</v>
      </c>
      <c r="F1471" s="47">
        <f t="shared" si="63"/>
        <v>16</v>
      </c>
    </row>
    <row r="1472" spans="1:6" x14ac:dyDescent="0.25">
      <c r="A1472" s="5" t="s">
        <v>30</v>
      </c>
      <c r="B1472" s="2">
        <v>43954</v>
      </c>
      <c r="C1472" s="1">
        <v>0</v>
      </c>
      <c r="D1472" s="47">
        <v>49</v>
      </c>
      <c r="F1472" s="47">
        <f t="shared" si="63"/>
        <v>0</v>
      </c>
    </row>
    <row r="1473" spans="1:6" x14ac:dyDescent="0.25">
      <c r="A1473" s="5" t="s">
        <v>31</v>
      </c>
      <c r="B1473" s="2">
        <v>43954</v>
      </c>
      <c r="C1473" s="1">
        <v>2</v>
      </c>
      <c r="D1473" s="47">
        <v>27</v>
      </c>
      <c r="F1473" s="47">
        <f>E1473+F1449</f>
        <v>0</v>
      </c>
    </row>
    <row r="1474" spans="1:6" x14ac:dyDescent="0.25">
      <c r="A1474" s="5" t="s">
        <v>41</v>
      </c>
      <c r="B1474" s="2">
        <v>43954</v>
      </c>
      <c r="C1474" s="1">
        <v>0</v>
      </c>
      <c r="D1474" s="47">
        <v>0</v>
      </c>
      <c r="F1474" s="47">
        <f t="shared" ref="F1474:F1488" si="64">E1474+F1449</f>
        <v>0</v>
      </c>
    </row>
    <row r="1475" spans="1:6" x14ac:dyDescent="0.25">
      <c r="A1475" s="5" t="s">
        <v>32</v>
      </c>
      <c r="B1475" s="2">
        <v>43954</v>
      </c>
      <c r="C1475" s="1">
        <v>0</v>
      </c>
      <c r="D1475" s="47">
        <v>5</v>
      </c>
      <c r="F1475" s="47">
        <f t="shared" si="64"/>
        <v>0</v>
      </c>
    </row>
    <row r="1476" spans="1:6" x14ac:dyDescent="0.25">
      <c r="A1476" s="5" t="s">
        <v>33</v>
      </c>
      <c r="B1476" s="2">
        <v>43954</v>
      </c>
      <c r="C1476" s="1">
        <v>0</v>
      </c>
      <c r="D1476" s="47">
        <v>5</v>
      </c>
      <c r="F1476" s="47">
        <f t="shared" si="64"/>
        <v>0</v>
      </c>
    </row>
    <row r="1477" spans="1:6" x14ac:dyDescent="0.25">
      <c r="A1477" s="5" t="s">
        <v>21</v>
      </c>
      <c r="B1477" s="2">
        <v>43954</v>
      </c>
      <c r="C1477" s="1">
        <v>0</v>
      </c>
      <c r="D1477" s="47">
        <v>55</v>
      </c>
      <c r="F1477" s="47">
        <f t="shared" si="64"/>
        <v>0</v>
      </c>
    </row>
    <row r="1478" spans="1:6" x14ac:dyDescent="0.25">
      <c r="A1478" s="5" t="s">
        <v>17</v>
      </c>
      <c r="B1478" s="2">
        <v>43954</v>
      </c>
      <c r="C1478" s="1">
        <v>0</v>
      </c>
      <c r="D1478" s="47">
        <v>85</v>
      </c>
      <c r="F1478" s="47">
        <f t="shared" si="64"/>
        <v>0</v>
      </c>
    </row>
    <row r="1479" spans="1:6" x14ac:dyDescent="0.25">
      <c r="A1479" s="5" t="s">
        <v>23</v>
      </c>
      <c r="B1479" s="2">
        <v>43954</v>
      </c>
      <c r="C1479" s="1">
        <v>0</v>
      </c>
      <c r="D1479" s="47">
        <v>24</v>
      </c>
      <c r="F1479" s="47">
        <f t="shared" si="64"/>
        <v>0</v>
      </c>
    </row>
    <row r="1480" spans="1:6" x14ac:dyDescent="0.25">
      <c r="A1480" s="5" t="s">
        <v>19</v>
      </c>
      <c r="B1480" s="2">
        <v>43954</v>
      </c>
      <c r="C1480" s="1">
        <v>0</v>
      </c>
      <c r="D1480" s="47">
        <v>110</v>
      </c>
      <c r="F1480" s="47">
        <f t="shared" si="64"/>
        <v>0</v>
      </c>
    </row>
    <row r="1481" spans="1:6" x14ac:dyDescent="0.25">
      <c r="A1481" s="5" t="s">
        <v>18</v>
      </c>
      <c r="B1481" s="2">
        <v>43954</v>
      </c>
      <c r="C1481" s="1">
        <v>6</v>
      </c>
      <c r="D1481" s="47">
        <v>248</v>
      </c>
      <c r="E1481" s="1">
        <v>1</v>
      </c>
      <c r="F1481" s="47">
        <f t="shared" si="64"/>
        <v>1</v>
      </c>
    </row>
    <row r="1482" spans="1:6" x14ac:dyDescent="0.25">
      <c r="A1482" s="5" t="s">
        <v>34</v>
      </c>
      <c r="B1482" s="2">
        <v>43954</v>
      </c>
      <c r="C1482" s="1">
        <v>0</v>
      </c>
      <c r="D1482" s="47">
        <v>4</v>
      </c>
      <c r="F1482" s="47">
        <f t="shared" si="64"/>
        <v>0</v>
      </c>
    </row>
    <row r="1483" spans="1:6" x14ac:dyDescent="0.25">
      <c r="A1483" s="5" t="s">
        <v>35</v>
      </c>
      <c r="B1483" s="2">
        <v>43954</v>
      </c>
      <c r="C1483" s="1">
        <v>0</v>
      </c>
      <c r="D1483" s="47">
        <v>2</v>
      </c>
      <c r="F1483" s="47">
        <f>E1483+F1459</f>
        <v>0</v>
      </c>
    </row>
    <row r="1484" spans="1:6" x14ac:dyDescent="0.25">
      <c r="A1484" s="5" t="s">
        <v>36</v>
      </c>
      <c r="B1484" s="2">
        <v>43954</v>
      </c>
      <c r="C1484" s="1">
        <v>0</v>
      </c>
      <c r="D1484" s="47">
        <v>11</v>
      </c>
      <c r="F1484" s="47">
        <f t="shared" si="64"/>
        <v>0</v>
      </c>
    </row>
    <row r="1485" spans="1:6" x14ac:dyDescent="0.25">
      <c r="A1485" s="5" t="s">
        <v>37</v>
      </c>
      <c r="B1485" s="2">
        <v>43954</v>
      </c>
      <c r="C1485" s="1">
        <v>0</v>
      </c>
      <c r="D1485" s="47">
        <v>49</v>
      </c>
      <c r="F1485" s="47">
        <f t="shared" si="64"/>
        <v>0</v>
      </c>
    </row>
    <row r="1486" spans="1:6" x14ac:dyDescent="0.25">
      <c r="A1486" s="5" t="s">
        <v>22</v>
      </c>
      <c r="B1486" s="2">
        <v>43954</v>
      </c>
      <c r="C1486" s="1">
        <v>0</v>
      </c>
      <c r="D1486" s="47">
        <v>243</v>
      </c>
      <c r="F1486" s="47">
        <f>E1486+F1462</f>
        <v>2</v>
      </c>
    </row>
    <row r="1487" spans="1:6" x14ac:dyDescent="0.25">
      <c r="A1487" s="5" t="s">
        <v>38</v>
      </c>
      <c r="B1487" s="2">
        <v>43954</v>
      </c>
      <c r="C1487" s="1">
        <v>0</v>
      </c>
      <c r="D1487" s="47">
        <v>15</v>
      </c>
      <c r="F1487" s="47">
        <f>E1487+F1463</f>
        <v>0</v>
      </c>
    </row>
    <row r="1488" spans="1:6" x14ac:dyDescent="0.25">
      <c r="A1488" s="5" t="s">
        <v>39</v>
      </c>
      <c r="B1488" s="2">
        <v>43954</v>
      </c>
      <c r="C1488" s="1">
        <v>2</v>
      </c>
      <c r="D1488" s="47">
        <v>145</v>
      </c>
      <c r="F1488" s="47">
        <f t="shared" si="64"/>
        <v>0</v>
      </c>
    </row>
    <row r="1489" spans="1:6" x14ac:dyDescent="0.25">
      <c r="A1489" s="5" t="s">
        <v>40</v>
      </c>
      <c r="B1489" s="2">
        <v>43954</v>
      </c>
      <c r="C1489" s="1">
        <v>0</v>
      </c>
      <c r="D1489" s="47">
        <v>38</v>
      </c>
      <c r="F1489" s="47">
        <f>E1489+F1465</f>
        <v>2</v>
      </c>
    </row>
    <row r="1490" spans="1:6" x14ac:dyDescent="0.25">
      <c r="A1490" s="34" t="s">
        <v>16</v>
      </c>
      <c r="B1490" s="2">
        <v>43955</v>
      </c>
      <c r="C1490" s="1">
        <v>38</v>
      </c>
      <c r="D1490" s="47">
        <v>1753</v>
      </c>
      <c r="E1490" s="1">
        <v>7</v>
      </c>
      <c r="F1490" s="47">
        <f>E1490+F1466</f>
        <v>101</v>
      </c>
    </row>
    <row r="1491" spans="1:6" x14ac:dyDescent="0.25">
      <c r="A1491" s="5" t="s">
        <v>28</v>
      </c>
      <c r="B1491" s="2">
        <v>43955</v>
      </c>
      <c r="C1491" s="1">
        <v>0</v>
      </c>
      <c r="D1491" s="47">
        <v>0</v>
      </c>
      <c r="F1491" s="47">
        <f t="shared" ref="F1491:F1496" si="65">E1491+F1467</f>
        <v>0</v>
      </c>
    </row>
    <row r="1492" spans="1:6" x14ac:dyDescent="0.25">
      <c r="A1492" s="5" t="s">
        <v>15</v>
      </c>
      <c r="B1492" s="2">
        <v>43955</v>
      </c>
      <c r="C1492" s="1">
        <v>5</v>
      </c>
      <c r="D1492" s="47">
        <v>347</v>
      </c>
      <c r="E1492" s="1">
        <v>1</v>
      </c>
      <c r="F1492" s="47">
        <f t="shared" si="65"/>
        <v>19</v>
      </c>
    </row>
    <row r="1493" spans="1:6" x14ac:dyDescent="0.25">
      <c r="A1493" s="5" t="s">
        <v>29</v>
      </c>
      <c r="B1493" s="2">
        <v>43955</v>
      </c>
      <c r="C1493" s="1">
        <v>0</v>
      </c>
      <c r="D1493" s="47">
        <v>4</v>
      </c>
      <c r="F1493" s="47">
        <f t="shared" si="65"/>
        <v>1</v>
      </c>
    </row>
    <row r="1494" spans="1:6" x14ac:dyDescent="0.25">
      <c r="A1494" s="5" t="s">
        <v>43</v>
      </c>
      <c r="B1494" s="2">
        <v>43955</v>
      </c>
      <c r="C1494" s="1">
        <v>43</v>
      </c>
      <c r="D1494" s="47">
        <v>1347</v>
      </c>
      <c r="E1494" s="1">
        <v>4</v>
      </c>
      <c r="F1494" s="47">
        <f t="shared" si="65"/>
        <v>82</v>
      </c>
    </row>
    <row r="1495" spans="1:6" x14ac:dyDescent="0.25">
      <c r="A1495" s="5" t="s">
        <v>20</v>
      </c>
      <c r="B1495" s="2">
        <v>43955</v>
      </c>
      <c r="C1495" s="1">
        <v>6</v>
      </c>
      <c r="D1495" s="47">
        <v>310</v>
      </c>
      <c r="E1495" s="1">
        <v>2</v>
      </c>
      <c r="F1495" s="47">
        <f t="shared" si="65"/>
        <v>18</v>
      </c>
    </row>
    <row r="1496" spans="1:6" x14ac:dyDescent="0.25">
      <c r="A1496" s="5" t="s">
        <v>30</v>
      </c>
      <c r="B1496" s="2">
        <v>43955</v>
      </c>
      <c r="C1496" s="1">
        <v>0</v>
      </c>
      <c r="D1496" s="47">
        <v>49</v>
      </c>
      <c r="F1496" s="47">
        <f t="shared" si="65"/>
        <v>0</v>
      </c>
    </row>
    <row r="1497" spans="1:6" x14ac:dyDescent="0.25">
      <c r="A1497" s="5" t="s">
        <v>31</v>
      </c>
      <c r="B1497" s="2">
        <v>43955</v>
      </c>
      <c r="C1497" s="1">
        <v>0</v>
      </c>
      <c r="D1497" s="47">
        <v>27</v>
      </c>
      <c r="F1497" s="47">
        <f>E1497+F1473</f>
        <v>0</v>
      </c>
    </row>
    <row r="1498" spans="1:6" x14ac:dyDescent="0.25">
      <c r="A1498" s="5" t="s">
        <v>41</v>
      </c>
      <c r="B1498" s="2">
        <v>43955</v>
      </c>
      <c r="C1498" s="1">
        <v>0</v>
      </c>
      <c r="D1498" s="47">
        <v>0</v>
      </c>
      <c r="F1498" s="47">
        <f t="shared" ref="F1498:F1512" si="66">E1498+F1473</f>
        <v>0</v>
      </c>
    </row>
    <row r="1499" spans="1:6" x14ac:dyDescent="0.25">
      <c r="A1499" s="5" t="s">
        <v>32</v>
      </c>
      <c r="B1499" s="2">
        <v>43955</v>
      </c>
      <c r="C1499" s="1">
        <v>0</v>
      </c>
      <c r="D1499" s="47">
        <v>5</v>
      </c>
      <c r="F1499" s="47">
        <f t="shared" si="66"/>
        <v>0</v>
      </c>
    </row>
    <row r="1500" spans="1:6" x14ac:dyDescent="0.25">
      <c r="A1500" s="5" t="s">
        <v>33</v>
      </c>
      <c r="B1500" s="2">
        <v>43955</v>
      </c>
      <c r="C1500" s="1">
        <v>0</v>
      </c>
      <c r="D1500" s="47">
        <v>5</v>
      </c>
      <c r="F1500" s="47">
        <f t="shared" si="66"/>
        <v>0</v>
      </c>
    </row>
    <row r="1501" spans="1:6" x14ac:dyDescent="0.25">
      <c r="A1501" s="5" t="s">
        <v>21</v>
      </c>
      <c r="B1501" s="2">
        <v>43955</v>
      </c>
      <c r="C1501" s="1">
        <v>1</v>
      </c>
      <c r="D1501" s="47">
        <v>56</v>
      </c>
      <c r="F1501" s="47">
        <f t="shared" si="66"/>
        <v>0</v>
      </c>
    </row>
    <row r="1502" spans="1:6" x14ac:dyDescent="0.25">
      <c r="A1502" s="5" t="s">
        <v>17</v>
      </c>
      <c r="B1502" s="2">
        <v>43955</v>
      </c>
      <c r="C1502" s="1">
        <v>-1</v>
      </c>
      <c r="D1502" s="47">
        <v>84</v>
      </c>
      <c r="F1502" s="47">
        <f t="shared" si="66"/>
        <v>0</v>
      </c>
    </row>
    <row r="1503" spans="1:6" x14ac:dyDescent="0.25">
      <c r="A1503" s="5" t="s">
        <v>23</v>
      </c>
      <c r="B1503" s="2">
        <v>43955</v>
      </c>
      <c r="C1503" s="1">
        <v>1</v>
      </c>
      <c r="D1503" s="47">
        <v>25</v>
      </c>
      <c r="F1503" s="47">
        <f t="shared" si="66"/>
        <v>0</v>
      </c>
    </row>
    <row r="1504" spans="1:6" x14ac:dyDescent="0.25">
      <c r="A1504" s="5" t="s">
        <v>19</v>
      </c>
      <c r="B1504" s="2">
        <v>43955</v>
      </c>
      <c r="C1504" s="1">
        <v>0</v>
      </c>
      <c r="D1504" s="47">
        <v>110</v>
      </c>
      <c r="F1504" s="47">
        <f t="shared" si="66"/>
        <v>0</v>
      </c>
    </row>
    <row r="1505" spans="1:6" x14ac:dyDescent="0.25">
      <c r="A1505" s="5" t="s">
        <v>18</v>
      </c>
      <c r="B1505" s="2">
        <v>43955</v>
      </c>
      <c r="C1505" s="1">
        <v>7</v>
      </c>
      <c r="D1505" s="47">
        <v>255</v>
      </c>
      <c r="F1505" s="47">
        <f t="shared" si="66"/>
        <v>0</v>
      </c>
    </row>
    <row r="1506" spans="1:6" x14ac:dyDescent="0.25">
      <c r="A1506" s="5" t="s">
        <v>34</v>
      </c>
      <c r="B1506" s="2">
        <v>43955</v>
      </c>
      <c r="C1506" s="1">
        <v>0</v>
      </c>
      <c r="D1506" s="47">
        <v>4</v>
      </c>
      <c r="F1506" s="47">
        <f t="shared" si="66"/>
        <v>1</v>
      </c>
    </row>
    <row r="1507" spans="1:6" x14ac:dyDescent="0.25">
      <c r="A1507" s="5" t="s">
        <v>35</v>
      </c>
      <c r="B1507" s="2">
        <v>43955</v>
      </c>
      <c r="C1507" s="1">
        <v>0</v>
      </c>
      <c r="D1507" s="47">
        <v>2</v>
      </c>
      <c r="F1507" s="47">
        <f>E1507+F1483</f>
        <v>0</v>
      </c>
    </row>
    <row r="1508" spans="1:6" x14ac:dyDescent="0.25">
      <c r="A1508" s="5" t="s">
        <v>36</v>
      </c>
      <c r="B1508" s="2">
        <v>43955</v>
      </c>
      <c r="C1508" s="1">
        <v>0</v>
      </c>
      <c r="D1508" s="47">
        <v>11</v>
      </c>
      <c r="F1508" s="47">
        <f t="shared" si="66"/>
        <v>0</v>
      </c>
    </row>
    <row r="1509" spans="1:6" x14ac:dyDescent="0.25">
      <c r="A1509" s="5" t="s">
        <v>37</v>
      </c>
      <c r="B1509" s="2">
        <v>43955</v>
      </c>
      <c r="C1509" s="1">
        <v>0</v>
      </c>
      <c r="D1509" s="47">
        <v>49</v>
      </c>
      <c r="F1509" s="47">
        <f t="shared" si="66"/>
        <v>0</v>
      </c>
    </row>
    <row r="1510" spans="1:6" x14ac:dyDescent="0.25">
      <c r="A1510" s="5" t="s">
        <v>22</v>
      </c>
      <c r="B1510" s="2">
        <v>43955</v>
      </c>
      <c r="C1510" s="1">
        <v>0</v>
      </c>
      <c r="D1510" s="47">
        <v>243</v>
      </c>
      <c r="F1510" s="47">
        <f>E1510+F1486</f>
        <v>2</v>
      </c>
    </row>
    <row r="1511" spans="1:6" x14ac:dyDescent="0.25">
      <c r="A1511" s="5" t="s">
        <v>38</v>
      </c>
      <c r="B1511" s="2">
        <v>43955</v>
      </c>
      <c r="C1511" s="1">
        <v>0</v>
      </c>
      <c r="D1511" s="47">
        <v>15</v>
      </c>
      <c r="F1511" s="47">
        <f>E1511+F1487</f>
        <v>0</v>
      </c>
    </row>
    <row r="1512" spans="1:6" x14ac:dyDescent="0.25">
      <c r="A1512" s="5" t="s">
        <v>39</v>
      </c>
      <c r="B1512" s="2">
        <v>43955</v>
      </c>
      <c r="C1512" s="1">
        <v>0</v>
      </c>
      <c r="D1512" s="47">
        <v>145</v>
      </c>
      <c r="F1512" s="47">
        <f t="shared" si="66"/>
        <v>0</v>
      </c>
    </row>
    <row r="1513" spans="1:6" x14ac:dyDescent="0.25">
      <c r="A1513" s="5" t="s">
        <v>40</v>
      </c>
      <c r="B1513" s="2">
        <v>43955</v>
      </c>
      <c r="C1513" s="1">
        <v>3</v>
      </c>
      <c r="D1513" s="47">
        <v>41</v>
      </c>
      <c r="F1513" s="47">
        <f>E1513+F1489</f>
        <v>2</v>
      </c>
    </row>
    <row r="1514" spans="1:6" x14ac:dyDescent="0.25">
      <c r="A1514" s="34" t="s">
        <v>16</v>
      </c>
      <c r="B1514" s="2">
        <v>43956</v>
      </c>
      <c r="C1514" s="1">
        <v>58</v>
      </c>
      <c r="D1514" s="47">
        <v>1811</v>
      </c>
      <c r="E1514" s="1">
        <v>1</v>
      </c>
      <c r="F1514" s="47">
        <f>E1514+F1490</f>
        <v>102</v>
      </c>
    </row>
    <row r="1515" spans="1:6" x14ac:dyDescent="0.25">
      <c r="A1515" s="5" t="s">
        <v>28</v>
      </c>
      <c r="B1515" s="2">
        <v>43956</v>
      </c>
      <c r="C1515" s="1">
        <v>0</v>
      </c>
      <c r="D1515" s="47">
        <v>0</v>
      </c>
      <c r="F1515" s="47">
        <f t="shared" ref="F1515:F1520" si="67">E1515+F1491</f>
        <v>0</v>
      </c>
    </row>
    <row r="1516" spans="1:6" x14ac:dyDescent="0.25">
      <c r="A1516" s="5" t="s">
        <v>15</v>
      </c>
      <c r="B1516" s="2">
        <v>43956</v>
      </c>
      <c r="C1516" s="1">
        <v>11</v>
      </c>
      <c r="D1516" s="47">
        <v>358</v>
      </c>
      <c r="F1516" s="47">
        <f t="shared" si="67"/>
        <v>19</v>
      </c>
    </row>
    <row r="1517" spans="1:6" x14ac:dyDescent="0.25">
      <c r="A1517" s="5" t="s">
        <v>29</v>
      </c>
      <c r="B1517" s="2">
        <v>43956</v>
      </c>
      <c r="C1517" s="1">
        <v>0</v>
      </c>
      <c r="D1517" s="47">
        <v>4</v>
      </c>
      <c r="F1517" s="47">
        <f t="shared" si="67"/>
        <v>1</v>
      </c>
    </row>
    <row r="1518" spans="1:6" x14ac:dyDescent="0.25">
      <c r="A1518" s="5" t="s">
        <v>43</v>
      </c>
      <c r="B1518" s="2">
        <v>43956</v>
      </c>
      <c r="C1518" s="1">
        <v>57</v>
      </c>
      <c r="D1518" s="47">
        <v>1404</v>
      </c>
      <c r="E1518" s="1">
        <v>1</v>
      </c>
      <c r="F1518" s="47">
        <f t="shared" si="67"/>
        <v>83</v>
      </c>
    </row>
    <row r="1519" spans="1:6" x14ac:dyDescent="0.25">
      <c r="A1519" s="5" t="s">
        <v>20</v>
      </c>
      <c r="B1519" s="2">
        <v>43956</v>
      </c>
      <c r="C1519" s="1">
        <v>1</v>
      </c>
      <c r="D1519" s="47">
        <v>311</v>
      </c>
      <c r="E1519" s="1">
        <v>1</v>
      </c>
      <c r="F1519" s="47">
        <f t="shared" si="67"/>
        <v>19</v>
      </c>
    </row>
    <row r="1520" spans="1:6" x14ac:dyDescent="0.25">
      <c r="A1520" s="5" t="s">
        <v>30</v>
      </c>
      <c r="B1520" s="2">
        <v>43956</v>
      </c>
      <c r="C1520" s="1">
        <v>-1</v>
      </c>
      <c r="D1520" s="47">
        <v>48</v>
      </c>
      <c r="F1520" s="47">
        <f t="shared" si="67"/>
        <v>0</v>
      </c>
    </row>
    <row r="1521" spans="1:6" x14ac:dyDescent="0.25">
      <c r="A1521" s="5" t="s">
        <v>31</v>
      </c>
      <c r="B1521" s="2">
        <v>43956</v>
      </c>
      <c r="C1521" s="1">
        <v>1</v>
      </c>
      <c r="D1521" s="47">
        <v>28</v>
      </c>
      <c r="F1521" s="47">
        <f>E1521+F1497</f>
        <v>0</v>
      </c>
    </row>
    <row r="1522" spans="1:6" x14ac:dyDescent="0.25">
      <c r="A1522" s="5" t="s">
        <v>41</v>
      </c>
      <c r="B1522" s="2">
        <v>43956</v>
      </c>
      <c r="C1522" s="1">
        <v>0</v>
      </c>
      <c r="D1522" s="47">
        <v>0</v>
      </c>
      <c r="F1522" s="47">
        <f t="shared" ref="F1522:F1536" si="68">E1522+F1497</f>
        <v>0</v>
      </c>
    </row>
    <row r="1523" spans="1:6" x14ac:dyDescent="0.25">
      <c r="A1523" s="5" t="s">
        <v>32</v>
      </c>
      <c r="B1523" s="2">
        <v>43956</v>
      </c>
      <c r="C1523" s="1">
        <v>0</v>
      </c>
      <c r="D1523" s="47">
        <v>5</v>
      </c>
      <c r="F1523" s="47">
        <f t="shared" si="68"/>
        <v>0</v>
      </c>
    </row>
    <row r="1524" spans="1:6" x14ac:dyDescent="0.25">
      <c r="A1524" s="5" t="s">
        <v>33</v>
      </c>
      <c r="B1524" s="2">
        <v>43956</v>
      </c>
      <c r="C1524" s="1">
        <v>0</v>
      </c>
      <c r="D1524" s="47">
        <v>5</v>
      </c>
      <c r="F1524" s="47">
        <f t="shared" si="68"/>
        <v>0</v>
      </c>
    </row>
    <row r="1525" spans="1:6" x14ac:dyDescent="0.25">
      <c r="A1525" s="5" t="s">
        <v>21</v>
      </c>
      <c r="B1525" s="2">
        <v>43956</v>
      </c>
      <c r="C1525" s="1">
        <v>0</v>
      </c>
      <c r="D1525" s="47">
        <v>56</v>
      </c>
      <c r="F1525" s="47">
        <f t="shared" si="68"/>
        <v>0</v>
      </c>
    </row>
    <row r="1526" spans="1:6" x14ac:dyDescent="0.25">
      <c r="A1526" s="5" t="s">
        <v>17</v>
      </c>
      <c r="B1526" s="2">
        <v>43956</v>
      </c>
      <c r="C1526" s="1">
        <v>1</v>
      </c>
      <c r="D1526" s="47">
        <v>85</v>
      </c>
      <c r="F1526" s="47">
        <f t="shared" si="68"/>
        <v>0</v>
      </c>
    </row>
    <row r="1527" spans="1:6" x14ac:dyDescent="0.25">
      <c r="A1527" s="5" t="s">
        <v>23</v>
      </c>
      <c r="B1527" s="2">
        <v>43956</v>
      </c>
      <c r="C1527" s="1">
        <v>0</v>
      </c>
      <c r="D1527" s="47">
        <v>25</v>
      </c>
      <c r="F1527" s="47">
        <f t="shared" si="68"/>
        <v>0</v>
      </c>
    </row>
    <row r="1528" spans="1:6" x14ac:dyDescent="0.25">
      <c r="A1528" s="5" t="s">
        <v>19</v>
      </c>
      <c r="B1528" s="2">
        <v>43956</v>
      </c>
      <c r="C1528" s="1">
        <v>0</v>
      </c>
      <c r="D1528" s="47">
        <v>110</v>
      </c>
      <c r="F1528" s="47">
        <f t="shared" si="68"/>
        <v>0</v>
      </c>
    </row>
    <row r="1529" spans="1:6" x14ac:dyDescent="0.25">
      <c r="A1529" s="5" t="s">
        <v>18</v>
      </c>
      <c r="B1529" s="2">
        <v>43956</v>
      </c>
      <c r="C1529" s="1">
        <v>4</v>
      </c>
      <c r="D1529" s="47">
        <v>259</v>
      </c>
      <c r="F1529" s="47">
        <f t="shared" si="68"/>
        <v>0</v>
      </c>
    </row>
    <row r="1530" spans="1:6" x14ac:dyDescent="0.25">
      <c r="A1530" s="5" t="s">
        <v>34</v>
      </c>
      <c r="B1530" s="2">
        <v>43956</v>
      </c>
      <c r="C1530" s="1">
        <v>0</v>
      </c>
      <c r="D1530" s="47">
        <v>4</v>
      </c>
      <c r="F1530" s="47">
        <f t="shared" si="68"/>
        <v>0</v>
      </c>
    </row>
    <row r="1531" spans="1:6" x14ac:dyDescent="0.25">
      <c r="A1531" s="5" t="s">
        <v>35</v>
      </c>
      <c r="B1531" s="2">
        <v>43956</v>
      </c>
      <c r="C1531" s="1">
        <v>0</v>
      </c>
      <c r="D1531" s="47">
        <v>2</v>
      </c>
      <c r="F1531" s="47">
        <f>E1531+F1507</f>
        <v>0</v>
      </c>
    </row>
    <row r="1532" spans="1:6" x14ac:dyDescent="0.25">
      <c r="A1532" s="5" t="s">
        <v>36</v>
      </c>
      <c r="B1532" s="2">
        <v>43956</v>
      </c>
      <c r="C1532" s="1">
        <v>0</v>
      </c>
      <c r="D1532" s="47">
        <v>11</v>
      </c>
      <c r="F1532" s="47">
        <f t="shared" si="68"/>
        <v>0</v>
      </c>
    </row>
    <row r="1533" spans="1:6" x14ac:dyDescent="0.25">
      <c r="A1533" s="5" t="s">
        <v>37</v>
      </c>
      <c r="B1533" s="2">
        <v>43956</v>
      </c>
      <c r="C1533" s="1">
        <v>0</v>
      </c>
      <c r="D1533" s="47">
        <v>49</v>
      </c>
      <c r="F1533" s="47">
        <f t="shared" si="68"/>
        <v>0</v>
      </c>
    </row>
    <row r="1534" spans="1:6" x14ac:dyDescent="0.25">
      <c r="A1534" s="5" t="s">
        <v>22</v>
      </c>
      <c r="B1534" s="2">
        <v>43956</v>
      </c>
      <c r="C1534" s="1">
        <v>1</v>
      </c>
      <c r="D1534" s="47">
        <v>244</v>
      </c>
      <c r="F1534" s="47">
        <f>E1534+F1510</f>
        <v>2</v>
      </c>
    </row>
    <row r="1535" spans="1:6" x14ac:dyDescent="0.25">
      <c r="A1535" s="5" t="s">
        <v>38</v>
      </c>
      <c r="B1535" s="2">
        <v>43956</v>
      </c>
      <c r="C1535" s="1">
        <v>0</v>
      </c>
      <c r="D1535" s="47">
        <v>15</v>
      </c>
      <c r="F1535" s="47">
        <f>E1535+F1511</f>
        <v>0</v>
      </c>
    </row>
    <row r="1536" spans="1:6" x14ac:dyDescent="0.25">
      <c r="A1536" s="5" t="s">
        <v>39</v>
      </c>
      <c r="B1536" s="2">
        <v>43956</v>
      </c>
      <c r="C1536" s="1">
        <v>0</v>
      </c>
      <c r="D1536" s="47">
        <v>145</v>
      </c>
      <c r="F1536" s="47">
        <f t="shared" si="68"/>
        <v>0</v>
      </c>
    </row>
    <row r="1537" spans="1:6" x14ac:dyDescent="0.25">
      <c r="A1537" s="5" t="s">
        <v>40</v>
      </c>
      <c r="B1537" s="2">
        <v>43956</v>
      </c>
      <c r="C1537" s="1">
        <v>0</v>
      </c>
      <c r="D1537" s="47">
        <v>41</v>
      </c>
      <c r="F1537" s="47">
        <f>E1537+F1513</f>
        <v>2</v>
      </c>
    </row>
    <row r="1538" spans="1:6" x14ac:dyDescent="0.25">
      <c r="A1538" s="34" t="s">
        <v>16</v>
      </c>
      <c r="B1538" s="2">
        <v>43957</v>
      </c>
      <c r="C1538" s="1">
        <v>63</v>
      </c>
      <c r="D1538" s="47">
        <v>1874</v>
      </c>
      <c r="E1538" s="1">
        <v>5</v>
      </c>
      <c r="F1538" s="47">
        <f>E1538+F1514</f>
        <v>107</v>
      </c>
    </row>
    <row r="1539" spans="1:6" x14ac:dyDescent="0.25">
      <c r="A1539" s="5" t="s">
        <v>28</v>
      </c>
      <c r="B1539" s="2">
        <v>43957</v>
      </c>
      <c r="C1539" s="1">
        <v>0</v>
      </c>
      <c r="D1539" s="47">
        <v>0</v>
      </c>
      <c r="F1539" s="47">
        <f t="shared" ref="F1539:F1544" si="69">E1539+F1515</f>
        <v>0</v>
      </c>
    </row>
    <row r="1540" spans="1:6" x14ac:dyDescent="0.25">
      <c r="A1540" s="5" t="s">
        <v>15</v>
      </c>
      <c r="B1540" s="2">
        <v>43957</v>
      </c>
      <c r="C1540" s="1">
        <v>8</v>
      </c>
      <c r="D1540" s="47">
        <v>366</v>
      </c>
      <c r="F1540" s="47">
        <f t="shared" si="69"/>
        <v>19</v>
      </c>
    </row>
    <row r="1541" spans="1:6" x14ac:dyDescent="0.25">
      <c r="A1541" s="5" t="s">
        <v>29</v>
      </c>
      <c r="B1541" s="2">
        <v>43957</v>
      </c>
      <c r="C1541" s="1">
        <v>0</v>
      </c>
      <c r="D1541" s="47">
        <v>4</v>
      </c>
      <c r="F1541" s="47">
        <f t="shared" si="69"/>
        <v>1</v>
      </c>
    </row>
    <row r="1542" spans="1:6" x14ac:dyDescent="0.25">
      <c r="A1542" s="5" t="s">
        <v>43</v>
      </c>
      <c r="B1542" s="2">
        <v>43957</v>
      </c>
      <c r="C1542" s="1">
        <v>102</v>
      </c>
      <c r="D1542" s="47">
        <v>1506</v>
      </c>
      <c r="E1542" s="1">
        <v>2</v>
      </c>
      <c r="F1542" s="47">
        <f t="shared" si="69"/>
        <v>85</v>
      </c>
    </row>
    <row r="1543" spans="1:6" x14ac:dyDescent="0.25">
      <c r="A1543" s="5" t="s">
        <v>20</v>
      </c>
      <c r="B1543" s="2">
        <v>43957</v>
      </c>
      <c r="C1543" s="1">
        <v>5</v>
      </c>
      <c r="D1543" s="47">
        <v>316</v>
      </c>
      <c r="F1543" s="47">
        <f t="shared" si="69"/>
        <v>19</v>
      </c>
    </row>
    <row r="1544" spans="1:6" x14ac:dyDescent="0.25">
      <c r="A1544" s="5" t="s">
        <v>30</v>
      </c>
      <c r="B1544" s="2">
        <v>43957</v>
      </c>
      <c r="C1544" s="1">
        <v>3</v>
      </c>
      <c r="D1544" s="47">
        <v>51</v>
      </c>
      <c r="F1544" s="47">
        <f t="shared" si="69"/>
        <v>0</v>
      </c>
    </row>
    <row r="1545" spans="1:6" x14ac:dyDescent="0.25">
      <c r="A1545" s="5" t="s">
        <v>31</v>
      </c>
      <c r="B1545" s="2">
        <v>43957</v>
      </c>
      <c r="C1545" s="1">
        <v>0</v>
      </c>
      <c r="D1545" s="47">
        <v>28</v>
      </c>
      <c r="F1545" s="47">
        <f>E1545+F1521</f>
        <v>0</v>
      </c>
    </row>
    <row r="1546" spans="1:6" x14ac:dyDescent="0.25">
      <c r="A1546" s="5" t="s">
        <v>41</v>
      </c>
      <c r="B1546" s="2">
        <v>43957</v>
      </c>
      <c r="C1546" s="1">
        <v>0</v>
      </c>
      <c r="D1546" s="47">
        <v>0</v>
      </c>
      <c r="F1546" s="47">
        <f t="shared" ref="F1546:F1560" si="70">E1546+F1521</f>
        <v>0</v>
      </c>
    </row>
    <row r="1547" spans="1:6" x14ac:dyDescent="0.25">
      <c r="A1547" s="5" t="s">
        <v>32</v>
      </c>
      <c r="B1547" s="2">
        <v>43957</v>
      </c>
      <c r="C1547" s="1">
        <v>0</v>
      </c>
      <c r="D1547" s="47">
        <v>5</v>
      </c>
      <c r="F1547" s="47">
        <f t="shared" si="70"/>
        <v>0</v>
      </c>
    </row>
    <row r="1548" spans="1:6" x14ac:dyDescent="0.25">
      <c r="A1548" s="5" t="s">
        <v>33</v>
      </c>
      <c r="B1548" s="2">
        <v>43957</v>
      </c>
      <c r="C1548" s="1">
        <v>0</v>
      </c>
      <c r="D1548" s="47">
        <v>5</v>
      </c>
      <c r="F1548" s="47">
        <f t="shared" si="70"/>
        <v>0</v>
      </c>
    </row>
    <row r="1549" spans="1:6" x14ac:dyDescent="0.25">
      <c r="A1549" s="5" t="s">
        <v>21</v>
      </c>
      <c r="B1549" s="2">
        <v>43957</v>
      </c>
      <c r="C1549" s="1">
        <v>1</v>
      </c>
      <c r="D1549" s="47">
        <v>57</v>
      </c>
      <c r="F1549" s="47">
        <f t="shared" si="70"/>
        <v>0</v>
      </c>
    </row>
    <row r="1550" spans="1:6" x14ac:dyDescent="0.25">
      <c r="A1550" s="5" t="s">
        <v>17</v>
      </c>
      <c r="B1550" s="2">
        <v>43957</v>
      </c>
      <c r="C1550" s="1">
        <v>0</v>
      </c>
      <c r="D1550" s="47">
        <v>85</v>
      </c>
      <c r="F1550" s="47">
        <f t="shared" si="70"/>
        <v>0</v>
      </c>
    </row>
    <row r="1551" spans="1:6" x14ac:dyDescent="0.25">
      <c r="A1551" s="5" t="s">
        <v>23</v>
      </c>
      <c r="B1551" s="2">
        <v>43957</v>
      </c>
      <c r="C1551" s="1">
        <v>0</v>
      </c>
      <c r="D1551" s="47">
        <v>25</v>
      </c>
      <c r="F1551" s="47">
        <f t="shared" si="70"/>
        <v>0</v>
      </c>
    </row>
    <row r="1552" spans="1:6" x14ac:dyDescent="0.25">
      <c r="A1552" s="5" t="s">
        <v>19</v>
      </c>
      <c r="B1552" s="2">
        <v>43957</v>
      </c>
      <c r="C1552" s="1">
        <v>0</v>
      </c>
      <c r="D1552" s="47">
        <v>110</v>
      </c>
      <c r="F1552" s="47">
        <f t="shared" si="70"/>
        <v>0</v>
      </c>
    </row>
    <row r="1553" spans="1:6" x14ac:dyDescent="0.25">
      <c r="A1553" s="5" t="s">
        <v>18</v>
      </c>
      <c r="B1553" s="2">
        <v>43957</v>
      </c>
      <c r="C1553" s="1">
        <v>6</v>
      </c>
      <c r="D1553" s="47">
        <v>265</v>
      </c>
      <c r="E1553" s="1">
        <v>1</v>
      </c>
      <c r="F1553" s="47">
        <f t="shared" si="70"/>
        <v>1</v>
      </c>
    </row>
    <row r="1554" spans="1:6" x14ac:dyDescent="0.25">
      <c r="A1554" s="5" t="s">
        <v>34</v>
      </c>
      <c r="B1554" s="2">
        <v>43957</v>
      </c>
      <c r="C1554" s="1">
        <v>0</v>
      </c>
      <c r="D1554" s="47">
        <v>4</v>
      </c>
      <c r="F1554" s="47">
        <f t="shared" si="70"/>
        <v>0</v>
      </c>
    </row>
    <row r="1555" spans="1:6" x14ac:dyDescent="0.25">
      <c r="A1555" s="5" t="s">
        <v>35</v>
      </c>
      <c r="B1555" s="2">
        <v>43957</v>
      </c>
      <c r="C1555" s="1">
        <v>0</v>
      </c>
      <c r="D1555" s="47">
        <v>2</v>
      </c>
      <c r="F1555" s="47">
        <f>E1555+F1531</f>
        <v>0</v>
      </c>
    </row>
    <row r="1556" spans="1:6" x14ac:dyDescent="0.25">
      <c r="A1556" s="5" t="s">
        <v>36</v>
      </c>
      <c r="B1556" s="2">
        <v>43957</v>
      </c>
      <c r="C1556" s="1">
        <v>0</v>
      </c>
      <c r="D1556" s="47">
        <v>11</v>
      </c>
      <c r="F1556" s="47">
        <f t="shared" si="70"/>
        <v>0</v>
      </c>
    </row>
    <row r="1557" spans="1:6" x14ac:dyDescent="0.25">
      <c r="A1557" s="5" t="s">
        <v>37</v>
      </c>
      <c r="B1557" s="2">
        <v>43957</v>
      </c>
      <c r="C1557" s="1">
        <v>0</v>
      </c>
      <c r="D1557" s="47">
        <v>49</v>
      </c>
      <c r="F1557" s="47">
        <f t="shared" si="70"/>
        <v>0</v>
      </c>
    </row>
    <row r="1558" spans="1:6" x14ac:dyDescent="0.25">
      <c r="A1558" s="5" t="s">
        <v>22</v>
      </c>
      <c r="B1558" s="2">
        <v>43957</v>
      </c>
      <c r="C1558" s="1">
        <v>0</v>
      </c>
      <c r="D1558" s="47">
        <v>244</v>
      </c>
      <c r="F1558" s="47">
        <f>E1558+F1534</f>
        <v>2</v>
      </c>
    </row>
    <row r="1559" spans="1:6" x14ac:dyDescent="0.25">
      <c r="A1559" s="5" t="s">
        <v>38</v>
      </c>
      <c r="B1559" s="2">
        <v>43957</v>
      </c>
      <c r="C1559" s="1">
        <v>0</v>
      </c>
      <c r="D1559" s="47">
        <v>15</v>
      </c>
      <c r="F1559" s="47">
        <f>E1559+F1535</f>
        <v>0</v>
      </c>
    </row>
    <row r="1560" spans="1:6" x14ac:dyDescent="0.25">
      <c r="A1560" s="5" t="s">
        <v>39</v>
      </c>
      <c r="B1560" s="2">
        <v>43957</v>
      </c>
      <c r="C1560" s="1">
        <v>0</v>
      </c>
      <c r="D1560" s="47">
        <v>145</v>
      </c>
      <c r="F1560" s="47">
        <f t="shared" si="70"/>
        <v>0</v>
      </c>
    </row>
    <row r="1561" spans="1:6" x14ac:dyDescent="0.25">
      <c r="A1561" s="5" t="s">
        <v>40</v>
      </c>
      <c r="B1561" s="2">
        <v>43957</v>
      </c>
      <c r="C1561" s="1">
        <v>0</v>
      </c>
      <c r="D1561" s="47">
        <v>41</v>
      </c>
      <c r="E1561" s="1">
        <v>1</v>
      </c>
      <c r="F1561" s="47">
        <f>E1561+F1537</f>
        <v>3</v>
      </c>
    </row>
    <row r="1562" spans="1:6" x14ac:dyDescent="0.25">
      <c r="A1562" s="34" t="s">
        <v>16</v>
      </c>
      <c r="B1562" s="2">
        <v>43958</v>
      </c>
      <c r="C1562" s="1">
        <v>50</v>
      </c>
      <c r="D1562" s="47">
        <v>1924</v>
      </c>
      <c r="E1562" s="1">
        <v>6</v>
      </c>
      <c r="F1562" s="47">
        <f>E1562+F1538</f>
        <v>113</v>
      </c>
    </row>
    <row r="1563" spans="1:6" x14ac:dyDescent="0.25">
      <c r="A1563" s="5" t="s">
        <v>28</v>
      </c>
      <c r="B1563" s="2">
        <v>43958</v>
      </c>
      <c r="C1563" s="1">
        <v>0</v>
      </c>
      <c r="D1563" s="47">
        <v>0</v>
      </c>
      <c r="F1563" s="47">
        <f t="shared" ref="F1563:F1569" si="71">E1563+F1539</f>
        <v>0</v>
      </c>
    </row>
    <row r="1564" spans="1:6" x14ac:dyDescent="0.25">
      <c r="A1564" s="5" t="s">
        <v>15</v>
      </c>
      <c r="B1564" s="2">
        <v>43958</v>
      </c>
      <c r="C1564" s="1">
        <v>26</v>
      </c>
      <c r="D1564" s="47">
        <v>392</v>
      </c>
      <c r="F1564" s="47">
        <f t="shared" si="71"/>
        <v>19</v>
      </c>
    </row>
    <row r="1565" spans="1:6" x14ac:dyDescent="0.25">
      <c r="A1565" s="5" t="s">
        <v>29</v>
      </c>
      <c r="B1565" s="2">
        <v>43958</v>
      </c>
      <c r="C1565" s="1">
        <v>0</v>
      </c>
      <c r="D1565" s="47">
        <v>4</v>
      </c>
      <c r="F1565" s="47">
        <f t="shared" si="71"/>
        <v>1</v>
      </c>
    </row>
    <row r="1566" spans="1:6" x14ac:dyDescent="0.25">
      <c r="A1566" s="5" t="s">
        <v>43</v>
      </c>
      <c r="B1566" s="2">
        <v>43958</v>
      </c>
      <c r="C1566" s="1">
        <v>77</v>
      </c>
      <c r="D1566" s="47">
        <v>1583</v>
      </c>
      <c r="E1566" s="1">
        <v>2</v>
      </c>
      <c r="F1566" s="47">
        <f t="shared" si="71"/>
        <v>87</v>
      </c>
    </row>
    <row r="1567" spans="1:6" x14ac:dyDescent="0.25">
      <c r="A1567" s="5" t="s">
        <v>20</v>
      </c>
      <c r="B1567" s="2">
        <v>43958</v>
      </c>
      <c r="C1567" s="1">
        <v>4</v>
      </c>
      <c r="D1567" s="47">
        <v>320</v>
      </c>
      <c r="F1567" s="47">
        <f t="shared" si="71"/>
        <v>19</v>
      </c>
    </row>
    <row r="1568" spans="1:6" x14ac:dyDescent="0.25">
      <c r="A1568" s="5" t="s">
        <v>30</v>
      </c>
      <c r="B1568" s="2">
        <v>43958</v>
      </c>
      <c r="C1568" s="1">
        <v>1</v>
      </c>
      <c r="D1568" s="47">
        <v>52</v>
      </c>
      <c r="F1568" s="47">
        <f t="shared" si="71"/>
        <v>0</v>
      </c>
    </row>
    <row r="1569" spans="1:6" x14ac:dyDescent="0.25">
      <c r="A1569" s="5" t="s">
        <v>31</v>
      </c>
      <c r="B1569" s="2">
        <v>43958</v>
      </c>
      <c r="C1569" s="1">
        <v>0</v>
      </c>
      <c r="D1569" s="47">
        <v>28</v>
      </c>
      <c r="F1569" s="47">
        <f t="shared" si="71"/>
        <v>0</v>
      </c>
    </row>
    <row r="1570" spans="1:6" x14ac:dyDescent="0.25">
      <c r="A1570" s="5" t="s">
        <v>41</v>
      </c>
      <c r="B1570" s="2">
        <v>43958</v>
      </c>
      <c r="C1570" s="1">
        <v>0</v>
      </c>
      <c r="D1570" s="47">
        <v>0</v>
      </c>
      <c r="F1570" s="47">
        <f t="shared" ref="F1570:F1584" si="72">E1570+F1545</f>
        <v>0</v>
      </c>
    </row>
    <row r="1571" spans="1:6" x14ac:dyDescent="0.25">
      <c r="A1571" s="5" t="s">
        <v>32</v>
      </c>
      <c r="B1571" s="2">
        <v>43958</v>
      </c>
      <c r="C1571" s="1">
        <v>0</v>
      </c>
      <c r="D1571" s="47">
        <v>5</v>
      </c>
      <c r="F1571" s="47">
        <f t="shared" si="72"/>
        <v>0</v>
      </c>
    </row>
    <row r="1572" spans="1:6" x14ac:dyDescent="0.25">
      <c r="A1572" s="5" t="s">
        <v>33</v>
      </c>
      <c r="B1572" s="2">
        <v>43958</v>
      </c>
      <c r="C1572" s="1">
        <v>0</v>
      </c>
      <c r="D1572" s="47">
        <v>5</v>
      </c>
      <c r="F1572" s="47">
        <f t="shared" si="72"/>
        <v>0</v>
      </c>
    </row>
    <row r="1573" spans="1:6" x14ac:dyDescent="0.25">
      <c r="A1573" s="5" t="s">
        <v>21</v>
      </c>
      <c r="B1573" s="2">
        <v>43958</v>
      </c>
      <c r="C1573" s="1">
        <v>1</v>
      </c>
      <c r="D1573" s="47">
        <v>58</v>
      </c>
      <c r="F1573" s="47">
        <f t="shared" si="72"/>
        <v>0</v>
      </c>
    </row>
    <row r="1574" spans="1:6" x14ac:dyDescent="0.25">
      <c r="A1574" s="5" t="s">
        <v>17</v>
      </c>
      <c r="B1574" s="2">
        <v>43958</v>
      </c>
      <c r="C1574" s="1">
        <v>0</v>
      </c>
      <c r="D1574" s="47">
        <v>85</v>
      </c>
      <c r="F1574" s="47">
        <f t="shared" si="72"/>
        <v>0</v>
      </c>
    </row>
    <row r="1575" spans="1:6" x14ac:dyDescent="0.25">
      <c r="A1575" s="5" t="s">
        <v>23</v>
      </c>
      <c r="B1575" s="2">
        <v>43958</v>
      </c>
      <c r="C1575" s="1">
        <v>0</v>
      </c>
      <c r="D1575" s="47">
        <v>25</v>
      </c>
      <c r="F1575" s="47">
        <f t="shared" si="72"/>
        <v>0</v>
      </c>
    </row>
    <row r="1576" spans="1:6" x14ac:dyDescent="0.25">
      <c r="A1576" s="5" t="s">
        <v>19</v>
      </c>
      <c r="B1576" s="2">
        <v>43958</v>
      </c>
      <c r="C1576" s="1">
        <v>0</v>
      </c>
      <c r="D1576" s="47">
        <v>110</v>
      </c>
      <c r="F1576" s="47">
        <f t="shared" si="72"/>
        <v>0</v>
      </c>
    </row>
    <row r="1577" spans="1:6" x14ac:dyDescent="0.25">
      <c r="A1577" s="5" t="s">
        <v>18</v>
      </c>
      <c r="B1577" s="2">
        <v>43958</v>
      </c>
      <c r="C1577" s="1">
        <v>3</v>
      </c>
      <c r="D1577" s="47">
        <v>268</v>
      </c>
      <c r="F1577" s="47">
        <f t="shared" si="72"/>
        <v>0</v>
      </c>
    </row>
    <row r="1578" spans="1:6" x14ac:dyDescent="0.25">
      <c r="A1578" s="5" t="s">
        <v>34</v>
      </c>
      <c r="B1578" s="2">
        <v>43958</v>
      </c>
      <c r="C1578" s="1">
        <v>0</v>
      </c>
      <c r="D1578" s="47">
        <v>4</v>
      </c>
      <c r="F1578" s="47">
        <f t="shared" si="72"/>
        <v>1</v>
      </c>
    </row>
    <row r="1579" spans="1:6" x14ac:dyDescent="0.25">
      <c r="A1579" s="5" t="s">
        <v>35</v>
      </c>
      <c r="B1579" s="2">
        <v>43958</v>
      </c>
      <c r="C1579" s="1">
        <v>1</v>
      </c>
      <c r="D1579" s="47">
        <v>3</v>
      </c>
      <c r="F1579" s="47">
        <f>E1579+F1555</f>
        <v>0</v>
      </c>
    </row>
    <row r="1580" spans="1:6" x14ac:dyDescent="0.25">
      <c r="A1580" s="5" t="s">
        <v>36</v>
      </c>
      <c r="B1580" s="2">
        <v>43958</v>
      </c>
      <c r="C1580" s="1">
        <v>0</v>
      </c>
      <c r="D1580" s="47">
        <v>11</v>
      </c>
      <c r="F1580" s="47">
        <f t="shared" si="72"/>
        <v>0</v>
      </c>
    </row>
    <row r="1581" spans="1:6" x14ac:dyDescent="0.25">
      <c r="A1581" s="5" t="s">
        <v>37</v>
      </c>
      <c r="B1581" s="2">
        <v>43958</v>
      </c>
      <c r="C1581" s="1">
        <v>0</v>
      </c>
      <c r="D1581" s="47">
        <v>49</v>
      </c>
      <c r="F1581" s="47">
        <f t="shared" si="72"/>
        <v>0</v>
      </c>
    </row>
    <row r="1582" spans="1:6" x14ac:dyDescent="0.25">
      <c r="A1582" s="5" t="s">
        <v>22</v>
      </c>
      <c r="B1582" s="2">
        <v>43958</v>
      </c>
      <c r="C1582" s="1">
        <v>0</v>
      </c>
      <c r="D1582" s="47">
        <v>244</v>
      </c>
      <c r="E1582" s="1">
        <v>1</v>
      </c>
      <c r="F1582" s="47">
        <f>E1582+F1558</f>
        <v>3</v>
      </c>
    </row>
    <row r="1583" spans="1:6" x14ac:dyDescent="0.25">
      <c r="A1583" s="5" t="s">
        <v>38</v>
      </c>
      <c r="B1583" s="2">
        <v>43958</v>
      </c>
      <c r="C1583" s="1">
        <v>0</v>
      </c>
      <c r="D1583" s="47">
        <v>15</v>
      </c>
      <c r="F1583" s="47">
        <f>E1583+F1559</f>
        <v>0</v>
      </c>
    </row>
    <row r="1584" spans="1:6" x14ac:dyDescent="0.25">
      <c r="A1584" s="5" t="s">
        <v>39</v>
      </c>
      <c r="B1584" s="2">
        <v>43958</v>
      </c>
      <c r="C1584" s="1">
        <v>0</v>
      </c>
      <c r="D1584" s="47">
        <v>145</v>
      </c>
      <c r="F1584" s="47">
        <f t="shared" si="72"/>
        <v>0</v>
      </c>
    </row>
    <row r="1585" spans="1:6" x14ac:dyDescent="0.25">
      <c r="A1585" s="5" t="s">
        <v>40</v>
      </c>
      <c r="B1585" s="2">
        <v>43958</v>
      </c>
      <c r="C1585" s="1">
        <v>0</v>
      </c>
      <c r="D1585" s="47">
        <v>41</v>
      </c>
      <c r="F1585" s="47">
        <f>E1585+F1561</f>
        <v>3</v>
      </c>
    </row>
    <row r="1586" spans="1:6" x14ac:dyDescent="0.25">
      <c r="A1586" s="34" t="s">
        <v>16</v>
      </c>
      <c r="B1586" s="2">
        <v>43959</v>
      </c>
      <c r="C1586" s="1">
        <v>77</v>
      </c>
      <c r="D1586" s="47">
        <v>2001</v>
      </c>
      <c r="E1586" s="1">
        <v>5</v>
      </c>
      <c r="F1586" s="47">
        <f>E1586+F1562</f>
        <v>118</v>
      </c>
    </row>
    <row r="1587" spans="1:6" x14ac:dyDescent="0.25">
      <c r="A1587" s="5" t="s">
        <v>28</v>
      </c>
      <c r="B1587" s="2">
        <v>43959</v>
      </c>
      <c r="C1587" s="1">
        <v>0</v>
      </c>
      <c r="D1587" s="47">
        <v>0</v>
      </c>
      <c r="F1587" s="47">
        <f t="shared" ref="F1587:F1593" si="73">E1587+F1563</f>
        <v>0</v>
      </c>
    </row>
    <row r="1588" spans="1:6" x14ac:dyDescent="0.25">
      <c r="A1588" s="5" t="s">
        <v>15</v>
      </c>
      <c r="B1588" s="2">
        <v>43959</v>
      </c>
      <c r="C1588" s="1">
        <v>26</v>
      </c>
      <c r="D1588" s="47">
        <v>418</v>
      </c>
      <c r="F1588" s="47">
        <f t="shared" si="73"/>
        <v>19</v>
      </c>
    </row>
    <row r="1589" spans="1:6" x14ac:dyDescent="0.25">
      <c r="A1589" s="5" t="s">
        <v>29</v>
      </c>
      <c r="B1589" s="2">
        <v>43959</v>
      </c>
      <c r="C1589" s="1">
        <v>0</v>
      </c>
      <c r="D1589" s="47">
        <v>4</v>
      </c>
      <c r="F1589" s="47">
        <f t="shared" si="73"/>
        <v>1</v>
      </c>
    </row>
    <row r="1590" spans="1:6" x14ac:dyDescent="0.25">
      <c r="A1590" s="5" t="s">
        <v>43</v>
      </c>
      <c r="B1590" s="2">
        <v>43959</v>
      </c>
      <c r="C1590" s="1">
        <v>130</v>
      </c>
      <c r="D1590" s="47">
        <v>1713</v>
      </c>
      <c r="E1590" s="1">
        <v>6</v>
      </c>
      <c r="F1590" s="47">
        <f t="shared" si="73"/>
        <v>93</v>
      </c>
    </row>
    <row r="1591" spans="1:6" x14ac:dyDescent="0.25">
      <c r="A1591" s="5" t="s">
        <v>20</v>
      </c>
      <c r="B1591" s="2">
        <v>43959</v>
      </c>
      <c r="C1591" s="1">
        <v>2</v>
      </c>
      <c r="D1591" s="47">
        <v>322</v>
      </c>
      <c r="F1591" s="47">
        <f t="shared" si="73"/>
        <v>19</v>
      </c>
    </row>
    <row r="1592" spans="1:6" x14ac:dyDescent="0.25">
      <c r="A1592" s="5" t="s">
        <v>30</v>
      </c>
      <c r="B1592" s="2">
        <v>43959</v>
      </c>
      <c r="C1592" s="1">
        <v>1</v>
      </c>
      <c r="D1592" s="47">
        <v>53</v>
      </c>
      <c r="F1592" s="47">
        <f t="shared" si="73"/>
        <v>0</v>
      </c>
    </row>
    <row r="1593" spans="1:6" x14ac:dyDescent="0.25">
      <c r="A1593" s="5" t="s">
        <v>31</v>
      </c>
      <c r="B1593" s="2">
        <v>43959</v>
      </c>
      <c r="C1593" s="1">
        <v>0</v>
      </c>
      <c r="D1593" s="47">
        <v>28</v>
      </c>
      <c r="F1593" s="47">
        <f t="shared" si="73"/>
        <v>0</v>
      </c>
    </row>
    <row r="1594" spans="1:6" x14ac:dyDescent="0.25">
      <c r="A1594" s="5" t="s">
        <v>41</v>
      </c>
      <c r="B1594" s="2">
        <v>43959</v>
      </c>
      <c r="C1594" s="1">
        <v>0</v>
      </c>
      <c r="D1594" s="47">
        <v>0</v>
      </c>
      <c r="F1594" s="47">
        <f t="shared" ref="F1594:F1608" si="74">E1594+F1569</f>
        <v>0</v>
      </c>
    </row>
    <row r="1595" spans="1:6" x14ac:dyDescent="0.25">
      <c r="A1595" s="5" t="s">
        <v>32</v>
      </c>
      <c r="B1595" s="2">
        <v>43959</v>
      </c>
      <c r="C1595" s="1">
        <v>0</v>
      </c>
      <c r="D1595" s="47">
        <v>5</v>
      </c>
      <c r="F1595" s="47">
        <f t="shared" si="74"/>
        <v>0</v>
      </c>
    </row>
    <row r="1596" spans="1:6" x14ac:dyDescent="0.25">
      <c r="A1596" s="5" t="s">
        <v>33</v>
      </c>
      <c r="B1596" s="2">
        <v>43959</v>
      </c>
      <c r="C1596" s="1">
        <v>0</v>
      </c>
      <c r="D1596" s="47">
        <v>5</v>
      </c>
      <c r="F1596" s="47">
        <f t="shared" si="74"/>
        <v>0</v>
      </c>
    </row>
    <row r="1597" spans="1:6" x14ac:dyDescent="0.25">
      <c r="A1597" s="5" t="s">
        <v>21</v>
      </c>
      <c r="B1597" s="2">
        <v>43959</v>
      </c>
      <c r="C1597" s="1">
        <v>1</v>
      </c>
      <c r="D1597" s="47">
        <v>59</v>
      </c>
      <c r="F1597" s="47">
        <f t="shared" si="74"/>
        <v>0</v>
      </c>
    </row>
    <row r="1598" spans="1:6" x14ac:dyDescent="0.25">
      <c r="A1598" s="5" t="s">
        <v>17</v>
      </c>
      <c r="B1598" s="2">
        <v>43959</v>
      </c>
      <c r="C1598" s="1">
        <v>1</v>
      </c>
      <c r="D1598" s="47">
        <v>86</v>
      </c>
      <c r="F1598" s="47">
        <f t="shared" si="74"/>
        <v>0</v>
      </c>
    </row>
    <row r="1599" spans="1:6" x14ac:dyDescent="0.25">
      <c r="A1599" s="5" t="s">
        <v>23</v>
      </c>
      <c r="B1599" s="2">
        <v>43959</v>
      </c>
      <c r="C1599" s="1">
        <v>0</v>
      </c>
      <c r="D1599" s="47">
        <v>25</v>
      </c>
      <c r="F1599" s="47">
        <f t="shared" si="74"/>
        <v>0</v>
      </c>
    </row>
    <row r="1600" spans="1:6" x14ac:dyDescent="0.25">
      <c r="A1600" s="5" t="s">
        <v>19</v>
      </c>
      <c r="B1600" s="2">
        <v>43959</v>
      </c>
      <c r="C1600" s="1">
        <v>0</v>
      </c>
      <c r="D1600" s="47">
        <v>110</v>
      </c>
      <c r="F1600" s="47">
        <f t="shared" si="74"/>
        <v>0</v>
      </c>
    </row>
    <row r="1601" spans="1:6" x14ac:dyDescent="0.25">
      <c r="A1601" s="5" t="s">
        <v>18</v>
      </c>
      <c r="B1601" s="2">
        <v>43959</v>
      </c>
      <c r="C1601" s="1">
        <v>2</v>
      </c>
      <c r="D1601" s="47">
        <v>270</v>
      </c>
      <c r="F1601" s="47">
        <f t="shared" si="74"/>
        <v>0</v>
      </c>
    </row>
    <row r="1602" spans="1:6" x14ac:dyDescent="0.25">
      <c r="A1602" s="5" t="s">
        <v>34</v>
      </c>
      <c r="B1602" s="2">
        <v>43959</v>
      </c>
      <c r="C1602" s="1">
        <v>0</v>
      </c>
      <c r="D1602" s="47">
        <v>4</v>
      </c>
      <c r="F1602" s="47">
        <f t="shared" si="74"/>
        <v>0</v>
      </c>
    </row>
    <row r="1603" spans="1:6" x14ac:dyDescent="0.25">
      <c r="A1603" s="5" t="s">
        <v>35</v>
      </c>
      <c r="B1603" s="2">
        <v>43959</v>
      </c>
      <c r="C1603" s="1">
        <v>0</v>
      </c>
      <c r="D1603" s="47">
        <v>3</v>
      </c>
      <c r="F1603" s="47">
        <f>E1603+F1579</f>
        <v>0</v>
      </c>
    </row>
    <row r="1604" spans="1:6" x14ac:dyDescent="0.25">
      <c r="A1604" s="5" t="s">
        <v>36</v>
      </c>
      <c r="B1604" s="2">
        <v>43959</v>
      </c>
      <c r="C1604" s="1">
        <v>0</v>
      </c>
      <c r="D1604" s="47">
        <v>11</v>
      </c>
      <c r="F1604" s="47">
        <f t="shared" si="74"/>
        <v>0</v>
      </c>
    </row>
    <row r="1605" spans="1:6" x14ac:dyDescent="0.25">
      <c r="A1605" s="5" t="s">
        <v>37</v>
      </c>
      <c r="B1605" s="2">
        <v>43959</v>
      </c>
      <c r="C1605" s="1">
        <v>0</v>
      </c>
      <c r="D1605" s="47">
        <v>49</v>
      </c>
      <c r="F1605" s="47">
        <f t="shared" si="74"/>
        <v>0</v>
      </c>
    </row>
    <row r="1606" spans="1:6" x14ac:dyDescent="0.25">
      <c r="A1606" s="5" t="s">
        <v>22</v>
      </c>
      <c r="B1606" s="2">
        <v>43959</v>
      </c>
      <c r="C1606" s="1">
        <v>0</v>
      </c>
      <c r="D1606" s="47">
        <v>244</v>
      </c>
      <c r="F1606" s="47">
        <f>E1606+F1582</f>
        <v>3</v>
      </c>
    </row>
    <row r="1607" spans="1:6" x14ac:dyDescent="0.25">
      <c r="A1607" s="5" t="s">
        <v>38</v>
      </c>
      <c r="B1607" s="2">
        <v>43959</v>
      </c>
      <c r="C1607" s="1">
        <v>0</v>
      </c>
      <c r="D1607" s="47">
        <v>15</v>
      </c>
      <c r="F1607" s="47">
        <f>E1607+F1583</f>
        <v>0</v>
      </c>
    </row>
    <row r="1608" spans="1:6" x14ac:dyDescent="0.25">
      <c r="A1608" s="5" t="s">
        <v>39</v>
      </c>
      <c r="B1608" s="2">
        <v>43959</v>
      </c>
      <c r="C1608" s="1">
        <v>0</v>
      </c>
      <c r="D1608" s="47">
        <v>145</v>
      </c>
      <c r="F1608" s="47">
        <f t="shared" si="74"/>
        <v>0</v>
      </c>
    </row>
    <row r="1609" spans="1:6" x14ac:dyDescent="0.25">
      <c r="A1609" s="5" t="s">
        <v>40</v>
      </c>
      <c r="B1609" s="2">
        <v>43959</v>
      </c>
      <c r="C1609" s="1">
        <v>0</v>
      </c>
      <c r="D1609" s="47">
        <v>41</v>
      </c>
      <c r="F1609" s="47">
        <f>E1609+F1585</f>
        <v>3</v>
      </c>
    </row>
    <row r="1610" spans="1:6" x14ac:dyDescent="0.25">
      <c r="A1610" s="34" t="s">
        <v>16</v>
      </c>
      <c r="B1610" s="2">
        <v>43960</v>
      </c>
      <c r="C1610" s="1">
        <v>60</v>
      </c>
      <c r="D1610" s="47">
        <v>2061</v>
      </c>
      <c r="E1610" s="1">
        <v>4</v>
      </c>
      <c r="F1610" s="47">
        <f>E1610+F1586</f>
        <v>122</v>
      </c>
    </row>
    <row r="1611" spans="1:6" x14ac:dyDescent="0.25">
      <c r="A1611" s="5" t="s">
        <v>28</v>
      </c>
      <c r="B1611" s="2">
        <v>43960</v>
      </c>
      <c r="C1611" s="1">
        <v>0</v>
      </c>
      <c r="D1611" s="47">
        <v>0</v>
      </c>
      <c r="F1611" s="47">
        <f t="shared" ref="F1611:F1617" si="75">E1611+F1587</f>
        <v>0</v>
      </c>
    </row>
    <row r="1612" spans="1:6" x14ac:dyDescent="0.25">
      <c r="A1612" s="5" t="s">
        <v>15</v>
      </c>
      <c r="B1612" s="2">
        <v>43960</v>
      </c>
      <c r="C1612" s="1">
        <v>9</v>
      </c>
      <c r="D1612" s="47">
        <v>427</v>
      </c>
      <c r="F1612" s="47">
        <f t="shared" si="75"/>
        <v>19</v>
      </c>
    </row>
    <row r="1613" spans="1:6" x14ac:dyDescent="0.25">
      <c r="A1613" s="5" t="s">
        <v>29</v>
      </c>
      <c r="B1613" s="2">
        <v>43960</v>
      </c>
      <c r="C1613" s="1">
        <v>0</v>
      </c>
      <c r="D1613" s="47">
        <v>4</v>
      </c>
      <c r="F1613" s="47">
        <f t="shared" si="75"/>
        <v>1</v>
      </c>
    </row>
    <row r="1614" spans="1:6" x14ac:dyDescent="0.25">
      <c r="A1614" s="5" t="s">
        <v>43</v>
      </c>
      <c r="B1614" s="2">
        <v>43960</v>
      </c>
      <c r="C1614" s="1">
        <v>83</v>
      </c>
      <c r="D1614" s="47">
        <v>1796</v>
      </c>
      <c r="E1614" s="1">
        <v>2</v>
      </c>
      <c r="F1614" s="47">
        <f t="shared" si="75"/>
        <v>95</v>
      </c>
    </row>
    <row r="1615" spans="1:6" x14ac:dyDescent="0.25">
      <c r="A1615" s="5" t="s">
        <v>20</v>
      </c>
      <c r="B1615" s="2">
        <v>43960</v>
      </c>
      <c r="C1615" s="1">
        <v>6</v>
      </c>
      <c r="D1615" s="47">
        <v>328</v>
      </c>
      <c r="F1615" s="47">
        <f t="shared" si="75"/>
        <v>19</v>
      </c>
    </row>
    <row r="1616" spans="1:6" x14ac:dyDescent="0.25">
      <c r="A1616" s="5" t="s">
        <v>30</v>
      </c>
      <c r="B1616" s="2">
        <v>43960</v>
      </c>
      <c r="C1616" s="1">
        <v>1</v>
      </c>
      <c r="D1616" s="47">
        <v>54</v>
      </c>
      <c r="F1616" s="47">
        <f t="shared" si="75"/>
        <v>0</v>
      </c>
    </row>
    <row r="1617" spans="1:6" x14ac:dyDescent="0.25">
      <c r="A1617" s="5" t="s">
        <v>31</v>
      </c>
      <c r="B1617" s="2">
        <v>43960</v>
      </c>
      <c r="C1617" s="1">
        <v>0</v>
      </c>
      <c r="D1617" s="47">
        <v>28</v>
      </c>
      <c r="F1617" s="47">
        <f t="shared" si="75"/>
        <v>0</v>
      </c>
    </row>
    <row r="1618" spans="1:6" x14ac:dyDescent="0.25">
      <c r="A1618" s="5" t="s">
        <v>41</v>
      </c>
      <c r="B1618" s="2">
        <v>43960</v>
      </c>
      <c r="C1618" s="1">
        <v>0</v>
      </c>
      <c r="D1618" s="47">
        <v>0</v>
      </c>
      <c r="F1618" s="47">
        <f t="shared" ref="F1618:F1632" si="76">E1618+F1593</f>
        <v>0</v>
      </c>
    </row>
    <row r="1619" spans="1:6" x14ac:dyDescent="0.25">
      <c r="A1619" s="5" t="s">
        <v>32</v>
      </c>
      <c r="B1619" s="2">
        <v>43960</v>
      </c>
      <c r="C1619" s="1">
        <v>0</v>
      </c>
      <c r="D1619" s="47">
        <v>5</v>
      </c>
      <c r="F1619" s="47">
        <f t="shared" si="76"/>
        <v>0</v>
      </c>
    </row>
    <row r="1620" spans="1:6" x14ac:dyDescent="0.25">
      <c r="A1620" s="5" t="s">
        <v>33</v>
      </c>
      <c r="B1620" s="2">
        <v>43960</v>
      </c>
      <c r="C1620" s="1">
        <v>0</v>
      </c>
      <c r="D1620" s="47">
        <v>5</v>
      </c>
      <c r="F1620" s="47">
        <f t="shared" si="76"/>
        <v>0</v>
      </c>
    </row>
    <row r="1621" spans="1:6" x14ac:dyDescent="0.25">
      <c r="A1621" s="5" t="s">
        <v>21</v>
      </c>
      <c r="B1621" s="2">
        <v>43960</v>
      </c>
      <c r="C1621" s="1">
        <v>0</v>
      </c>
      <c r="D1621" s="47">
        <v>59</v>
      </c>
      <c r="E1621" s="1">
        <v>1</v>
      </c>
      <c r="F1621" s="47">
        <f t="shared" si="76"/>
        <v>1</v>
      </c>
    </row>
    <row r="1622" spans="1:6" x14ac:dyDescent="0.25">
      <c r="A1622" s="5" t="s">
        <v>17</v>
      </c>
      <c r="B1622" s="2">
        <v>43960</v>
      </c>
      <c r="C1622" s="1">
        <v>0</v>
      </c>
      <c r="D1622" s="47">
        <v>86</v>
      </c>
      <c r="F1622" s="47">
        <f t="shared" si="76"/>
        <v>0</v>
      </c>
    </row>
    <row r="1623" spans="1:6" x14ac:dyDescent="0.25">
      <c r="A1623" s="5" t="s">
        <v>23</v>
      </c>
      <c r="B1623" s="2">
        <v>43960</v>
      </c>
      <c r="C1623" s="1">
        <v>0</v>
      </c>
      <c r="D1623" s="47">
        <v>25</v>
      </c>
      <c r="F1623" s="47">
        <f t="shared" si="76"/>
        <v>0</v>
      </c>
    </row>
    <row r="1624" spans="1:6" x14ac:dyDescent="0.25">
      <c r="A1624" s="5" t="s">
        <v>19</v>
      </c>
      <c r="B1624" s="2">
        <v>43960</v>
      </c>
      <c r="C1624" s="1">
        <v>1</v>
      </c>
      <c r="D1624" s="47">
        <v>111</v>
      </c>
      <c r="F1624" s="47">
        <f t="shared" si="76"/>
        <v>0</v>
      </c>
    </row>
    <row r="1625" spans="1:6" x14ac:dyDescent="0.25">
      <c r="A1625" s="5" t="s">
        <v>18</v>
      </c>
      <c r="B1625" s="2">
        <v>43960</v>
      </c>
      <c r="C1625" s="1">
        <v>4</v>
      </c>
      <c r="D1625" s="47">
        <v>274</v>
      </c>
      <c r="F1625" s="47">
        <f t="shared" si="76"/>
        <v>0</v>
      </c>
    </row>
    <row r="1626" spans="1:6" x14ac:dyDescent="0.25">
      <c r="A1626" s="5" t="s">
        <v>34</v>
      </c>
      <c r="B1626" s="2">
        <v>43960</v>
      </c>
      <c r="C1626" s="1">
        <v>0</v>
      </c>
      <c r="D1626" s="47">
        <v>4</v>
      </c>
      <c r="F1626" s="47">
        <f t="shared" si="76"/>
        <v>0</v>
      </c>
    </row>
    <row r="1627" spans="1:6" x14ac:dyDescent="0.25">
      <c r="A1627" s="5" t="s">
        <v>35</v>
      </c>
      <c r="B1627" s="2">
        <v>43960</v>
      </c>
      <c r="C1627" s="1">
        <v>0</v>
      </c>
      <c r="D1627" s="47">
        <v>3</v>
      </c>
      <c r="F1627" s="47">
        <f>E1627+F1603</f>
        <v>0</v>
      </c>
    </row>
    <row r="1628" spans="1:6" x14ac:dyDescent="0.25">
      <c r="A1628" s="5" t="s">
        <v>36</v>
      </c>
      <c r="B1628" s="2">
        <v>43960</v>
      </c>
      <c r="C1628" s="1">
        <v>0</v>
      </c>
      <c r="D1628" s="47">
        <v>11</v>
      </c>
      <c r="F1628" s="47">
        <f t="shared" si="76"/>
        <v>0</v>
      </c>
    </row>
    <row r="1629" spans="1:6" x14ac:dyDescent="0.25">
      <c r="A1629" s="5" t="s">
        <v>37</v>
      </c>
      <c r="B1629" s="2">
        <v>43960</v>
      </c>
      <c r="C1629" s="1">
        <v>0</v>
      </c>
      <c r="D1629" s="47">
        <v>49</v>
      </c>
      <c r="F1629" s="47">
        <f t="shared" si="76"/>
        <v>0</v>
      </c>
    </row>
    <row r="1630" spans="1:6" x14ac:dyDescent="0.25">
      <c r="A1630" s="5" t="s">
        <v>22</v>
      </c>
      <c r="B1630" s="2">
        <v>43960</v>
      </c>
      <c r="C1630" s="1">
        <v>0</v>
      </c>
      <c r="D1630" s="47">
        <v>244</v>
      </c>
      <c r="F1630" s="47">
        <f>E1630+F1606</f>
        <v>3</v>
      </c>
    </row>
    <row r="1631" spans="1:6" x14ac:dyDescent="0.25">
      <c r="A1631" s="5" t="s">
        <v>38</v>
      </c>
      <c r="B1631" s="2">
        <v>43960</v>
      </c>
      <c r="C1631" s="1">
        <v>0</v>
      </c>
      <c r="D1631" s="47">
        <v>15</v>
      </c>
      <c r="F1631" s="47">
        <f>E1631+F1607</f>
        <v>0</v>
      </c>
    </row>
    <row r="1632" spans="1:6" x14ac:dyDescent="0.25">
      <c r="A1632" s="5" t="s">
        <v>39</v>
      </c>
      <c r="B1632" s="2">
        <v>43960</v>
      </c>
      <c r="C1632" s="1">
        <v>1</v>
      </c>
      <c r="D1632" s="47">
        <v>146</v>
      </c>
      <c r="F1632" s="47">
        <f t="shared" si="76"/>
        <v>0</v>
      </c>
    </row>
    <row r="1633" spans="1:6" x14ac:dyDescent="0.25">
      <c r="A1633" s="5" t="s">
        <v>40</v>
      </c>
      <c r="B1633" s="2">
        <v>43960</v>
      </c>
      <c r="C1633" s="1">
        <v>0</v>
      </c>
      <c r="D1633" s="47">
        <v>41</v>
      </c>
      <c r="F1633" s="47">
        <f>E1633+F1609</f>
        <v>3</v>
      </c>
    </row>
    <row r="1634" spans="1:6" x14ac:dyDescent="0.25">
      <c r="A1634" s="34" t="s">
        <v>16</v>
      </c>
      <c r="B1634" s="2">
        <v>43961</v>
      </c>
      <c r="C1634" s="1">
        <v>51</v>
      </c>
      <c r="D1634" s="47">
        <v>2112</v>
      </c>
      <c r="E1634" s="1">
        <v>3</v>
      </c>
      <c r="F1634" s="47">
        <f>E1634+F1610</f>
        <v>125</v>
      </c>
    </row>
    <row r="1635" spans="1:6" x14ac:dyDescent="0.25">
      <c r="A1635" s="5" t="s">
        <v>28</v>
      </c>
      <c r="B1635" s="2">
        <v>43961</v>
      </c>
      <c r="C1635" s="1">
        <v>0</v>
      </c>
      <c r="D1635" s="47">
        <v>0</v>
      </c>
      <c r="F1635" s="47">
        <f t="shared" ref="F1635:F1641" si="77">E1635+F1611</f>
        <v>0</v>
      </c>
    </row>
    <row r="1636" spans="1:6" x14ac:dyDescent="0.25">
      <c r="A1636" s="5" t="s">
        <v>15</v>
      </c>
      <c r="B1636" s="2">
        <v>43961</v>
      </c>
      <c r="C1636" s="1">
        <v>32</v>
      </c>
      <c r="D1636" s="47">
        <v>459</v>
      </c>
      <c r="F1636" s="47">
        <f t="shared" si="77"/>
        <v>19</v>
      </c>
    </row>
    <row r="1637" spans="1:6" x14ac:dyDescent="0.25">
      <c r="A1637" s="5" t="s">
        <v>29</v>
      </c>
      <c r="B1637" s="2">
        <v>43961</v>
      </c>
      <c r="C1637" s="1">
        <v>0</v>
      </c>
      <c r="D1637" s="47">
        <v>4</v>
      </c>
      <c r="F1637" s="47">
        <f t="shared" si="77"/>
        <v>1</v>
      </c>
    </row>
    <row r="1638" spans="1:6" x14ac:dyDescent="0.25">
      <c r="A1638" s="5" t="s">
        <v>43</v>
      </c>
      <c r="B1638" s="2">
        <v>43961</v>
      </c>
      <c r="C1638" s="1">
        <v>165</v>
      </c>
      <c r="D1638" s="47">
        <v>1961</v>
      </c>
      <c r="E1638" s="1">
        <v>2</v>
      </c>
      <c r="F1638" s="47">
        <f t="shared" si="77"/>
        <v>97</v>
      </c>
    </row>
    <row r="1639" spans="1:6" x14ac:dyDescent="0.25">
      <c r="A1639" s="5" t="s">
        <v>20</v>
      </c>
      <c r="B1639" s="2">
        <v>43961</v>
      </c>
      <c r="C1639" s="1">
        <v>5</v>
      </c>
      <c r="D1639" s="47">
        <v>333</v>
      </c>
      <c r="F1639" s="47">
        <f t="shared" si="77"/>
        <v>19</v>
      </c>
    </row>
    <row r="1640" spans="1:6" x14ac:dyDescent="0.25">
      <c r="A1640" s="5" t="s">
        <v>30</v>
      </c>
      <c r="B1640" s="2">
        <v>43961</v>
      </c>
      <c r="C1640" s="1">
        <v>0</v>
      </c>
      <c r="D1640" s="47">
        <v>54</v>
      </c>
      <c r="F1640" s="47">
        <f t="shared" si="77"/>
        <v>0</v>
      </c>
    </row>
    <row r="1641" spans="1:6" x14ac:dyDescent="0.25">
      <c r="A1641" s="5" t="s">
        <v>31</v>
      </c>
      <c r="B1641" s="2">
        <v>43961</v>
      </c>
      <c r="C1641" s="1">
        <v>0</v>
      </c>
      <c r="D1641" s="47">
        <v>28</v>
      </c>
      <c r="F1641" s="47">
        <f t="shared" si="77"/>
        <v>0</v>
      </c>
    </row>
    <row r="1642" spans="1:6" x14ac:dyDescent="0.25">
      <c r="A1642" s="5" t="s">
        <v>41</v>
      </c>
      <c r="B1642" s="2">
        <v>43961</v>
      </c>
      <c r="C1642" s="1">
        <v>0</v>
      </c>
      <c r="D1642" s="47">
        <v>0</v>
      </c>
      <c r="F1642" s="47">
        <f t="shared" ref="F1642:F1656" si="78">E1642+F1617</f>
        <v>0</v>
      </c>
    </row>
    <row r="1643" spans="1:6" x14ac:dyDescent="0.25">
      <c r="A1643" s="5" t="s">
        <v>32</v>
      </c>
      <c r="B1643" s="2">
        <v>43961</v>
      </c>
      <c r="C1643" s="1">
        <v>0</v>
      </c>
      <c r="D1643" s="47">
        <v>5</v>
      </c>
      <c r="F1643" s="47">
        <f t="shared" si="78"/>
        <v>0</v>
      </c>
    </row>
    <row r="1644" spans="1:6" x14ac:dyDescent="0.25">
      <c r="A1644" s="5" t="s">
        <v>33</v>
      </c>
      <c r="B1644" s="2">
        <v>43961</v>
      </c>
      <c r="C1644" s="1">
        <v>0</v>
      </c>
      <c r="D1644" s="47">
        <v>5</v>
      </c>
      <c r="F1644" s="47">
        <f t="shared" si="78"/>
        <v>0</v>
      </c>
    </row>
    <row r="1645" spans="1:6" x14ac:dyDescent="0.25">
      <c r="A1645" s="5" t="s">
        <v>21</v>
      </c>
      <c r="B1645" s="2">
        <v>43961</v>
      </c>
      <c r="C1645" s="1">
        <v>0</v>
      </c>
      <c r="D1645" s="47">
        <v>59</v>
      </c>
      <c r="F1645" s="47">
        <f t="shared" si="78"/>
        <v>0</v>
      </c>
    </row>
    <row r="1646" spans="1:6" x14ac:dyDescent="0.25">
      <c r="A1646" s="5" t="s">
        <v>17</v>
      </c>
      <c r="B1646" s="2">
        <v>43961</v>
      </c>
      <c r="C1646" s="1">
        <v>0</v>
      </c>
      <c r="D1646" s="47">
        <v>86</v>
      </c>
      <c r="F1646" s="47">
        <f t="shared" si="78"/>
        <v>1</v>
      </c>
    </row>
    <row r="1647" spans="1:6" x14ac:dyDescent="0.25">
      <c r="A1647" s="5" t="s">
        <v>23</v>
      </c>
      <c r="B1647" s="2">
        <v>43961</v>
      </c>
      <c r="C1647" s="1">
        <v>0</v>
      </c>
      <c r="D1647" s="47">
        <v>25</v>
      </c>
      <c r="F1647" s="47">
        <f t="shared" si="78"/>
        <v>0</v>
      </c>
    </row>
    <row r="1648" spans="1:6" x14ac:dyDescent="0.25">
      <c r="A1648" s="5" t="s">
        <v>19</v>
      </c>
      <c r="B1648" s="2">
        <v>43961</v>
      </c>
      <c r="C1648" s="1">
        <v>0</v>
      </c>
      <c r="D1648" s="47">
        <v>111</v>
      </c>
      <c r="F1648" s="47">
        <f t="shared" si="78"/>
        <v>0</v>
      </c>
    </row>
    <row r="1649" spans="1:6" x14ac:dyDescent="0.25">
      <c r="A1649" s="5" t="s">
        <v>18</v>
      </c>
      <c r="B1649" s="2">
        <v>43961</v>
      </c>
      <c r="C1649" s="1">
        <v>2</v>
      </c>
      <c r="D1649" s="47">
        <v>276</v>
      </c>
      <c r="F1649" s="47">
        <f t="shared" si="78"/>
        <v>0</v>
      </c>
    </row>
    <row r="1650" spans="1:6" x14ac:dyDescent="0.25">
      <c r="A1650" s="5" t="s">
        <v>34</v>
      </c>
      <c r="B1650" s="2">
        <v>43961</v>
      </c>
      <c r="C1650" s="1">
        <v>0</v>
      </c>
      <c r="D1650" s="47">
        <v>4</v>
      </c>
      <c r="F1650" s="47">
        <f t="shared" si="78"/>
        <v>0</v>
      </c>
    </row>
    <row r="1651" spans="1:6" x14ac:dyDescent="0.25">
      <c r="A1651" s="5" t="s">
        <v>35</v>
      </c>
      <c r="B1651" s="2">
        <v>43961</v>
      </c>
      <c r="C1651" s="1">
        <v>0</v>
      </c>
      <c r="D1651" s="47">
        <v>3</v>
      </c>
      <c r="F1651" s="47">
        <f>E1651+F1627</f>
        <v>0</v>
      </c>
    </row>
    <row r="1652" spans="1:6" x14ac:dyDescent="0.25">
      <c r="A1652" s="5" t="s">
        <v>36</v>
      </c>
      <c r="B1652" s="2">
        <v>43961</v>
      </c>
      <c r="C1652" s="1">
        <v>0</v>
      </c>
      <c r="D1652" s="47">
        <v>11</v>
      </c>
      <c r="F1652" s="47">
        <f t="shared" si="78"/>
        <v>0</v>
      </c>
    </row>
    <row r="1653" spans="1:6" x14ac:dyDescent="0.25">
      <c r="A1653" s="5" t="s">
        <v>37</v>
      </c>
      <c r="B1653" s="2">
        <v>43961</v>
      </c>
      <c r="C1653" s="1">
        <v>0</v>
      </c>
      <c r="D1653" s="47">
        <v>49</v>
      </c>
      <c r="F1653" s="47">
        <f t="shared" si="78"/>
        <v>0</v>
      </c>
    </row>
    <row r="1654" spans="1:6" x14ac:dyDescent="0.25">
      <c r="A1654" s="5" t="s">
        <v>22</v>
      </c>
      <c r="B1654" s="2">
        <v>43961</v>
      </c>
      <c r="C1654" s="1">
        <v>0</v>
      </c>
      <c r="D1654" s="47">
        <v>244</v>
      </c>
      <c r="F1654" s="47">
        <f>E1654+F1630</f>
        <v>3</v>
      </c>
    </row>
    <row r="1655" spans="1:6" x14ac:dyDescent="0.25">
      <c r="A1655" s="5" t="s">
        <v>38</v>
      </c>
      <c r="B1655" s="2">
        <v>43961</v>
      </c>
      <c r="C1655" s="1">
        <v>1</v>
      </c>
      <c r="D1655" s="47">
        <v>16</v>
      </c>
      <c r="F1655" s="47">
        <f>E1655+F1631</f>
        <v>0</v>
      </c>
    </row>
    <row r="1656" spans="1:6" x14ac:dyDescent="0.25">
      <c r="A1656" s="5" t="s">
        <v>39</v>
      </c>
      <c r="B1656" s="2">
        <v>43961</v>
      </c>
      <c r="C1656" s="1">
        <v>2</v>
      </c>
      <c r="D1656" s="47">
        <v>148</v>
      </c>
      <c r="F1656" s="47">
        <f t="shared" si="78"/>
        <v>0</v>
      </c>
    </row>
    <row r="1657" spans="1:6" x14ac:dyDescent="0.25">
      <c r="A1657" s="5" t="s">
        <v>40</v>
      </c>
      <c r="B1657" s="2">
        <v>43961</v>
      </c>
      <c r="C1657" s="1">
        <v>0</v>
      </c>
      <c r="D1657" s="47">
        <v>41</v>
      </c>
      <c r="F1657" s="47">
        <f>E1657+F1633</f>
        <v>3</v>
      </c>
    </row>
    <row r="1658" spans="1:6" x14ac:dyDescent="0.25">
      <c r="A1658" s="34" t="s">
        <v>16</v>
      </c>
      <c r="B1658" s="2">
        <v>43962</v>
      </c>
      <c r="C1658" s="1">
        <v>44</v>
      </c>
      <c r="D1658" s="47">
        <v>2156</v>
      </c>
      <c r="E1658" s="1">
        <v>4</v>
      </c>
      <c r="F1658" s="47">
        <f>E1658+F1634</f>
        <v>129</v>
      </c>
    </row>
    <row r="1659" spans="1:6" x14ac:dyDescent="0.25">
      <c r="A1659" s="5" t="s">
        <v>28</v>
      </c>
      <c r="B1659" s="2">
        <v>43962</v>
      </c>
      <c r="C1659" s="1">
        <v>0</v>
      </c>
      <c r="D1659" s="47">
        <v>0</v>
      </c>
      <c r="F1659" s="47">
        <f t="shared" ref="F1659:F1665" si="79">E1659+F1635</f>
        <v>0</v>
      </c>
    </row>
    <row r="1660" spans="1:6" x14ac:dyDescent="0.25">
      <c r="A1660" s="5" t="s">
        <v>15</v>
      </c>
      <c r="B1660" s="2">
        <v>43962</v>
      </c>
      <c r="C1660" s="1">
        <v>17</v>
      </c>
      <c r="D1660" s="47">
        <v>476</v>
      </c>
      <c r="E1660" s="1">
        <v>1</v>
      </c>
      <c r="F1660" s="47">
        <f t="shared" si="79"/>
        <v>20</v>
      </c>
    </row>
    <row r="1661" spans="1:6" x14ac:dyDescent="0.25">
      <c r="A1661" s="5" t="s">
        <v>29</v>
      </c>
      <c r="B1661" s="2">
        <v>43962</v>
      </c>
      <c r="C1661" s="1">
        <v>0</v>
      </c>
      <c r="D1661" s="47">
        <v>4</v>
      </c>
      <c r="F1661" s="47">
        <f t="shared" si="79"/>
        <v>1</v>
      </c>
    </row>
    <row r="1662" spans="1:6" x14ac:dyDescent="0.25">
      <c r="A1662" s="5" t="s">
        <v>43</v>
      </c>
      <c r="B1662" s="2">
        <v>43962</v>
      </c>
      <c r="C1662" s="1">
        <v>137</v>
      </c>
      <c r="D1662" s="47">
        <v>2098</v>
      </c>
      <c r="E1662" s="1">
        <v>3</v>
      </c>
      <c r="F1662" s="47">
        <f t="shared" si="79"/>
        <v>100</v>
      </c>
    </row>
    <row r="1663" spans="1:6" x14ac:dyDescent="0.25">
      <c r="A1663" s="5" t="s">
        <v>20</v>
      </c>
      <c r="B1663" s="2">
        <v>43962</v>
      </c>
      <c r="C1663" s="1">
        <v>14</v>
      </c>
      <c r="D1663" s="47">
        <v>347</v>
      </c>
      <c r="F1663" s="47">
        <f t="shared" si="79"/>
        <v>19</v>
      </c>
    </row>
    <row r="1664" spans="1:6" x14ac:dyDescent="0.25">
      <c r="A1664" s="5" t="s">
        <v>30</v>
      </c>
      <c r="B1664" s="2">
        <v>43962</v>
      </c>
      <c r="C1664" s="1">
        <v>16</v>
      </c>
      <c r="D1664" s="47">
        <v>70</v>
      </c>
      <c r="F1664" s="47">
        <f t="shared" si="79"/>
        <v>0</v>
      </c>
    </row>
    <row r="1665" spans="1:6" x14ac:dyDescent="0.25">
      <c r="A1665" s="5" t="s">
        <v>31</v>
      </c>
      <c r="B1665" s="2">
        <v>43962</v>
      </c>
      <c r="C1665" s="1">
        <v>0</v>
      </c>
      <c r="D1665" s="47">
        <v>28</v>
      </c>
      <c r="F1665" s="47">
        <f t="shared" si="79"/>
        <v>0</v>
      </c>
    </row>
    <row r="1666" spans="1:6" x14ac:dyDescent="0.25">
      <c r="A1666" s="5" t="s">
        <v>41</v>
      </c>
      <c r="B1666" s="2">
        <v>43962</v>
      </c>
      <c r="C1666" s="1">
        <v>0</v>
      </c>
      <c r="D1666" s="47">
        <v>0</v>
      </c>
      <c r="F1666" s="47">
        <f t="shared" ref="F1666:F1680" si="80">E1666+F1641</f>
        <v>0</v>
      </c>
    </row>
    <row r="1667" spans="1:6" x14ac:dyDescent="0.25">
      <c r="A1667" s="5" t="s">
        <v>32</v>
      </c>
      <c r="B1667" s="2">
        <v>43962</v>
      </c>
      <c r="C1667" s="1">
        <v>0</v>
      </c>
      <c r="D1667" s="47">
        <v>5</v>
      </c>
      <c r="F1667" s="47">
        <f t="shared" si="80"/>
        <v>0</v>
      </c>
    </row>
    <row r="1668" spans="1:6" x14ac:dyDescent="0.25">
      <c r="A1668" s="5" t="s">
        <v>33</v>
      </c>
      <c r="B1668" s="2">
        <v>43962</v>
      </c>
      <c r="C1668" s="1">
        <v>0</v>
      </c>
      <c r="D1668" s="47">
        <v>5</v>
      </c>
      <c r="F1668" s="47">
        <f t="shared" si="80"/>
        <v>0</v>
      </c>
    </row>
    <row r="1669" spans="1:6" x14ac:dyDescent="0.25">
      <c r="A1669" s="5" t="s">
        <v>21</v>
      </c>
      <c r="B1669" s="2">
        <v>43962</v>
      </c>
      <c r="C1669" s="1">
        <v>1</v>
      </c>
      <c r="D1669" s="47">
        <v>60</v>
      </c>
      <c r="F1669" s="47">
        <f t="shared" si="80"/>
        <v>0</v>
      </c>
    </row>
    <row r="1670" spans="1:6" x14ac:dyDescent="0.25">
      <c r="A1670" s="5" t="s">
        <v>17</v>
      </c>
      <c r="B1670" s="2">
        <v>43962</v>
      </c>
      <c r="C1670" s="1">
        <v>0</v>
      </c>
      <c r="D1670" s="47">
        <v>86</v>
      </c>
      <c r="F1670" s="47">
        <f t="shared" si="80"/>
        <v>0</v>
      </c>
    </row>
    <row r="1671" spans="1:6" x14ac:dyDescent="0.25">
      <c r="A1671" s="5" t="s">
        <v>23</v>
      </c>
      <c r="B1671" s="2">
        <v>43962</v>
      </c>
      <c r="C1671" s="1">
        <v>1</v>
      </c>
      <c r="D1671" s="47">
        <v>26</v>
      </c>
      <c r="F1671" s="47">
        <f t="shared" si="80"/>
        <v>1</v>
      </c>
    </row>
    <row r="1672" spans="1:6" x14ac:dyDescent="0.25">
      <c r="A1672" s="5" t="s">
        <v>19</v>
      </c>
      <c r="B1672" s="2">
        <v>43962</v>
      </c>
      <c r="C1672" s="1">
        <v>0</v>
      </c>
      <c r="D1672" s="47">
        <v>111</v>
      </c>
      <c r="F1672" s="47">
        <f t="shared" si="80"/>
        <v>0</v>
      </c>
    </row>
    <row r="1673" spans="1:6" x14ac:dyDescent="0.25">
      <c r="A1673" s="5" t="s">
        <v>18</v>
      </c>
      <c r="B1673" s="2">
        <v>43962</v>
      </c>
      <c r="C1673" s="1">
        <v>13</v>
      </c>
      <c r="D1673" s="47">
        <v>289</v>
      </c>
      <c r="E1673" s="1">
        <v>1</v>
      </c>
      <c r="F1673" s="47">
        <f t="shared" si="80"/>
        <v>1</v>
      </c>
    </row>
    <row r="1674" spans="1:6" x14ac:dyDescent="0.25">
      <c r="A1674" s="5" t="s">
        <v>34</v>
      </c>
      <c r="B1674" s="2">
        <v>43962</v>
      </c>
      <c r="C1674" s="1">
        <v>0</v>
      </c>
      <c r="D1674" s="47">
        <v>4</v>
      </c>
      <c r="F1674" s="47">
        <f t="shared" si="80"/>
        <v>0</v>
      </c>
    </row>
    <row r="1675" spans="1:6" x14ac:dyDescent="0.25">
      <c r="A1675" s="5" t="s">
        <v>35</v>
      </c>
      <c r="B1675" s="2">
        <v>43962</v>
      </c>
      <c r="C1675" s="1">
        <v>0</v>
      </c>
      <c r="D1675" s="47">
        <v>3</v>
      </c>
      <c r="F1675" s="47">
        <f>E1675+F1651</f>
        <v>0</v>
      </c>
    </row>
    <row r="1676" spans="1:6" x14ac:dyDescent="0.25">
      <c r="A1676" s="5" t="s">
        <v>36</v>
      </c>
      <c r="B1676" s="2">
        <v>43962</v>
      </c>
      <c r="C1676" s="1">
        <v>0</v>
      </c>
      <c r="D1676" s="47">
        <v>11</v>
      </c>
      <c r="F1676" s="47">
        <f t="shared" si="80"/>
        <v>0</v>
      </c>
    </row>
    <row r="1677" spans="1:6" x14ac:dyDescent="0.25">
      <c r="A1677" s="5" t="s">
        <v>37</v>
      </c>
      <c r="B1677" s="2">
        <v>43962</v>
      </c>
      <c r="C1677" s="1">
        <v>0</v>
      </c>
      <c r="D1677" s="47">
        <v>49</v>
      </c>
      <c r="F1677" s="47">
        <f t="shared" si="80"/>
        <v>0</v>
      </c>
    </row>
    <row r="1678" spans="1:6" x14ac:dyDescent="0.25">
      <c r="A1678" s="5" t="s">
        <v>22</v>
      </c>
      <c r="B1678" s="2">
        <v>43962</v>
      </c>
      <c r="C1678" s="1">
        <v>0</v>
      </c>
      <c r="D1678" s="47">
        <v>244</v>
      </c>
      <c r="F1678" s="47">
        <f>E1678+F1654</f>
        <v>3</v>
      </c>
    </row>
    <row r="1679" spans="1:6" x14ac:dyDescent="0.25">
      <c r="A1679" s="5" t="s">
        <v>38</v>
      </c>
      <c r="B1679" s="2">
        <v>43962</v>
      </c>
      <c r="C1679" s="1">
        <v>0</v>
      </c>
      <c r="D1679" s="47">
        <v>16</v>
      </c>
      <c r="F1679" s="47">
        <f>E1679+F1655</f>
        <v>0</v>
      </c>
    </row>
    <row r="1680" spans="1:6" x14ac:dyDescent="0.25">
      <c r="A1680" s="5" t="s">
        <v>39</v>
      </c>
      <c r="B1680" s="2">
        <v>43962</v>
      </c>
      <c r="C1680" s="1">
        <v>0</v>
      </c>
      <c r="D1680" s="47">
        <v>148</v>
      </c>
      <c r="F1680" s="47">
        <f t="shared" si="80"/>
        <v>0</v>
      </c>
    </row>
    <row r="1681" spans="1:6" x14ac:dyDescent="0.25">
      <c r="A1681" s="5" t="s">
        <v>40</v>
      </c>
      <c r="B1681" s="2">
        <v>43962</v>
      </c>
      <c r="C1681" s="1">
        <v>1</v>
      </c>
      <c r="D1681" s="47">
        <v>42</v>
      </c>
      <c r="F1681" s="47">
        <f>E1681+F1657</f>
        <v>3</v>
      </c>
    </row>
    <row r="1682" spans="1:6" x14ac:dyDescent="0.25">
      <c r="A1682" s="34" t="s">
        <v>16</v>
      </c>
      <c r="B1682" s="2">
        <v>43963</v>
      </c>
      <c r="C1682" s="1">
        <v>80</v>
      </c>
      <c r="D1682" s="47">
        <v>2236</v>
      </c>
      <c r="E1682" s="1">
        <v>2</v>
      </c>
      <c r="F1682" s="47">
        <f>E1682+F1658</f>
        <v>131</v>
      </c>
    </row>
    <row r="1683" spans="1:6" x14ac:dyDescent="0.25">
      <c r="A1683" s="5" t="s">
        <v>28</v>
      </c>
      <c r="B1683" s="2">
        <v>43963</v>
      </c>
      <c r="C1683" s="1">
        <v>0</v>
      </c>
      <c r="D1683" s="47">
        <v>0</v>
      </c>
      <c r="F1683" s="47">
        <f t="shared" ref="F1683:F1689" si="81">E1683+F1659</f>
        <v>0</v>
      </c>
    </row>
    <row r="1684" spans="1:6" x14ac:dyDescent="0.25">
      <c r="A1684" s="5" t="s">
        <v>15</v>
      </c>
      <c r="B1684" s="2">
        <v>43963</v>
      </c>
      <c r="C1684" s="1">
        <v>10</v>
      </c>
      <c r="D1684" s="47">
        <v>486</v>
      </c>
      <c r="E1684" s="1">
        <v>1</v>
      </c>
      <c r="F1684" s="47">
        <f t="shared" si="81"/>
        <v>21</v>
      </c>
    </row>
    <row r="1685" spans="1:6" x14ac:dyDescent="0.25">
      <c r="A1685" s="5" t="s">
        <v>29</v>
      </c>
      <c r="B1685" s="2">
        <v>43963</v>
      </c>
      <c r="C1685" s="1">
        <v>0</v>
      </c>
      <c r="D1685" s="47">
        <v>4</v>
      </c>
      <c r="F1685" s="47">
        <f t="shared" si="81"/>
        <v>1</v>
      </c>
    </row>
    <row r="1686" spans="1:6" x14ac:dyDescent="0.25">
      <c r="A1686" s="5" t="s">
        <v>43</v>
      </c>
      <c r="B1686" s="2">
        <v>43963</v>
      </c>
      <c r="C1686" s="1">
        <v>188</v>
      </c>
      <c r="D1686" s="47">
        <v>2286</v>
      </c>
      <c r="E1686" s="1">
        <v>1</v>
      </c>
      <c r="F1686" s="47">
        <f t="shared" si="81"/>
        <v>101</v>
      </c>
    </row>
    <row r="1687" spans="1:6" x14ac:dyDescent="0.25">
      <c r="A1687" s="5" t="s">
        <v>20</v>
      </c>
      <c r="B1687" s="2">
        <v>43963</v>
      </c>
      <c r="C1687" s="1">
        <v>3</v>
      </c>
      <c r="D1687" s="47">
        <v>350</v>
      </c>
      <c r="E1687" s="1">
        <v>1</v>
      </c>
      <c r="F1687" s="47">
        <f t="shared" si="81"/>
        <v>20</v>
      </c>
    </row>
    <row r="1688" spans="1:6" x14ac:dyDescent="0.25">
      <c r="A1688" s="5" t="s">
        <v>30</v>
      </c>
      <c r="B1688" s="2">
        <v>43963</v>
      </c>
      <c r="C1688" s="1">
        <v>1</v>
      </c>
      <c r="D1688" s="47">
        <v>71</v>
      </c>
      <c r="F1688" s="47">
        <f t="shared" si="81"/>
        <v>0</v>
      </c>
    </row>
    <row r="1689" spans="1:6" x14ac:dyDescent="0.25">
      <c r="A1689" s="5" t="s">
        <v>31</v>
      </c>
      <c r="B1689" s="2">
        <v>43963</v>
      </c>
      <c r="C1689" s="1">
        <v>0</v>
      </c>
      <c r="D1689" s="47">
        <v>28</v>
      </c>
      <c r="F1689" s="47">
        <f t="shared" si="81"/>
        <v>0</v>
      </c>
    </row>
    <row r="1690" spans="1:6" x14ac:dyDescent="0.25">
      <c r="A1690" s="5" t="s">
        <v>41</v>
      </c>
      <c r="B1690" s="2">
        <v>43963</v>
      </c>
      <c r="C1690" s="1">
        <v>0</v>
      </c>
      <c r="D1690" s="47">
        <v>0</v>
      </c>
      <c r="F1690" s="47">
        <f t="shared" ref="F1690:F1704" si="82">E1690+F1665</f>
        <v>0</v>
      </c>
    </row>
    <row r="1691" spans="1:6" x14ac:dyDescent="0.25">
      <c r="A1691" s="5" t="s">
        <v>32</v>
      </c>
      <c r="B1691" s="2">
        <v>43963</v>
      </c>
      <c r="C1691" s="1">
        <v>0</v>
      </c>
      <c r="D1691" s="47">
        <v>5</v>
      </c>
      <c r="F1691" s="47">
        <f t="shared" si="82"/>
        <v>0</v>
      </c>
    </row>
    <row r="1692" spans="1:6" x14ac:dyDescent="0.25">
      <c r="A1692" s="5" t="s">
        <v>33</v>
      </c>
      <c r="B1692" s="2">
        <v>43963</v>
      </c>
      <c r="C1692" s="1">
        <v>0</v>
      </c>
      <c r="D1692" s="47">
        <v>5</v>
      </c>
      <c r="F1692" s="47">
        <f t="shared" si="82"/>
        <v>0</v>
      </c>
    </row>
    <row r="1693" spans="1:6" x14ac:dyDescent="0.25">
      <c r="A1693" s="5" t="s">
        <v>21</v>
      </c>
      <c r="B1693" s="2">
        <v>43963</v>
      </c>
      <c r="C1693" s="1">
        <v>0</v>
      </c>
      <c r="D1693" s="47">
        <v>60</v>
      </c>
      <c r="F1693" s="47">
        <f t="shared" si="82"/>
        <v>0</v>
      </c>
    </row>
    <row r="1694" spans="1:6" x14ac:dyDescent="0.25">
      <c r="A1694" s="5" t="s">
        <v>17</v>
      </c>
      <c r="B1694" s="2">
        <v>43963</v>
      </c>
      <c r="C1694" s="1">
        <v>1</v>
      </c>
      <c r="D1694" s="47">
        <v>87</v>
      </c>
      <c r="F1694" s="47">
        <f t="shared" si="82"/>
        <v>0</v>
      </c>
    </row>
    <row r="1695" spans="1:6" x14ac:dyDescent="0.25">
      <c r="A1695" s="5" t="s">
        <v>23</v>
      </c>
      <c r="B1695" s="2">
        <v>43963</v>
      </c>
      <c r="C1695" s="1">
        <v>0</v>
      </c>
      <c r="D1695" s="47">
        <v>26</v>
      </c>
      <c r="F1695" s="47">
        <f t="shared" si="82"/>
        <v>0</v>
      </c>
    </row>
    <row r="1696" spans="1:6" x14ac:dyDescent="0.25">
      <c r="A1696" s="5" t="s">
        <v>19</v>
      </c>
      <c r="B1696" s="2">
        <v>43963</v>
      </c>
      <c r="C1696" s="1">
        <v>0</v>
      </c>
      <c r="D1696" s="47">
        <v>111</v>
      </c>
      <c r="F1696" s="47">
        <f t="shared" si="82"/>
        <v>1</v>
      </c>
    </row>
    <row r="1697" spans="1:6" x14ac:dyDescent="0.25">
      <c r="A1697" s="5" t="s">
        <v>18</v>
      </c>
      <c r="B1697" s="2">
        <v>43963</v>
      </c>
      <c r="C1697" s="1">
        <v>1</v>
      </c>
      <c r="D1697" s="47">
        <v>290</v>
      </c>
      <c r="F1697" s="47">
        <f t="shared" si="82"/>
        <v>0</v>
      </c>
    </row>
    <row r="1698" spans="1:6" x14ac:dyDescent="0.25">
      <c r="A1698" s="5" t="s">
        <v>34</v>
      </c>
      <c r="B1698" s="2">
        <v>43963</v>
      </c>
      <c r="C1698" s="1">
        <v>1</v>
      </c>
      <c r="D1698" s="47">
        <v>5</v>
      </c>
      <c r="F1698" s="47">
        <f t="shared" si="82"/>
        <v>1</v>
      </c>
    </row>
    <row r="1699" spans="1:6" x14ac:dyDescent="0.25">
      <c r="A1699" s="5" t="s">
        <v>35</v>
      </c>
      <c r="B1699" s="2">
        <v>43963</v>
      </c>
      <c r="C1699" s="1">
        <v>0</v>
      </c>
      <c r="D1699" s="47">
        <v>3</v>
      </c>
      <c r="F1699" s="47">
        <f>E1699+F1675</f>
        <v>0</v>
      </c>
    </row>
    <row r="1700" spans="1:6" x14ac:dyDescent="0.25">
      <c r="A1700" s="5" t="s">
        <v>36</v>
      </c>
      <c r="B1700" s="2">
        <v>43963</v>
      </c>
      <c r="C1700" s="1">
        <v>0</v>
      </c>
      <c r="D1700" s="47">
        <v>11</v>
      </c>
      <c r="F1700" s="47">
        <f t="shared" si="82"/>
        <v>0</v>
      </c>
    </row>
    <row r="1701" spans="1:6" x14ac:dyDescent="0.25">
      <c r="A1701" s="5" t="s">
        <v>37</v>
      </c>
      <c r="B1701" s="2">
        <v>43963</v>
      </c>
      <c r="C1701" s="1">
        <v>0</v>
      </c>
      <c r="D1701" s="47">
        <v>49</v>
      </c>
      <c r="F1701" s="47">
        <f t="shared" si="82"/>
        <v>0</v>
      </c>
    </row>
    <row r="1702" spans="1:6" x14ac:dyDescent="0.25">
      <c r="A1702" s="5" t="s">
        <v>22</v>
      </c>
      <c r="B1702" s="2">
        <v>43963</v>
      </c>
      <c r="C1702" s="1">
        <v>0</v>
      </c>
      <c r="D1702" s="47">
        <v>244</v>
      </c>
      <c r="F1702" s="47">
        <f>E1702+F1678</f>
        <v>3</v>
      </c>
    </row>
    <row r="1703" spans="1:6" x14ac:dyDescent="0.25">
      <c r="A1703" s="5" t="s">
        <v>38</v>
      </c>
      <c r="B1703" s="2">
        <v>43963</v>
      </c>
      <c r="C1703" s="1">
        <v>0</v>
      </c>
      <c r="D1703" s="47">
        <v>16</v>
      </c>
      <c r="F1703" s="47">
        <f>E1703+F1679</f>
        <v>0</v>
      </c>
    </row>
    <row r="1704" spans="1:6" x14ac:dyDescent="0.25">
      <c r="A1704" s="5" t="s">
        <v>39</v>
      </c>
      <c r="B1704" s="2">
        <v>43963</v>
      </c>
      <c r="C1704" s="1">
        <v>0</v>
      </c>
      <c r="D1704" s="47">
        <v>148</v>
      </c>
      <c r="F1704" s="47">
        <f t="shared" si="82"/>
        <v>0</v>
      </c>
    </row>
    <row r="1705" spans="1:6" x14ac:dyDescent="0.25">
      <c r="A1705" s="5" t="s">
        <v>40</v>
      </c>
      <c r="B1705" s="2">
        <v>43963</v>
      </c>
      <c r="C1705" s="1">
        <v>0</v>
      </c>
      <c r="D1705" s="47">
        <v>42</v>
      </c>
      <c r="F1705" s="47">
        <f>E1705+F1681</f>
        <v>3</v>
      </c>
    </row>
    <row r="1706" spans="1:6" x14ac:dyDescent="0.25">
      <c r="A1706" s="34" t="s">
        <v>16</v>
      </c>
      <c r="B1706" s="2">
        <v>43964</v>
      </c>
      <c r="C1706" s="1">
        <v>96</v>
      </c>
      <c r="D1706" s="47">
        <v>2332</v>
      </c>
      <c r="E1706" s="1">
        <v>4</v>
      </c>
      <c r="F1706" s="47">
        <f>E1706+F1682</f>
        <v>135</v>
      </c>
    </row>
    <row r="1707" spans="1:6" x14ac:dyDescent="0.25">
      <c r="A1707" s="5" t="s">
        <v>28</v>
      </c>
      <c r="B1707" s="2">
        <v>43964</v>
      </c>
      <c r="C1707" s="1">
        <v>0</v>
      </c>
      <c r="D1707" s="47">
        <v>0</v>
      </c>
      <c r="F1707" s="47">
        <f t="shared" ref="F1707:F1713" si="83">E1707+F1683</f>
        <v>0</v>
      </c>
    </row>
    <row r="1708" spans="1:6" x14ac:dyDescent="0.25">
      <c r="A1708" s="5" t="s">
        <v>15</v>
      </c>
      <c r="B1708" s="2">
        <v>43964</v>
      </c>
      <c r="C1708" s="1">
        <v>18</v>
      </c>
      <c r="D1708" s="47">
        <v>504</v>
      </c>
      <c r="E1708" s="1">
        <v>1</v>
      </c>
      <c r="F1708" s="47">
        <f t="shared" si="83"/>
        <v>22</v>
      </c>
    </row>
    <row r="1709" spans="1:6" x14ac:dyDescent="0.25">
      <c r="A1709" s="5" t="s">
        <v>29</v>
      </c>
      <c r="B1709" s="2">
        <v>43964</v>
      </c>
      <c r="C1709" s="1">
        <v>0</v>
      </c>
      <c r="D1709" s="47">
        <v>4</v>
      </c>
      <c r="F1709" s="47">
        <f t="shared" si="83"/>
        <v>1</v>
      </c>
    </row>
    <row r="1710" spans="1:6" x14ac:dyDescent="0.25">
      <c r="A1710" s="5" t="s">
        <v>43</v>
      </c>
      <c r="B1710" s="2">
        <v>43964</v>
      </c>
      <c r="C1710" s="1">
        <v>179</v>
      </c>
      <c r="D1710" s="47">
        <v>2465</v>
      </c>
      <c r="E1710" s="1">
        <v>5</v>
      </c>
      <c r="F1710" s="47">
        <f t="shared" si="83"/>
        <v>106</v>
      </c>
    </row>
    <row r="1711" spans="1:6" x14ac:dyDescent="0.25">
      <c r="A1711" s="5" t="s">
        <v>20</v>
      </c>
      <c r="B1711" s="2">
        <v>43964</v>
      </c>
      <c r="C1711" s="1">
        <v>11</v>
      </c>
      <c r="D1711" s="47">
        <v>361</v>
      </c>
      <c r="F1711" s="47">
        <f t="shared" si="83"/>
        <v>20</v>
      </c>
    </row>
    <row r="1712" spans="1:6" x14ac:dyDescent="0.25">
      <c r="A1712" s="5" t="s">
        <v>30</v>
      </c>
      <c r="B1712" s="2">
        <v>43964</v>
      </c>
      <c r="C1712" s="1">
        <v>5</v>
      </c>
      <c r="D1712" s="47">
        <v>76</v>
      </c>
      <c r="F1712" s="47">
        <f t="shared" si="83"/>
        <v>0</v>
      </c>
    </row>
    <row r="1713" spans="1:6" x14ac:dyDescent="0.25">
      <c r="A1713" s="5" t="s">
        <v>31</v>
      </c>
      <c r="B1713" s="2">
        <v>43964</v>
      </c>
      <c r="C1713" s="1">
        <v>1</v>
      </c>
      <c r="D1713" s="47">
        <v>29</v>
      </c>
      <c r="F1713" s="47">
        <f t="shared" si="83"/>
        <v>0</v>
      </c>
    </row>
    <row r="1714" spans="1:6" x14ac:dyDescent="0.25">
      <c r="A1714" s="5" t="s">
        <v>41</v>
      </c>
      <c r="B1714" s="2">
        <v>43964</v>
      </c>
      <c r="C1714" s="1">
        <v>0</v>
      </c>
      <c r="D1714" s="47">
        <v>0</v>
      </c>
      <c r="F1714" s="47">
        <f t="shared" ref="F1714:F1728" si="84">E1714+F1689</f>
        <v>0</v>
      </c>
    </row>
    <row r="1715" spans="1:6" x14ac:dyDescent="0.25">
      <c r="A1715" s="5" t="s">
        <v>32</v>
      </c>
      <c r="B1715" s="2">
        <v>43964</v>
      </c>
      <c r="C1715" s="1">
        <v>0</v>
      </c>
      <c r="D1715" s="47">
        <v>5</v>
      </c>
      <c r="F1715" s="47">
        <f t="shared" si="84"/>
        <v>0</v>
      </c>
    </row>
    <row r="1716" spans="1:6" x14ac:dyDescent="0.25">
      <c r="A1716" s="5" t="s">
        <v>33</v>
      </c>
      <c r="B1716" s="2">
        <v>43964</v>
      </c>
      <c r="C1716" s="1">
        <v>0</v>
      </c>
      <c r="D1716" s="47">
        <v>5</v>
      </c>
      <c r="F1716" s="47">
        <f t="shared" si="84"/>
        <v>0</v>
      </c>
    </row>
    <row r="1717" spans="1:6" x14ac:dyDescent="0.25">
      <c r="A1717" s="5" t="s">
        <v>21</v>
      </c>
      <c r="B1717" s="2">
        <v>43964</v>
      </c>
      <c r="C1717" s="1">
        <v>0</v>
      </c>
      <c r="D1717" s="47">
        <v>60</v>
      </c>
      <c r="F1717" s="47">
        <f t="shared" si="84"/>
        <v>0</v>
      </c>
    </row>
    <row r="1718" spans="1:6" x14ac:dyDescent="0.25">
      <c r="A1718" s="5" t="s">
        <v>17</v>
      </c>
      <c r="B1718" s="2">
        <v>43964</v>
      </c>
      <c r="C1718" s="1">
        <v>1</v>
      </c>
      <c r="D1718" s="47">
        <v>88</v>
      </c>
      <c r="F1718" s="47">
        <f t="shared" si="84"/>
        <v>0</v>
      </c>
    </row>
    <row r="1719" spans="1:6" x14ac:dyDescent="0.25">
      <c r="A1719" s="5" t="s">
        <v>23</v>
      </c>
      <c r="B1719" s="2">
        <v>43964</v>
      </c>
      <c r="C1719" s="1">
        <v>-1</v>
      </c>
      <c r="D1719" s="47">
        <v>25</v>
      </c>
      <c r="F1719" s="47">
        <f t="shared" si="84"/>
        <v>0</v>
      </c>
    </row>
    <row r="1720" spans="1:6" x14ac:dyDescent="0.25">
      <c r="A1720" s="5" t="s">
        <v>19</v>
      </c>
      <c r="B1720" s="2">
        <v>43964</v>
      </c>
      <c r="C1720" s="1">
        <v>2</v>
      </c>
      <c r="D1720" s="47">
        <v>113</v>
      </c>
      <c r="F1720" s="47">
        <f t="shared" si="84"/>
        <v>0</v>
      </c>
    </row>
    <row r="1721" spans="1:6" x14ac:dyDescent="0.25">
      <c r="A1721" s="5" t="s">
        <v>18</v>
      </c>
      <c r="B1721" s="2">
        <v>43964</v>
      </c>
      <c r="C1721" s="1">
        <v>4</v>
      </c>
      <c r="D1721" s="47">
        <v>294</v>
      </c>
      <c r="F1721" s="47">
        <f t="shared" si="84"/>
        <v>1</v>
      </c>
    </row>
    <row r="1722" spans="1:6" x14ac:dyDescent="0.25">
      <c r="A1722" s="5" t="s">
        <v>34</v>
      </c>
      <c r="B1722" s="2">
        <v>43964</v>
      </c>
      <c r="C1722" s="1">
        <v>0</v>
      </c>
      <c r="D1722" s="47">
        <v>5</v>
      </c>
      <c r="F1722" s="47">
        <f t="shared" si="84"/>
        <v>0</v>
      </c>
    </row>
    <row r="1723" spans="1:6" x14ac:dyDescent="0.25">
      <c r="A1723" s="5" t="s">
        <v>35</v>
      </c>
      <c r="B1723" s="2">
        <v>43964</v>
      </c>
      <c r="C1723" s="1">
        <v>0</v>
      </c>
      <c r="D1723" s="47">
        <v>3</v>
      </c>
      <c r="F1723" s="47">
        <f>E1723+F1699</f>
        <v>0</v>
      </c>
    </row>
    <row r="1724" spans="1:6" x14ac:dyDescent="0.25">
      <c r="A1724" s="5" t="s">
        <v>36</v>
      </c>
      <c r="B1724" s="2">
        <v>43964</v>
      </c>
      <c r="C1724" s="1">
        <v>0</v>
      </c>
      <c r="D1724" s="47">
        <v>11</v>
      </c>
      <c r="F1724" s="47">
        <f t="shared" si="84"/>
        <v>0</v>
      </c>
    </row>
    <row r="1725" spans="1:6" x14ac:dyDescent="0.25">
      <c r="A1725" s="5" t="s">
        <v>37</v>
      </c>
      <c r="B1725" s="2">
        <v>43964</v>
      </c>
      <c r="C1725" s="1">
        <v>0</v>
      </c>
      <c r="D1725" s="47">
        <v>49</v>
      </c>
      <c r="F1725" s="47">
        <f t="shared" si="84"/>
        <v>0</v>
      </c>
    </row>
    <row r="1726" spans="1:6" x14ac:dyDescent="0.25">
      <c r="A1726" s="5" t="s">
        <v>22</v>
      </c>
      <c r="B1726" s="2">
        <v>43964</v>
      </c>
      <c r="C1726" s="1">
        <v>0</v>
      </c>
      <c r="D1726" s="47">
        <v>244</v>
      </c>
      <c r="F1726" s="47">
        <f>E1726+F1702</f>
        <v>3</v>
      </c>
    </row>
    <row r="1727" spans="1:6" x14ac:dyDescent="0.25">
      <c r="A1727" s="5" t="s">
        <v>38</v>
      </c>
      <c r="B1727" s="2">
        <v>43964</v>
      </c>
      <c r="C1727" s="1">
        <v>0</v>
      </c>
      <c r="D1727" s="47">
        <v>16</v>
      </c>
      <c r="F1727" s="47">
        <f>E1727+F1703</f>
        <v>0</v>
      </c>
    </row>
    <row r="1728" spans="1:6" x14ac:dyDescent="0.25">
      <c r="A1728" s="5" t="s">
        <v>39</v>
      </c>
      <c r="B1728" s="2">
        <v>43964</v>
      </c>
      <c r="C1728" s="1">
        <v>0</v>
      </c>
      <c r="D1728" s="47">
        <v>148</v>
      </c>
      <c r="F1728" s="47">
        <f t="shared" si="84"/>
        <v>0</v>
      </c>
    </row>
    <row r="1729" spans="1:6" x14ac:dyDescent="0.25">
      <c r="A1729" s="5" t="s">
        <v>40</v>
      </c>
      <c r="B1729" s="2">
        <v>43964</v>
      </c>
      <c r="C1729" s="1">
        <v>0</v>
      </c>
      <c r="D1729" s="47">
        <v>42</v>
      </c>
      <c r="F1729" s="47">
        <f>E1729+F1705</f>
        <v>3</v>
      </c>
    </row>
    <row r="1730" spans="1:6" x14ac:dyDescent="0.25">
      <c r="A1730" s="34" t="s">
        <v>16</v>
      </c>
      <c r="B1730" s="2">
        <v>43965</v>
      </c>
      <c r="C1730" s="1">
        <v>79</v>
      </c>
      <c r="D1730" s="47">
        <v>2411</v>
      </c>
      <c r="E1730" s="1">
        <v>11</v>
      </c>
      <c r="F1730" s="47">
        <f>E1730+F1706</f>
        <v>146</v>
      </c>
    </row>
    <row r="1731" spans="1:6" x14ac:dyDescent="0.25">
      <c r="A1731" s="5" t="s">
        <v>28</v>
      </c>
      <c r="B1731" s="2">
        <v>43965</v>
      </c>
      <c r="C1731" s="1">
        <v>0</v>
      </c>
      <c r="D1731" s="47">
        <v>0</v>
      </c>
      <c r="F1731" s="47">
        <f t="shared" ref="F1731:F1737" si="85">E1731+F1707</f>
        <v>0</v>
      </c>
    </row>
    <row r="1732" spans="1:6" x14ac:dyDescent="0.25">
      <c r="A1732" s="5" t="s">
        <v>15</v>
      </c>
      <c r="B1732" s="2">
        <v>43965</v>
      </c>
      <c r="C1732" s="1">
        <v>9</v>
      </c>
      <c r="D1732" s="47">
        <v>513</v>
      </c>
      <c r="E1732" s="1">
        <v>1</v>
      </c>
      <c r="F1732" s="47">
        <f t="shared" si="85"/>
        <v>23</v>
      </c>
    </row>
    <row r="1733" spans="1:6" x14ac:dyDescent="0.25">
      <c r="A1733" s="5" t="s">
        <v>29</v>
      </c>
      <c r="B1733" s="2">
        <v>43965</v>
      </c>
      <c r="C1733" s="1">
        <v>0</v>
      </c>
      <c r="D1733" s="47">
        <v>4</v>
      </c>
      <c r="F1733" s="47">
        <f t="shared" si="85"/>
        <v>1</v>
      </c>
    </row>
    <row r="1734" spans="1:6" x14ac:dyDescent="0.25">
      <c r="A1734" s="5" t="s">
        <v>43</v>
      </c>
      <c r="B1734" s="2">
        <v>43965</v>
      </c>
      <c r="C1734" s="1">
        <v>153</v>
      </c>
      <c r="D1734" s="47">
        <v>2618</v>
      </c>
      <c r="E1734" s="1">
        <v>10</v>
      </c>
      <c r="F1734" s="47">
        <f t="shared" si="85"/>
        <v>116</v>
      </c>
    </row>
    <row r="1735" spans="1:6" x14ac:dyDescent="0.25">
      <c r="A1735" s="5" t="s">
        <v>20</v>
      </c>
      <c r="B1735" s="2">
        <v>43965</v>
      </c>
      <c r="C1735" s="1">
        <v>5</v>
      </c>
      <c r="D1735" s="47">
        <v>366</v>
      </c>
      <c r="E1735" s="1">
        <v>1</v>
      </c>
      <c r="F1735" s="47">
        <f t="shared" si="85"/>
        <v>21</v>
      </c>
    </row>
    <row r="1736" spans="1:6" x14ac:dyDescent="0.25">
      <c r="A1736" s="5" t="s">
        <v>30</v>
      </c>
      <c r="B1736" s="2">
        <v>43965</v>
      </c>
      <c r="C1736" s="1">
        <v>3</v>
      </c>
      <c r="D1736" s="47">
        <v>79</v>
      </c>
      <c r="F1736" s="47">
        <f t="shared" si="85"/>
        <v>0</v>
      </c>
    </row>
    <row r="1737" spans="1:6" x14ac:dyDescent="0.25">
      <c r="A1737" s="5" t="s">
        <v>31</v>
      </c>
      <c r="B1737" s="2">
        <v>43965</v>
      </c>
      <c r="C1737" s="1">
        <v>0</v>
      </c>
      <c r="D1737" s="47">
        <v>29</v>
      </c>
      <c r="F1737" s="47">
        <f t="shared" si="85"/>
        <v>0</v>
      </c>
    </row>
    <row r="1738" spans="1:6" x14ac:dyDescent="0.25">
      <c r="A1738" s="5" t="s">
        <v>41</v>
      </c>
      <c r="B1738" s="2">
        <v>43965</v>
      </c>
      <c r="C1738" s="1">
        <v>0</v>
      </c>
      <c r="D1738" s="47">
        <v>0</v>
      </c>
      <c r="F1738" s="47">
        <f t="shared" ref="F1738:F1752" si="86">E1738+F1713</f>
        <v>0</v>
      </c>
    </row>
    <row r="1739" spans="1:6" x14ac:dyDescent="0.25">
      <c r="A1739" s="5" t="s">
        <v>32</v>
      </c>
      <c r="B1739" s="2">
        <v>43965</v>
      </c>
      <c r="C1739" s="1">
        <v>0</v>
      </c>
      <c r="D1739" s="47">
        <v>5</v>
      </c>
      <c r="F1739" s="47">
        <f t="shared" si="86"/>
        <v>0</v>
      </c>
    </row>
    <row r="1740" spans="1:6" x14ac:dyDescent="0.25">
      <c r="A1740" s="5" t="s">
        <v>33</v>
      </c>
      <c r="B1740" s="2">
        <v>43965</v>
      </c>
      <c r="C1740" s="1">
        <v>0</v>
      </c>
      <c r="D1740" s="47">
        <v>5</v>
      </c>
      <c r="F1740" s="47">
        <f t="shared" si="86"/>
        <v>0</v>
      </c>
    </row>
    <row r="1741" spans="1:6" x14ac:dyDescent="0.25">
      <c r="A1741" s="5" t="s">
        <v>21</v>
      </c>
      <c r="B1741" s="2">
        <v>43965</v>
      </c>
      <c r="C1741" s="1">
        <v>0</v>
      </c>
      <c r="D1741" s="47">
        <v>60</v>
      </c>
      <c r="F1741" s="47">
        <f t="shared" si="86"/>
        <v>0</v>
      </c>
    </row>
    <row r="1742" spans="1:6" x14ac:dyDescent="0.25">
      <c r="A1742" s="5" t="s">
        <v>17</v>
      </c>
      <c r="B1742" s="2">
        <v>43965</v>
      </c>
      <c r="C1742" s="1">
        <v>0</v>
      </c>
      <c r="D1742" s="47">
        <v>88</v>
      </c>
      <c r="F1742" s="47">
        <f t="shared" si="86"/>
        <v>0</v>
      </c>
    </row>
    <row r="1743" spans="1:6" x14ac:dyDescent="0.25">
      <c r="A1743" s="5" t="s">
        <v>23</v>
      </c>
      <c r="B1743" s="2">
        <v>43965</v>
      </c>
      <c r="C1743" s="1">
        <v>0</v>
      </c>
      <c r="D1743" s="47">
        <v>25</v>
      </c>
      <c r="F1743" s="47">
        <f t="shared" si="86"/>
        <v>0</v>
      </c>
    </row>
    <row r="1744" spans="1:6" x14ac:dyDescent="0.25">
      <c r="A1744" s="5" t="s">
        <v>19</v>
      </c>
      <c r="B1744" s="2">
        <v>43965</v>
      </c>
      <c r="C1744" s="1">
        <v>1</v>
      </c>
      <c r="D1744" s="47">
        <v>114</v>
      </c>
      <c r="F1744" s="47">
        <f t="shared" si="86"/>
        <v>0</v>
      </c>
    </row>
    <row r="1745" spans="1:6" x14ac:dyDescent="0.25">
      <c r="A1745" s="5" t="s">
        <v>18</v>
      </c>
      <c r="B1745" s="2">
        <v>43965</v>
      </c>
      <c r="C1745" s="1">
        <v>4</v>
      </c>
      <c r="D1745" s="47">
        <v>298</v>
      </c>
      <c r="E1745" s="1">
        <v>1</v>
      </c>
      <c r="F1745" s="47">
        <f t="shared" si="86"/>
        <v>1</v>
      </c>
    </row>
    <row r="1746" spans="1:6" x14ac:dyDescent="0.25">
      <c r="A1746" s="5" t="s">
        <v>34</v>
      </c>
      <c r="B1746" s="2">
        <v>43965</v>
      </c>
      <c r="C1746" s="1">
        <v>0</v>
      </c>
      <c r="D1746" s="47">
        <v>5</v>
      </c>
      <c r="F1746" s="47">
        <f t="shared" si="86"/>
        <v>1</v>
      </c>
    </row>
    <row r="1747" spans="1:6" x14ac:dyDescent="0.25">
      <c r="A1747" s="5" t="s">
        <v>35</v>
      </c>
      <c r="B1747" s="2">
        <v>43965</v>
      </c>
      <c r="C1747" s="1">
        <v>0</v>
      </c>
      <c r="D1747" s="47">
        <v>3</v>
      </c>
      <c r="F1747" s="47">
        <f>E1747+F1723</f>
        <v>0</v>
      </c>
    </row>
    <row r="1748" spans="1:6" x14ac:dyDescent="0.25">
      <c r="A1748" s="5" t="s">
        <v>36</v>
      </c>
      <c r="B1748" s="2">
        <v>43965</v>
      </c>
      <c r="C1748" s="1">
        <v>0</v>
      </c>
      <c r="D1748" s="47">
        <v>11</v>
      </c>
      <c r="F1748" s="47">
        <f t="shared" si="86"/>
        <v>0</v>
      </c>
    </row>
    <row r="1749" spans="1:6" x14ac:dyDescent="0.25">
      <c r="A1749" s="5" t="s">
        <v>37</v>
      </c>
      <c r="B1749" s="2">
        <v>43965</v>
      </c>
      <c r="C1749" s="1">
        <v>0</v>
      </c>
      <c r="D1749" s="47">
        <v>49</v>
      </c>
      <c r="F1749" s="47">
        <f t="shared" si="86"/>
        <v>0</v>
      </c>
    </row>
    <row r="1750" spans="1:6" x14ac:dyDescent="0.25">
      <c r="A1750" s="5" t="s">
        <v>22</v>
      </c>
      <c r="B1750" s="2">
        <v>43965</v>
      </c>
      <c r="C1750" s="1">
        <v>0</v>
      </c>
      <c r="D1750" s="47">
        <v>244</v>
      </c>
      <c r="F1750" s="47">
        <f>E1750+F1726</f>
        <v>3</v>
      </c>
    </row>
    <row r="1751" spans="1:6" x14ac:dyDescent="0.25">
      <c r="A1751" s="5" t="s">
        <v>38</v>
      </c>
      <c r="B1751" s="2">
        <v>43965</v>
      </c>
      <c r="C1751" s="1">
        <v>0</v>
      </c>
      <c r="D1751" s="47">
        <v>16</v>
      </c>
      <c r="F1751" s="47">
        <f>E1751+F1727</f>
        <v>0</v>
      </c>
    </row>
    <row r="1752" spans="1:6" x14ac:dyDescent="0.25">
      <c r="A1752" s="5" t="s">
        <v>39</v>
      </c>
      <c r="B1752" s="2">
        <v>43965</v>
      </c>
      <c r="C1752" s="1">
        <v>0</v>
      </c>
      <c r="D1752" s="47">
        <v>148</v>
      </c>
      <c r="F1752" s="47">
        <f t="shared" si="86"/>
        <v>0</v>
      </c>
    </row>
    <row r="1753" spans="1:6" x14ac:dyDescent="0.25">
      <c r="A1753" s="5" t="s">
        <v>40</v>
      </c>
      <c r="B1753" s="2">
        <v>43965</v>
      </c>
      <c r="C1753" s="1">
        <v>0</v>
      </c>
      <c r="D1753" s="47">
        <v>42</v>
      </c>
      <c r="F1753" s="47">
        <f>E1753+F1729</f>
        <v>3</v>
      </c>
    </row>
    <row r="1754" spans="1:6" x14ac:dyDescent="0.25">
      <c r="A1754" s="34" t="s">
        <v>16</v>
      </c>
      <c r="B1754" s="2">
        <v>43966</v>
      </c>
      <c r="C1754" s="1">
        <v>86</v>
      </c>
      <c r="D1754" s="47">
        <v>2497</v>
      </c>
      <c r="E1754" s="1">
        <v>2</v>
      </c>
      <c r="F1754" s="47">
        <f>E1754+F1730</f>
        <v>148</v>
      </c>
    </row>
    <row r="1755" spans="1:6" x14ac:dyDescent="0.25">
      <c r="A1755" s="5" t="s">
        <v>28</v>
      </c>
      <c r="B1755" s="2">
        <v>43966</v>
      </c>
      <c r="C1755" s="1">
        <v>0</v>
      </c>
      <c r="D1755" s="47">
        <v>0</v>
      </c>
      <c r="F1755" s="47">
        <f t="shared" ref="F1755:F1761" si="87">E1755+F1731</f>
        <v>0</v>
      </c>
    </row>
    <row r="1756" spans="1:6" x14ac:dyDescent="0.25">
      <c r="A1756" s="5" t="s">
        <v>15</v>
      </c>
      <c r="B1756" s="2">
        <v>43966</v>
      </c>
      <c r="C1756" s="1">
        <v>25</v>
      </c>
      <c r="D1756" s="47">
        <v>538</v>
      </c>
      <c r="E1756" s="1">
        <v>1</v>
      </c>
      <c r="F1756" s="47">
        <f t="shared" si="87"/>
        <v>24</v>
      </c>
    </row>
    <row r="1757" spans="1:6" x14ac:dyDescent="0.25">
      <c r="A1757" s="5" t="s">
        <v>29</v>
      </c>
      <c r="B1757" s="2">
        <v>43966</v>
      </c>
      <c r="C1757" s="1">
        <v>0</v>
      </c>
      <c r="D1757" s="47">
        <v>4</v>
      </c>
      <c r="F1757" s="47">
        <f t="shared" si="87"/>
        <v>1</v>
      </c>
    </row>
    <row r="1758" spans="1:6" x14ac:dyDescent="0.25">
      <c r="A1758" s="5" t="s">
        <v>43</v>
      </c>
      <c r="B1758" s="2">
        <v>43966</v>
      </c>
      <c r="C1758" s="1">
        <v>214</v>
      </c>
      <c r="D1758" s="47">
        <v>2832</v>
      </c>
      <c r="F1758" s="47">
        <f t="shared" si="87"/>
        <v>116</v>
      </c>
    </row>
    <row r="1759" spans="1:6" x14ac:dyDescent="0.25">
      <c r="A1759" s="5" t="s">
        <v>20</v>
      </c>
      <c r="B1759" s="2">
        <v>43966</v>
      </c>
      <c r="C1759" s="1">
        <v>3</v>
      </c>
      <c r="D1759" s="47">
        <v>369</v>
      </c>
      <c r="F1759" s="47">
        <f t="shared" si="87"/>
        <v>21</v>
      </c>
    </row>
    <row r="1760" spans="1:6" x14ac:dyDescent="0.25">
      <c r="A1760" s="5" t="s">
        <v>30</v>
      </c>
      <c r="B1760" s="2">
        <v>43966</v>
      </c>
      <c r="C1760" s="1">
        <v>0</v>
      </c>
      <c r="D1760" s="47">
        <v>79</v>
      </c>
      <c r="F1760" s="47">
        <f t="shared" si="87"/>
        <v>0</v>
      </c>
    </row>
    <row r="1761" spans="1:6" x14ac:dyDescent="0.25">
      <c r="A1761" s="5" t="s">
        <v>31</v>
      </c>
      <c r="B1761" s="2">
        <v>43966</v>
      </c>
      <c r="C1761" s="1">
        <v>0</v>
      </c>
      <c r="D1761" s="47">
        <v>29</v>
      </c>
      <c r="F1761" s="47">
        <f t="shared" si="87"/>
        <v>0</v>
      </c>
    </row>
    <row r="1762" spans="1:6" x14ac:dyDescent="0.25">
      <c r="A1762" s="5" t="s">
        <v>41</v>
      </c>
      <c r="B1762" s="2">
        <v>43966</v>
      </c>
      <c r="C1762" s="1">
        <v>0</v>
      </c>
      <c r="D1762" s="47">
        <v>0</v>
      </c>
      <c r="F1762" s="47">
        <f t="shared" ref="F1762:F1776" si="88">E1762+F1737</f>
        <v>0</v>
      </c>
    </row>
    <row r="1763" spans="1:6" x14ac:dyDescent="0.25">
      <c r="A1763" s="5" t="s">
        <v>32</v>
      </c>
      <c r="B1763" s="2">
        <v>43966</v>
      </c>
      <c r="C1763" s="1">
        <v>0</v>
      </c>
      <c r="D1763" s="47">
        <v>5</v>
      </c>
      <c r="F1763" s="47">
        <f t="shared" si="88"/>
        <v>0</v>
      </c>
    </row>
    <row r="1764" spans="1:6" x14ac:dyDescent="0.25">
      <c r="A1764" s="5" t="s">
        <v>33</v>
      </c>
      <c r="B1764" s="2">
        <v>43966</v>
      </c>
      <c r="C1764" s="1">
        <v>0</v>
      </c>
      <c r="D1764" s="47">
        <v>5</v>
      </c>
      <c r="F1764" s="47">
        <f t="shared" si="88"/>
        <v>0</v>
      </c>
    </row>
    <row r="1765" spans="1:6" x14ac:dyDescent="0.25">
      <c r="A1765" s="5" t="s">
        <v>21</v>
      </c>
      <c r="B1765" s="2">
        <v>43966</v>
      </c>
      <c r="C1765" s="1">
        <v>0</v>
      </c>
      <c r="D1765" s="47">
        <v>60</v>
      </c>
      <c r="F1765" s="47">
        <f t="shared" si="88"/>
        <v>0</v>
      </c>
    </row>
    <row r="1766" spans="1:6" x14ac:dyDescent="0.25">
      <c r="A1766" s="5" t="s">
        <v>17</v>
      </c>
      <c r="B1766" s="2">
        <v>43966</v>
      </c>
      <c r="C1766" s="1">
        <v>-1</v>
      </c>
      <c r="D1766" s="47">
        <v>87</v>
      </c>
      <c r="F1766" s="47">
        <f t="shared" si="88"/>
        <v>0</v>
      </c>
    </row>
    <row r="1767" spans="1:6" x14ac:dyDescent="0.25">
      <c r="A1767" s="5" t="s">
        <v>23</v>
      </c>
      <c r="B1767" s="2">
        <v>43966</v>
      </c>
      <c r="C1767" s="1">
        <v>0</v>
      </c>
      <c r="D1767" s="47">
        <v>25</v>
      </c>
      <c r="F1767" s="47">
        <f t="shared" si="88"/>
        <v>0</v>
      </c>
    </row>
    <row r="1768" spans="1:6" x14ac:dyDescent="0.25">
      <c r="A1768" s="5" t="s">
        <v>19</v>
      </c>
      <c r="B1768" s="2">
        <v>43966</v>
      </c>
      <c r="C1768" s="1">
        <v>0</v>
      </c>
      <c r="D1768" s="47">
        <v>114</v>
      </c>
      <c r="F1768" s="47">
        <f t="shared" si="88"/>
        <v>0</v>
      </c>
    </row>
    <row r="1769" spans="1:6" x14ac:dyDescent="0.25">
      <c r="A1769" s="5" t="s">
        <v>18</v>
      </c>
      <c r="B1769" s="2">
        <v>43966</v>
      </c>
      <c r="C1769" s="1">
        <v>17</v>
      </c>
      <c r="D1769" s="47">
        <v>315</v>
      </c>
      <c r="F1769" s="47">
        <f t="shared" si="88"/>
        <v>0</v>
      </c>
    </row>
    <row r="1770" spans="1:6" x14ac:dyDescent="0.25">
      <c r="A1770" s="5" t="s">
        <v>34</v>
      </c>
      <c r="B1770" s="2">
        <v>43966</v>
      </c>
      <c r="C1770" s="1">
        <v>0</v>
      </c>
      <c r="D1770" s="47">
        <v>5</v>
      </c>
      <c r="F1770" s="47">
        <f t="shared" si="88"/>
        <v>1</v>
      </c>
    </row>
    <row r="1771" spans="1:6" x14ac:dyDescent="0.25">
      <c r="A1771" s="5" t="s">
        <v>35</v>
      </c>
      <c r="B1771" s="2">
        <v>43966</v>
      </c>
      <c r="C1771" s="1">
        <v>0</v>
      </c>
      <c r="D1771" s="47">
        <v>3</v>
      </c>
      <c r="F1771" s="47">
        <f>E1771+F1747</f>
        <v>0</v>
      </c>
    </row>
    <row r="1772" spans="1:6" x14ac:dyDescent="0.25">
      <c r="A1772" s="5" t="s">
        <v>36</v>
      </c>
      <c r="B1772" s="2">
        <v>43966</v>
      </c>
      <c r="C1772" s="1">
        <v>0</v>
      </c>
      <c r="D1772" s="47">
        <v>11</v>
      </c>
      <c r="F1772" s="47">
        <f t="shared" si="88"/>
        <v>0</v>
      </c>
    </row>
    <row r="1773" spans="1:6" x14ac:dyDescent="0.25">
      <c r="A1773" s="5" t="s">
        <v>37</v>
      </c>
      <c r="B1773" s="2">
        <v>43966</v>
      </c>
      <c r="C1773" s="1">
        <v>0</v>
      </c>
      <c r="D1773" s="47">
        <v>49</v>
      </c>
      <c r="F1773" s="47">
        <f t="shared" si="88"/>
        <v>0</v>
      </c>
    </row>
    <row r="1774" spans="1:6" x14ac:dyDescent="0.25">
      <c r="A1774" s="5" t="s">
        <v>22</v>
      </c>
      <c r="B1774" s="2">
        <v>43966</v>
      </c>
      <c r="C1774" s="1">
        <v>0</v>
      </c>
      <c r="D1774" s="47">
        <v>244</v>
      </c>
      <c r="F1774" s="47">
        <f>E1774+F1750</f>
        <v>3</v>
      </c>
    </row>
    <row r="1775" spans="1:6" x14ac:dyDescent="0.25">
      <c r="A1775" s="5" t="s">
        <v>38</v>
      </c>
      <c r="B1775" s="2">
        <v>43966</v>
      </c>
      <c r="C1775" s="1">
        <v>0</v>
      </c>
      <c r="D1775" s="47">
        <v>16</v>
      </c>
      <c r="F1775" s="47">
        <f>E1775+F1751</f>
        <v>0</v>
      </c>
    </row>
    <row r="1776" spans="1:6" x14ac:dyDescent="0.25">
      <c r="A1776" s="5" t="s">
        <v>39</v>
      </c>
      <c r="B1776" s="2">
        <v>43966</v>
      </c>
      <c r="C1776" s="1">
        <v>0</v>
      </c>
      <c r="D1776" s="47">
        <v>148</v>
      </c>
      <c r="F1776" s="47">
        <f t="shared" si="88"/>
        <v>0</v>
      </c>
    </row>
    <row r="1777" spans="1:6" x14ac:dyDescent="0.25">
      <c r="A1777" s="5" t="s">
        <v>40</v>
      </c>
      <c r="B1777" s="2">
        <v>43966</v>
      </c>
      <c r="C1777" s="1">
        <v>0</v>
      </c>
      <c r="D1777" s="47">
        <v>42</v>
      </c>
      <c r="F1777" s="47">
        <f>E1777+F1753</f>
        <v>3</v>
      </c>
    </row>
    <row r="1778" spans="1:6" x14ac:dyDescent="0.25">
      <c r="A1778" s="34" t="s">
        <v>16</v>
      </c>
      <c r="B1778" s="2">
        <v>43967</v>
      </c>
      <c r="C1778" s="1">
        <v>97</v>
      </c>
      <c r="D1778" s="47">
        <v>2594</v>
      </c>
      <c r="E1778" s="1">
        <v>2</v>
      </c>
      <c r="F1778" s="47">
        <f>E1778+F1754</f>
        <v>150</v>
      </c>
    </row>
    <row r="1779" spans="1:6" x14ac:dyDescent="0.25">
      <c r="A1779" s="5" t="s">
        <v>28</v>
      </c>
      <c r="B1779" s="2">
        <v>43967</v>
      </c>
      <c r="C1779" s="1">
        <v>0</v>
      </c>
      <c r="D1779" s="47">
        <v>0</v>
      </c>
      <c r="F1779" s="47">
        <f t="shared" ref="F1779:F1785" si="89">E1779+F1755</f>
        <v>0</v>
      </c>
    </row>
    <row r="1780" spans="1:6" x14ac:dyDescent="0.25">
      <c r="A1780" s="5" t="s">
        <v>15</v>
      </c>
      <c r="B1780" s="2">
        <v>43967</v>
      </c>
      <c r="C1780" s="1">
        <v>21</v>
      </c>
      <c r="D1780" s="47">
        <v>559</v>
      </c>
      <c r="E1780" s="1">
        <v>1</v>
      </c>
      <c r="F1780" s="47">
        <f t="shared" si="89"/>
        <v>25</v>
      </c>
    </row>
    <row r="1781" spans="1:6" x14ac:dyDescent="0.25">
      <c r="A1781" s="5" t="s">
        <v>29</v>
      </c>
      <c r="B1781" s="2">
        <v>43967</v>
      </c>
      <c r="C1781" s="1">
        <v>0</v>
      </c>
      <c r="D1781" s="47">
        <v>4</v>
      </c>
      <c r="F1781" s="47">
        <f t="shared" si="89"/>
        <v>1</v>
      </c>
    </row>
    <row r="1782" spans="1:6" x14ac:dyDescent="0.25">
      <c r="A1782" s="5" t="s">
        <v>43</v>
      </c>
      <c r="B1782" s="2">
        <v>43967</v>
      </c>
      <c r="C1782" s="1">
        <v>193</v>
      </c>
      <c r="D1782" s="47">
        <v>3025</v>
      </c>
      <c r="E1782" s="1">
        <v>4</v>
      </c>
      <c r="F1782" s="47">
        <f t="shared" si="89"/>
        <v>120</v>
      </c>
    </row>
    <row r="1783" spans="1:6" x14ac:dyDescent="0.25">
      <c r="A1783" s="5" t="s">
        <v>20</v>
      </c>
      <c r="B1783" s="2">
        <v>43967</v>
      </c>
      <c r="C1783" s="1">
        <v>9</v>
      </c>
      <c r="D1783" s="47">
        <v>378</v>
      </c>
      <c r="F1783" s="47">
        <f t="shared" si="89"/>
        <v>21</v>
      </c>
    </row>
    <row r="1784" spans="1:6" x14ac:dyDescent="0.25">
      <c r="A1784" s="5" t="s">
        <v>30</v>
      </c>
      <c r="B1784" s="2">
        <v>43967</v>
      </c>
      <c r="C1784" s="1">
        <v>0</v>
      </c>
      <c r="D1784" s="47">
        <v>79</v>
      </c>
      <c r="F1784" s="47">
        <f t="shared" si="89"/>
        <v>0</v>
      </c>
    </row>
    <row r="1785" spans="1:6" x14ac:dyDescent="0.25">
      <c r="A1785" s="5" t="s">
        <v>31</v>
      </c>
      <c r="B1785" s="2">
        <v>43967</v>
      </c>
      <c r="C1785" s="1">
        <v>0</v>
      </c>
      <c r="D1785" s="47">
        <v>29</v>
      </c>
      <c r="F1785" s="47">
        <f t="shared" si="89"/>
        <v>0</v>
      </c>
    </row>
    <row r="1786" spans="1:6" x14ac:dyDescent="0.25">
      <c r="A1786" s="5" t="s">
        <v>41</v>
      </c>
      <c r="B1786" s="2">
        <v>43967</v>
      </c>
      <c r="C1786" s="1">
        <v>0</v>
      </c>
      <c r="D1786" s="47">
        <v>0</v>
      </c>
      <c r="F1786" s="47">
        <f t="shared" ref="F1786:F1800" si="90">E1786+F1761</f>
        <v>0</v>
      </c>
    </row>
    <row r="1787" spans="1:6" x14ac:dyDescent="0.25">
      <c r="A1787" s="5" t="s">
        <v>32</v>
      </c>
      <c r="B1787" s="2">
        <v>43967</v>
      </c>
      <c r="C1787" s="1">
        <v>0</v>
      </c>
      <c r="D1787" s="47">
        <v>5</v>
      </c>
      <c r="F1787" s="47">
        <f t="shared" si="90"/>
        <v>0</v>
      </c>
    </row>
    <row r="1788" spans="1:6" x14ac:dyDescent="0.25">
      <c r="A1788" s="5" t="s">
        <v>33</v>
      </c>
      <c r="B1788" s="2">
        <v>43967</v>
      </c>
      <c r="C1788" s="1">
        <v>0</v>
      </c>
      <c r="D1788" s="47">
        <v>5</v>
      </c>
      <c r="F1788" s="47">
        <f t="shared" si="90"/>
        <v>0</v>
      </c>
    </row>
    <row r="1789" spans="1:6" x14ac:dyDescent="0.25">
      <c r="A1789" s="5" t="s">
        <v>21</v>
      </c>
      <c r="B1789" s="2">
        <v>43967</v>
      </c>
      <c r="C1789" s="1">
        <v>0</v>
      </c>
      <c r="D1789" s="47">
        <v>60</v>
      </c>
      <c r="F1789" s="47">
        <f t="shared" si="90"/>
        <v>0</v>
      </c>
    </row>
    <row r="1790" spans="1:6" x14ac:dyDescent="0.25">
      <c r="A1790" s="5" t="s">
        <v>17</v>
      </c>
      <c r="B1790" s="2">
        <v>43967</v>
      </c>
      <c r="C1790" s="1">
        <v>0</v>
      </c>
      <c r="D1790" s="47">
        <v>87</v>
      </c>
      <c r="F1790" s="47">
        <f t="shared" si="90"/>
        <v>0</v>
      </c>
    </row>
    <row r="1791" spans="1:6" x14ac:dyDescent="0.25">
      <c r="A1791" s="5" t="s">
        <v>23</v>
      </c>
      <c r="B1791" s="2">
        <v>43967</v>
      </c>
      <c r="C1791" s="1">
        <v>0</v>
      </c>
      <c r="D1791" s="47">
        <v>25</v>
      </c>
      <c r="F1791" s="47">
        <f t="shared" si="90"/>
        <v>0</v>
      </c>
    </row>
    <row r="1792" spans="1:6" x14ac:dyDescent="0.25">
      <c r="A1792" s="5" t="s">
        <v>19</v>
      </c>
      <c r="B1792" s="2">
        <v>43967</v>
      </c>
      <c r="C1792" s="1">
        <v>0</v>
      </c>
      <c r="D1792" s="47">
        <v>114</v>
      </c>
      <c r="F1792" s="47">
        <f t="shared" si="90"/>
        <v>0</v>
      </c>
    </row>
    <row r="1793" spans="1:6" x14ac:dyDescent="0.25">
      <c r="A1793" s="5" t="s">
        <v>18</v>
      </c>
      <c r="B1793" s="2">
        <v>43967</v>
      </c>
      <c r="C1793" s="1">
        <v>6</v>
      </c>
      <c r="D1793" s="47">
        <v>321</v>
      </c>
      <c r="F1793" s="47">
        <f t="shared" si="90"/>
        <v>0</v>
      </c>
    </row>
    <row r="1794" spans="1:6" x14ac:dyDescent="0.25">
      <c r="A1794" s="5" t="s">
        <v>34</v>
      </c>
      <c r="B1794" s="2">
        <v>43967</v>
      </c>
      <c r="C1794" s="1">
        <v>0</v>
      </c>
      <c r="D1794" s="47">
        <v>5</v>
      </c>
      <c r="F1794" s="47">
        <f t="shared" si="90"/>
        <v>0</v>
      </c>
    </row>
    <row r="1795" spans="1:6" x14ac:dyDescent="0.25">
      <c r="A1795" s="5" t="s">
        <v>35</v>
      </c>
      <c r="B1795" s="2">
        <v>43967</v>
      </c>
      <c r="C1795" s="1">
        <v>0</v>
      </c>
      <c r="D1795" s="47">
        <v>3</v>
      </c>
      <c r="F1795" s="47">
        <f>E1795+F1771</f>
        <v>0</v>
      </c>
    </row>
    <row r="1796" spans="1:6" x14ac:dyDescent="0.25">
      <c r="A1796" s="5" t="s">
        <v>36</v>
      </c>
      <c r="B1796" s="2">
        <v>43967</v>
      </c>
      <c r="C1796" s="1">
        <v>0</v>
      </c>
      <c r="D1796" s="47">
        <v>11</v>
      </c>
      <c r="F1796" s="47">
        <f t="shared" si="90"/>
        <v>0</v>
      </c>
    </row>
    <row r="1797" spans="1:6" x14ac:dyDescent="0.25">
      <c r="A1797" s="5" t="s">
        <v>37</v>
      </c>
      <c r="B1797" s="2">
        <v>43967</v>
      </c>
      <c r="C1797" s="1">
        <v>0</v>
      </c>
      <c r="D1797" s="47">
        <v>49</v>
      </c>
      <c r="F1797" s="47">
        <f t="shared" si="90"/>
        <v>0</v>
      </c>
    </row>
    <row r="1798" spans="1:6" x14ac:dyDescent="0.25">
      <c r="A1798" s="5" t="s">
        <v>22</v>
      </c>
      <c r="B1798" s="2">
        <v>43967</v>
      </c>
      <c r="C1798" s="1">
        <v>1</v>
      </c>
      <c r="D1798" s="47">
        <v>245</v>
      </c>
      <c r="F1798" s="47">
        <f>E1798+F1774</f>
        <v>3</v>
      </c>
    </row>
    <row r="1799" spans="1:6" x14ac:dyDescent="0.25">
      <c r="A1799" s="5" t="s">
        <v>38</v>
      </c>
      <c r="B1799" s="2">
        <v>43967</v>
      </c>
      <c r="C1799" s="1">
        <v>0</v>
      </c>
      <c r="D1799" s="47">
        <v>16</v>
      </c>
      <c r="F1799" s="47">
        <f>E1799+F1775</f>
        <v>0</v>
      </c>
    </row>
    <row r="1800" spans="1:6" x14ac:dyDescent="0.25">
      <c r="A1800" s="5" t="s">
        <v>39</v>
      </c>
      <c r="B1800" s="2">
        <v>43967</v>
      </c>
      <c r="C1800" s="1">
        <v>0</v>
      </c>
      <c r="D1800" s="47">
        <v>148</v>
      </c>
      <c r="F1800" s="47">
        <f t="shared" si="90"/>
        <v>0</v>
      </c>
    </row>
    <row r="1801" spans="1:6" x14ac:dyDescent="0.25">
      <c r="A1801" s="5" t="s">
        <v>40</v>
      </c>
      <c r="B1801" s="2">
        <v>43967</v>
      </c>
      <c r="C1801" s="1">
        <v>0</v>
      </c>
      <c r="D1801" s="47">
        <v>42</v>
      </c>
      <c r="F1801" s="47">
        <f>E1801+F1777</f>
        <v>3</v>
      </c>
    </row>
    <row r="1802" spans="1:6" x14ac:dyDescent="0.25">
      <c r="A1802" s="34" t="s">
        <v>16</v>
      </c>
      <c r="B1802" s="2">
        <v>43968</v>
      </c>
      <c r="C1802" s="1">
        <v>74</v>
      </c>
      <c r="D1802" s="47">
        <v>2668</v>
      </c>
      <c r="E1802" s="1">
        <v>3</v>
      </c>
      <c r="F1802" s="47">
        <f>E1802+F1778</f>
        <v>153</v>
      </c>
    </row>
    <row r="1803" spans="1:6" x14ac:dyDescent="0.25">
      <c r="A1803" s="5" t="s">
        <v>28</v>
      </c>
      <c r="B1803" s="2">
        <v>43968</v>
      </c>
      <c r="C1803" s="1">
        <v>0</v>
      </c>
      <c r="D1803" s="47">
        <v>0</v>
      </c>
      <c r="F1803" s="47">
        <f t="shared" ref="F1803:F1809" si="91">E1803+F1779</f>
        <v>0</v>
      </c>
    </row>
    <row r="1804" spans="1:6" x14ac:dyDescent="0.25">
      <c r="A1804" s="5" t="s">
        <v>15</v>
      </c>
      <c r="B1804" s="2">
        <v>43968</v>
      </c>
      <c r="C1804" s="1">
        <v>19</v>
      </c>
      <c r="D1804" s="47">
        <v>578</v>
      </c>
      <c r="E1804" s="1">
        <v>2</v>
      </c>
      <c r="F1804" s="47">
        <f t="shared" si="91"/>
        <v>27</v>
      </c>
    </row>
    <row r="1805" spans="1:6" x14ac:dyDescent="0.25">
      <c r="A1805" s="5" t="s">
        <v>29</v>
      </c>
      <c r="B1805" s="2">
        <v>43968</v>
      </c>
      <c r="C1805" s="1">
        <v>0</v>
      </c>
      <c r="D1805" s="47">
        <v>4</v>
      </c>
      <c r="F1805" s="47">
        <f t="shared" si="91"/>
        <v>1</v>
      </c>
    </row>
    <row r="1806" spans="1:6" x14ac:dyDescent="0.25">
      <c r="A1806" s="5" t="s">
        <v>43</v>
      </c>
      <c r="B1806" s="2">
        <v>43968</v>
      </c>
      <c r="C1806" s="1">
        <v>147</v>
      </c>
      <c r="D1806" s="47">
        <v>3172</v>
      </c>
      <c r="E1806" s="1">
        <v>2</v>
      </c>
      <c r="F1806" s="47">
        <f t="shared" si="91"/>
        <v>122</v>
      </c>
    </row>
    <row r="1807" spans="1:6" x14ac:dyDescent="0.25">
      <c r="A1807" s="5" t="s">
        <v>20</v>
      </c>
      <c r="B1807" s="2">
        <v>43968</v>
      </c>
      <c r="C1807" s="1">
        <v>20</v>
      </c>
      <c r="D1807" s="47">
        <v>398</v>
      </c>
      <c r="E1807" s="1">
        <v>2</v>
      </c>
      <c r="F1807" s="47">
        <f t="shared" si="91"/>
        <v>23</v>
      </c>
    </row>
    <row r="1808" spans="1:6" x14ac:dyDescent="0.25">
      <c r="A1808" s="5" t="s">
        <v>30</v>
      </c>
      <c r="B1808" s="2">
        <v>43968</v>
      </c>
      <c r="C1808" s="1">
        <v>0</v>
      </c>
      <c r="D1808" s="47">
        <v>79</v>
      </c>
      <c r="F1808" s="47">
        <f t="shared" si="91"/>
        <v>0</v>
      </c>
    </row>
    <row r="1809" spans="1:6" x14ac:dyDescent="0.25">
      <c r="A1809" s="5" t="s">
        <v>31</v>
      </c>
      <c r="B1809" s="2">
        <v>43968</v>
      </c>
      <c r="C1809" s="1">
        <v>0</v>
      </c>
      <c r="D1809" s="47">
        <v>29</v>
      </c>
      <c r="F1809" s="47">
        <f t="shared" si="91"/>
        <v>0</v>
      </c>
    </row>
    <row r="1810" spans="1:6" x14ac:dyDescent="0.25">
      <c r="A1810" s="5" t="s">
        <v>41</v>
      </c>
      <c r="B1810" s="2">
        <v>43968</v>
      </c>
      <c r="C1810" s="1">
        <v>0</v>
      </c>
      <c r="D1810" s="47">
        <v>0</v>
      </c>
      <c r="F1810" s="47">
        <f t="shared" ref="F1810:F1824" si="92">E1810+F1785</f>
        <v>0</v>
      </c>
    </row>
    <row r="1811" spans="1:6" x14ac:dyDescent="0.25">
      <c r="A1811" s="5" t="s">
        <v>32</v>
      </c>
      <c r="B1811" s="2">
        <v>43968</v>
      </c>
      <c r="C1811" s="1">
        <v>0</v>
      </c>
      <c r="D1811" s="47">
        <v>5</v>
      </c>
      <c r="F1811" s="47">
        <f t="shared" si="92"/>
        <v>0</v>
      </c>
    </row>
    <row r="1812" spans="1:6" x14ac:dyDescent="0.25">
      <c r="A1812" s="5" t="s">
        <v>33</v>
      </c>
      <c r="B1812" s="2">
        <v>43968</v>
      </c>
      <c r="C1812" s="1">
        <v>0</v>
      </c>
      <c r="D1812" s="47">
        <v>5</v>
      </c>
      <c r="F1812" s="47">
        <f t="shared" si="92"/>
        <v>0</v>
      </c>
    </row>
    <row r="1813" spans="1:6" x14ac:dyDescent="0.25">
      <c r="A1813" s="5" t="s">
        <v>21</v>
      </c>
      <c r="B1813" s="2">
        <v>43968</v>
      </c>
      <c r="C1813" s="1">
        <v>1</v>
      </c>
      <c r="D1813" s="47">
        <v>61</v>
      </c>
      <c r="F1813" s="47">
        <f t="shared" si="92"/>
        <v>0</v>
      </c>
    </row>
    <row r="1814" spans="1:6" x14ac:dyDescent="0.25">
      <c r="A1814" s="5" t="s">
        <v>17</v>
      </c>
      <c r="B1814" s="2">
        <v>43968</v>
      </c>
      <c r="C1814" s="1">
        <v>0</v>
      </c>
      <c r="D1814" s="47">
        <v>87</v>
      </c>
      <c r="F1814" s="47">
        <f t="shared" si="92"/>
        <v>0</v>
      </c>
    </row>
    <row r="1815" spans="1:6" x14ac:dyDescent="0.25">
      <c r="A1815" s="5" t="s">
        <v>23</v>
      </c>
      <c r="B1815" s="2">
        <v>43968</v>
      </c>
      <c r="C1815" s="1">
        <v>0</v>
      </c>
      <c r="D1815" s="47">
        <v>25</v>
      </c>
      <c r="F1815" s="47">
        <f t="shared" si="92"/>
        <v>0</v>
      </c>
    </row>
    <row r="1816" spans="1:6" x14ac:dyDescent="0.25">
      <c r="A1816" s="5" t="s">
        <v>19</v>
      </c>
      <c r="B1816" s="2">
        <v>43968</v>
      </c>
      <c r="C1816" s="1">
        <v>0</v>
      </c>
      <c r="D1816" s="47">
        <v>114</v>
      </c>
      <c r="F1816" s="47">
        <f t="shared" si="92"/>
        <v>0</v>
      </c>
    </row>
    <row r="1817" spans="1:6" x14ac:dyDescent="0.25">
      <c r="A1817" s="5" t="s">
        <v>18</v>
      </c>
      <c r="B1817" s="2">
        <v>43968</v>
      </c>
      <c r="C1817" s="1">
        <v>2</v>
      </c>
      <c r="D1817" s="47">
        <v>323</v>
      </c>
      <c r="E1817" s="1">
        <v>1</v>
      </c>
      <c r="F1817" s="47">
        <f t="shared" si="92"/>
        <v>1</v>
      </c>
    </row>
    <row r="1818" spans="1:6" x14ac:dyDescent="0.25">
      <c r="A1818" s="5" t="s">
        <v>34</v>
      </c>
      <c r="B1818" s="2">
        <v>43968</v>
      </c>
      <c r="C1818" s="1">
        <v>0</v>
      </c>
      <c r="D1818" s="47">
        <v>5</v>
      </c>
      <c r="F1818" s="47">
        <f t="shared" si="92"/>
        <v>0</v>
      </c>
    </row>
    <row r="1819" spans="1:6" x14ac:dyDescent="0.25">
      <c r="A1819" s="5" t="s">
        <v>35</v>
      </c>
      <c r="B1819" s="2">
        <v>43968</v>
      </c>
      <c r="C1819" s="1">
        <v>0</v>
      </c>
      <c r="D1819" s="47">
        <v>3</v>
      </c>
      <c r="F1819" s="47">
        <f>E1819+F1795</f>
        <v>0</v>
      </c>
    </row>
    <row r="1820" spans="1:6" x14ac:dyDescent="0.25">
      <c r="A1820" s="5" t="s">
        <v>36</v>
      </c>
      <c r="B1820" s="2">
        <v>43968</v>
      </c>
      <c r="C1820" s="1">
        <v>0</v>
      </c>
      <c r="D1820" s="47">
        <v>11</v>
      </c>
      <c r="F1820" s="47">
        <f t="shared" si="92"/>
        <v>0</v>
      </c>
    </row>
    <row r="1821" spans="1:6" x14ac:dyDescent="0.25">
      <c r="A1821" s="5" t="s">
        <v>37</v>
      </c>
      <c r="B1821" s="2">
        <v>43968</v>
      </c>
      <c r="C1821" s="1">
        <v>0</v>
      </c>
      <c r="D1821" s="47">
        <v>49</v>
      </c>
      <c r="F1821" s="47">
        <f t="shared" si="92"/>
        <v>0</v>
      </c>
    </row>
    <row r="1822" spans="1:6" x14ac:dyDescent="0.25">
      <c r="A1822" s="5" t="s">
        <v>22</v>
      </c>
      <c r="B1822" s="2">
        <v>43968</v>
      </c>
      <c r="C1822" s="1">
        <v>0</v>
      </c>
      <c r="D1822" s="47">
        <v>245</v>
      </c>
      <c r="F1822" s="47">
        <f>E1822+F1798</f>
        <v>3</v>
      </c>
    </row>
    <row r="1823" spans="1:6" x14ac:dyDescent="0.25">
      <c r="A1823" s="5" t="s">
        <v>38</v>
      </c>
      <c r="B1823" s="2">
        <v>43968</v>
      </c>
      <c r="C1823" s="1">
        <v>0</v>
      </c>
      <c r="D1823" s="47">
        <v>16</v>
      </c>
      <c r="F1823" s="47">
        <f>E1823+F1799</f>
        <v>0</v>
      </c>
    </row>
    <row r="1824" spans="1:6" x14ac:dyDescent="0.25">
      <c r="A1824" s="5" t="s">
        <v>39</v>
      </c>
      <c r="B1824" s="2">
        <v>43968</v>
      </c>
      <c r="C1824" s="1">
        <v>0</v>
      </c>
      <c r="D1824" s="47">
        <v>148</v>
      </c>
      <c r="F1824" s="47">
        <f t="shared" si="92"/>
        <v>0</v>
      </c>
    </row>
    <row r="1825" spans="1:6" x14ac:dyDescent="0.25">
      <c r="A1825" s="5" t="s">
        <v>40</v>
      </c>
      <c r="B1825" s="2">
        <v>43968</v>
      </c>
      <c r="C1825" s="1">
        <v>0</v>
      </c>
      <c r="D1825" s="47">
        <v>42</v>
      </c>
      <c r="F1825" s="47">
        <f>E1825+F1801</f>
        <v>3</v>
      </c>
    </row>
    <row r="1826" spans="1:6" x14ac:dyDescent="0.25">
      <c r="A1826" s="34" t="s">
        <v>16</v>
      </c>
      <c r="B1826" s="2">
        <v>43969</v>
      </c>
      <c r="C1826" s="1">
        <v>93</v>
      </c>
      <c r="D1826" s="47">
        <v>2761</v>
      </c>
      <c r="E1826" s="1">
        <v>2</v>
      </c>
      <c r="F1826" s="47">
        <f>E1826+F1802</f>
        <v>155</v>
      </c>
    </row>
    <row r="1827" spans="1:6" x14ac:dyDescent="0.25">
      <c r="A1827" s="5" t="s">
        <v>28</v>
      </c>
      <c r="B1827" s="2">
        <v>43969</v>
      </c>
      <c r="C1827" s="1">
        <v>0</v>
      </c>
      <c r="D1827" s="47">
        <v>0</v>
      </c>
      <c r="F1827" s="47">
        <f t="shared" ref="F1827:F1833" si="93">E1827+F1803</f>
        <v>0</v>
      </c>
    </row>
    <row r="1828" spans="1:6" x14ac:dyDescent="0.25">
      <c r="A1828" s="5" t="s">
        <v>15</v>
      </c>
      <c r="B1828" s="2">
        <v>43969</v>
      </c>
      <c r="C1828" s="1">
        <v>13</v>
      </c>
      <c r="D1828" s="47">
        <v>591</v>
      </c>
      <c r="E1828" s="1">
        <v>2</v>
      </c>
      <c r="F1828" s="47">
        <f t="shared" si="93"/>
        <v>29</v>
      </c>
    </row>
    <row r="1829" spans="1:6" x14ac:dyDescent="0.25">
      <c r="A1829" s="5" t="s">
        <v>29</v>
      </c>
      <c r="B1829" s="2">
        <v>43969</v>
      </c>
      <c r="C1829" s="1">
        <v>0</v>
      </c>
      <c r="D1829" s="47">
        <v>4</v>
      </c>
      <c r="F1829" s="47">
        <f t="shared" si="93"/>
        <v>1</v>
      </c>
    </row>
    <row r="1830" spans="1:6" x14ac:dyDescent="0.25">
      <c r="A1830" s="5" t="s">
        <v>43</v>
      </c>
      <c r="B1830" s="2">
        <v>43969</v>
      </c>
      <c r="C1830" s="1">
        <v>169</v>
      </c>
      <c r="D1830" s="47">
        <v>3341</v>
      </c>
      <c r="E1830" s="1">
        <v>5</v>
      </c>
      <c r="F1830" s="47">
        <f t="shared" si="93"/>
        <v>127</v>
      </c>
    </row>
    <row r="1831" spans="1:6" x14ac:dyDescent="0.25">
      <c r="A1831" s="5" t="s">
        <v>20</v>
      </c>
      <c r="B1831" s="2">
        <v>43969</v>
      </c>
      <c r="C1831" s="1">
        <v>20</v>
      </c>
      <c r="D1831" s="47">
        <v>418</v>
      </c>
      <c r="F1831" s="47">
        <f t="shared" si="93"/>
        <v>23</v>
      </c>
    </row>
    <row r="1832" spans="1:6" x14ac:dyDescent="0.25">
      <c r="A1832" s="5" t="s">
        <v>30</v>
      </c>
      <c r="B1832" s="2">
        <v>43969</v>
      </c>
      <c r="C1832" s="1">
        <v>-1</v>
      </c>
      <c r="D1832" s="47">
        <v>78</v>
      </c>
      <c r="F1832" s="47">
        <f t="shared" si="93"/>
        <v>0</v>
      </c>
    </row>
    <row r="1833" spans="1:6" x14ac:dyDescent="0.25">
      <c r="A1833" s="5" t="s">
        <v>31</v>
      </c>
      <c r="B1833" s="2">
        <v>43969</v>
      </c>
      <c r="C1833" s="1">
        <v>0</v>
      </c>
      <c r="D1833" s="47">
        <v>29</v>
      </c>
      <c r="F1833" s="47">
        <f t="shared" si="93"/>
        <v>0</v>
      </c>
    </row>
    <row r="1834" spans="1:6" x14ac:dyDescent="0.25">
      <c r="A1834" s="5" t="s">
        <v>41</v>
      </c>
      <c r="B1834" s="2">
        <v>43969</v>
      </c>
      <c r="C1834" s="1">
        <v>0</v>
      </c>
      <c r="D1834" s="47">
        <v>0</v>
      </c>
      <c r="F1834" s="47">
        <f t="shared" ref="F1834:F1848" si="94">E1834+F1809</f>
        <v>0</v>
      </c>
    </row>
    <row r="1835" spans="1:6" x14ac:dyDescent="0.25">
      <c r="A1835" s="5" t="s">
        <v>32</v>
      </c>
      <c r="B1835" s="2">
        <v>43969</v>
      </c>
      <c r="C1835" s="1">
        <v>0</v>
      </c>
      <c r="D1835" s="47">
        <v>5</v>
      </c>
      <c r="F1835" s="47">
        <f t="shared" si="94"/>
        <v>0</v>
      </c>
    </row>
    <row r="1836" spans="1:6" x14ac:dyDescent="0.25">
      <c r="A1836" s="5" t="s">
        <v>33</v>
      </c>
      <c r="B1836" s="2">
        <v>43969</v>
      </c>
      <c r="C1836" s="1">
        <v>0</v>
      </c>
      <c r="D1836" s="47">
        <v>5</v>
      </c>
      <c r="F1836" s="47">
        <f t="shared" si="94"/>
        <v>0</v>
      </c>
    </row>
    <row r="1837" spans="1:6" x14ac:dyDescent="0.25">
      <c r="A1837" s="5" t="s">
        <v>21</v>
      </c>
      <c r="B1837" s="2">
        <v>43969</v>
      </c>
      <c r="C1837" s="1">
        <v>2</v>
      </c>
      <c r="D1837" s="47">
        <v>63</v>
      </c>
      <c r="F1837" s="47">
        <f t="shared" si="94"/>
        <v>0</v>
      </c>
    </row>
    <row r="1838" spans="1:6" x14ac:dyDescent="0.25">
      <c r="A1838" s="5" t="s">
        <v>17</v>
      </c>
      <c r="B1838" s="2">
        <v>43969</v>
      </c>
      <c r="C1838" s="1">
        <v>0</v>
      </c>
      <c r="D1838" s="47">
        <v>87</v>
      </c>
      <c r="F1838" s="47">
        <f t="shared" si="94"/>
        <v>0</v>
      </c>
    </row>
    <row r="1839" spans="1:6" x14ac:dyDescent="0.25">
      <c r="A1839" s="5" t="s">
        <v>23</v>
      </c>
      <c r="B1839" s="2">
        <v>43969</v>
      </c>
      <c r="C1839" s="1">
        <v>0</v>
      </c>
      <c r="D1839" s="47">
        <v>25</v>
      </c>
      <c r="F1839" s="47">
        <f t="shared" si="94"/>
        <v>0</v>
      </c>
    </row>
    <row r="1840" spans="1:6" x14ac:dyDescent="0.25">
      <c r="A1840" s="5" t="s">
        <v>19</v>
      </c>
      <c r="B1840" s="2">
        <v>43969</v>
      </c>
      <c r="C1840" s="1">
        <v>0</v>
      </c>
      <c r="D1840" s="47">
        <v>114</v>
      </c>
      <c r="F1840" s="47">
        <f t="shared" si="94"/>
        <v>0</v>
      </c>
    </row>
    <row r="1841" spans="1:6" x14ac:dyDescent="0.25">
      <c r="A1841" s="5" t="s">
        <v>18</v>
      </c>
      <c r="B1841" s="2">
        <v>43969</v>
      </c>
      <c r="C1841" s="1">
        <v>2</v>
      </c>
      <c r="D1841" s="47">
        <v>325</v>
      </c>
      <c r="F1841" s="47">
        <f t="shared" si="94"/>
        <v>0</v>
      </c>
    </row>
    <row r="1842" spans="1:6" x14ac:dyDescent="0.25">
      <c r="A1842" s="5" t="s">
        <v>34</v>
      </c>
      <c r="B1842" s="2">
        <v>43969</v>
      </c>
      <c r="C1842" s="1">
        <v>0</v>
      </c>
      <c r="D1842" s="47">
        <v>5</v>
      </c>
      <c r="F1842" s="47">
        <f t="shared" si="94"/>
        <v>1</v>
      </c>
    </row>
    <row r="1843" spans="1:6" x14ac:dyDescent="0.25">
      <c r="A1843" s="5" t="s">
        <v>35</v>
      </c>
      <c r="B1843" s="2">
        <v>43969</v>
      </c>
      <c r="C1843" s="1">
        <v>1</v>
      </c>
      <c r="D1843" s="47">
        <v>4</v>
      </c>
      <c r="F1843" s="47">
        <f>E1843+F1819</f>
        <v>0</v>
      </c>
    </row>
    <row r="1844" spans="1:6" x14ac:dyDescent="0.25">
      <c r="A1844" s="5" t="s">
        <v>36</v>
      </c>
      <c r="B1844" s="2">
        <v>43969</v>
      </c>
      <c r="C1844" s="1">
        <v>0</v>
      </c>
      <c r="D1844" s="47">
        <v>11</v>
      </c>
      <c r="F1844" s="47">
        <f t="shared" si="94"/>
        <v>0</v>
      </c>
    </row>
    <row r="1845" spans="1:6" x14ac:dyDescent="0.25">
      <c r="A1845" s="5" t="s">
        <v>37</v>
      </c>
      <c r="B1845" s="2">
        <v>43969</v>
      </c>
      <c r="C1845" s="1">
        <v>0</v>
      </c>
      <c r="D1845" s="47">
        <v>49</v>
      </c>
      <c r="F1845" s="47">
        <f t="shared" si="94"/>
        <v>0</v>
      </c>
    </row>
    <row r="1846" spans="1:6" x14ac:dyDescent="0.25">
      <c r="A1846" s="5" t="s">
        <v>22</v>
      </c>
      <c r="B1846" s="2">
        <v>43969</v>
      </c>
      <c r="C1846" s="1">
        <v>4</v>
      </c>
      <c r="D1846" s="47">
        <v>249</v>
      </c>
      <c r="F1846" s="47">
        <f>E1846+F1822</f>
        <v>3</v>
      </c>
    </row>
    <row r="1847" spans="1:6" x14ac:dyDescent="0.25">
      <c r="A1847" s="5" t="s">
        <v>38</v>
      </c>
      <c r="B1847" s="2">
        <v>43969</v>
      </c>
      <c r="C1847" s="1">
        <v>0</v>
      </c>
      <c r="D1847" s="47">
        <v>16</v>
      </c>
      <c r="F1847" s="47">
        <f>E1847+F1823</f>
        <v>0</v>
      </c>
    </row>
    <row r="1848" spans="1:6" x14ac:dyDescent="0.25">
      <c r="A1848" s="5" t="s">
        <v>39</v>
      </c>
      <c r="B1848" s="2">
        <v>43969</v>
      </c>
      <c r="C1848" s="1">
        <v>0</v>
      </c>
      <c r="D1848" s="47">
        <v>148</v>
      </c>
      <c r="F1848" s="47">
        <f t="shared" si="94"/>
        <v>0</v>
      </c>
    </row>
    <row r="1849" spans="1:6" x14ac:dyDescent="0.25">
      <c r="A1849" s="5" t="s">
        <v>40</v>
      </c>
      <c r="B1849" s="2">
        <v>43969</v>
      </c>
      <c r="C1849" s="1">
        <v>0</v>
      </c>
      <c r="D1849" s="47">
        <v>42</v>
      </c>
      <c r="F1849" s="47">
        <f>E1849+F1825</f>
        <v>3</v>
      </c>
    </row>
    <row r="1850" spans="1:6" x14ac:dyDescent="0.25">
      <c r="A1850" s="34" t="s">
        <v>16</v>
      </c>
      <c r="B1850" s="2">
        <v>43970</v>
      </c>
      <c r="C1850" s="1">
        <v>157</v>
      </c>
      <c r="D1850" s="47">
        <v>2918</v>
      </c>
      <c r="E1850" s="1">
        <v>2</v>
      </c>
      <c r="F1850" s="47">
        <f>E1850+F1826</f>
        <v>157</v>
      </c>
    </row>
    <row r="1851" spans="1:6" x14ac:dyDescent="0.25">
      <c r="A1851" s="5" t="s">
        <v>28</v>
      </c>
      <c r="B1851" s="2">
        <v>43970</v>
      </c>
      <c r="C1851" s="1">
        <v>0</v>
      </c>
      <c r="D1851" s="47">
        <v>0</v>
      </c>
      <c r="F1851" s="47">
        <f t="shared" ref="F1851:F1857" si="95">E1851+F1827</f>
        <v>0</v>
      </c>
    </row>
    <row r="1852" spans="1:6" x14ac:dyDescent="0.25">
      <c r="A1852" s="5" t="s">
        <v>15</v>
      </c>
      <c r="B1852" s="2">
        <v>43970</v>
      </c>
      <c r="C1852" s="1">
        <v>34</v>
      </c>
      <c r="D1852" s="47">
        <v>625</v>
      </c>
      <c r="E1852" s="1">
        <v>4</v>
      </c>
      <c r="F1852" s="47">
        <f t="shared" si="95"/>
        <v>33</v>
      </c>
    </row>
    <row r="1853" spans="1:6" x14ac:dyDescent="0.25">
      <c r="A1853" s="5" t="s">
        <v>29</v>
      </c>
      <c r="B1853" s="2">
        <v>43970</v>
      </c>
      <c r="C1853" s="1">
        <v>0</v>
      </c>
      <c r="D1853" s="47">
        <v>4</v>
      </c>
      <c r="F1853" s="47">
        <f t="shared" si="95"/>
        <v>1</v>
      </c>
    </row>
    <row r="1854" spans="1:6" x14ac:dyDescent="0.25">
      <c r="A1854" s="5" t="s">
        <v>43</v>
      </c>
      <c r="B1854" s="2">
        <v>43970</v>
      </c>
      <c r="C1854" s="1">
        <v>224</v>
      </c>
      <c r="D1854" s="47">
        <v>3565</v>
      </c>
      <c r="E1854" s="1">
        <v>5</v>
      </c>
      <c r="F1854" s="47">
        <f t="shared" si="95"/>
        <v>132</v>
      </c>
    </row>
    <row r="1855" spans="1:6" x14ac:dyDescent="0.25">
      <c r="A1855" s="5" t="s">
        <v>20</v>
      </c>
      <c r="B1855" s="2">
        <v>43970</v>
      </c>
      <c r="C1855" s="1">
        <v>9</v>
      </c>
      <c r="D1855" s="47">
        <v>427</v>
      </c>
      <c r="F1855" s="47">
        <f t="shared" si="95"/>
        <v>23</v>
      </c>
    </row>
    <row r="1856" spans="1:6" x14ac:dyDescent="0.25">
      <c r="A1856" s="5" t="s">
        <v>30</v>
      </c>
      <c r="B1856" s="2">
        <v>43970</v>
      </c>
      <c r="C1856" s="1">
        <v>0</v>
      </c>
      <c r="D1856" s="47">
        <v>78</v>
      </c>
      <c r="F1856" s="47">
        <f t="shared" si="95"/>
        <v>0</v>
      </c>
    </row>
    <row r="1857" spans="1:6" x14ac:dyDescent="0.25">
      <c r="A1857" s="5" t="s">
        <v>31</v>
      </c>
      <c r="B1857" s="2">
        <v>43970</v>
      </c>
      <c r="C1857" s="1">
        <v>0</v>
      </c>
      <c r="D1857" s="47">
        <v>29</v>
      </c>
      <c r="F1857" s="47">
        <f t="shared" si="95"/>
        <v>0</v>
      </c>
    </row>
    <row r="1858" spans="1:6" x14ac:dyDescent="0.25">
      <c r="A1858" s="5" t="s">
        <v>41</v>
      </c>
      <c r="B1858" s="2">
        <v>43970</v>
      </c>
      <c r="C1858" s="1">
        <v>0</v>
      </c>
      <c r="D1858" s="47">
        <v>0</v>
      </c>
      <c r="F1858" s="47">
        <f t="shared" ref="F1858:F1872" si="96">E1858+F1833</f>
        <v>0</v>
      </c>
    </row>
    <row r="1859" spans="1:6" x14ac:dyDescent="0.25">
      <c r="A1859" s="5" t="s">
        <v>32</v>
      </c>
      <c r="B1859" s="2">
        <v>43970</v>
      </c>
      <c r="C1859" s="1">
        <v>0</v>
      </c>
      <c r="D1859" s="47">
        <v>5</v>
      </c>
      <c r="F1859" s="47">
        <f t="shared" si="96"/>
        <v>0</v>
      </c>
    </row>
    <row r="1860" spans="1:6" x14ac:dyDescent="0.25">
      <c r="A1860" s="5" t="s">
        <v>33</v>
      </c>
      <c r="B1860" s="2">
        <v>43970</v>
      </c>
      <c r="C1860" s="1">
        <v>0</v>
      </c>
      <c r="D1860" s="47">
        <v>5</v>
      </c>
      <c r="F1860" s="47">
        <f t="shared" si="96"/>
        <v>0</v>
      </c>
    </row>
    <row r="1861" spans="1:6" x14ac:dyDescent="0.25">
      <c r="A1861" s="5" t="s">
        <v>21</v>
      </c>
      <c r="B1861" s="2">
        <v>43970</v>
      </c>
      <c r="C1861" s="1">
        <v>0</v>
      </c>
      <c r="D1861" s="47">
        <v>63</v>
      </c>
      <c r="F1861" s="47">
        <f t="shared" si="96"/>
        <v>0</v>
      </c>
    </row>
    <row r="1862" spans="1:6" x14ac:dyDescent="0.25">
      <c r="A1862" s="5" t="s">
        <v>17</v>
      </c>
      <c r="B1862" s="2">
        <v>43970</v>
      </c>
      <c r="C1862" s="1">
        <v>2</v>
      </c>
      <c r="D1862" s="47">
        <v>89</v>
      </c>
      <c r="F1862" s="47">
        <f t="shared" si="96"/>
        <v>0</v>
      </c>
    </row>
    <row r="1863" spans="1:6" x14ac:dyDescent="0.25">
      <c r="A1863" s="5" t="s">
        <v>23</v>
      </c>
      <c r="B1863" s="2">
        <v>43970</v>
      </c>
      <c r="C1863" s="1">
        <v>0</v>
      </c>
      <c r="D1863" s="47">
        <v>25</v>
      </c>
      <c r="F1863" s="47">
        <f t="shared" si="96"/>
        <v>0</v>
      </c>
    </row>
    <row r="1864" spans="1:6" x14ac:dyDescent="0.25">
      <c r="A1864" s="5" t="s">
        <v>19</v>
      </c>
      <c r="B1864" s="2">
        <v>43970</v>
      </c>
      <c r="C1864" s="1">
        <v>0</v>
      </c>
      <c r="D1864" s="47">
        <v>114</v>
      </c>
      <c r="F1864" s="47">
        <f t="shared" si="96"/>
        <v>0</v>
      </c>
    </row>
    <row r="1865" spans="1:6" x14ac:dyDescent="0.25">
      <c r="A1865" s="5" t="s">
        <v>18</v>
      </c>
      <c r="B1865" s="2">
        <v>43970</v>
      </c>
      <c r="C1865" s="1">
        <v>6</v>
      </c>
      <c r="D1865" s="47">
        <v>331</v>
      </c>
      <c r="F1865" s="47">
        <f t="shared" si="96"/>
        <v>0</v>
      </c>
    </row>
    <row r="1866" spans="1:6" x14ac:dyDescent="0.25">
      <c r="A1866" s="5" t="s">
        <v>34</v>
      </c>
      <c r="B1866" s="2">
        <v>43970</v>
      </c>
      <c r="C1866" s="1">
        <v>0</v>
      </c>
      <c r="D1866" s="47">
        <v>5</v>
      </c>
      <c r="F1866" s="47">
        <f t="shared" si="96"/>
        <v>0</v>
      </c>
    </row>
    <row r="1867" spans="1:6" x14ac:dyDescent="0.25">
      <c r="A1867" s="5" t="s">
        <v>35</v>
      </c>
      <c r="B1867" s="2">
        <v>43970</v>
      </c>
      <c r="C1867" s="1">
        <v>0</v>
      </c>
      <c r="D1867" s="47">
        <v>4</v>
      </c>
      <c r="F1867" s="47">
        <f>E1867+F1843</f>
        <v>0</v>
      </c>
    </row>
    <row r="1868" spans="1:6" x14ac:dyDescent="0.25">
      <c r="A1868" s="5" t="s">
        <v>36</v>
      </c>
      <c r="B1868" s="2">
        <v>43970</v>
      </c>
      <c r="C1868" s="1">
        <v>0</v>
      </c>
      <c r="D1868" s="47">
        <v>11</v>
      </c>
      <c r="F1868" s="47">
        <f t="shared" si="96"/>
        <v>0</v>
      </c>
    </row>
    <row r="1869" spans="1:6" x14ac:dyDescent="0.25">
      <c r="A1869" s="5" t="s">
        <v>37</v>
      </c>
      <c r="B1869" s="2">
        <v>43970</v>
      </c>
      <c r="C1869" s="1">
        <v>0</v>
      </c>
      <c r="D1869" s="47">
        <v>49</v>
      </c>
      <c r="F1869" s="47">
        <f t="shared" si="96"/>
        <v>0</v>
      </c>
    </row>
    <row r="1870" spans="1:6" x14ac:dyDescent="0.25">
      <c r="A1870" s="5" t="s">
        <v>22</v>
      </c>
      <c r="B1870" s="2">
        <v>43970</v>
      </c>
      <c r="C1870" s="1">
        <v>0</v>
      </c>
      <c r="D1870" s="47">
        <v>249</v>
      </c>
      <c r="F1870" s="47">
        <f>E1870+F1846</f>
        <v>3</v>
      </c>
    </row>
    <row r="1871" spans="1:6" x14ac:dyDescent="0.25">
      <c r="A1871" s="5" t="s">
        <v>38</v>
      </c>
      <c r="B1871" s="2">
        <v>43970</v>
      </c>
      <c r="C1871" s="1">
        <v>6</v>
      </c>
      <c r="D1871" s="47">
        <v>22</v>
      </c>
      <c r="F1871" s="47">
        <f>E1871+F1847</f>
        <v>0</v>
      </c>
    </row>
    <row r="1872" spans="1:6" x14ac:dyDescent="0.25">
      <c r="A1872" s="5" t="s">
        <v>39</v>
      </c>
      <c r="B1872" s="2">
        <v>43970</v>
      </c>
      <c r="C1872" s="1">
        <v>0</v>
      </c>
      <c r="D1872" s="47">
        <v>148</v>
      </c>
      <c r="F1872" s="47">
        <f t="shared" si="96"/>
        <v>0</v>
      </c>
    </row>
    <row r="1873" spans="1:6" x14ac:dyDescent="0.25">
      <c r="A1873" s="5" t="s">
        <v>40</v>
      </c>
      <c r="B1873" s="2">
        <v>43970</v>
      </c>
      <c r="C1873" s="1">
        <v>0</v>
      </c>
      <c r="D1873" s="47">
        <v>42</v>
      </c>
      <c r="F1873" s="47">
        <f>E1873+F1849</f>
        <v>3</v>
      </c>
    </row>
    <row r="1874" spans="1:6" x14ac:dyDescent="0.25">
      <c r="A1874" s="34" t="s">
        <v>16</v>
      </c>
      <c r="B1874" s="2">
        <v>43971</v>
      </c>
      <c r="C1874" s="1">
        <v>178</v>
      </c>
      <c r="D1874" s="47">
        <v>3096</v>
      </c>
      <c r="E1874" s="1">
        <v>5</v>
      </c>
      <c r="F1874" s="47">
        <f>E1874+F1850</f>
        <v>162</v>
      </c>
    </row>
    <row r="1875" spans="1:6" x14ac:dyDescent="0.25">
      <c r="A1875" s="5" t="s">
        <v>28</v>
      </c>
      <c r="B1875" s="2">
        <v>43971</v>
      </c>
      <c r="C1875" s="1">
        <v>0</v>
      </c>
      <c r="D1875" s="47">
        <v>0</v>
      </c>
      <c r="F1875" s="47">
        <f t="shared" ref="F1875:F1881" si="97">E1875+F1851</f>
        <v>0</v>
      </c>
    </row>
    <row r="1876" spans="1:6" x14ac:dyDescent="0.25">
      <c r="A1876" s="5" t="s">
        <v>15</v>
      </c>
      <c r="B1876" s="2">
        <v>43971</v>
      </c>
      <c r="C1876" s="1">
        <v>35</v>
      </c>
      <c r="D1876" s="47">
        <v>660</v>
      </c>
      <c r="E1876" s="1">
        <v>1</v>
      </c>
      <c r="F1876" s="47">
        <f t="shared" si="97"/>
        <v>34</v>
      </c>
    </row>
    <row r="1877" spans="1:6" x14ac:dyDescent="0.25">
      <c r="A1877" s="5" t="s">
        <v>29</v>
      </c>
      <c r="B1877" s="2">
        <v>43971</v>
      </c>
      <c r="C1877" s="1">
        <v>0</v>
      </c>
      <c r="D1877" s="47">
        <v>4</v>
      </c>
      <c r="F1877" s="47">
        <f t="shared" si="97"/>
        <v>1</v>
      </c>
    </row>
    <row r="1878" spans="1:6" x14ac:dyDescent="0.25">
      <c r="A1878" s="5" t="s">
        <v>43</v>
      </c>
      <c r="B1878" s="2">
        <v>43971</v>
      </c>
      <c r="C1878" s="1">
        <v>257</v>
      </c>
      <c r="D1878" s="47">
        <v>3822</v>
      </c>
      <c r="E1878" s="1">
        <v>2</v>
      </c>
      <c r="F1878" s="47">
        <f>E1878+F1854</f>
        <v>134</v>
      </c>
    </row>
    <row r="1879" spans="1:6" x14ac:dyDescent="0.25">
      <c r="A1879" s="5" t="s">
        <v>20</v>
      </c>
      <c r="B1879" s="2">
        <v>43971</v>
      </c>
      <c r="C1879" s="1">
        <v>2</v>
      </c>
      <c r="D1879" s="47">
        <v>429</v>
      </c>
      <c r="E1879" s="1">
        <v>1</v>
      </c>
      <c r="F1879" s="47">
        <f t="shared" si="97"/>
        <v>24</v>
      </c>
    </row>
    <row r="1880" spans="1:6" x14ac:dyDescent="0.25">
      <c r="A1880" s="5" t="s">
        <v>30</v>
      </c>
      <c r="B1880" s="2">
        <v>43971</v>
      </c>
      <c r="C1880" s="1">
        <v>0</v>
      </c>
      <c r="D1880" s="47">
        <v>78</v>
      </c>
      <c r="F1880" s="47">
        <f t="shared" si="97"/>
        <v>0</v>
      </c>
    </row>
    <row r="1881" spans="1:6" x14ac:dyDescent="0.25">
      <c r="A1881" s="5" t="s">
        <v>31</v>
      </c>
      <c r="B1881" s="2">
        <v>43971</v>
      </c>
      <c r="C1881" s="1">
        <v>0</v>
      </c>
      <c r="D1881" s="47">
        <v>29</v>
      </c>
      <c r="F1881" s="47">
        <f t="shared" si="97"/>
        <v>0</v>
      </c>
    </row>
    <row r="1882" spans="1:6" x14ac:dyDescent="0.25">
      <c r="A1882" s="5" t="s">
        <v>41</v>
      </c>
      <c r="B1882" s="2">
        <v>43971</v>
      </c>
      <c r="C1882" s="1">
        <v>0</v>
      </c>
      <c r="D1882" s="47">
        <v>0</v>
      </c>
      <c r="F1882" s="47">
        <f t="shared" ref="F1882:F1896" si="98">E1882+F1857</f>
        <v>0</v>
      </c>
    </row>
    <row r="1883" spans="1:6" x14ac:dyDescent="0.25">
      <c r="A1883" s="5" t="s">
        <v>32</v>
      </c>
      <c r="B1883" s="2">
        <v>43971</v>
      </c>
      <c r="C1883" s="1">
        <v>0</v>
      </c>
      <c r="D1883" s="47">
        <v>5</v>
      </c>
      <c r="F1883" s="47">
        <f t="shared" si="98"/>
        <v>0</v>
      </c>
    </row>
    <row r="1884" spans="1:6" x14ac:dyDescent="0.25">
      <c r="A1884" s="5" t="s">
        <v>33</v>
      </c>
      <c r="B1884" s="2">
        <v>43971</v>
      </c>
      <c r="C1884" s="1">
        <v>0</v>
      </c>
      <c r="D1884" s="47">
        <v>5</v>
      </c>
      <c r="F1884" s="47">
        <f t="shared" si="98"/>
        <v>0</v>
      </c>
    </row>
    <row r="1885" spans="1:6" x14ac:dyDescent="0.25">
      <c r="A1885" s="5" t="s">
        <v>21</v>
      </c>
      <c r="B1885" s="2">
        <v>43971</v>
      </c>
      <c r="C1885" s="1">
        <v>0</v>
      </c>
      <c r="D1885" s="47">
        <v>63</v>
      </c>
      <c r="F1885" s="47">
        <f t="shared" si="98"/>
        <v>0</v>
      </c>
    </row>
    <row r="1886" spans="1:6" x14ac:dyDescent="0.25">
      <c r="A1886" s="5" t="s">
        <v>17</v>
      </c>
      <c r="B1886" s="2">
        <v>43971</v>
      </c>
      <c r="C1886" s="1">
        <v>0</v>
      </c>
      <c r="D1886" s="47">
        <v>89</v>
      </c>
      <c r="F1886" s="47">
        <f t="shared" si="98"/>
        <v>0</v>
      </c>
    </row>
    <row r="1887" spans="1:6" x14ac:dyDescent="0.25">
      <c r="A1887" s="5" t="s">
        <v>23</v>
      </c>
      <c r="B1887" s="2">
        <v>43971</v>
      </c>
      <c r="C1887" s="1">
        <v>0</v>
      </c>
      <c r="D1887" s="47">
        <v>25</v>
      </c>
      <c r="F1887" s="47">
        <f t="shared" si="98"/>
        <v>0</v>
      </c>
    </row>
    <row r="1888" spans="1:6" x14ac:dyDescent="0.25">
      <c r="A1888" s="5" t="s">
        <v>19</v>
      </c>
      <c r="B1888" s="2">
        <v>43971</v>
      </c>
      <c r="C1888" s="1">
        <v>0</v>
      </c>
      <c r="D1888" s="47">
        <v>114</v>
      </c>
      <c r="F1888" s="47">
        <f t="shared" si="98"/>
        <v>0</v>
      </c>
    </row>
    <row r="1889" spans="1:6" x14ac:dyDescent="0.25">
      <c r="A1889" s="5" t="s">
        <v>18</v>
      </c>
      <c r="B1889" s="2">
        <v>43971</v>
      </c>
      <c r="C1889" s="1">
        <v>2</v>
      </c>
      <c r="D1889" s="47">
        <v>333</v>
      </c>
      <c r="E1889" s="1">
        <v>1</v>
      </c>
      <c r="F1889" s="47">
        <f t="shared" si="98"/>
        <v>1</v>
      </c>
    </row>
    <row r="1890" spans="1:6" x14ac:dyDescent="0.25">
      <c r="A1890" s="5" t="s">
        <v>34</v>
      </c>
      <c r="B1890" s="2">
        <v>43971</v>
      </c>
      <c r="C1890" s="1">
        <v>0</v>
      </c>
      <c r="D1890" s="47">
        <v>5</v>
      </c>
      <c r="F1890" s="47">
        <f t="shared" si="98"/>
        <v>0</v>
      </c>
    </row>
    <row r="1891" spans="1:6" x14ac:dyDescent="0.25">
      <c r="A1891" s="5" t="s">
        <v>35</v>
      </c>
      <c r="B1891" s="2">
        <v>43971</v>
      </c>
      <c r="C1891" s="1">
        <v>0</v>
      </c>
      <c r="D1891" s="47">
        <v>4</v>
      </c>
      <c r="F1891" s="47">
        <f>E1891+F1867</f>
        <v>0</v>
      </c>
    </row>
    <row r="1892" spans="1:6" x14ac:dyDescent="0.25">
      <c r="A1892" s="5" t="s">
        <v>36</v>
      </c>
      <c r="B1892" s="2">
        <v>43971</v>
      </c>
      <c r="C1892" s="1">
        <v>0</v>
      </c>
      <c r="D1892" s="47">
        <v>11</v>
      </c>
      <c r="F1892" s="47">
        <f t="shared" si="98"/>
        <v>0</v>
      </c>
    </row>
    <row r="1893" spans="1:6" x14ac:dyDescent="0.25">
      <c r="A1893" s="5" t="s">
        <v>37</v>
      </c>
      <c r="B1893" s="2">
        <v>43971</v>
      </c>
      <c r="C1893" s="1">
        <v>0</v>
      </c>
      <c r="D1893" s="47">
        <v>49</v>
      </c>
      <c r="F1893" s="47">
        <f t="shared" si="98"/>
        <v>0</v>
      </c>
    </row>
    <row r="1894" spans="1:6" x14ac:dyDescent="0.25">
      <c r="A1894" s="5" t="s">
        <v>22</v>
      </c>
      <c r="B1894" s="2">
        <v>43971</v>
      </c>
      <c r="C1894" s="1">
        <v>0</v>
      </c>
      <c r="D1894" s="47">
        <v>249</v>
      </c>
      <c r="F1894" s="47">
        <f>E1894+F1870</f>
        <v>3</v>
      </c>
    </row>
    <row r="1895" spans="1:6" x14ac:dyDescent="0.25">
      <c r="A1895" s="5" t="s">
        <v>38</v>
      </c>
      <c r="B1895" s="2">
        <v>43971</v>
      </c>
      <c r="C1895" s="1">
        <v>0</v>
      </c>
      <c r="D1895" s="47">
        <v>22</v>
      </c>
      <c r="F1895" s="47">
        <f>E1895+F1871</f>
        <v>0</v>
      </c>
    </row>
    <row r="1896" spans="1:6" x14ac:dyDescent="0.25">
      <c r="A1896" s="5" t="s">
        <v>39</v>
      </c>
      <c r="B1896" s="2">
        <v>43971</v>
      </c>
      <c r="C1896" s="1">
        <v>0</v>
      </c>
      <c r="D1896" s="47">
        <v>148</v>
      </c>
      <c r="F1896" s="47">
        <f t="shared" si="98"/>
        <v>0</v>
      </c>
    </row>
    <row r="1897" spans="1:6" x14ac:dyDescent="0.25">
      <c r="A1897" s="5" t="s">
        <v>40</v>
      </c>
      <c r="B1897" s="2">
        <v>43971</v>
      </c>
      <c r="C1897" s="1">
        <v>0</v>
      </c>
      <c r="D1897" s="47">
        <v>42</v>
      </c>
      <c r="F1897" s="47">
        <f>E1897+F1873</f>
        <v>3</v>
      </c>
    </row>
    <row r="1898" spans="1:6" x14ac:dyDescent="0.25">
      <c r="A1898" s="34" t="s">
        <v>16</v>
      </c>
      <c r="B1898" s="2">
        <v>43972</v>
      </c>
      <c r="C1898" s="1">
        <v>213</v>
      </c>
      <c r="D1898" s="47">
        <v>3309</v>
      </c>
      <c r="E1898" s="1">
        <v>9</v>
      </c>
      <c r="F1898" s="47">
        <f>E1898+F1874</f>
        <v>171</v>
      </c>
    </row>
    <row r="1899" spans="1:6" x14ac:dyDescent="0.25">
      <c r="A1899" s="5" t="s">
        <v>28</v>
      </c>
      <c r="B1899" s="2">
        <v>43972</v>
      </c>
      <c r="C1899" s="1">
        <v>0</v>
      </c>
      <c r="D1899" s="47">
        <v>0</v>
      </c>
      <c r="F1899" s="47">
        <f t="shared" ref="F1899:F1905" si="99">E1899+F1875</f>
        <v>0</v>
      </c>
    </row>
    <row r="1900" spans="1:6" x14ac:dyDescent="0.25">
      <c r="A1900" s="5" t="s">
        <v>15</v>
      </c>
      <c r="B1900" s="2">
        <v>43972</v>
      </c>
      <c r="C1900" s="1">
        <v>34</v>
      </c>
      <c r="D1900" s="47">
        <v>694</v>
      </c>
      <c r="E1900" s="1">
        <v>2</v>
      </c>
      <c r="F1900" s="47">
        <f t="shared" si="99"/>
        <v>36</v>
      </c>
    </row>
    <row r="1901" spans="1:6" x14ac:dyDescent="0.25">
      <c r="A1901" s="5" t="s">
        <v>29</v>
      </c>
      <c r="B1901" s="2">
        <v>43972</v>
      </c>
      <c r="C1901" s="1">
        <v>0</v>
      </c>
      <c r="D1901" s="47">
        <v>4</v>
      </c>
      <c r="F1901" s="47">
        <f t="shared" si="99"/>
        <v>1</v>
      </c>
    </row>
    <row r="1902" spans="1:6" x14ac:dyDescent="0.25">
      <c r="A1902" s="5" t="s">
        <v>43</v>
      </c>
      <c r="B1902" s="2">
        <v>43972</v>
      </c>
      <c r="C1902" s="1">
        <v>379</v>
      </c>
      <c r="D1902" s="47">
        <v>4201</v>
      </c>
      <c r="E1902" s="1">
        <v>2</v>
      </c>
      <c r="F1902" s="47">
        <f>E1902+F1878</f>
        <v>136</v>
      </c>
    </row>
    <row r="1903" spans="1:6" x14ac:dyDescent="0.25">
      <c r="A1903" s="5" t="s">
        <v>20</v>
      </c>
      <c r="B1903" s="2">
        <v>43972</v>
      </c>
      <c r="C1903" s="1">
        <v>12</v>
      </c>
      <c r="D1903" s="47">
        <v>441</v>
      </c>
      <c r="F1903" s="47">
        <f t="shared" si="99"/>
        <v>24</v>
      </c>
    </row>
    <row r="1904" spans="1:6" x14ac:dyDescent="0.25">
      <c r="A1904" s="5" t="s">
        <v>30</v>
      </c>
      <c r="B1904" s="2">
        <v>43972</v>
      </c>
      <c r="C1904" s="1">
        <v>0</v>
      </c>
      <c r="D1904" s="47">
        <v>78</v>
      </c>
      <c r="F1904" s="47">
        <f t="shared" si="99"/>
        <v>0</v>
      </c>
    </row>
    <row r="1905" spans="1:6" x14ac:dyDescent="0.25">
      <c r="A1905" s="5" t="s">
        <v>31</v>
      </c>
      <c r="B1905" s="2">
        <v>43972</v>
      </c>
      <c r="C1905" s="1">
        <v>0</v>
      </c>
      <c r="D1905" s="47">
        <v>29</v>
      </c>
      <c r="F1905" s="47">
        <f t="shared" si="99"/>
        <v>0</v>
      </c>
    </row>
    <row r="1906" spans="1:6" x14ac:dyDescent="0.25">
      <c r="A1906" s="5" t="s">
        <v>41</v>
      </c>
      <c r="B1906" s="2">
        <v>43972</v>
      </c>
      <c r="C1906" s="1">
        <v>0</v>
      </c>
      <c r="D1906" s="47">
        <v>0</v>
      </c>
      <c r="F1906" s="47">
        <f t="shared" ref="F1906:F1920" si="100">E1906+F1881</f>
        <v>0</v>
      </c>
    </row>
    <row r="1907" spans="1:6" x14ac:dyDescent="0.25">
      <c r="A1907" s="5" t="s">
        <v>32</v>
      </c>
      <c r="B1907" s="2">
        <v>43972</v>
      </c>
      <c r="C1907" s="1">
        <v>0</v>
      </c>
      <c r="D1907" s="47">
        <v>5</v>
      </c>
      <c r="F1907" s="47">
        <f t="shared" si="100"/>
        <v>0</v>
      </c>
    </row>
    <row r="1908" spans="1:6" x14ac:dyDescent="0.25">
      <c r="A1908" s="5" t="s">
        <v>33</v>
      </c>
      <c r="B1908" s="2">
        <v>43972</v>
      </c>
      <c r="C1908" s="1">
        <v>0</v>
      </c>
      <c r="D1908" s="47">
        <v>5</v>
      </c>
      <c r="F1908" s="47">
        <f t="shared" si="100"/>
        <v>0</v>
      </c>
    </row>
    <row r="1909" spans="1:6" x14ac:dyDescent="0.25">
      <c r="A1909" s="5" t="s">
        <v>21</v>
      </c>
      <c r="B1909" s="2">
        <v>43972</v>
      </c>
      <c r="C1909" s="1">
        <v>0</v>
      </c>
      <c r="D1909" s="47">
        <v>63</v>
      </c>
      <c r="F1909" s="47">
        <f t="shared" si="100"/>
        <v>0</v>
      </c>
    </row>
    <row r="1910" spans="1:6" x14ac:dyDescent="0.25">
      <c r="A1910" s="5" t="s">
        <v>17</v>
      </c>
      <c r="B1910" s="2">
        <v>43972</v>
      </c>
      <c r="C1910" s="1">
        <v>1</v>
      </c>
      <c r="D1910" s="47">
        <v>90</v>
      </c>
      <c r="F1910" s="47">
        <f t="shared" si="100"/>
        <v>0</v>
      </c>
    </row>
    <row r="1911" spans="1:6" x14ac:dyDescent="0.25">
      <c r="A1911" s="5" t="s">
        <v>23</v>
      </c>
      <c r="B1911" s="2">
        <v>43972</v>
      </c>
      <c r="C1911" s="1">
        <v>0</v>
      </c>
      <c r="D1911" s="47">
        <v>25</v>
      </c>
      <c r="F1911" s="47">
        <f t="shared" si="100"/>
        <v>0</v>
      </c>
    </row>
    <row r="1912" spans="1:6" x14ac:dyDescent="0.25">
      <c r="A1912" s="5" t="s">
        <v>19</v>
      </c>
      <c r="B1912" s="2">
        <v>43972</v>
      </c>
      <c r="C1912" s="1">
        <v>0</v>
      </c>
      <c r="D1912" s="47">
        <v>114</v>
      </c>
      <c r="F1912" s="47">
        <f t="shared" si="100"/>
        <v>0</v>
      </c>
    </row>
    <row r="1913" spans="1:6" x14ac:dyDescent="0.25">
      <c r="A1913" s="5" t="s">
        <v>18</v>
      </c>
      <c r="B1913" s="2">
        <v>43972</v>
      </c>
      <c r="C1913" s="1">
        <v>3</v>
      </c>
      <c r="D1913" s="47">
        <v>336</v>
      </c>
      <c r="F1913" s="47">
        <f t="shared" si="100"/>
        <v>0</v>
      </c>
    </row>
    <row r="1914" spans="1:6" x14ac:dyDescent="0.25">
      <c r="A1914" s="5" t="s">
        <v>34</v>
      </c>
      <c r="B1914" s="2">
        <v>43972</v>
      </c>
      <c r="C1914" s="1">
        <v>0</v>
      </c>
      <c r="D1914" s="47">
        <v>5</v>
      </c>
      <c r="F1914" s="47">
        <f t="shared" si="100"/>
        <v>1</v>
      </c>
    </row>
    <row r="1915" spans="1:6" x14ac:dyDescent="0.25">
      <c r="A1915" s="5" t="s">
        <v>35</v>
      </c>
      <c r="B1915" s="2">
        <v>43972</v>
      </c>
      <c r="C1915" s="1">
        <v>0</v>
      </c>
      <c r="D1915" s="47">
        <v>4</v>
      </c>
      <c r="F1915" s="47">
        <f>E1915+F1891</f>
        <v>0</v>
      </c>
    </row>
    <row r="1916" spans="1:6" x14ac:dyDescent="0.25">
      <c r="A1916" s="5" t="s">
        <v>36</v>
      </c>
      <c r="B1916" s="2">
        <v>43972</v>
      </c>
      <c r="C1916" s="1">
        <v>0</v>
      </c>
      <c r="D1916" s="47">
        <v>11</v>
      </c>
      <c r="F1916" s="47">
        <f t="shared" si="100"/>
        <v>0</v>
      </c>
    </row>
    <row r="1917" spans="1:6" x14ac:dyDescent="0.25">
      <c r="A1917" s="5" t="s">
        <v>37</v>
      </c>
      <c r="B1917" s="2">
        <v>43972</v>
      </c>
      <c r="C1917" s="1">
        <v>0</v>
      </c>
      <c r="D1917" s="47">
        <v>49</v>
      </c>
      <c r="F1917" s="47">
        <f t="shared" si="100"/>
        <v>0</v>
      </c>
    </row>
    <row r="1918" spans="1:6" x14ac:dyDescent="0.25">
      <c r="A1918" s="5" t="s">
        <v>22</v>
      </c>
      <c r="B1918" s="2">
        <v>43972</v>
      </c>
      <c r="C1918" s="1">
        <v>5</v>
      </c>
      <c r="D1918" s="47">
        <v>254</v>
      </c>
      <c r="F1918" s="47">
        <f>E1918+F1894</f>
        <v>3</v>
      </c>
    </row>
    <row r="1919" spans="1:6" x14ac:dyDescent="0.25">
      <c r="A1919" s="5" t="s">
        <v>38</v>
      </c>
      <c r="B1919" s="2">
        <v>43972</v>
      </c>
      <c r="C1919" s="1">
        <v>0</v>
      </c>
      <c r="D1919" s="47">
        <v>22</v>
      </c>
      <c r="F1919" s="47">
        <f>E1919+F1895</f>
        <v>0</v>
      </c>
    </row>
    <row r="1920" spans="1:6" x14ac:dyDescent="0.25">
      <c r="A1920" s="5" t="s">
        <v>39</v>
      </c>
      <c r="B1920" s="2">
        <v>43972</v>
      </c>
      <c r="C1920" s="1">
        <v>0</v>
      </c>
      <c r="D1920" s="47">
        <v>148</v>
      </c>
      <c r="F1920" s="47">
        <f t="shared" si="100"/>
        <v>0</v>
      </c>
    </row>
    <row r="1921" spans="1:6" x14ac:dyDescent="0.25">
      <c r="A1921" s="5" t="s">
        <v>40</v>
      </c>
      <c r="B1921" s="2">
        <v>43972</v>
      </c>
      <c r="C1921" s="1">
        <v>1</v>
      </c>
      <c r="D1921" s="47">
        <v>43</v>
      </c>
      <c r="F1921" s="47">
        <f>E1921+F1897</f>
        <v>3</v>
      </c>
    </row>
    <row r="1922" spans="1:6" x14ac:dyDescent="0.25">
      <c r="A1922" s="34" t="s">
        <v>16</v>
      </c>
      <c r="B1922" s="2">
        <v>43973</v>
      </c>
      <c r="C1922" s="1">
        <v>266</v>
      </c>
      <c r="D1922" s="47">
        <v>3575</v>
      </c>
      <c r="E1922" s="1">
        <v>5</v>
      </c>
      <c r="F1922" s="47">
        <f>E1922+F1898</f>
        <v>176</v>
      </c>
    </row>
    <row r="1923" spans="1:6" x14ac:dyDescent="0.25">
      <c r="A1923" s="5" t="s">
        <v>28</v>
      </c>
      <c r="B1923" s="2">
        <v>43973</v>
      </c>
      <c r="C1923" s="1">
        <v>0</v>
      </c>
      <c r="D1923" s="47">
        <v>0</v>
      </c>
      <c r="F1923" s="47">
        <f t="shared" ref="F1923:F1929" si="101">E1923+F1899</f>
        <v>0</v>
      </c>
    </row>
    <row r="1924" spans="1:6" x14ac:dyDescent="0.25">
      <c r="A1924" s="5" t="s">
        <v>15</v>
      </c>
      <c r="B1924" s="2">
        <v>43973</v>
      </c>
      <c r="C1924" s="1">
        <v>27</v>
      </c>
      <c r="D1924" s="47">
        <v>721</v>
      </c>
      <c r="E1924" s="1">
        <v>2</v>
      </c>
      <c r="F1924" s="47">
        <f t="shared" si="101"/>
        <v>38</v>
      </c>
    </row>
    <row r="1925" spans="1:6" x14ac:dyDescent="0.25">
      <c r="A1925" s="5" t="s">
        <v>29</v>
      </c>
      <c r="B1925" s="2">
        <v>43973</v>
      </c>
      <c r="C1925" s="1">
        <v>0</v>
      </c>
      <c r="D1925" s="47">
        <v>4</v>
      </c>
      <c r="F1925" s="47">
        <f t="shared" si="101"/>
        <v>1</v>
      </c>
    </row>
    <row r="1926" spans="1:6" x14ac:dyDescent="0.25">
      <c r="A1926" s="5" t="s">
        <v>43</v>
      </c>
      <c r="B1926" s="2">
        <v>43973</v>
      </c>
      <c r="C1926" s="1">
        <v>404</v>
      </c>
      <c r="D1926" s="47">
        <v>4605</v>
      </c>
      <c r="E1926" s="1">
        <v>7</v>
      </c>
      <c r="F1926" s="47">
        <f t="shared" si="101"/>
        <v>143</v>
      </c>
    </row>
    <row r="1927" spans="1:6" x14ac:dyDescent="0.25">
      <c r="A1927" s="5" t="s">
        <v>20</v>
      </c>
      <c r="B1927" s="2">
        <v>43973</v>
      </c>
      <c r="C1927" s="1">
        <v>9</v>
      </c>
      <c r="D1927" s="47">
        <v>450</v>
      </c>
      <c r="E1927" s="1">
        <v>1</v>
      </c>
      <c r="F1927" s="47">
        <f t="shared" si="101"/>
        <v>25</v>
      </c>
    </row>
    <row r="1928" spans="1:6" x14ac:dyDescent="0.25">
      <c r="A1928" s="5" t="s">
        <v>30</v>
      </c>
      <c r="B1928" s="2">
        <v>43973</v>
      </c>
      <c r="C1928" s="1">
        <v>0</v>
      </c>
      <c r="D1928" s="47">
        <v>78</v>
      </c>
      <c r="F1928" s="47">
        <f t="shared" si="101"/>
        <v>0</v>
      </c>
    </row>
    <row r="1929" spans="1:6" x14ac:dyDescent="0.25">
      <c r="A1929" s="5" t="s">
        <v>31</v>
      </c>
      <c r="B1929" s="2">
        <v>43973</v>
      </c>
      <c r="C1929" s="1">
        <v>0</v>
      </c>
      <c r="D1929" s="47">
        <v>29</v>
      </c>
      <c r="F1929" s="47">
        <f t="shared" si="101"/>
        <v>0</v>
      </c>
    </row>
    <row r="1930" spans="1:6" x14ac:dyDescent="0.25">
      <c r="A1930" s="5" t="s">
        <v>41</v>
      </c>
      <c r="B1930" s="2">
        <v>43973</v>
      </c>
      <c r="C1930" s="1">
        <v>0</v>
      </c>
      <c r="D1930" s="47">
        <v>0</v>
      </c>
      <c r="F1930" s="47">
        <f t="shared" ref="F1930:F1944" si="102">E1930+F1905</f>
        <v>0</v>
      </c>
    </row>
    <row r="1931" spans="1:6" x14ac:dyDescent="0.25">
      <c r="A1931" s="5" t="s">
        <v>32</v>
      </c>
      <c r="B1931" s="2">
        <v>43973</v>
      </c>
      <c r="C1931" s="1">
        <v>0</v>
      </c>
      <c r="D1931" s="47">
        <v>5</v>
      </c>
      <c r="F1931" s="47">
        <f t="shared" si="102"/>
        <v>0</v>
      </c>
    </row>
    <row r="1932" spans="1:6" x14ac:dyDescent="0.25">
      <c r="A1932" s="5" t="s">
        <v>33</v>
      </c>
      <c r="B1932" s="2">
        <v>43973</v>
      </c>
      <c r="C1932" s="1">
        <v>0</v>
      </c>
      <c r="D1932" s="47">
        <v>5</v>
      </c>
      <c r="F1932" s="47">
        <f t="shared" si="102"/>
        <v>0</v>
      </c>
    </row>
    <row r="1933" spans="1:6" x14ac:dyDescent="0.25">
      <c r="A1933" s="5" t="s">
        <v>21</v>
      </c>
      <c r="B1933" s="2">
        <v>43973</v>
      </c>
      <c r="C1933" s="1">
        <v>0</v>
      </c>
      <c r="D1933" s="47">
        <v>63</v>
      </c>
      <c r="F1933" s="47">
        <f t="shared" si="102"/>
        <v>0</v>
      </c>
    </row>
    <row r="1934" spans="1:6" x14ac:dyDescent="0.25">
      <c r="A1934" s="5" t="s">
        <v>17</v>
      </c>
      <c r="B1934" s="2">
        <v>43973</v>
      </c>
      <c r="C1934" s="1">
        <v>0</v>
      </c>
      <c r="D1934" s="47">
        <v>90</v>
      </c>
      <c r="F1934" s="47">
        <f t="shared" si="102"/>
        <v>0</v>
      </c>
    </row>
    <row r="1935" spans="1:6" x14ac:dyDescent="0.25">
      <c r="A1935" s="5" t="s">
        <v>23</v>
      </c>
      <c r="B1935" s="2">
        <v>43973</v>
      </c>
      <c r="C1935" s="1">
        <v>0</v>
      </c>
      <c r="D1935" s="47">
        <v>25</v>
      </c>
      <c r="F1935" s="47">
        <f t="shared" si="102"/>
        <v>0</v>
      </c>
    </row>
    <row r="1936" spans="1:6" x14ac:dyDescent="0.25">
      <c r="A1936" s="5" t="s">
        <v>19</v>
      </c>
      <c r="B1936" s="2">
        <v>43973</v>
      </c>
      <c r="C1936" s="1">
        <v>0</v>
      </c>
      <c r="D1936" s="47">
        <v>114</v>
      </c>
      <c r="F1936" s="47">
        <f t="shared" si="102"/>
        <v>0</v>
      </c>
    </row>
    <row r="1937" spans="1:6" x14ac:dyDescent="0.25">
      <c r="A1937" s="5" t="s">
        <v>18</v>
      </c>
      <c r="B1937" s="2">
        <v>43973</v>
      </c>
      <c r="C1937" s="1">
        <v>6</v>
      </c>
      <c r="D1937" s="47">
        <v>342</v>
      </c>
      <c r="E1937" s="1">
        <v>2</v>
      </c>
      <c r="F1937" s="47">
        <f t="shared" si="102"/>
        <v>2</v>
      </c>
    </row>
    <row r="1938" spans="1:6" x14ac:dyDescent="0.25">
      <c r="A1938" s="5" t="s">
        <v>34</v>
      </c>
      <c r="B1938" s="2">
        <v>43973</v>
      </c>
      <c r="C1938" s="1">
        <v>2</v>
      </c>
      <c r="D1938" s="47">
        <v>7</v>
      </c>
      <c r="F1938" s="47">
        <f t="shared" si="102"/>
        <v>0</v>
      </c>
    </row>
    <row r="1939" spans="1:6" x14ac:dyDescent="0.25">
      <c r="A1939" s="5" t="s">
        <v>35</v>
      </c>
      <c r="B1939" s="2">
        <v>43973</v>
      </c>
      <c r="C1939" s="1">
        <v>0</v>
      </c>
      <c r="D1939" s="47">
        <v>4</v>
      </c>
      <c r="F1939" s="47">
        <f>E1939+F1915</f>
        <v>0</v>
      </c>
    </row>
    <row r="1940" spans="1:6" x14ac:dyDescent="0.25">
      <c r="A1940" s="5" t="s">
        <v>36</v>
      </c>
      <c r="B1940" s="2">
        <v>43973</v>
      </c>
      <c r="C1940" s="1">
        <v>0</v>
      </c>
      <c r="D1940" s="47">
        <v>11</v>
      </c>
      <c r="F1940" s="47">
        <f t="shared" si="102"/>
        <v>0</v>
      </c>
    </row>
    <row r="1941" spans="1:6" x14ac:dyDescent="0.25">
      <c r="A1941" s="5" t="s">
        <v>37</v>
      </c>
      <c r="B1941" s="2">
        <v>43973</v>
      </c>
      <c r="C1941" s="1">
        <v>0</v>
      </c>
      <c r="D1941" s="47">
        <v>49</v>
      </c>
      <c r="F1941" s="47">
        <f t="shared" si="102"/>
        <v>0</v>
      </c>
    </row>
    <row r="1942" spans="1:6" x14ac:dyDescent="0.25">
      <c r="A1942" s="5" t="s">
        <v>22</v>
      </c>
      <c r="B1942" s="2">
        <v>43973</v>
      </c>
      <c r="C1942" s="1">
        <v>4</v>
      </c>
      <c r="D1942" s="47">
        <v>258</v>
      </c>
      <c r="F1942" s="47">
        <f>E1942+F1918</f>
        <v>3</v>
      </c>
    </row>
    <row r="1943" spans="1:6" x14ac:dyDescent="0.25">
      <c r="A1943" s="5" t="s">
        <v>38</v>
      </c>
      <c r="B1943" s="2">
        <v>43973</v>
      </c>
      <c r="C1943" s="1">
        <v>0</v>
      </c>
      <c r="D1943" s="47">
        <v>22</v>
      </c>
      <c r="F1943" s="47">
        <f>E1943+F1919</f>
        <v>0</v>
      </c>
    </row>
    <row r="1944" spans="1:6" x14ac:dyDescent="0.25">
      <c r="A1944" s="5" t="s">
        <v>39</v>
      </c>
      <c r="B1944" s="2">
        <v>43973</v>
      </c>
      <c r="C1944" s="1">
        <v>0</v>
      </c>
      <c r="D1944" s="47">
        <v>148</v>
      </c>
      <c r="F1944" s="47">
        <f t="shared" si="102"/>
        <v>0</v>
      </c>
    </row>
    <row r="1945" spans="1:6" x14ac:dyDescent="0.25">
      <c r="A1945" s="5" t="s">
        <v>40</v>
      </c>
      <c r="B1945" s="2">
        <v>43973</v>
      </c>
      <c r="C1945" s="1">
        <v>0</v>
      </c>
      <c r="D1945" s="47">
        <v>43</v>
      </c>
      <c r="F1945" s="47">
        <f>E1945+F1921</f>
        <v>3</v>
      </c>
    </row>
    <row r="1946" spans="1:6" x14ac:dyDescent="0.25">
      <c r="A1946" s="34" t="s">
        <v>16</v>
      </c>
      <c r="B1946" s="2">
        <v>43974</v>
      </c>
      <c r="C1946" s="1">
        <v>289</v>
      </c>
      <c r="D1946" s="47">
        <v>3864</v>
      </c>
      <c r="E1946" s="1">
        <v>4</v>
      </c>
      <c r="F1946" s="47">
        <f>E1946+F1922</f>
        <v>180</v>
      </c>
    </row>
    <row r="1947" spans="1:6" x14ac:dyDescent="0.25">
      <c r="A1947" s="5" t="s">
        <v>28</v>
      </c>
      <c r="B1947" s="2">
        <v>43974</v>
      </c>
      <c r="C1947" s="1">
        <v>0</v>
      </c>
      <c r="D1947" s="47">
        <v>0</v>
      </c>
      <c r="F1947" s="47">
        <f t="shared" ref="F1947:F1953" si="103">E1947+F1923</f>
        <v>0</v>
      </c>
    </row>
    <row r="1948" spans="1:6" x14ac:dyDescent="0.25">
      <c r="A1948" s="5" t="s">
        <v>15</v>
      </c>
      <c r="B1948" s="2">
        <v>43974</v>
      </c>
      <c r="C1948" s="1">
        <v>7</v>
      </c>
      <c r="D1948" s="47">
        <v>728</v>
      </c>
      <c r="E1948" s="1">
        <v>2</v>
      </c>
      <c r="F1948" s="47">
        <f t="shared" si="103"/>
        <v>40</v>
      </c>
    </row>
    <row r="1949" spans="1:6" x14ac:dyDescent="0.25">
      <c r="A1949" s="5" t="s">
        <v>29</v>
      </c>
      <c r="B1949" s="2">
        <v>43974</v>
      </c>
      <c r="C1949" s="1">
        <v>0</v>
      </c>
      <c r="D1949" s="47">
        <v>4</v>
      </c>
      <c r="F1949" s="47">
        <f t="shared" si="103"/>
        <v>1</v>
      </c>
    </row>
    <row r="1950" spans="1:6" x14ac:dyDescent="0.25">
      <c r="A1950" s="5" t="s">
        <v>43</v>
      </c>
      <c r="B1950" s="2">
        <v>43974</v>
      </c>
      <c r="C1950" s="1">
        <v>400</v>
      </c>
      <c r="D1950" s="47">
        <v>5005</v>
      </c>
      <c r="E1950" s="1">
        <v>6</v>
      </c>
      <c r="F1950" s="47">
        <f t="shared" si="103"/>
        <v>149</v>
      </c>
    </row>
    <row r="1951" spans="1:6" x14ac:dyDescent="0.25">
      <c r="A1951" s="5" t="s">
        <v>20</v>
      </c>
      <c r="B1951" s="2">
        <v>43974</v>
      </c>
      <c r="C1951" s="1">
        <v>0</v>
      </c>
      <c r="D1951" s="47">
        <v>450</v>
      </c>
      <c r="F1951" s="47">
        <f t="shared" si="103"/>
        <v>25</v>
      </c>
    </row>
    <row r="1952" spans="1:6" x14ac:dyDescent="0.25">
      <c r="A1952" s="5" t="s">
        <v>30</v>
      </c>
      <c r="B1952" s="2">
        <v>43974</v>
      </c>
      <c r="C1952" s="1">
        <v>0</v>
      </c>
      <c r="D1952" s="47">
        <v>78</v>
      </c>
      <c r="F1952" s="47">
        <f t="shared" si="103"/>
        <v>0</v>
      </c>
    </row>
    <row r="1953" spans="1:6" x14ac:dyDescent="0.25">
      <c r="A1953" s="5" t="s">
        <v>31</v>
      </c>
      <c r="B1953" s="2">
        <v>43974</v>
      </c>
      <c r="C1953" s="1">
        <v>0</v>
      </c>
      <c r="D1953" s="47">
        <v>29</v>
      </c>
      <c r="F1953" s="47">
        <f t="shared" si="103"/>
        <v>0</v>
      </c>
    </row>
    <row r="1954" spans="1:6" x14ac:dyDescent="0.25">
      <c r="A1954" s="5" t="s">
        <v>41</v>
      </c>
      <c r="B1954" s="2">
        <v>43974</v>
      </c>
      <c r="C1954" s="1">
        <v>0</v>
      </c>
      <c r="D1954" s="47">
        <v>0</v>
      </c>
      <c r="F1954" s="47">
        <f t="shared" ref="F1954:F1968" si="104">E1954+F1929</f>
        <v>0</v>
      </c>
    </row>
    <row r="1955" spans="1:6" x14ac:dyDescent="0.25">
      <c r="A1955" s="5" t="s">
        <v>32</v>
      </c>
      <c r="B1955" s="2">
        <v>43974</v>
      </c>
      <c r="C1955" s="1">
        <v>0</v>
      </c>
      <c r="D1955" s="47">
        <v>5</v>
      </c>
      <c r="F1955" s="47">
        <f t="shared" si="104"/>
        <v>0</v>
      </c>
    </row>
    <row r="1956" spans="1:6" x14ac:dyDescent="0.25">
      <c r="A1956" s="5" t="s">
        <v>33</v>
      </c>
      <c r="B1956" s="2">
        <v>43974</v>
      </c>
      <c r="C1956" s="1">
        <v>0</v>
      </c>
      <c r="D1956" s="47">
        <v>5</v>
      </c>
      <c r="F1956" s="47">
        <f t="shared" si="104"/>
        <v>0</v>
      </c>
    </row>
    <row r="1957" spans="1:6" x14ac:dyDescent="0.25">
      <c r="A1957" s="5" t="s">
        <v>21</v>
      </c>
      <c r="B1957" s="2">
        <v>43974</v>
      </c>
      <c r="C1957" s="1">
        <v>0</v>
      </c>
      <c r="D1957" s="47">
        <v>63</v>
      </c>
      <c r="F1957" s="47">
        <f t="shared" si="104"/>
        <v>0</v>
      </c>
    </row>
    <row r="1958" spans="1:6" x14ac:dyDescent="0.25">
      <c r="A1958" s="5" t="s">
        <v>17</v>
      </c>
      <c r="B1958" s="2">
        <v>43974</v>
      </c>
      <c r="C1958" s="1">
        <v>0</v>
      </c>
      <c r="D1958" s="47">
        <v>90</v>
      </c>
      <c r="F1958" s="47">
        <f t="shared" si="104"/>
        <v>0</v>
      </c>
    </row>
    <row r="1959" spans="1:6" x14ac:dyDescent="0.25">
      <c r="A1959" s="5" t="s">
        <v>23</v>
      </c>
      <c r="B1959" s="2">
        <v>43974</v>
      </c>
      <c r="C1959" s="1">
        <v>0</v>
      </c>
      <c r="D1959" s="47">
        <v>25</v>
      </c>
      <c r="F1959" s="47">
        <f t="shared" si="104"/>
        <v>0</v>
      </c>
    </row>
    <row r="1960" spans="1:6" x14ac:dyDescent="0.25">
      <c r="A1960" s="5" t="s">
        <v>19</v>
      </c>
      <c r="B1960" s="2">
        <v>43974</v>
      </c>
      <c r="C1960" s="1">
        <v>0</v>
      </c>
      <c r="D1960" s="47">
        <v>114</v>
      </c>
      <c r="F1960" s="47">
        <f t="shared" si="104"/>
        <v>0</v>
      </c>
    </row>
    <row r="1961" spans="1:6" x14ac:dyDescent="0.25">
      <c r="A1961" s="5" t="s">
        <v>18</v>
      </c>
      <c r="B1961" s="2">
        <v>43974</v>
      </c>
      <c r="C1961" s="1">
        <v>5</v>
      </c>
      <c r="D1961" s="47">
        <v>347</v>
      </c>
      <c r="F1961" s="47">
        <f t="shared" si="104"/>
        <v>0</v>
      </c>
    </row>
    <row r="1962" spans="1:6" x14ac:dyDescent="0.25">
      <c r="A1962" s="5" t="s">
        <v>34</v>
      </c>
      <c r="B1962" s="2">
        <v>43974</v>
      </c>
      <c r="C1962" s="1">
        <v>0</v>
      </c>
      <c r="D1962" s="47">
        <v>7</v>
      </c>
      <c r="F1962" s="47">
        <f t="shared" si="104"/>
        <v>2</v>
      </c>
    </row>
    <row r="1963" spans="1:6" x14ac:dyDescent="0.25">
      <c r="A1963" s="5" t="s">
        <v>35</v>
      </c>
      <c r="B1963" s="2">
        <v>43974</v>
      </c>
      <c r="C1963" s="1">
        <v>0</v>
      </c>
      <c r="D1963" s="47">
        <v>4</v>
      </c>
      <c r="F1963" s="47">
        <f>E1963+F1939</f>
        <v>0</v>
      </c>
    </row>
    <row r="1964" spans="1:6" x14ac:dyDescent="0.25">
      <c r="A1964" s="5" t="s">
        <v>36</v>
      </c>
      <c r="B1964" s="2">
        <v>43974</v>
      </c>
      <c r="C1964" s="1">
        <v>0</v>
      </c>
      <c r="D1964" s="47">
        <v>11</v>
      </c>
      <c r="F1964" s="47">
        <f t="shared" si="104"/>
        <v>0</v>
      </c>
    </row>
    <row r="1965" spans="1:6" x14ac:dyDescent="0.25">
      <c r="A1965" s="5" t="s">
        <v>37</v>
      </c>
      <c r="B1965" s="2">
        <v>43974</v>
      </c>
      <c r="C1965" s="1">
        <v>0</v>
      </c>
      <c r="D1965" s="47">
        <v>49</v>
      </c>
      <c r="F1965" s="47">
        <f t="shared" si="104"/>
        <v>0</v>
      </c>
    </row>
    <row r="1966" spans="1:6" x14ac:dyDescent="0.25">
      <c r="A1966" s="5" t="s">
        <v>22</v>
      </c>
      <c r="B1966" s="2">
        <v>43974</v>
      </c>
      <c r="C1966" s="1">
        <v>0</v>
      </c>
      <c r="D1966" s="47">
        <v>258</v>
      </c>
      <c r="F1966" s="47">
        <f>E1966+F1942</f>
        <v>3</v>
      </c>
    </row>
    <row r="1967" spans="1:6" x14ac:dyDescent="0.25">
      <c r="A1967" s="5" t="s">
        <v>38</v>
      </c>
      <c r="B1967" s="2">
        <v>43974</v>
      </c>
      <c r="C1967" s="1">
        <v>0</v>
      </c>
      <c r="D1967" s="47">
        <v>22</v>
      </c>
      <c r="F1967" s="47">
        <f>E1967+F1943</f>
        <v>0</v>
      </c>
    </row>
    <row r="1968" spans="1:6" x14ac:dyDescent="0.25">
      <c r="A1968" s="5" t="s">
        <v>39</v>
      </c>
      <c r="B1968" s="2">
        <v>43974</v>
      </c>
      <c r="C1968" s="1">
        <v>0</v>
      </c>
      <c r="D1968" s="47">
        <v>148</v>
      </c>
      <c r="F1968" s="47">
        <f t="shared" si="104"/>
        <v>0</v>
      </c>
    </row>
    <row r="1969" spans="1:6" x14ac:dyDescent="0.25">
      <c r="A1969" s="5" t="s">
        <v>40</v>
      </c>
      <c r="B1969" s="2">
        <v>43974</v>
      </c>
      <c r="C1969" s="1">
        <v>2</v>
      </c>
      <c r="D1969" s="47">
        <v>45</v>
      </c>
      <c r="F1969" s="47">
        <f>E1969+F1945</f>
        <v>3</v>
      </c>
    </row>
    <row r="1970" spans="1:6" x14ac:dyDescent="0.25">
      <c r="A1970" s="34" t="s">
        <v>16</v>
      </c>
      <c r="B1970" s="2">
        <v>43975</v>
      </c>
      <c r="C1970" s="1">
        <v>196</v>
      </c>
      <c r="D1970" s="47">
        <v>4060</v>
      </c>
      <c r="E1970" s="1">
        <v>2</v>
      </c>
      <c r="F1970" s="47">
        <f>E1970+F1946</f>
        <v>182</v>
      </c>
    </row>
    <row r="1971" spans="1:6" x14ac:dyDescent="0.25">
      <c r="A1971" s="5" t="s">
        <v>28</v>
      </c>
      <c r="B1971" s="2">
        <v>43975</v>
      </c>
      <c r="C1971" s="1">
        <v>0</v>
      </c>
      <c r="D1971" s="47">
        <v>0</v>
      </c>
      <c r="F1971" s="47">
        <f t="shared" ref="F1971:F1977" si="105">E1971+F1947</f>
        <v>0</v>
      </c>
    </row>
    <row r="1972" spans="1:6" x14ac:dyDescent="0.25">
      <c r="A1972" s="5" t="s">
        <v>15</v>
      </c>
      <c r="B1972" s="2">
        <v>43975</v>
      </c>
      <c r="C1972" s="1">
        <v>20</v>
      </c>
      <c r="D1972" s="47">
        <v>748</v>
      </c>
      <c r="E1972" s="1">
        <v>2</v>
      </c>
      <c r="F1972" s="47">
        <f t="shared" si="105"/>
        <v>42</v>
      </c>
    </row>
    <row r="1973" spans="1:6" x14ac:dyDescent="0.25">
      <c r="A1973" s="5" t="s">
        <v>29</v>
      </c>
      <c r="B1973" s="2">
        <v>43975</v>
      </c>
      <c r="C1973" s="1">
        <v>0</v>
      </c>
      <c r="D1973" s="47">
        <v>4</v>
      </c>
      <c r="F1973" s="47">
        <f t="shared" si="105"/>
        <v>1</v>
      </c>
    </row>
    <row r="1974" spans="1:6" x14ac:dyDescent="0.25">
      <c r="A1974" s="5" t="s">
        <v>43</v>
      </c>
      <c r="B1974" s="2">
        <v>43975</v>
      </c>
      <c r="C1974" s="1">
        <v>495</v>
      </c>
      <c r="D1974" s="47">
        <v>5500</v>
      </c>
      <c r="E1974" s="1">
        <v>3</v>
      </c>
      <c r="F1974" s="47">
        <f t="shared" si="105"/>
        <v>152</v>
      </c>
    </row>
    <row r="1975" spans="1:6" x14ac:dyDescent="0.25">
      <c r="A1975" s="5" t="s">
        <v>20</v>
      </c>
      <c r="B1975" s="2">
        <v>43975</v>
      </c>
      <c r="C1975" s="1">
        <v>6</v>
      </c>
      <c r="D1975" s="47">
        <v>456</v>
      </c>
      <c r="F1975" s="47">
        <f t="shared" si="105"/>
        <v>25</v>
      </c>
    </row>
    <row r="1976" spans="1:6" x14ac:dyDescent="0.25">
      <c r="A1976" s="5" t="s">
        <v>30</v>
      </c>
      <c r="B1976" s="2">
        <v>43975</v>
      </c>
      <c r="C1976" s="1">
        <v>0</v>
      </c>
      <c r="D1976" s="47">
        <v>78</v>
      </c>
      <c r="F1976" s="47">
        <f t="shared" si="105"/>
        <v>0</v>
      </c>
    </row>
    <row r="1977" spans="1:6" x14ac:dyDescent="0.25">
      <c r="A1977" s="5" t="s">
        <v>31</v>
      </c>
      <c r="B1977" s="2">
        <v>43975</v>
      </c>
      <c r="C1977" s="1">
        <v>0</v>
      </c>
      <c r="D1977" s="47">
        <v>29</v>
      </c>
      <c r="F1977" s="47">
        <f t="shared" si="105"/>
        <v>0</v>
      </c>
    </row>
    <row r="1978" spans="1:6" x14ac:dyDescent="0.25">
      <c r="A1978" s="5" t="s">
        <v>41</v>
      </c>
      <c r="B1978" s="2">
        <v>43975</v>
      </c>
      <c r="C1978" s="1">
        <v>0</v>
      </c>
      <c r="D1978" s="47">
        <v>0</v>
      </c>
      <c r="F1978" s="47">
        <f t="shared" ref="F1978:F1992" si="106">E1978+F1953</f>
        <v>0</v>
      </c>
    </row>
    <row r="1979" spans="1:6" x14ac:dyDescent="0.25">
      <c r="A1979" s="5" t="s">
        <v>32</v>
      </c>
      <c r="B1979" s="2">
        <v>43975</v>
      </c>
      <c r="C1979" s="1">
        <v>0</v>
      </c>
      <c r="D1979" s="47">
        <v>5</v>
      </c>
      <c r="F1979" s="47">
        <f t="shared" si="106"/>
        <v>0</v>
      </c>
    </row>
    <row r="1980" spans="1:6" x14ac:dyDescent="0.25">
      <c r="A1980" s="5" t="s">
        <v>33</v>
      </c>
      <c r="B1980" s="2">
        <v>43975</v>
      </c>
      <c r="C1980" s="1">
        <v>0</v>
      </c>
      <c r="D1980" s="47">
        <v>5</v>
      </c>
      <c r="F1980" s="47">
        <f t="shared" si="106"/>
        <v>0</v>
      </c>
    </row>
    <row r="1981" spans="1:6" x14ac:dyDescent="0.25">
      <c r="A1981" s="5" t="s">
        <v>21</v>
      </c>
      <c r="B1981" s="2">
        <v>43975</v>
      </c>
      <c r="C1981" s="1">
        <v>0</v>
      </c>
      <c r="D1981" s="47">
        <v>63</v>
      </c>
      <c r="F1981" s="47">
        <f t="shared" si="106"/>
        <v>0</v>
      </c>
    </row>
    <row r="1982" spans="1:6" x14ac:dyDescent="0.25">
      <c r="A1982" s="5" t="s">
        <v>17</v>
      </c>
      <c r="B1982" s="2">
        <v>43975</v>
      </c>
      <c r="C1982" s="1">
        <v>0</v>
      </c>
      <c r="D1982" s="47">
        <v>90</v>
      </c>
      <c r="F1982" s="47">
        <f t="shared" si="106"/>
        <v>0</v>
      </c>
    </row>
    <row r="1983" spans="1:6" x14ac:dyDescent="0.25">
      <c r="A1983" s="5" t="s">
        <v>23</v>
      </c>
      <c r="B1983" s="2">
        <v>43975</v>
      </c>
      <c r="C1983" s="1">
        <v>0</v>
      </c>
      <c r="D1983" s="47">
        <v>25</v>
      </c>
      <c r="F1983" s="47">
        <f t="shared" si="106"/>
        <v>0</v>
      </c>
    </row>
    <row r="1984" spans="1:6" x14ac:dyDescent="0.25">
      <c r="A1984" s="5" t="s">
        <v>19</v>
      </c>
      <c r="B1984" s="2">
        <v>43975</v>
      </c>
      <c r="C1984" s="1">
        <v>1</v>
      </c>
      <c r="D1984" s="47">
        <v>115</v>
      </c>
      <c r="F1984" s="47">
        <f t="shared" si="106"/>
        <v>0</v>
      </c>
    </row>
    <row r="1985" spans="1:6" x14ac:dyDescent="0.25">
      <c r="A1985" s="5" t="s">
        <v>18</v>
      </c>
      <c r="B1985" s="2">
        <v>43975</v>
      </c>
      <c r="C1985" s="1">
        <v>5</v>
      </c>
      <c r="D1985" s="47">
        <v>352</v>
      </c>
      <c r="F1985" s="47">
        <f t="shared" si="106"/>
        <v>0</v>
      </c>
    </row>
    <row r="1986" spans="1:6" x14ac:dyDescent="0.25">
      <c r="A1986" s="5" t="s">
        <v>34</v>
      </c>
      <c r="B1986" s="2">
        <v>43975</v>
      </c>
      <c r="C1986" s="1">
        <v>0</v>
      </c>
      <c r="D1986" s="47">
        <v>7</v>
      </c>
      <c r="F1986" s="47">
        <f t="shared" si="106"/>
        <v>0</v>
      </c>
    </row>
    <row r="1987" spans="1:6" x14ac:dyDescent="0.25">
      <c r="A1987" s="5" t="s">
        <v>35</v>
      </c>
      <c r="B1987" s="2">
        <v>43975</v>
      </c>
      <c r="C1987" s="1">
        <v>0</v>
      </c>
      <c r="D1987" s="47">
        <v>4</v>
      </c>
      <c r="F1987" s="47">
        <f>E1987+F1963</f>
        <v>0</v>
      </c>
    </row>
    <row r="1988" spans="1:6" x14ac:dyDescent="0.25">
      <c r="A1988" s="5" t="s">
        <v>36</v>
      </c>
      <c r="B1988" s="2">
        <v>43975</v>
      </c>
      <c r="C1988" s="1">
        <v>0</v>
      </c>
      <c r="D1988" s="47">
        <v>11</v>
      </c>
      <c r="F1988" s="47">
        <f t="shared" si="106"/>
        <v>0</v>
      </c>
    </row>
    <row r="1989" spans="1:6" x14ac:dyDescent="0.25">
      <c r="A1989" s="5" t="s">
        <v>37</v>
      </c>
      <c r="B1989" s="2">
        <v>43975</v>
      </c>
      <c r="C1989" s="1">
        <v>0</v>
      </c>
      <c r="D1989" s="47">
        <v>49</v>
      </c>
      <c r="F1989" s="47">
        <f t="shared" si="106"/>
        <v>0</v>
      </c>
    </row>
    <row r="1990" spans="1:6" x14ac:dyDescent="0.25">
      <c r="A1990" s="5" t="s">
        <v>22</v>
      </c>
      <c r="B1990" s="2">
        <v>43975</v>
      </c>
      <c r="C1990" s="1">
        <v>0</v>
      </c>
      <c r="D1990" s="47">
        <v>258</v>
      </c>
      <c r="F1990" s="47">
        <f>E1990+F1966</f>
        <v>3</v>
      </c>
    </row>
    <row r="1991" spans="1:6" x14ac:dyDescent="0.25">
      <c r="A1991" s="5" t="s">
        <v>38</v>
      </c>
      <c r="B1991" s="2">
        <v>43975</v>
      </c>
      <c r="C1991" s="1">
        <v>0</v>
      </c>
      <c r="D1991" s="47">
        <v>22</v>
      </c>
      <c r="F1991" s="47">
        <f>E1991+F1967</f>
        <v>0</v>
      </c>
    </row>
    <row r="1992" spans="1:6" x14ac:dyDescent="0.25">
      <c r="A1992" s="5" t="s">
        <v>39</v>
      </c>
      <c r="B1992" s="2">
        <v>43975</v>
      </c>
      <c r="C1992" s="1">
        <v>0</v>
      </c>
      <c r="D1992" s="47">
        <v>148</v>
      </c>
      <c r="F1992" s="47">
        <f t="shared" si="106"/>
        <v>0</v>
      </c>
    </row>
    <row r="1993" spans="1:6" x14ac:dyDescent="0.25">
      <c r="A1993" s="5" t="s">
        <v>40</v>
      </c>
      <c r="B1993" s="2">
        <v>43975</v>
      </c>
      <c r="C1993" s="1">
        <v>0</v>
      </c>
      <c r="D1993" s="47">
        <v>45</v>
      </c>
      <c r="F1993" s="47">
        <f>E1993+F1969</f>
        <v>3</v>
      </c>
    </row>
    <row r="1994" spans="1:6" x14ac:dyDescent="0.25">
      <c r="A1994" s="34" t="s">
        <v>16</v>
      </c>
      <c r="B1994" s="2">
        <v>43976</v>
      </c>
      <c r="C1994" s="1">
        <v>159</v>
      </c>
      <c r="D1994" s="47">
        <v>4219</v>
      </c>
      <c r="E1994" s="1">
        <v>5</v>
      </c>
      <c r="F1994" s="47">
        <f>E1994+F1970</f>
        <v>187</v>
      </c>
    </row>
    <row r="1995" spans="1:6" x14ac:dyDescent="0.25">
      <c r="A1995" s="5" t="s">
        <v>28</v>
      </c>
      <c r="B1995" s="2">
        <v>43976</v>
      </c>
      <c r="C1995" s="1">
        <v>0</v>
      </c>
      <c r="D1995" s="47">
        <v>0</v>
      </c>
      <c r="F1995" s="47">
        <f t="shared" ref="F1995:F2001" si="107">E1995+F1971</f>
        <v>0</v>
      </c>
    </row>
    <row r="1996" spans="1:6" x14ac:dyDescent="0.25">
      <c r="A1996" s="5" t="s">
        <v>15</v>
      </c>
      <c r="B1996" s="2">
        <v>43976</v>
      </c>
      <c r="C1996" s="1">
        <v>9</v>
      </c>
      <c r="D1996" s="47">
        <v>757</v>
      </c>
      <c r="F1996" s="47">
        <f t="shared" si="107"/>
        <v>42</v>
      </c>
    </row>
    <row r="1997" spans="1:6" x14ac:dyDescent="0.25">
      <c r="A1997" s="5" t="s">
        <v>29</v>
      </c>
      <c r="B1997" s="2">
        <v>43976</v>
      </c>
      <c r="C1997" s="1">
        <v>0</v>
      </c>
      <c r="D1997" s="47">
        <v>4</v>
      </c>
      <c r="F1997" s="47">
        <f t="shared" si="107"/>
        <v>1</v>
      </c>
    </row>
    <row r="1998" spans="1:6" x14ac:dyDescent="0.25">
      <c r="A1998" s="5" t="s">
        <v>43</v>
      </c>
      <c r="B1998" s="2">
        <v>43976</v>
      </c>
      <c r="C1998" s="1">
        <v>375</v>
      </c>
      <c r="D1998" s="47">
        <v>5875</v>
      </c>
      <c r="E1998" s="1">
        <v>8</v>
      </c>
      <c r="F1998" s="47">
        <f t="shared" si="107"/>
        <v>160</v>
      </c>
    </row>
    <row r="1999" spans="1:6" x14ac:dyDescent="0.25">
      <c r="A1999" s="5" t="s">
        <v>20</v>
      </c>
      <c r="B1999" s="2">
        <v>43976</v>
      </c>
      <c r="C1999" s="1">
        <v>3</v>
      </c>
      <c r="D1999" s="47">
        <v>459</v>
      </c>
      <c r="E1999" s="1">
        <v>1</v>
      </c>
      <c r="F1999" s="47">
        <f t="shared" si="107"/>
        <v>26</v>
      </c>
    </row>
    <row r="2000" spans="1:6" x14ac:dyDescent="0.25">
      <c r="A2000" s="5" t="s">
        <v>30</v>
      </c>
      <c r="B2000" s="2">
        <v>43976</v>
      </c>
      <c r="C2000" s="1">
        <v>0</v>
      </c>
      <c r="D2000" s="47">
        <v>78</v>
      </c>
      <c r="F2000" s="47">
        <f t="shared" si="107"/>
        <v>0</v>
      </c>
    </row>
    <row r="2001" spans="1:6" x14ac:dyDescent="0.25">
      <c r="A2001" s="5" t="s">
        <v>31</v>
      </c>
      <c r="B2001" s="2">
        <v>43976</v>
      </c>
      <c r="C2001" s="1">
        <v>0</v>
      </c>
      <c r="D2001" s="47">
        <v>29</v>
      </c>
      <c r="F2001" s="47">
        <f t="shared" si="107"/>
        <v>0</v>
      </c>
    </row>
    <row r="2002" spans="1:6" x14ac:dyDescent="0.25">
      <c r="A2002" s="5" t="s">
        <v>41</v>
      </c>
      <c r="B2002" s="2">
        <v>43976</v>
      </c>
      <c r="C2002" s="1">
        <v>0</v>
      </c>
      <c r="D2002" s="47">
        <v>0</v>
      </c>
      <c r="F2002" s="47">
        <f t="shared" ref="F2002:F2016" si="108">E2002+F1977</f>
        <v>0</v>
      </c>
    </row>
    <row r="2003" spans="1:6" x14ac:dyDescent="0.25">
      <c r="A2003" s="5" t="s">
        <v>32</v>
      </c>
      <c r="B2003" s="2">
        <v>43976</v>
      </c>
      <c r="C2003" s="1">
        <v>0</v>
      </c>
      <c r="D2003" s="47">
        <v>5</v>
      </c>
      <c r="F2003" s="47">
        <f t="shared" si="108"/>
        <v>0</v>
      </c>
    </row>
    <row r="2004" spans="1:6" x14ac:dyDescent="0.25">
      <c r="A2004" s="5" t="s">
        <v>33</v>
      </c>
      <c r="B2004" s="2">
        <v>43976</v>
      </c>
      <c r="C2004" s="1">
        <v>0</v>
      </c>
      <c r="D2004" s="47">
        <v>5</v>
      </c>
      <c r="F2004" s="47">
        <f t="shared" si="108"/>
        <v>0</v>
      </c>
    </row>
    <row r="2005" spans="1:6" x14ac:dyDescent="0.25">
      <c r="A2005" s="5" t="s">
        <v>21</v>
      </c>
      <c r="B2005" s="2">
        <v>43976</v>
      </c>
      <c r="C2005" s="1">
        <v>0</v>
      </c>
      <c r="D2005" s="47">
        <v>63</v>
      </c>
      <c r="F2005" s="47">
        <f t="shared" si="108"/>
        <v>0</v>
      </c>
    </row>
    <row r="2006" spans="1:6" x14ac:dyDescent="0.25">
      <c r="A2006" s="5" t="s">
        <v>17</v>
      </c>
      <c r="B2006" s="2">
        <v>43976</v>
      </c>
      <c r="C2006" s="1">
        <v>0</v>
      </c>
      <c r="D2006" s="47">
        <v>90</v>
      </c>
      <c r="F2006" s="47">
        <f t="shared" si="108"/>
        <v>0</v>
      </c>
    </row>
    <row r="2007" spans="1:6" x14ac:dyDescent="0.25">
      <c r="A2007" s="5" t="s">
        <v>23</v>
      </c>
      <c r="B2007" s="2">
        <v>43976</v>
      </c>
      <c r="C2007" s="1">
        <v>0</v>
      </c>
      <c r="D2007" s="47">
        <v>25</v>
      </c>
      <c r="F2007" s="47">
        <f t="shared" si="108"/>
        <v>0</v>
      </c>
    </row>
    <row r="2008" spans="1:6" x14ac:dyDescent="0.25">
      <c r="A2008" s="5" t="s">
        <v>19</v>
      </c>
      <c r="B2008" s="2">
        <v>43976</v>
      </c>
      <c r="C2008" s="1">
        <v>1</v>
      </c>
      <c r="D2008" s="47">
        <v>116</v>
      </c>
      <c r="F2008" s="47">
        <f t="shared" si="108"/>
        <v>0</v>
      </c>
    </row>
    <row r="2009" spans="1:6" x14ac:dyDescent="0.25">
      <c r="A2009" s="5" t="s">
        <v>18</v>
      </c>
      <c r="B2009" s="2">
        <v>43976</v>
      </c>
      <c r="C2009" s="1">
        <v>4</v>
      </c>
      <c r="D2009" s="47">
        <v>356</v>
      </c>
      <c r="E2009" s="1">
        <v>1</v>
      </c>
      <c r="F2009" s="47">
        <f t="shared" si="108"/>
        <v>1</v>
      </c>
    </row>
    <row r="2010" spans="1:6" x14ac:dyDescent="0.25">
      <c r="A2010" s="5" t="s">
        <v>34</v>
      </c>
      <c r="B2010" s="2">
        <v>43976</v>
      </c>
      <c r="C2010" s="1">
        <v>0</v>
      </c>
      <c r="D2010" s="47">
        <v>7</v>
      </c>
      <c r="F2010" s="47">
        <f t="shared" si="108"/>
        <v>0</v>
      </c>
    </row>
    <row r="2011" spans="1:6" x14ac:dyDescent="0.25">
      <c r="A2011" s="5" t="s">
        <v>35</v>
      </c>
      <c r="B2011" s="2">
        <v>43976</v>
      </c>
      <c r="C2011" s="1">
        <v>0</v>
      </c>
      <c r="D2011" s="47">
        <v>4</v>
      </c>
      <c r="F2011" s="47">
        <f>E2011+F1987</f>
        <v>0</v>
      </c>
    </row>
    <row r="2012" spans="1:6" x14ac:dyDescent="0.25">
      <c r="A2012" s="5" t="s">
        <v>36</v>
      </c>
      <c r="B2012" s="2">
        <v>43976</v>
      </c>
      <c r="C2012" s="1">
        <v>0</v>
      </c>
      <c r="D2012" s="47">
        <v>11</v>
      </c>
      <c r="F2012" s="47">
        <f t="shared" si="108"/>
        <v>0</v>
      </c>
    </row>
    <row r="2013" spans="1:6" x14ac:dyDescent="0.25">
      <c r="A2013" s="5" t="s">
        <v>37</v>
      </c>
      <c r="B2013" s="2">
        <v>43976</v>
      </c>
      <c r="C2013" s="1">
        <v>0</v>
      </c>
      <c r="D2013" s="47">
        <v>49</v>
      </c>
      <c r="F2013" s="47">
        <f t="shared" si="108"/>
        <v>0</v>
      </c>
    </row>
    <row r="2014" spans="1:6" x14ac:dyDescent="0.25">
      <c r="A2014" s="5" t="s">
        <v>22</v>
      </c>
      <c r="B2014" s="2">
        <v>43976</v>
      </c>
      <c r="C2014" s="1">
        <v>0</v>
      </c>
      <c r="D2014" s="47">
        <v>258</v>
      </c>
      <c r="F2014" s="47">
        <f>E2014+F1990</f>
        <v>3</v>
      </c>
    </row>
    <row r="2015" spans="1:6" x14ac:dyDescent="0.25">
      <c r="A2015" s="5" t="s">
        <v>38</v>
      </c>
      <c r="B2015" s="2">
        <v>43976</v>
      </c>
      <c r="C2015" s="1">
        <v>0</v>
      </c>
      <c r="D2015" s="47">
        <v>22</v>
      </c>
      <c r="F2015" s="47">
        <f>E2015+F1991</f>
        <v>0</v>
      </c>
    </row>
    <row r="2016" spans="1:6" x14ac:dyDescent="0.25">
      <c r="A2016" s="5" t="s">
        <v>39</v>
      </c>
      <c r="B2016" s="2">
        <v>43976</v>
      </c>
      <c r="C2016" s="1">
        <v>0</v>
      </c>
      <c r="D2016" s="47">
        <v>148</v>
      </c>
      <c r="F2016" s="47">
        <f t="shared" si="108"/>
        <v>0</v>
      </c>
    </row>
    <row r="2017" spans="1:6" x14ac:dyDescent="0.25">
      <c r="A2017" s="5" t="s">
        <v>40</v>
      </c>
      <c r="B2017" s="2">
        <v>43976</v>
      </c>
      <c r="C2017" s="1">
        <v>2</v>
      </c>
      <c r="D2017" s="47">
        <v>47</v>
      </c>
      <c r="F2017" s="47">
        <f>E2017+F1993</f>
        <v>3</v>
      </c>
    </row>
    <row r="2018" spans="1:6" x14ac:dyDescent="0.25">
      <c r="A2018" s="34" t="s">
        <v>16</v>
      </c>
      <c r="B2018" s="2">
        <v>43977</v>
      </c>
      <c r="C2018" s="1">
        <v>236</v>
      </c>
      <c r="D2018" s="47">
        <v>4455</v>
      </c>
      <c r="E2018" s="1">
        <v>16</v>
      </c>
      <c r="F2018" s="47">
        <f>E2018+F1994</f>
        <v>203</v>
      </c>
    </row>
    <row r="2019" spans="1:6" x14ac:dyDescent="0.25">
      <c r="A2019" s="5" t="s">
        <v>28</v>
      </c>
      <c r="B2019" s="2">
        <v>43977</v>
      </c>
      <c r="C2019" s="1">
        <v>0</v>
      </c>
      <c r="D2019" s="47">
        <v>0</v>
      </c>
      <c r="F2019" s="47">
        <f t="shared" ref="F2019:F2025" si="109">E2019+F1995</f>
        <v>0</v>
      </c>
    </row>
    <row r="2020" spans="1:6" x14ac:dyDescent="0.25">
      <c r="A2020" s="5" t="s">
        <v>15</v>
      </c>
      <c r="B2020" s="2">
        <v>43977</v>
      </c>
      <c r="C2020" s="1">
        <v>23</v>
      </c>
      <c r="D2020" s="47">
        <v>780</v>
      </c>
      <c r="E2020" s="1">
        <v>2</v>
      </c>
      <c r="F2020" s="47">
        <f t="shared" si="109"/>
        <v>44</v>
      </c>
    </row>
    <row r="2021" spans="1:6" x14ac:dyDescent="0.25">
      <c r="A2021" s="5" t="s">
        <v>29</v>
      </c>
      <c r="B2021" s="2">
        <v>43977</v>
      </c>
      <c r="C2021" s="1">
        <v>1</v>
      </c>
      <c r="D2021" s="47">
        <v>5</v>
      </c>
      <c r="F2021" s="47">
        <f t="shared" si="109"/>
        <v>1</v>
      </c>
    </row>
    <row r="2022" spans="1:6" x14ac:dyDescent="0.25">
      <c r="A2022" s="5" t="s">
        <v>43</v>
      </c>
      <c r="B2022" s="2">
        <v>43977</v>
      </c>
      <c r="C2022" s="1">
        <v>327</v>
      </c>
      <c r="D2022" s="47">
        <v>6202</v>
      </c>
      <c r="E2022" s="1">
        <v>5</v>
      </c>
      <c r="F2022" s="47">
        <f t="shared" si="109"/>
        <v>165</v>
      </c>
    </row>
    <row r="2023" spans="1:6" x14ac:dyDescent="0.25">
      <c r="A2023" s="5" t="s">
        <v>20</v>
      </c>
      <c r="B2023" s="2">
        <v>43977</v>
      </c>
      <c r="C2023" s="1">
        <v>0</v>
      </c>
      <c r="D2023" s="47">
        <v>459</v>
      </c>
      <c r="F2023" s="47">
        <f t="shared" si="109"/>
        <v>26</v>
      </c>
    </row>
    <row r="2024" spans="1:6" x14ac:dyDescent="0.25">
      <c r="A2024" s="5" t="s">
        <v>30</v>
      </c>
      <c r="B2024" s="2">
        <v>43977</v>
      </c>
      <c r="C2024" s="1">
        <v>0</v>
      </c>
      <c r="D2024" s="47">
        <v>78</v>
      </c>
      <c r="F2024" s="47">
        <f t="shared" si="109"/>
        <v>0</v>
      </c>
    </row>
    <row r="2025" spans="1:6" x14ac:dyDescent="0.25">
      <c r="A2025" s="5" t="s">
        <v>31</v>
      </c>
      <c r="B2025" s="2">
        <v>43977</v>
      </c>
      <c r="C2025" s="1">
        <v>0</v>
      </c>
      <c r="D2025" s="47">
        <v>29</v>
      </c>
      <c r="F2025" s="47">
        <f t="shared" si="109"/>
        <v>0</v>
      </c>
    </row>
    <row r="2026" spans="1:6" x14ac:dyDescent="0.25">
      <c r="A2026" s="5" t="s">
        <v>41</v>
      </c>
      <c r="B2026" s="2">
        <v>43977</v>
      </c>
      <c r="C2026" s="1">
        <v>0</v>
      </c>
      <c r="D2026" s="47">
        <v>0</v>
      </c>
      <c r="F2026" s="47">
        <f t="shared" ref="F2026:F2040" si="110">E2026+F2001</f>
        <v>0</v>
      </c>
    </row>
    <row r="2027" spans="1:6" x14ac:dyDescent="0.25">
      <c r="A2027" s="5" t="s">
        <v>32</v>
      </c>
      <c r="B2027" s="2">
        <v>43977</v>
      </c>
      <c r="C2027" s="1">
        <v>0</v>
      </c>
      <c r="D2027" s="47">
        <v>5</v>
      </c>
      <c r="F2027" s="47">
        <f t="shared" si="110"/>
        <v>0</v>
      </c>
    </row>
    <row r="2028" spans="1:6" x14ac:dyDescent="0.25">
      <c r="A2028" s="5" t="s">
        <v>33</v>
      </c>
      <c r="B2028" s="2">
        <v>43977</v>
      </c>
      <c r="C2028" s="1">
        <v>0</v>
      </c>
      <c r="D2028" s="47">
        <v>5</v>
      </c>
      <c r="F2028" s="47">
        <f t="shared" si="110"/>
        <v>0</v>
      </c>
    </row>
    <row r="2029" spans="1:6" x14ac:dyDescent="0.25">
      <c r="A2029" s="5" t="s">
        <v>21</v>
      </c>
      <c r="B2029" s="2">
        <v>43977</v>
      </c>
      <c r="C2029" s="1">
        <v>0</v>
      </c>
      <c r="D2029" s="47">
        <v>63</v>
      </c>
      <c r="F2029" s="47">
        <f t="shared" si="110"/>
        <v>0</v>
      </c>
    </row>
    <row r="2030" spans="1:6" x14ac:dyDescent="0.25">
      <c r="A2030" s="5" t="s">
        <v>17</v>
      </c>
      <c r="B2030" s="2">
        <v>43977</v>
      </c>
      <c r="C2030" s="1">
        <v>0</v>
      </c>
      <c r="D2030" s="47">
        <v>90</v>
      </c>
      <c r="F2030" s="47">
        <f t="shared" si="110"/>
        <v>0</v>
      </c>
    </row>
    <row r="2031" spans="1:6" x14ac:dyDescent="0.25">
      <c r="A2031" s="5" t="s">
        <v>23</v>
      </c>
      <c r="B2031" s="2">
        <v>43977</v>
      </c>
      <c r="C2031" s="1">
        <v>0</v>
      </c>
      <c r="D2031" s="47">
        <v>25</v>
      </c>
      <c r="F2031" s="47">
        <f t="shared" si="110"/>
        <v>0</v>
      </c>
    </row>
    <row r="2032" spans="1:6" x14ac:dyDescent="0.25">
      <c r="A2032" s="5" t="s">
        <v>19</v>
      </c>
      <c r="B2032" s="2">
        <v>43977</v>
      </c>
      <c r="C2032" s="1">
        <v>7</v>
      </c>
      <c r="D2032" s="47">
        <v>123</v>
      </c>
      <c r="F2032" s="47">
        <f t="shared" si="110"/>
        <v>0</v>
      </c>
    </row>
    <row r="2033" spans="1:6" x14ac:dyDescent="0.25">
      <c r="A2033" s="5" t="s">
        <v>18</v>
      </c>
      <c r="B2033" s="2">
        <v>43977</v>
      </c>
      <c r="C2033" s="1">
        <v>4</v>
      </c>
      <c r="D2033" s="47">
        <v>360</v>
      </c>
      <c r="F2033" s="47">
        <f t="shared" si="110"/>
        <v>0</v>
      </c>
    </row>
    <row r="2034" spans="1:6" x14ac:dyDescent="0.25">
      <c r="A2034" s="5" t="s">
        <v>34</v>
      </c>
      <c r="B2034" s="2">
        <v>43977</v>
      </c>
      <c r="C2034" s="1">
        <v>0</v>
      </c>
      <c r="D2034" s="47">
        <v>7</v>
      </c>
      <c r="F2034" s="47">
        <f t="shared" si="110"/>
        <v>1</v>
      </c>
    </row>
    <row r="2035" spans="1:6" x14ac:dyDescent="0.25">
      <c r="A2035" s="5" t="s">
        <v>35</v>
      </c>
      <c r="B2035" s="2">
        <v>43977</v>
      </c>
      <c r="C2035" s="1">
        <v>0</v>
      </c>
      <c r="D2035" s="47">
        <v>4</v>
      </c>
      <c r="F2035" s="47">
        <f>E2035+F2011</f>
        <v>0</v>
      </c>
    </row>
    <row r="2036" spans="1:6" x14ac:dyDescent="0.25">
      <c r="A2036" s="5" t="s">
        <v>36</v>
      </c>
      <c r="B2036" s="2">
        <v>43977</v>
      </c>
      <c r="C2036" s="1">
        <v>0</v>
      </c>
      <c r="D2036" s="47">
        <v>11</v>
      </c>
      <c r="F2036" s="47">
        <f t="shared" si="110"/>
        <v>0</v>
      </c>
    </row>
    <row r="2037" spans="1:6" x14ac:dyDescent="0.25">
      <c r="A2037" s="5" t="s">
        <v>37</v>
      </c>
      <c r="B2037" s="2">
        <v>43977</v>
      </c>
      <c r="C2037" s="1">
        <v>0</v>
      </c>
      <c r="D2037" s="47">
        <v>49</v>
      </c>
      <c r="F2037" s="47">
        <f t="shared" si="110"/>
        <v>0</v>
      </c>
    </row>
    <row r="2038" spans="1:6" x14ac:dyDescent="0.25">
      <c r="A2038" s="5" t="s">
        <v>22</v>
      </c>
      <c r="B2038" s="2">
        <v>43977</v>
      </c>
      <c r="C2038" s="1">
        <v>2</v>
      </c>
      <c r="D2038" s="47">
        <v>260</v>
      </c>
      <c r="F2038" s="47">
        <f>E2038+F2014</f>
        <v>3</v>
      </c>
    </row>
    <row r="2039" spans="1:6" x14ac:dyDescent="0.25">
      <c r="A2039" s="5" t="s">
        <v>38</v>
      </c>
      <c r="B2039" s="2">
        <v>43977</v>
      </c>
      <c r="C2039" s="1">
        <v>0</v>
      </c>
      <c r="D2039" s="47">
        <v>22</v>
      </c>
      <c r="F2039" s="47">
        <f>E2039+F2015</f>
        <v>0</v>
      </c>
    </row>
    <row r="2040" spans="1:6" x14ac:dyDescent="0.25">
      <c r="A2040" s="5" t="s">
        <v>39</v>
      </c>
      <c r="B2040" s="2">
        <v>43977</v>
      </c>
      <c r="C2040" s="1">
        <v>0</v>
      </c>
      <c r="D2040" s="47">
        <v>148</v>
      </c>
      <c r="F2040" s="47">
        <f t="shared" si="110"/>
        <v>0</v>
      </c>
    </row>
    <row r="2041" spans="1:6" x14ac:dyDescent="0.25">
      <c r="A2041" s="5" t="s">
        <v>40</v>
      </c>
      <c r="B2041" s="2">
        <v>43977</v>
      </c>
      <c r="C2041" s="1">
        <v>0</v>
      </c>
      <c r="D2041" s="47">
        <v>47</v>
      </c>
      <c r="F2041" s="47">
        <f>E2041+F2017</f>
        <v>3</v>
      </c>
    </row>
    <row r="2042" spans="1:6" x14ac:dyDescent="0.25">
      <c r="A2042" s="34" t="s">
        <v>16</v>
      </c>
      <c r="B2042" s="2">
        <v>43978</v>
      </c>
      <c r="C2042" s="1">
        <v>315</v>
      </c>
      <c r="D2042" s="47">
        <v>4770</v>
      </c>
      <c r="E2042" s="1">
        <v>3</v>
      </c>
      <c r="F2042" s="47">
        <f>E2042+F2018</f>
        <v>206</v>
      </c>
    </row>
    <row r="2043" spans="1:6" x14ac:dyDescent="0.25">
      <c r="A2043" s="5" t="s">
        <v>28</v>
      </c>
      <c r="B2043" s="2">
        <v>43978</v>
      </c>
      <c r="C2043" s="1">
        <v>0</v>
      </c>
      <c r="D2043" s="47">
        <v>0</v>
      </c>
      <c r="F2043" s="47">
        <f t="shared" ref="F2043:F2049" si="111">E2043+F2019</f>
        <v>0</v>
      </c>
    </row>
    <row r="2044" spans="1:6" x14ac:dyDescent="0.25">
      <c r="A2044" s="5" t="s">
        <v>15</v>
      </c>
      <c r="B2044" s="2">
        <v>43978</v>
      </c>
      <c r="C2044" s="1">
        <v>16</v>
      </c>
      <c r="D2044" s="47">
        <v>796</v>
      </c>
      <c r="E2044" s="1">
        <v>2</v>
      </c>
      <c r="F2044" s="47">
        <f t="shared" si="111"/>
        <v>46</v>
      </c>
    </row>
    <row r="2045" spans="1:6" x14ac:dyDescent="0.25">
      <c r="A2045" s="5" t="s">
        <v>29</v>
      </c>
      <c r="B2045" s="2">
        <v>43978</v>
      </c>
      <c r="C2045" s="1">
        <v>0</v>
      </c>
      <c r="D2045" s="47">
        <v>5</v>
      </c>
      <c r="F2045" s="47">
        <f t="shared" si="111"/>
        <v>1</v>
      </c>
    </row>
    <row r="2046" spans="1:6" x14ac:dyDescent="0.25">
      <c r="A2046" s="5" t="s">
        <v>43</v>
      </c>
      <c r="B2046" s="2">
        <v>43978</v>
      </c>
      <c r="C2046" s="1">
        <v>362</v>
      </c>
      <c r="D2046" s="47">
        <v>6564</v>
      </c>
      <c r="E2046" s="1">
        <v>4</v>
      </c>
      <c r="F2046" s="47">
        <f t="shared" si="111"/>
        <v>169</v>
      </c>
    </row>
    <row r="2047" spans="1:6" x14ac:dyDescent="0.25">
      <c r="A2047" s="5" t="s">
        <v>20</v>
      </c>
      <c r="B2047" s="2">
        <v>43978</v>
      </c>
      <c r="C2047" s="1">
        <v>0</v>
      </c>
      <c r="D2047" s="47">
        <v>459</v>
      </c>
      <c r="E2047" s="1">
        <v>1</v>
      </c>
      <c r="F2047" s="47">
        <f t="shared" si="111"/>
        <v>27</v>
      </c>
    </row>
    <row r="2048" spans="1:6" x14ac:dyDescent="0.25">
      <c r="A2048" s="5" t="s">
        <v>30</v>
      </c>
      <c r="B2048" s="2">
        <v>43978</v>
      </c>
      <c r="C2048" s="1">
        <v>2</v>
      </c>
      <c r="D2048" s="47">
        <v>80</v>
      </c>
      <c r="F2048" s="47">
        <f t="shared" si="111"/>
        <v>0</v>
      </c>
    </row>
    <row r="2049" spans="1:6" x14ac:dyDescent="0.25">
      <c r="A2049" s="5" t="s">
        <v>31</v>
      </c>
      <c r="B2049" s="2">
        <v>43978</v>
      </c>
      <c r="C2049" s="1">
        <v>0</v>
      </c>
      <c r="D2049" s="47">
        <v>29</v>
      </c>
      <c r="F2049" s="47">
        <f t="shared" si="111"/>
        <v>0</v>
      </c>
    </row>
    <row r="2050" spans="1:6" x14ac:dyDescent="0.25">
      <c r="A2050" s="5" t="s">
        <v>41</v>
      </c>
      <c r="B2050" s="2">
        <v>43978</v>
      </c>
      <c r="C2050" s="1">
        <v>0</v>
      </c>
      <c r="D2050" s="47">
        <v>0</v>
      </c>
      <c r="F2050" s="47">
        <f t="shared" ref="F2050:F2064" si="112">E2050+F2025</f>
        <v>0</v>
      </c>
    </row>
    <row r="2051" spans="1:6" x14ac:dyDescent="0.25">
      <c r="A2051" s="5" t="s">
        <v>32</v>
      </c>
      <c r="B2051" s="2">
        <v>43978</v>
      </c>
      <c r="C2051" s="1">
        <v>0</v>
      </c>
      <c r="D2051" s="47">
        <v>5</v>
      </c>
      <c r="F2051" s="47">
        <f t="shared" si="112"/>
        <v>0</v>
      </c>
    </row>
    <row r="2052" spans="1:6" x14ac:dyDescent="0.25">
      <c r="A2052" s="5" t="s">
        <v>33</v>
      </c>
      <c r="B2052" s="2">
        <v>43978</v>
      </c>
      <c r="C2052" s="1">
        <v>0</v>
      </c>
      <c r="D2052" s="47">
        <v>5</v>
      </c>
      <c r="F2052" s="47">
        <f t="shared" si="112"/>
        <v>0</v>
      </c>
    </row>
    <row r="2053" spans="1:6" x14ac:dyDescent="0.25">
      <c r="A2053" s="5" t="s">
        <v>21</v>
      </c>
      <c r="B2053" s="2">
        <v>43978</v>
      </c>
      <c r="C2053" s="1">
        <v>0</v>
      </c>
      <c r="D2053" s="47">
        <v>63</v>
      </c>
      <c r="F2053" s="47">
        <f t="shared" si="112"/>
        <v>0</v>
      </c>
    </row>
    <row r="2054" spans="1:6" x14ac:dyDescent="0.25">
      <c r="A2054" s="5" t="s">
        <v>17</v>
      </c>
      <c r="B2054" s="2">
        <v>43978</v>
      </c>
      <c r="C2054" s="1">
        <v>-1</v>
      </c>
      <c r="D2054" s="47">
        <v>89</v>
      </c>
      <c r="F2054" s="47">
        <f t="shared" si="112"/>
        <v>0</v>
      </c>
    </row>
    <row r="2055" spans="1:6" x14ac:dyDescent="0.25">
      <c r="A2055" s="5" t="s">
        <v>23</v>
      </c>
      <c r="B2055" s="2">
        <v>43978</v>
      </c>
      <c r="C2055" s="1">
        <v>0</v>
      </c>
      <c r="D2055" s="47">
        <v>25</v>
      </c>
      <c r="F2055" s="47">
        <f t="shared" si="112"/>
        <v>0</v>
      </c>
    </row>
    <row r="2056" spans="1:6" x14ac:dyDescent="0.25">
      <c r="A2056" s="5" t="s">
        <v>19</v>
      </c>
      <c r="B2056" s="2">
        <v>43978</v>
      </c>
      <c r="C2056" s="1">
        <v>2</v>
      </c>
      <c r="D2056" s="47">
        <v>125</v>
      </c>
      <c r="F2056" s="47">
        <f t="shared" si="112"/>
        <v>0</v>
      </c>
    </row>
    <row r="2057" spans="1:6" x14ac:dyDescent="0.25">
      <c r="A2057" s="5" t="s">
        <v>18</v>
      </c>
      <c r="B2057" s="2">
        <v>43978</v>
      </c>
      <c r="C2057" s="1">
        <v>8</v>
      </c>
      <c r="D2057" s="47">
        <v>368</v>
      </c>
      <c r="F2057" s="47">
        <f t="shared" si="112"/>
        <v>0</v>
      </c>
    </row>
    <row r="2058" spans="1:6" x14ac:dyDescent="0.25">
      <c r="A2058" s="5" t="s">
        <v>34</v>
      </c>
      <c r="B2058" s="2">
        <v>43978</v>
      </c>
      <c r="C2058" s="1">
        <v>0</v>
      </c>
      <c r="D2058" s="47">
        <v>7</v>
      </c>
      <c r="F2058" s="47">
        <f t="shared" si="112"/>
        <v>0</v>
      </c>
    </row>
    <row r="2059" spans="1:6" x14ac:dyDescent="0.25">
      <c r="A2059" s="5" t="s">
        <v>35</v>
      </c>
      <c r="B2059" s="2">
        <v>43978</v>
      </c>
      <c r="C2059" s="1">
        <v>1</v>
      </c>
      <c r="D2059" s="47">
        <v>5</v>
      </c>
      <c r="F2059" s="47">
        <f>E2059+F2035</f>
        <v>0</v>
      </c>
    </row>
    <row r="2060" spans="1:6" x14ac:dyDescent="0.25">
      <c r="A2060" s="5" t="s">
        <v>36</v>
      </c>
      <c r="B2060" s="2">
        <v>43978</v>
      </c>
      <c r="C2060" s="1">
        <v>0</v>
      </c>
      <c r="D2060" s="47">
        <v>11</v>
      </c>
      <c r="F2060" s="47">
        <f t="shared" si="112"/>
        <v>0</v>
      </c>
    </row>
    <row r="2061" spans="1:6" x14ac:dyDescent="0.25">
      <c r="A2061" s="5" t="s">
        <v>37</v>
      </c>
      <c r="B2061" s="2">
        <v>43978</v>
      </c>
      <c r="C2061" s="1">
        <v>0</v>
      </c>
      <c r="D2061" s="47">
        <v>49</v>
      </c>
      <c r="F2061" s="47">
        <f t="shared" si="112"/>
        <v>0</v>
      </c>
    </row>
    <row r="2062" spans="1:6" x14ac:dyDescent="0.25">
      <c r="A2062" s="5" t="s">
        <v>22</v>
      </c>
      <c r="B2062" s="2">
        <v>43978</v>
      </c>
      <c r="C2062" s="1">
        <v>0</v>
      </c>
      <c r="D2062" s="47">
        <v>260</v>
      </c>
      <c r="F2062" s="47">
        <f>E2062+F2038</f>
        <v>3</v>
      </c>
    </row>
    <row r="2063" spans="1:6" x14ac:dyDescent="0.25">
      <c r="A2063" s="5" t="s">
        <v>38</v>
      </c>
      <c r="B2063" s="2">
        <v>43978</v>
      </c>
      <c r="C2063" s="1">
        <v>0</v>
      </c>
      <c r="D2063" s="47">
        <v>22</v>
      </c>
      <c r="F2063" s="47">
        <f>E2063+F2039</f>
        <v>0</v>
      </c>
    </row>
    <row r="2064" spans="1:6" x14ac:dyDescent="0.25">
      <c r="A2064" s="5" t="s">
        <v>39</v>
      </c>
      <c r="B2064" s="2">
        <v>43978</v>
      </c>
      <c r="C2064" s="1">
        <v>1</v>
      </c>
      <c r="D2064" s="47">
        <v>149</v>
      </c>
      <c r="F2064" s="47">
        <f t="shared" si="112"/>
        <v>0</v>
      </c>
    </row>
    <row r="2065" spans="1:6" x14ac:dyDescent="0.25">
      <c r="A2065" s="5" t="s">
        <v>40</v>
      </c>
      <c r="B2065" s="2">
        <v>43978</v>
      </c>
      <c r="C2065" s="1">
        <v>0</v>
      </c>
      <c r="D2065" s="47">
        <v>47</v>
      </c>
      <c r="F2065" s="47">
        <f>E2065+F2041</f>
        <v>3</v>
      </c>
    </row>
    <row r="2066" spans="1:6" x14ac:dyDescent="0.25">
      <c r="A2066" s="34" t="s">
        <v>16</v>
      </c>
      <c r="B2066" s="2">
        <v>43979</v>
      </c>
      <c r="C2066" s="1">
        <v>299</v>
      </c>
      <c r="D2066" s="47">
        <v>5069</v>
      </c>
      <c r="E2066" s="1">
        <v>4</v>
      </c>
      <c r="F2066" s="47">
        <f>E2066+F2042</f>
        <v>210</v>
      </c>
    </row>
    <row r="2067" spans="1:6" x14ac:dyDescent="0.25">
      <c r="A2067" s="5" t="s">
        <v>28</v>
      </c>
      <c r="B2067" s="2">
        <v>43979</v>
      </c>
      <c r="C2067" s="1">
        <v>0</v>
      </c>
      <c r="D2067" s="47">
        <v>0</v>
      </c>
      <c r="F2067" s="47">
        <f t="shared" ref="F2067:F2073" si="113">E2067+F2043</f>
        <v>0</v>
      </c>
    </row>
    <row r="2068" spans="1:6" x14ac:dyDescent="0.25">
      <c r="A2068" s="5" t="s">
        <v>15</v>
      </c>
      <c r="B2068" s="2">
        <v>43979</v>
      </c>
      <c r="C2068" s="1">
        <v>28</v>
      </c>
      <c r="D2068" s="47">
        <v>824</v>
      </c>
      <c r="E2068" s="1">
        <v>1</v>
      </c>
      <c r="F2068" s="47">
        <f t="shared" si="113"/>
        <v>47</v>
      </c>
    </row>
    <row r="2069" spans="1:6" x14ac:dyDescent="0.25">
      <c r="A2069" s="5" t="s">
        <v>29</v>
      </c>
      <c r="B2069" s="2">
        <v>43979</v>
      </c>
      <c r="C2069" s="1">
        <v>3</v>
      </c>
      <c r="D2069" s="47">
        <v>8</v>
      </c>
      <c r="F2069" s="47">
        <f t="shared" si="113"/>
        <v>1</v>
      </c>
    </row>
    <row r="2070" spans="1:6" x14ac:dyDescent="0.25">
      <c r="A2070" s="5" t="s">
        <v>43</v>
      </c>
      <c r="B2070" s="2">
        <v>43979</v>
      </c>
      <c r="C2070" s="1">
        <v>425</v>
      </c>
      <c r="D2070" s="47">
        <v>6989</v>
      </c>
      <c r="E2070" s="1">
        <v>3</v>
      </c>
      <c r="F2070" s="47">
        <f t="shared" si="113"/>
        <v>172</v>
      </c>
    </row>
    <row r="2071" spans="1:6" x14ac:dyDescent="0.25">
      <c r="A2071" s="5" t="s">
        <v>20</v>
      </c>
      <c r="B2071" s="2">
        <v>43979</v>
      </c>
      <c r="C2071" s="1">
        <v>-1</v>
      </c>
      <c r="D2071" s="47">
        <v>458</v>
      </c>
      <c r="F2071" s="47">
        <f t="shared" si="113"/>
        <v>27</v>
      </c>
    </row>
    <row r="2072" spans="1:6" x14ac:dyDescent="0.25">
      <c r="A2072" s="5" t="s">
        <v>30</v>
      </c>
      <c r="B2072" s="2">
        <v>43979</v>
      </c>
      <c r="C2072" s="1">
        <v>1</v>
      </c>
      <c r="D2072" s="47">
        <v>81</v>
      </c>
      <c r="F2072" s="47">
        <f t="shared" si="113"/>
        <v>0</v>
      </c>
    </row>
    <row r="2073" spans="1:6" x14ac:dyDescent="0.25">
      <c r="A2073" s="5" t="s">
        <v>31</v>
      </c>
      <c r="B2073" s="2">
        <v>43979</v>
      </c>
      <c r="C2073" s="1">
        <v>1</v>
      </c>
      <c r="D2073" s="47">
        <v>30</v>
      </c>
      <c r="F2073" s="47">
        <f t="shared" si="113"/>
        <v>0</v>
      </c>
    </row>
    <row r="2074" spans="1:6" x14ac:dyDescent="0.25">
      <c r="A2074" s="5" t="s">
        <v>41</v>
      </c>
      <c r="B2074" s="2">
        <v>43979</v>
      </c>
      <c r="C2074" s="1">
        <v>0</v>
      </c>
      <c r="D2074" s="47">
        <v>0</v>
      </c>
      <c r="F2074" s="47">
        <f t="shared" ref="F2074:F2088" si="114">E2074+F2049</f>
        <v>0</v>
      </c>
    </row>
    <row r="2075" spans="1:6" x14ac:dyDescent="0.25">
      <c r="A2075" s="5" t="s">
        <v>32</v>
      </c>
      <c r="B2075" s="2">
        <v>43979</v>
      </c>
      <c r="C2075" s="1">
        <v>1</v>
      </c>
      <c r="D2075" s="47">
        <v>6</v>
      </c>
      <c r="F2075" s="47">
        <f t="shared" si="114"/>
        <v>0</v>
      </c>
    </row>
    <row r="2076" spans="1:6" x14ac:dyDescent="0.25">
      <c r="A2076" s="5" t="s">
        <v>33</v>
      </c>
      <c r="B2076" s="2">
        <v>43979</v>
      </c>
      <c r="C2076" s="1">
        <v>0</v>
      </c>
      <c r="D2076" s="47">
        <v>5</v>
      </c>
      <c r="F2076" s="47">
        <f t="shared" si="114"/>
        <v>0</v>
      </c>
    </row>
    <row r="2077" spans="1:6" x14ac:dyDescent="0.25">
      <c r="A2077" s="5" t="s">
        <v>21</v>
      </c>
      <c r="B2077" s="2">
        <v>43979</v>
      </c>
      <c r="C2077" s="1">
        <v>0</v>
      </c>
      <c r="D2077" s="47">
        <v>63</v>
      </c>
      <c r="F2077" s="47">
        <f t="shared" si="114"/>
        <v>0</v>
      </c>
    </row>
    <row r="2078" spans="1:6" x14ac:dyDescent="0.25">
      <c r="A2078" s="5" t="s">
        <v>17</v>
      </c>
      <c r="B2078" s="2">
        <v>43979</v>
      </c>
      <c r="C2078" s="1">
        <v>0</v>
      </c>
      <c r="D2078" s="47">
        <v>89</v>
      </c>
      <c r="F2078" s="47">
        <f t="shared" si="114"/>
        <v>0</v>
      </c>
    </row>
    <row r="2079" spans="1:6" x14ac:dyDescent="0.25">
      <c r="A2079" s="5" t="s">
        <v>23</v>
      </c>
      <c r="B2079" s="2">
        <v>43979</v>
      </c>
      <c r="C2079" s="1">
        <v>2</v>
      </c>
      <c r="D2079" s="47">
        <v>27</v>
      </c>
      <c r="F2079" s="47">
        <f t="shared" si="114"/>
        <v>0</v>
      </c>
    </row>
    <row r="2080" spans="1:6" x14ac:dyDescent="0.25">
      <c r="A2080" s="5" t="s">
        <v>19</v>
      </c>
      <c r="B2080" s="2">
        <v>43979</v>
      </c>
      <c r="C2080" s="1">
        <v>3</v>
      </c>
      <c r="D2080" s="47">
        <v>128</v>
      </c>
      <c r="F2080" s="47">
        <f t="shared" si="114"/>
        <v>0</v>
      </c>
    </row>
    <row r="2081" spans="1:6" x14ac:dyDescent="0.25">
      <c r="A2081" s="5" t="s">
        <v>18</v>
      </c>
      <c r="B2081" s="2">
        <v>43979</v>
      </c>
      <c r="C2081" s="1">
        <v>7</v>
      </c>
      <c r="D2081" s="47">
        <v>375</v>
      </c>
      <c r="F2081" s="47">
        <f t="shared" si="114"/>
        <v>0</v>
      </c>
    </row>
    <row r="2082" spans="1:6" x14ac:dyDescent="0.25">
      <c r="A2082" s="5" t="s">
        <v>34</v>
      </c>
      <c r="B2082" s="2">
        <v>43979</v>
      </c>
      <c r="C2082" s="1">
        <v>0</v>
      </c>
      <c r="D2082" s="47">
        <v>7</v>
      </c>
      <c r="F2082" s="47">
        <f t="shared" si="114"/>
        <v>0</v>
      </c>
    </row>
    <row r="2083" spans="1:6" x14ac:dyDescent="0.25">
      <c r="A2083" s="5" t="s">
        <v>35</v>
      </c>
      <c r="B2083" s="2">
        <v>43979</v>
      </c>
      <c r="C2083" s="1">
        <v>0</v>
      </c>
      <c r="D2083" s="47">
        <v>5</v>
      </c>
      <c r="F2083" s="47">
        <f>E2083+F2059</f>
        <v>0</v>
      </c>
    </row>
    <row r="2084" spans="1:6" x14ac:dyDescent="0.25">
      <c r="A2084" s="5" t="s">
        <v>36</v>
      </c>
      <c r="B2084" s="2">
        <v>43979</v>
      </c>
      <c r="C2084" s="1">
        <v>0</v>
      </c>
      <c r="D2084" s="47">
        <v>11</v>
      </c>
      <c r="F2084" s="47">
        <f t="shared" si="114"/>
        <v>0</v>
      </c>
    </row>
    <row r="2085" spans="1:6" x14ac:dyDescent="0.25">
      <c r="A2085" s="5" t="s">
        <v>37</v>
      </c>
      <c r="B2085" s="2">
        <v>43979</v>
      </c>
      <c r="C2085" s="1">
        <v>0</v>
      </c>
      <c r="D2085" s="47">
        <v>49</v>
      </c>
      <c r="F2085" s="47">
        <f t="shared" si="114"/>
        <v>0</v>
      </c>
    </row>
    <row r="2086" spans="1:6" x14ac:dyDescent="0.25">
      <c r="A2086" s="5" t="s">
        <v>22</v>
      </c>
      <c r="B2086" s="2">
        <v>43979</v>
      </c>
      <c r="C2086" s="1">
        <v>0</v>
      </c>
      <c r="D2086" s="47">
        <v>260</v>
      </c>
      <c r="F2086" s="47">
        <f>E2086+F2062</f>
        <v>3</v>
      </c>
    </row>
    <row r="2087" spans="1:6" x14ac:dyDescent="0.25">
      <c r="A2087" s="5" t="s">
        <v>38</v>
      </c>
      <c r="B2087" s="2">
        <v>43979</v>
      </c>
      <c r="C2087" s="1">
        <v>0</v>
      </c>
      <c r="D2087" s="47">
        <v>22</v>
      </c>
      <c r="F2087" s="47">
        <f>E2087+F2063</f>
        <v>0</v>
      </c>
    </row>
    <row r="2088" spans="1:6" x14ac:dyDescent="0.25">
      <c r="A2088" s="5" t="s">
        <v>39</v>
      </c>
      <c r="B2088" s="2">
        <v>43979</v>
      </c>
      <c r="C2088" s="1">
        <v>0</v>
      </c>
      <c r="D2088" s="47">
        <v>149</v>
      </c>
      <c r="F2088" s="47">
        <f t="shared" si="114"/>
        <v>0</v>
      </c>
    </row>
    <row r="2089" spans="1:6" x14ac:dyDescent="0.25">
      <c r="A2089" s="5" t="s">
        <v>40</v>
      </c>
      <c r="B2089" s="2">
        <v>43979</v>
      </c>
      <c r="C2089" s="1">
        <v>0</v>
      </c>
      <c r="D2089" s="47">
        <v>47</v>
      </c>
      <c r="F2089" s="47">
        <f>E2089+F2065</f>
        <v>3</v>
      </c>
    </row>
    <row r="2090" spans="1:6" x14ac:dyDescent="0.25">
      <c r="A2090" s="34" t="s">
        <v>16</v>
      </c>
      <c r="B2090" s="2">
        <v>43980</v>
      </c>
      <c r="C2090" s="1">
        <v>273</v>
      </c>
      <c r="D2090" s="47">
        <v>5342</v>
      </c>
      <c r="E2090" s="1">
        <v>5</v>
      </c>
      <c r="F2090" s="47">
        <f>E2090+F2066</f>
        <v>215</v>
      </c>
    </row>
    <row r="2091" spans="1:6" x14ac:dyDescent="0.25">
      <c r="A2091" s="5" t="s">
        <v>28</v>
      </c>
      <c r="B2091" s="2">
        <v>43980</v>
      </c>
      <c r="C2091" s="1">
        <v>0</v>
      </c>
      <c r="D2091" s="47">
        <v>0</v>
      </c>
      <c r="F2091" s="47">
        <f t="shared" ref="F2091:F2097" si="115">E2091+F2067</f>
        <v>0</v>
      </c>
    </row>
    <row r="2092" spans="1:6" x14ac:dyDescent="0.25">
      <c r="A2092" s="5" t="s">
        <v>15</v>
      </c>
      <c r="B2092" s="2">
        <v>43980</v>
      </c>
      <c r="C2092" s="1">
        <v>26</v>
      </c>
      <c r="D2092" s="47">
        <v>850</v>
      </c>
      <c r="E2092" s="1">
        <v>1</v>
      </c>
      <c r="F2092" s="47">
        <f t="shared" si="115"/>
        <v>48</v>
      </c>
    </row>
    <row r="2093" spans="1:6" x14ac:dyDescent="0.25">
      <c r="A2093" s="5" t="s">
        <v>29</v>
      </c>
      <c r="B2093" s="2">
        <v>43980</v>
      </c>
      <c r="C2093" s="1">
        <v>0</v>
      </c>
      <c r="D2093" s="47">
        <v>8</v>
      </c>
      <c r="F2093" s="47">
        <f t="shared" si="115"/>
        <v>1</v>
      </c>
    </row>
    <row r="2094" spans="1:6" x14ac:dyDescent="0.25">
      <c r="A2094" s="5" t="s">
        <v>43</v>
      </c>
      <c r="B2094" s="2">
        <v>43980</v>
      </c>
      <c r="C2094" s="1">
        <v>399</v>
      </c>
      <c r="D2094" s="47">
        <v>7388</v>
      </c>
      <c r="E2094" s="1">
        <v>6</v>
      </c>
      <c r="F2094" s="47">
        <f t="shared" si="115"/>
        <v>178</v>
      </c>
    </row>
    <row r="2095" spans="1:6" x14ac:dyDescent="0.25">
      <c r="A2095" s="5" t="s">
        <v>20</v>
      </c>
      <c r="B2095" s="2">
        <v>43980</v>
      </c>
      <c r="C2095" s="1">
        <v>0</v>
      </c>
      <c r="D2095" s="47">
        <v>458</v>
      </c>
      <c r="F2095" s="47">
        <f t="shared" si="115"/>
        <v>27</v>
      </c>
    </row>
    <row r="2096" spans="1:6" x14ac:dyDescent="0.25">
      <c r="A2096" s="5" t="s">
        <v>30</v>
      </c>
      <c r="B2096" s="2">
        <v>43980</v>
      </c>
      <c r="C2096" s="1">
        <v>6</v>
      </c>
      <c r="D2096" s="47">
        <v>87</v>
      </c>
      <c r="F2096" s="47">
        <f t="shared" si="115"/>
        <v>0</v>
      </c>
    </row>
    <row r="2097" spans="1:6" x14ac:dyDescent="0.25">
      <c r="A2097" s="5" t="s">
        <v>31</v>
      </c>
      <c r="B2097" s="2">
        <v>43980</v>
      </c>
      <c r="C2097" s="1">
        <v>0</v>
      </c>
      <c r="D2097" s="47">
        <v>30</v>
      </c>
      <c r="F2097" s="47">
        <f t="shared" si="115"/>
        <v>0</v>
      </c>
    </row>
    <row r="2098" spans="1:6" x14ac:dyDescent="0.25">
      <c r="A2098" s="5" t="s">
        <v>41</v>
      </c>
      <c r="B2098" s="2">
        <v>43980</v>
      </c>
      <c r="C2098" s="1">
        <v>0</v>
      </c>
      <c r="D2098" s="47">
        <v>0</v>
      </c>
      <c r="F2098" s="47">
        <f t="shared" ref="F2098:F2112" si="116">E2098+F2073</f>
        <v>0</v>
      </c>
    </row>
    <row r="2099" spans="1:6" x14ac:dyDescent="0.25">
      <c r="A2099" s="5" t="s">
        <v>32</v>
      </c>
      <c r="B2099" s="2">
        <v>43980</v>
      </c>
      <c r="C2099" s="1">
        <v>0</v>
      </c>
      <c r="D2099" s="47">
        <v>6</v>
      </c>
      <c r="F2099" s="47">
        <f t="shared" si="116"/>
        <v>0</v>
      </c>
    </row>
    <row r="2100" spans="1:6" x14ac:dyDescent="0.25">
      <c r="A2100" s="5" t="s">
        <v>33</v>
      </c>
      <c r="B2100" s="2">
        <v>43980</v>
      </c>
      <c r="C2100" s="1">
        <v>0</v>
      </c>
      <c r="D2100" s="47">
        <v>5</v>
      </c>
      <c r="F2100" s="47">
        <f t="shared" si="116"/>
        <v>0</v>
      </c>
    </row>
    <row r="2101" spans="1:6" x14ac:dyDescent="0.25">
      <c r="A2101" s="5" t="s">
        <v>21</v>
      </c>
      <c r="B2101" s="2">
        <v>43980</v>
      </c>
      <c r="C2101" s="1">
        <v>0</v>
      </c>
      <c r="D2101" s="47">
        <v>63</v>
      </c>
      <c r="F2101" s="47">
        <f t="shared" si="116"/>
        <v>0</v>
      </c>
    </row>
    <row r="2102" spans="1:6" x14ac:dyDescent="0.25">
      <c r="A2102" s="5" t="s">
        <v>17</v>
      </c>
      <c r="B2102" s="2">
        <v>43980</v>
      </c>
      <c r="C2102" s="1">
        <v>0</v>
      </c>
      <c r="D2102" s="47">
        <v>89</v>
      </c>
      <c r="F2102" s="47">
        <f t="shared" si="116"/>
        <v>0</v>
      </c>
    </row>
    <row r="2103" spans="1:6" x14ac:dyDescent="0.25">
      <c r="A2103" s="5" t="s">
        <v>23</v>
      </c>
      <c r="B2103" s="2">
        <v>43980</v>
      </c>
      <c r="C2103" s="1">
        <v>0</v>
      </c>
      <c r="D2103" s="47">
        <v>27</v>
      </c>
      <c r="F2103" s="47">
        <f t="shared" si="116"/>
        <v>0</v>
      </c>
    </row>
    <row r="2104" spans="1:6" x14ac:dyDescent="0.25">
      <c r="A2104" s="5" t="s">
        <v>19</v>
      </c>
      <c r="B2104" s="2">
        <v>43980</v>
      </c>
      <c r="C2104" s="1">
        <v>2</v>
      </c>
      <c r="D2104" s="47">
        <v>130</v>
      </c>
      <c r="F2104" s="47">
        <f t="shared" si="116"/>
        <v>0</v>
      </c>
    </row>
    <row r="2105" spans="1:6" x14ac:dyDescent="0.25">
      <c r="A2105" s="5" t="s">
        <v>18</v>
      </c>
      <c r="B2105" s="2">
        <v>43980</v>
      </c>
      <c r="C2105" s="1">
        <v>12</v>
      </c>
      <c r="D2105" s="47">
        <v>387</v>
      </c>
      <c r="F2105" s="47">
        <f t="shared" si="116"/>
        <v>0</v>
      </c>
    </row>
    <row r="2106" spans="1:6" x14ac:dyDescent="0.25">
      <c r="A2106" s="5" t="s">
        <v>34</v>
      </c>
      <c r="B2106" s="2">
        <v>43980</v>
      </c>
      <c r="C2106" s="1">
        <v>0</v>
      </c>
      <c r="D2106" s="47">
        <v>7</v>
      </c>
      <c r="F2106" s="47">
        <f t="shared" si="116"/>
        <v>0</v>
      </c>
    </row>
    <row r="2107" spans="1:6" x14ac:dyDescent="0.25">
      <c r="A2107" s="5" t="s">
        <v>35</v>
      </c>
      <c r="B2107" s="2">
        <v>43980</v>
      </c>
      <c r="C2107" s="1">
        <v>0</v>
      </c>
      <c r="D2107" s="47">
        <v>5</v>
      </c>
      <c r="F2107" s="47">
        <f>E2107+F2083</f>
        <v>0</v>
      </c>
    </row>
    <row r="2108" spans="1:6" x14ac:dyDescent="0.25">
      <c r="A2108" s="5" t="s">
        <v>36</v>
      </c>
      <c r="B2108" s="2">
        <v>43980</v>
      </c>
      <c r="C2108" s="1">
        <v>0</v>
      </c>
      <c r="D2108" s="47">
        <v>11</v>
      </c>
      <c r="F2108" s="47">
        <f t="shared" si="116"/>
        <v>0</v>
      </c>
    </row>
    <row r="2109" spans="1:6" x14ac:dyDescent="0.25">
      <c r="A2109" s="5" t="s">
        <v>37</v>
      </c>
      <c r="B2109" s="2">
        <v>43980</v>
      </c>
      <c r="C2109" s="1">
        <v>0</v>
      </c>
      <c r="D2109" s="47">
        <v>49</v>
      </c>
      <c r="F2109" s="47">
        <f t="shared" si="116"/>
        <v>0</v>
      </c>
    </row>
    <row r="2110" spans="1:6" x14ac:dyDescent="0.25">
      <c r="A2110" s="5" t="s">
        <v>22</v>
      </c>
      <c r="B2110" s="2">
        <v>43980</v>
      </c>
      <c r="C2110" s="1">
        <v>0</v>
      </c>
      <c r="D2110" s="47">
        <v>260</v>
      </c>
      <c r="F2110" s="47">
        <f>E2110+F2086</f>
        <v>3</v>
      </c>
    </row>
    <row r="2111" spans="1:6" x14ac:dyDescent="0.25">
      <c r="A2111" s="5" t="s">
        <v>38</v>
      </c>
      <c r="B2111" s="2">
        <v>43980</v>
      </c>
      <c r="C2111" s="1">
        <v>0</v>
      </c>
      <c r="D2111" s="47">
        <v>22</v>
      </c>
      <c r="F2111" s="47">
        <f>E2111+F2087</f>
        <v>0</v>
      </c>
    </row>
    <row r="2112" spans="1:6" x14ac:dyDescent="0.25">
      <c r="A2112" s="5" t="s">
        <v>39</v>
      </c>
      <c r="B2112" s="2">
        <v>43980</v>
      </c>
      <c r="C2112" s="1">
        <v>0</v>
      </c>
      <c r="D2112" s="47">
        <v>149</v>
      </c>
      <c r="F2112" s="47">
        <f t="shared" si="116"/>
        <v>0</v>
      </c>
    </row>
    <row r="2113" spans="1:6" x14ac:dyDescent="0.25">
      <c r="A2113" s="5" t="s">
        <v>40</v>
      </c>
      <c r="B2113" s="2">
        <v>43980</v>
      </c>
      <c r="C2113" s="1">
        <v>0</v>
      </c>
      <c r="D2113" s="47">
        <v>47</v>
      </c>
      <c r="F2113" s="47">
        <f>E2113+F2089</f>
        <v>3</v>
      </c>
    </row>
    <row r="2114" spans="1:6" x14ac:dyDescent="0.25">
      <c r="A2114" s="34" t="s">
        <v>16</v>
      </c>
      <c r="B2114" s="2">
        <v>43981</v>
      </c>
      <c r="C2114" s="1">
        <v>296</v>
      </c>
      <c r="D2114" s="47">
        <v>5638</v>
      </c>
      <c r="E2114" s="1">
        <v>2</v>
      </c>
      <c r="F2114" s="47">
        <f>E2114+F2090</f>
        <v>217</v>
      </c>
    </row>
    <row r="2115" spans="1:6" x14ac:dyDescent="0.25">
      <c r="A2115" s="5" t="s">
        <v>28</v>
      </c>
      <c r="B2115" s="2">
        <v>43981</v>
      </c>
      <c r="C2115" s="1">
        <v>0</v>
      </c>
      <c r="D2115" s="47">
        <v>0</v>
      </c>
      <c r="F2115" s="47">
        <f t="shared" ref="F2115:F2121" si="117">E2115+F2091</f>
        <v>0</v>
      </c>
    </row>
    <row r="2116" spans="1:6" x14ac:dyDescent="0.25">
      <c r="A2116" s="5" t="s">
        <v>15</v>
      </c>
      <c r="B2116" s="2">
        <v>43981</v>
      </c>
      <c r="C2116" s="1">
        <v>24</v>
      </c>
      <c r="D2116" s="47">
        <v>874</v>
      </c>
      <c r="E2116" s="1">
        <v>4</v>
      </c>
      <c r="F2116" s="47">
        <f t="shared" si="117"/>
        <v>52</v>
      </c>
    </row>
    <row r="2117" spans="1:6" x14ac:dyDescent="0.25">
      <c r="A2117" s="5" t="s">
        <v>29</v>
      </c>
      <c r="B2117" s="2">
        <v>43981</v>
      </c>
      <c r="C2117" s="1">
        <v>2</v>
      </c>
      <c r="D2117" s="47">
        <v>10</v>
      </c>
      <c r="F2117" s="47">
        <f t="shared" si="117"/>
        <v>1</v>
      </c>
    </row>
    <row r="2118" spans="1:6" x14ac:dyDescent="0.25">
      <c r="A2118" s="5" t="s">
        <v>43</v>
      </c>
      <c r="B2118" s="2">
        <v>43981</v>
      </c>
      <c r="C2118" s="1">
        <v>460</v>
      </c>
      <c r="D2118" s="47">
        <v>7848</v>
      </c>
      <c r="E2118" s="1">
        <v>2</v>
      </c>
      <c r="F2118" s="47">
        <f t="shared" si="117"/>
        <v>180</v>
      </c>
    </row>
    <row r="2119" spans="1:6" x14ac:dyDescent="0.25">
      <c r="A2119" s="5" t="s">
        <v>20</v>
      </c>
      <c r="B2119" s="2">
        <v>43981</v>
      </c>
      <c r="C2119" s="1">
        <v>0</v>
      </c>
      <c r="D2119" s="47">
        <v>458</v>
      </c>
      <c r="F2119" s="47">
        <f t="shared" si="117"/>
        <v>27</v>
      </c>
    </row>
    <row r="2120" spans="1:6" x14ac:dyDescent="0.25">
      <c r="A2120" s="5" t="s">
        <v>30</v>
      </c>
      <c r="B2120" s="2">
        <v>43981</v>
      </c>
      <c r="C2120" s="1">
        <v>0</v>
      </c>
      <c r="D2120" s="47">
        <v>87</v>
      </c>
      <c r="F2120" s="47">
        <f t="shared" si="117"/>
        <v>0</v>
      </c>
    </row>
    <row r="2121" spans="1:6" x14ac:dyDescent="0.25">
      <c r="A2121" s="5" t="s">
        <v>31</v>
      </c>
      <c r="B2121" s="2">
        <v>43981</v>
      </c>
      <c r="C2121" s="1">
        <v>1</v>
      </c>
      <c r="D2121" s="47">
        <v>31</v>
      </c>
      <c r="F2121" s="47">
        <f t="shared" si="117"/>
        <v>0</v>
      </c>
    </row>
    <row r="2122" spans="1:6" x14ac:dyDescent="0.25">
      <c r="A2122" s="5" t="s">
        <v>41</v>
      </c>
      <c r="B2122" s="2">
        <v>43981</v>
      </c>
      <c r="C2122" s="1">
        <v>0</v>
      </c>
      <c r="D2122" s="47">
        <v>0</v>
      </c>
      <c r="F2122" s="47">
        <f t="shared" ref="F2122:F2136" si="118">E2122+F2097</f>
        <v>0</v>
      </c>
    </row>
    <row r="2123" spans="1:6" x14ac:dyDescent="0.25">
      <c r="A2123" s="5" t="s">
        <v>32</v>
      </c>
      <c r="B2123" s="2">
        <v>43981</v>
      </c>
      <c r="C2123" s="1">
        <v>0</v>
      </c>
      <c r="D2123" s="47">
        <v>6</v>
      </c>
      <c r="F2123" s="47">
        <f t="shared" si="118"/>
        <v>0</v>
      </c>
    </row>
    <row r="2124" spans="1:6" x14ac:dyDescent="0.25">
      <c r="A2124" s="5" t="s">
        <v>33</v>
      </c>
      <c r="B2124" s="2">
        <v>43981</v>
      </c>
      <c r="C2124" s="1">
        <v>0</v>
      </c>
      <c r="D2124" s="47">
        <v>5</v>
      </c>
      <c r="F2124" s="47">
        <f t="shared" si="118"/>
        <v>0</v>
      </c>
    </row>
    <row r="2125" spans="1:6" x14ac:dyDescent="0.25">
      <c r="A2125" s="5" t="s">
        <v>21</v>
      </c>
      <c r="B2125" s="2">
        <v>43981</v>
      </c>
      <c r="C2125" s="1">
        <v>0</v>
      </c>
      <c r="D2125" s="47">
        <v>63</v>
      </c>
      <c r="F2125" s="47">
        <f t="shared" si="118"/>
        <v>0</v>
      </c>
    </row>
    <row r="2126" spans="1:6" x14ac:dyDescent="0.25">
      <c r="A2126" s="5" t="s">
        <v>17</v>
      </c>
      <c r="B2126" s="2">
        <v>43981</v>
      </c>
      <c r="C2126" s="1">
        <v>3</v>
      </c>
      <c r="D2126" s="47">
        <v>92</v>
      </c>
      <c r="F2126" s="47">
        <f t="shared" si="118"/>
        <v>0</v>
      </c>
    </row>
    <row r="2127" spans="1:6" x14ac:dyDescent="0.25">
      <c r="A2127" s="5" t="s">
        <v>23</v>
      </c>
      <c r="B2127" s="2">
        <v>43981</v>
      </c>
      <c r="C2127" s="1">
        <v>0</v>
      </c>
      <c r="D2127" s="47">
        <v>27</v>
      </c>
      <c r="F2127" s="47">
        <f t="shared" si="118"/>
        <v>0</v>
      </c>
    </row>
    <row r="2128" spans="1:6" x14ac:dyDescent="0.25">
      <c r="A2128" s="5" t="s">
        <v>19</v>
      </c>
      <c r="B2128" s="2">
        <v>43981</v>
      </c>
      <c r="C2128" s="1">
        <v>1</v>
      </c>
      <c r="D2128" s="47">
        <v>131</v>
      </c>
      <c r="F2128" s="47">
        <f t="shared" si="118"/>
        <v>0</v>
      </c>
    </row>
    <row r="2129" spans="1:6" x14ac:dyDescent="0.25">
      <c r="A2129" s="5" t="s">
        <v>18</v>
      </c>
      <c r="B2129" s="2">
        <v>43981</v>
      </c>
      <c r="C2129" s="1">
        <v>5</v>
      </c>
      <c r="D2129" s="47">
        <v>392</v>
      </c>
      <c r="F2129" s="47">
        <f t="shared" si="118"/>
        <v>0</v>
      </c>
    </row>
    <row r="2130" spans="1:6" x14ac:dyDescent="0.25">
      <c r="A2130" s="5" t="s">
        <v>34</v>
      </c>
      <c r="B2130" s="2">
        <v>43981</v>
      </c>
      <c r="C2130" s="1">
        <v>1</v>
      </c>
      <c r="D2130" s="47">
        <v>8</v>
      </c>
      <c r="F2130" s="47">
        <f t="shared" si="118"/>
        <v>0</v>
      </c>
    </row>
    <row r="2131" spans="1:6" x14ac:dyDescent="0.25">
      <c r="A2131" s="5" t="s">
        <v>35</v>
      </c>
      <c r="B2131" s="2">
        <v>43981</v>
      </c>
      <c r="C2131" s="1">
        <v>0</v>
      </c>
      <c r="D2131" s="47">
        <v>5</v>
      </c>
      <c r="F2131" s="47">
        <f>E2131+F2107</f>
        <v>0</v>
      </c>
    </row>
    <row r="2132" spans="1:6" x14ac:dyDescent="0.25">
      <c r="A2132" s="5" t="s">
        <v>36</v>
      </c>
      <c r="B2132" s="2">
        <v>43981</v>
      </c>
      <c r="C2132" s="1">
        <v>0</v>
      </c>
      <c r="D2132" s="47">
        <v>11</v>
      </c>
      <c r="F2132" s="47">
        <f t="shared" si="118"/>
        <v>0</v>
      </c>
    </row>
    <row r="2133" spans="1:6" x14ac:dyDescent="0.25">
      <c r="A2133" s="5" t="s">
        <v>37</v>
      </c>
      <c r="B2133" s="2">
        <v>43981</v>
      </c>
      <c r="C2133" s="1">
        <v>0</v>
      </c>
      <c r="D2133" s="47">
        <v>49</v>
      </c>
      <c r="F2133" s="47">
        <f t="shared" si="118"/>
        <v>0</v>
      </c>
    </row>
    <row r="2134" spans="1:6" x14ac:dyDescent="0.25">
      <c r="A2134" s="5" t="s">
        <v>22</v>
      </c>
      <c r="B2134" s="2">
        <v>43981</v>
      </c>
      <c r="C2134" s="1">
        <v>2</v>
      </c>
      <c r="D2134" s="47">
        <v>262</v>
      </c>
      <c r="F2134" s="47">
        <f>E2134+F2110</f>
        <v>3</v>
      </c>
    </row>
    <row r="2135" spans="1:6" x14ac:dyDescent="0.25">
      <c r="A2135" s="5" t="s">
        <v>38</v>
      </c>
      <c r="B2135" s="2">
        <v>43981</v>
      </c>
      <c r="C2135" s="1">
        <v>0</v>
      </c>
      <c r="D2135" s="47">
        <v>22</v>
      </c>
      <c r="F2135" s="47">
        <f>E2135+F2111</f>
        <v>0</v>
      </c>
    </row>
    <row r="2136" spans="1:6" x14ac:dyDescent="0.25">
      <c r="A2136" s="5" t="s">
        <v>39</v>
      </c>
      <c r="B2136" s="2">
        <v>43981</v>
      </c>
      <c r="C2136" s="1">
        <v>0</v>
      </c>
      <c r="D2136" s="47">
        <v>149</v>
      </c>
      <c r="F2136" s="47">
        <f t="shared" si="118"/>
        <v>0</v>
      </c>
    </row>
    <row r="2137" spans="1:6" x14ac:dyDescent="0.25">
      <c r="A2137" s="5" t="s">
        <v>40</v>
      </c>
      <c r="B2137" s="2">
        <v>43981</v>
      </c>
      <c r="C2137" s="1">
        <v>1</v>
      </c>
      <c r="D2137" s="47">
        <v>48</v>
      </c>
      <c r="F2137" s="47">
        <f>E2137+F2113</f>
        <v>3</v>
      </c>
    </row>
    <row r="2138" spans="1:6" x14ac:dyDescent="0.25">
      <c r="A2138" s="34" t="s">
        <v>16</v>
      </c>
      <c r="B2138" s="2">
        <v>43982</v>
      </c>
      <c r="C2138" s="1">
        <v>254</v>
      </c>
      <c r="D2138" s="47">
        <v>5892</v>
      </c>
      <c r="E2138" s="1">
        <v>6</v>
      </c>
      <c r="F2138" s="47">
        <f>E2138+F2114</f>
        <v>223</v>
      </c>
    </row>
    <row r="2139" spans="1:6" x14ac:dyDescent="0.25">
      <c r="A2139" s="5" t="s">
        <v>28</v>
      </c>
      <c r="B2139" s="2">
        <v>43982</v>
      </c>
      <c r="C2139" s="1">
        <v>0</v>
      </c>
      <c r="D2139" s="47">
        <v>0</v>
      </c>
      <c r="F2139" s="47">
        <f t="shared" ref="F2139:F2145" si="119">E2139+F2115</f>
        <v>0</v>
      </c>
    </row>
    <row r="2140" spans="1:6" x14ac:dyDescent="0.25">
      <c r="A2140" s="5" t="s">
        <v>15</v>
      </c>
      <c r="B2140" s="2">
        <v>43982</v>
      </c>
      <c r="C2140" s="1">
        <v>13</v>
      </c>
      <c r="D2140" s="47">
        <v>887</v>
      </c>
      <c r="F2140" s="47">
        <f t="shared" si="119"/>
        <v>52</v>
      </c>
    </row>
    <row r="2141" spans="1:6" x14ac:dyDescent="0.25">
      <c r="A2141" s="5" t="s">
        <v>29</v>
      </c>
      <c r="B2141" s="2">
        <v>43982</v>
      </c>
      <c r="C2141" s="1">
        <v>0</v>
      </c>
      <c r="D2141" s="47">
        <v>10</v>
      </c>
      <c r="F2141" s="47">
        <f t="shared" si="119"/>
        <v>1</v>
      </c>
    </row>
    <row r="2142" spans="1:6" x14ac:dyDescent="0.25">
      <c r="A2142" s="5" t="s">
        <v>43</v>
      </c>
      <c r="B2142" s="2">
        <v>43982</v>
      </c>
      <c r="C2142" s="1">
        <v>358</v>
      </c>
      <c r="D2142" s="47">
        <v>8206</v>
      </c>
      <c r="E2142" s="1">
        <v>5</v>
      </c>
      <c r="F2142" s="47">
        <f t="shared" si="119"/>
        <v>185</v>
      </c>
    </row>
    <row r="2143" spans="1:6" x14ac:dyDescent="0.25">
      <c r="A2143" s="5" t="s">
        <v>20</v>
      </c>
      <c r="B2143" s="2">
        <v>43982</v>
      </c>
      <c r="C2143" s="1">
        <v>2</v>
      </c>
      <c r="D2143" s="47">
        <v>460</v>
      </c>
      <c r="F2143" s="47">
        <f t="shared" si="119"/>
        <v>27</v>
      </c>
    </row>
    <row r="2144" spans="1:6" x14ac:dyDescent="0.25">
      <c r="A2144" s="5" t="s">
        <v>30</v>
      </c>
      <c r="B2144" s="2">
        <v>43982</v>
      </c>
      <c r="C2144" s="1">
        <v>1</v>
      </c>
      <c r="D2144" s="47">
        <v>88</v>
      </c>
      <c r="F2144" s="47">
        <f t="shared" si="119"/>
        <v>0</v>
      </c>
    </row>
    <row r="2145" spans="1:6" x14ac:dyDescent="0.25">
      <c r="A2145" s="5" t="s">
        <v>31</v>
      </c>
      <c r="B2145" s="2">
        <v>43982</v>
      </c>
      <c r="C2145" s="1">
        <v>0</v>
      </c>
      <c r="D2145" s="47">
        <v>31</v>
      </c>
      <c r="F2145" s="47">
        <f t="shared" si="119"/>
        <v>0</v>
      </c>
    </row>
    <row r="2146" spans="1:6" x14ac:dyDescent="0.25">
      <c r="A2146" s="5" t="s">
        <v>41</v>
      </c>
      <c r="B2146" s="2">
        <v>43982</v>
      </c>
      <c r="C2146" s="1">
        <v>0</v>
      </c>
      <c r="D2146" s="47">
        <v>0</v>
      </c>
      <c r="F2146" s="47">
        <f t="shared" ref="F2146:F2160" si="120">E2146+F2121</f>
        <v>0</v>
      </c>
    </row>
    <row r="2147" spans="1:6" x14ac:dyDescent="0.25">
      <c r="A2147" s="5" t="s">
        <v>32</v>
      </c>
      <c r="B2147" s="2">
        <v>43982</v>
      </c>
      <c r="C2147" s="1">
        <v>0</v>
      </c>
      <c r="D2147" s="47">
        <v>6</v>
      </c>
      <c r="F2147" s="47">
        <f t="shared" si="120"/>
        <v>0</v>
      </c>
    </row>
    <row r="2148" spans="1:6" x14ac:dyDescent="0.25">
      <c r="A2148" s="5" t="s">
        <v>33</v>
      </c>
      <c r="B2148" s="2">
        <v>43982</v>
      </c>
      <c r="C2148" s="1">
        <v>0</v>
      </c>
      <c r="D2148" s="47">
        <v>5</v>
      </c>
      <c r="F2148" s="47">
        <f t="shared" si="120"/>
        <v>0</v>
      </c>
    </row>
    <row r="2149" spans="1:6" x14ac:dyDescent="0.25">
      <c r="A2149" s="5" t="s">
        <v>21</v>
      </c>
      <c r="B2149" s="2">
        <v>43982</v>
      </c>
      <c r="C2149" s="1">
        <v>0</v>
      </c>
      <c r="D2149" s="47">
        <v>63</v>
      </c>
      <c r="F2149" s="47">
        <f t="shared" si="120"/>
        <v>0</v>
      </c>
    </row>
    <row r="2150" spans="1:6" x14ac:dyDescent="0.25">
      <c r="A2150" s="5" t="s">
        <v>17</v>
      </c>
      <c r="B2150" s="2">
        <v>43982</v>
      </c>
      <c r="C2150" s="1">
        <v>0</v>
      </c>
      <c r="D2150" s="47">
        <v>92</v>
      </c>
      <c r="F2150" s="47">
        <f t="shared" si="120"/>
        <v>0</v>
      </c>
    </row>
    <row r="2151" spans="1:6" x14ac:dyDescent="0.25">
      <c r="A2151" s="5" t="s">
        <v>23</v>
      </c>
      <c r="B2151" s="2">
        <v>43982</v>
      </c>
      <c r="C2151" s="1">
        <v>1</v>
      </c>
      <c r="D2151" s="47">
        <v>28</v>
      </c>
      <c r="F2151" s="47">
        <f t="shared" si="120"/>
        <v>0</v>
      </c>
    </row>
    <row r="2152" spans="1:6" x14ac:dyDescent="0.25">
      <c r="A2152" s="5" t="s">
        <v>19</v>
      </c>
      <c r="B2152" s="2">
        <v>43982</v>
      </c>
      <c r="C2152" s="1">
        <v>3</v>
      </c>
      <c r="D2152" s="47">
        <v>134</v>
      </c>
      <c r="F2152" s="47">
        <f t="shared" si="120"/>
        <v>0</v>
      </c>
    </row>
    <row r="2153" spans="1:6" x14ac:dyDescent="0.25">
      <c r="A2153" s="5" t="s">
        <v>18</v>
      </c>
      <c r="B2153" s="2">
        <v>43982</v>
      </c>
      <c r="C2153" s="1">
        <v>4</v>
      </c>
      <c r="D2153" s="47">
        <v>396</v>
      </c>
      <c r="F2153" s="47">
        <f t="shared" si="120"/>
        <v>0</v>
      </c>
    </row>
    <row r="2154" spans="1:6" x14ac:dyDescent="0.25">
      <c r="A2154" s="5" t="s">
        <v>34</v>
      </c>
      <c r="B2154" s="2">
        <v>43982</v>
      </c>
      <c r="C2154" s="1">
        <v>0</v>
      </c>
      <c r="D2154" s="47">
        <v>8</v>
      </c>
      <c r="F2154" s="47">
        <f t="shared" si="120"/>
        <v>0</v>
      </c>
    </row>
    <row r="2155" spans="1:6" x14ac:dyDescent="0.25">
      <c r="A2155" s="5" t="s">
        <v>35</v>
      </c>
      <c r="B2155" s="2">
        <v>43982</v>
      </c>
      <c r="C2155" s="1">
        <v>0</v>
      </c>
      <c r="D2155" s="47">
        <v>5</v>
      </c>
      <c r="F2155" s="47">
        <f>E2155+F2131</f>
        <v>0</v>
      </c>
    </row>
    <row r="2156" spans="1:6" x14ac:dyDescent="0.25">
      <c r="A2156" s="5" t="s">
        <v>36</v>
      </c>
      <c r="B2156" s="2">
        <v>43982</v>
      </c>
      <c r="C2156" s="1">
        <v>0</v>
      </c>
      <c r="D2156" s="47">
        <v>11</v>
      </c>
      <c r="F2156" s="47">
        <f t="shared" si="120"/>
        <v>0</v>
      </c>
    </row>
    <row r="2157" spans="1:6" x14ac:dyDescent="0.25">
      <c r="A2157" s="5" t="s">
        <v>37</v>
      </c>
      <c r="B2157" s="2">
        <v>43982</v>
      </c>
      <c r="C2157" s="1">
        <v>1</v>
      </c>
      <c r="D2157" s="47">
        <v>50</v>
      </c>
      <c r="F2157" s="47">
        <f t="shared" si="120"/>
        <v>0</v>
      </c>
    </row>
    <row r="2158" spans="1:6" x14ac:dyDescent="0.25">
      <c r="A2158" s="5" t="s">
        <v>22</v>
      </c>
      <c r="B2158" s="2">
        <v>43982</v>
      </c>
      <c r="C2158" s="1">
        <v>0</v>
      </c>
      <c r="D2158" s="47">
        <v>262</v>
      </c>
      <c r="F2158" s="47">
        <f>E2158+F2134</f>
        <v>3</v>
      </c>
    </row>
    <row r="2159" spans="1:6" x14ac:dyDescent="0.25">
      <c r="A2159" s="5" t="s">
        <v>38</v>
      </c>
      <c r="B2159" s="2">
        <v>43982</v>
      </c>
      <c r="C2159" s="1">
        <v>0</v>
      </c>
      <c r="D2159" s="47">
        <v>22</v>
      </c>
      <c r="F2159" s="47">
        <f>E2159+F2135</f>
        <v>0</v>
      </c>
    </row>
    <row r="2160" spans="1:6" x14ac:dyDescent="0.25">
      <c r="A2160" s="5" t="s">
        <v>39</v>
      </c>
      <c r="B2160" s="2">
        <v>43982</v>
      </c>
      <c r="C2160" s="1">
        <v>0</v>
      </c>
      <c r="D2160" s="47">
        <v>149</v>
      </c>
      <c r="F2160" s="47">
        <f t="shared" si="120"/>
        <v>0</v>
      </c>
    </row>
    <row r="2161" spans="1:6" x14ac:dyDescent="0.25">
      <c r="A2161" s="5" t="s">
        <v>40</v>
      </c>
      <c r="B2161" s="2">
        <v>43982</v>
      </c>
      <c r="C2161" s="1">
        <v>0</v>
      </c>
      <c r="D2161" s="47">
        <v>48</v>
      </c>
      <c r="F2161" s="47">
        <f>E2161+F2137</f>
        <v>3</v>
      </c>
    </row>
    <row r="2162" spans="1:6" x14ac:dyDescent="0.25">
      <c r="A2162" s="34" t="s">
        <v>16</v>
      </c>
      <c r="B2162" s="2">
        <v>43983</v>
      </c>
      <c r="C2162" s="1">
        <v>252</v>
      </c>
      <c r="D2162" s="47">
        <v>6144</v>
      </c>
      <c r="E2162" s="1">
        <v>5</v>
      </c>
      <c r="F2162" s="47">
        <f>E2162+F2138</f>
        <v>228</v>
      </c>
    </row>
    <row r="2163" spans="1:6" x14ac:dyDescent="0.25">
      <c r="A2163" s="5" t="s">
        <v>28</v>
      </c>
      <c r="B2163" s="2">
        <v>43983</v>
      </c>
      <c r="C2163" s="1">
        <v>0</v>
      </c>
      <c r="D2163" s="47">
        <v>0</v>
      </c>
      <c r="F2163" s="47">
        <f t="shared" ref="F2163:F2169" si="121">E2163+F2139</f>
        <v>0</v>
      </c>
    </row>
    <row r="2164" spans="1:6" x14ac:dyDescent="0.25">
      <c r="A2164" s="5" t="s">
        <v>15</v>
      </c>
      <c r="B2164" s="2">
        <v>43983</v>
      </c>
      <c r="C2164" s="1">
        <v>3</v>
      </c>
      <c r="D2164" s="47">
        <v>890</v>
      </c>
      <c r="E2164" s="1">
        <v>3</v>
      </c>
      <c r="F2164" s="47">
        <f t="shared" si="121"/>
        <v>55</v>
      </c>
    </row>
    <row r="2165" spans="1:6" x14ac:dyDescent="0.25">
      <c r="A2165" s="5" t="s">
        <v>29</v>
      </c>
      <c r="B2165" s="2">
        <v>43983</v>
      </c>
      <c r="C2165" s="1">
        <v>0</v>
      </c>
      <c r="D2165" s="47">
        <v>10</v>
      </c>
      <c r="F2165" s="47">
        <f t="shared" si="121"/>
        <v>1</v>
      </c>
    </row>
    <row r="2166" spans="1:6" x14ac:dyDescent="0.25">
      <c r="A2166" s="5" t="s">
        <v>43</v>
      </c>
      <c r="B2166" s="2">
        <v>43983</v>
      </c>
      <c r="C2166" s="1">
        <v>274</v>
      </c>
      <c r="D2166" s="47">
        <v>8480</v>
      </c>
      <c r="E2166" s="1">
        <v>8</v>
      </c>
      <c r="F2166" s="47">
        <f t="shared" si="121"/>
        <v>193</v>
      </c>
    </row>
    <row r="2167" spans="1:6" x14ac:dyDescent="0.25">
      <c r="A2167" s="5" t="s">
        <v>20</v>
      </c>
      <c r="B2167" s="2">
        <v>43983</v>
      </c>
      <c r="C2167" s="1">
        <v>0</v>
      </c>
      <c r="D2167" s="47">
        <v>460</v>
      </c>
      <c r="E2167" s="1">
        <v>1</v>
      </c>
      <c r="F2167" s="47">
        <f t="shared" si="121"/>
        <v>28</v>
      </c>
    </row>
    <row r="2168" spans="1:6" x14ac:dyDescent="0.25">
      <c r="A2168" s="5" t="s">
        <v>30</v>
      </c>
      <c r="B2168" s="2">
        <v>43983</v>
      </c>
      <c r="C2168" s="1">
        <v>6</v>
      </c>
      <c r="D2168" s="47">
        <v>94</v>
      </c>
      <c r="F2168" s="47">
        <f t="shared" si="121"/>
        <v>0</v>
      </c>
    </row>
    <row r="2169" spans="1:6" x14ac:dyDescent="0.25">
      <c r="A2169" s="5" t="s">
        <v>31</v>
      </c>
      <c r="B2169" s="2">
        <v>43983</v>
      </c>
      <c r="C2169" s="1">
        <v>0</v>
      </c>
      <c r="D2169" s="47">
        <v>31</v>
      </c>
      <c r="F2169" s="47">
        <f t="shared" si="121"/>
        <v>0</v>
      </c>
    </row>
    <row r="2170" spans="1:6" x14ac:dyDescent="0.25">
      <c r="A2170" s="5" t="s">
        <v>41</v>
      </c>
      <c r="B2170" s="2">
        <v>43983</v>
      </c>
      <c r="C2170" s="1">
        <v>0</v>
      </c>
      <c r="D2170" s="47">
        <v>0</v>
      </c>
      <c r="F2170" s="47">
        <f t="shared" ref="F2170:F2184" si="122">E2170+F2145</f>
        <v>0</v>
      </c>
    </row>
    <row r="2171" spans="1:6" x14ac:dyDescent="0.25">
      <c r="A2171" s="5" t="s">
        <v>32</v>
      </c>
      <c r="B2171" s="2">
        <v>43983</v>
      </c>
      <c r="C2171" s="1">
        <v>0</v>
      </c>
      <c r="D2171" s="47">
        <v>6</v>
      </c>
      <c r="F2171" s="47">
        <f t="shared" si="122"/>
        <v>0</v>
      </c>
    </row>
    <row r="2172" spans="1:6" x14ac:dyDescent="0.25">
      <c r="A2172" s="5" t="s">
        <v>33</v>
      </c>
      <c r="B2172" s="2">
        <v>43983</v>
      </c>
      <c r="C2172" s="1">
        <v>0</v>
      </c>
      <c r="D2172" s="47">
        <v>5</v>
      </c>
      <c r="F2172" s="47">
        <f t="shared" si="122"/>
        <v>0</v>
      </c>
    </row>
    <row r="2173" spans="1:6" x14ac:dyDescent="0.25">
      <c r="A2173" s="5" t="s">
        <v>21</v>
      </c>
      <c r="B2173" s="2">
        <v>43983</v>
      </c>
      <c r="C2173" s="1">
        <v>0</v>
      </c>
      <c r="D2173" s="47">
        <v>63</v>
      </c>
      <c r="F2173" s="47">
        <f t="shared" si="122"/>
        <v>0</v>
      </c>
    </row>
    <row r="2174" spans="1:6" x14ac:dyDescent="0.25">
      <c r="A2174" s="5" t="s">
        <v>17</v>
      </c>
      <c r="B2174" s="2">
        <v>43983</v>
      </c>
      <c r="C2174" s="1">
        <v>8</v>
      </c>
      <c r="D2174" s="47">
        <v>100</v>
      </c>
      <c r="F2174" s="47">
        <f t="shared" si="122"/>
        <v>0</v>
      </c>
    </row>
    <row r="2175" spans="1:6" x14ac:dyDescent="0.25">
      <c r="A2175" s="5" t="s">
        <v>23</v>
      </c>
      <c r="B2175" s="2">
        <v>43983</v>
      </c>
      <c r="C2175" s="1">
        <v>0</v>
      </c>
      <c r="D2175" s="47">
        <v>28</v>
      </c>
      <c r="F2175" s="47">
        <f t="shared" si="122"/>
        <v>0</v>
      </c>
    </row>
    <row r="2176" spans="1:6" x14ac:dyDescent="0.25">
      <c r="A2176" s="5" t="s">
        <v>19</v>
      </c>
      <c r="B2176" s="2">
        <v>43983</v>
      </c>
      <c r="C2176" s="1">
        <v>3</v>
      </c>
      <c r="D2176" s="47">
        <v>137</v>
      </c>
      <c r="F2176" s="47">
        <f t="shared" si="122"/>
        <v>0</v>
      </c>
    </row>
    <row r="2177" spans="1:6" x14ac:dyDescent="0.25">
      <c r="A2177" s="5" t="s">
        <v>18</v>
      </c>
      <c r="B2177" s="2">
        <v>43983</v>
      </c>
      <c r="C2177" s="1">
        <v>11</v>
      </c>
      <c r="D2177" s="47">
        <v>407</v>
      </c>
      <c r="F2177" s="47">
        <f t="shared" si="122"/>
        <v>0</v>
      </c>
    </row>
    <row r="2178" spans="1:6" x14ac:dyDescent="0.25">
      <c r="A2178" s="5" t="s">
        <v>34</v>
      </c>
      <c r="B2178" s="2">
        <v>43983</v>
      </c>
      <c r="C2178" s="1">
        <v>3</v>
      </c>
      <c r="D2178" s="47">
        <v>11</v>
      </c>
      <c r="F2178" s="47">
        <f t="shared" si="122"/>
        <v>0</v>
      </c>
    </row>
    <row r="2179" spans="1:6" x14ac:dyDescent="0.25">
      <c r="A2179" s="5" t="s">
        <v>35</v>
      </c>
      <c r="B2179" s="2">
        <v>43983</v>
      </c>
      <c r="C2179" s="1">
        <v>0</v>
      </c>
      <c r="D2179" s="47">
        <v>5</v>
      </c>
      <c r="F2179" s="47">
        <f>E2179+F2155</f>
        <v>0</v>
      </c>
    </row>
    <row r="2180" spans="1:6" x14ac:dyDescent="0.25">
      <c r="A2180" s="5" t="s">
        <v>36</v>
      </c>
      <c r="B2180" s="2">
        <v>43983</v>
      </c>
      <c r="C2180" s="1">
        <v>0</v>
      </c>
      <c r="D2180" s="47">
        <v>11</v>
      </c>
      <c r="F2180" s="47">
        <f t="shared" si="122"/>
        <v>0</v>
      </c>
    </row>
    <row r="2181" spans="1:6" x14ac:dyDescent="0.25">
      <c r="A2181" s="5" t="s">
        <v>37</v>
      </c>
      <c r="B2181" s="2">
        <v>43983</v>
      </c>
      <c r="C2181" s="1">
        <v>1</v>
      </c>
      <c r="D2181" s="47">
        <v>51</v>
      </c>
      <c r="F2181" s="47">
        <f t="shared" si="122"/>
        <v>0</v>
      </c>
    </row>
    <row r="2182" spans="1:6" x14ac:dyDescent="0.25">
      <c r="A2182" s="5" t="s">
        <v>22</v>
      </c>
      <c r="B2182" s="2">
        <v>43983</v>
      </c>
      <c r="C2182" s="1">
        <v>3</v>
      </c>
      <c r="D2182" s="47">
        <v>265</v>
      </c>
      <c r="F2182" s="47">
        <f>E2182+F2158</f>
        <v>3</v>
      </c>
    </row>
    <row r="2183" spans="1:6" x14ac:dyDescent="0.25">
      <c r="A2183" s="5" t="s">
        <v>38</v>
      </c>
      <c r="B2183" s="2">
        <v>43983</v>
      </c>
      <c r="C2183" s="1">
        <v>0</v>
      </c>
      <c r="D2183" s="47">
        <v>22</v>
      </c>
      <c r="F2183" s="47">
        <f>E2183+F2159</f>
        <v>0</v>
      </c>
    </row>
    <row r="2184" spans="1:6" x14ac:dyDescent="0.25">
      <c r="A2184" s="5" t="s">
        <v>39</v>
      </c>
      <c r="B2184" s="2">
        <v>43983</v>
      </c>
      <c r="C2184" s="1">
        <v>0</v>
      </c>
      <c r="D2184" s="47">
        <v>149</v>
      </c>
      <c r="F2184" s="47">
        <f t="shared" si="122"/>
        <v>0</v>
      </c>
    </row>
    <row r="2185" spans="1:6" x14ac:dyDescent="0.25">
      <c r="A2185" s="5" t="s">
        <v>40</v>
      </c>
      <c r="B2185" s="2">
        <v>43983</v>
      </c>
      <c r="C2185" s="1">
        <v>0</v>
      </c>
      <c r="D2185" s="47">
        <v>48</v>
      </c>
      <c r="F2185" s="47">
        <f>E2185+F2161</f>
        <v>3</v>
      </c>
    </row>
    <row r="2186" spans="1:6" x14ac:dyDescent="0.25">
      <c r="A2186" s="34" t="s">
        <v>16</v>
      </c>
      <c r="B2186" s="2">
        <v>43984</v>
      </c>
      <c r="C2186" s="1">
        <v>488</v>
      </c>
      <c r="D2186" s="47">
        <v>6632</v>
      </c>
      <c r="E2186" s="1">
        <v>8</v>
      </c>
      <c r="F2186" s="47">
        <f>E2186+F2162</f>
        <v>236</v>
      </c>
    </row>
    <row r="2187" spans="1:6" x14ac:dyDescent="0.25">
      <c r="A2187" s="5" t="s">
        <v>28</v>
      </c>
      <c r="B2187" s="2">
        <v>43984</v>
      </c>
      <c r="C2187" s="1">
        <v>0</v>
      </c>
      <c r="D2187" s="47">
        <v>0</v>
      </c>
      <c r="F2187" s="47">
        <f t="shared" ref="F2187:F2193" si="123">E2187+F2163</f>
        <v>0</v>
      </c>
    </row>
    <row r="2188" spans="1:6" x14ac:dyDescent="0.25">
      <c r="A2188" s="5" t="s">
        <v>15</v>
      </c>
      <c r="B2188" s="2">
        <v>43984</v>
      </c>
      <c r="C2188" s="1">
        <v>30</v>
      </c>
      <c r="D2188" s="47">
        <v>920</v>
      </c>
      <c r="E2188" s="1">
        <v>2</v>
      </c>
      <c r="F2188" s="47">
        <f t="shared" si="123"/>
        <v>57</v>
      </c>
    </row>
    <row r="2189" spans="1:6" x14ac:dyDescent="0.25">
      <c r="A2189" s="5" t="s">
        <v>29</v>
      </c>
      <c r="B2189" s="2">
        <v>43984</v>
      </c>
      <c r="C2189" s="1">
        <v>0</v>
      </c>
      <c r="D2189" s="47">
        <v>10</v>
      </c>
      <c r="F2189" s="47">
        <f t="shared" si="123"/>
        <v>1</v>
      </c>
    </row>
    <row r="2190" spans="1:6" x14ac:dyDescent="0.25">
      <c r="A2190" s="5" t="s">
        <v>43</v>
      </c>
      <c r="B2190" s="2">
        <v>43984</v>
      </c>
      <c r="C2190" s="1">
        <v>371</v>
      </c>
      <c r="D2190" s="47">
        <v>8851</v>
      </c>
      <c r="E2190" s="1">
        <v>3</v>
      </c>
      <c r="F2190" s="47">
        <f t="shared" si="123"/>
        <v>196</v>
      </c>
    </row>
    <row r="2191" spans="1:6" x14ac:dyDescent="0.25">
      <c r="A2191" s="5" t="s">
        <v>20</v>
      </c>
      <c r="B2191" s="2">
        <v>43984</v>
      </c>
      <c r="C2191" s="1">
        <v>1</v>
      </c>
      <c r="D2191" s="47">
        <v>461</v>
      </c>
      <c r="F2191" s="47">
        <f t="shared" si="123"/>
        <v>28</v>
      </c>
    </row>
    <row r="2192" spans="1:6" x14ac:dyDescent="0.25">
      <c r="A2192" s="5" t="s">
        <v>30</v>
      </c>
      <c r="B2192" s="2">
        <v>43984</v>
      </c>
      <c r="C2192" s="1">
        <v>2</v>
      </c>
      <c r="D2192" s="47">
        <v>96</v>
      </c>
      <c r="F2192" s="47">
        <f t="shared" si="123"/>
        <v>0</v>
      </c>
    </row>
    <row r="2193" spans="1:6" x14ac:dyDescent="0.25">
      <c r="A2193" s="5" t="s">
        <v>31</v>
      </c>
      <c r="B2193" s="2">
        <v>43984</v>
      </c>
      <c r="C2193" s="1">
        <v>2</v>
      </c>
      <c r="D2193" s="47">
        <v>33</v>
      </c>
      <c r="F2193" s="47">
        <f t="shared" si="123"/>
        <v>0</v>
      </c>
    </row>
    <row r="2194" spans="1:6" x14ac:dyDescent="0.25">
      <c r="A2194" s="5" t="s">
        <v>41</v>
      </c>
      <c r="B2194" s="2">
        <v>43984</v>
      </c>
      <c r="C2194" s="1">
        <v>0</v>
      </c>
      <c r="D2194" s="47">
        <v>0</v>
      </c>
      <c r="F2194" s="47">
        <f t="shared" ref="F2194:F2208" si="124">E2194+F2169</f>
        <v>0</v>
      </c>
    </row>
    <row r="2195" spans="1:6" x14ac:dyDescent="0.25">
      <c r="A2195" s="5" t="s">
        <v>32</v>
      </c>
      <c r="B2195" s="2">
        <v>43984</v>
      </c>
      <c r="C2195" s="1">
        <v>0</v>
      </c>
      <c r="D2195" s="47">
        <v>6</v>
      </c>
      <c r="F2195" s="47">
        <f t="shared" si="124"/>
        <v>0</v>
      </c>
    </row>
    <row r="2196" spans="1:6" x14ac:dyDescent="0.25">
      <c r="A2196" s="5" t="s">
        <v>33</v>
      </c>
      <c r="B2196" s="2">
        <v>43984</v>
      </c>
      <c r="C2196" s="1">
        <v>0</v>
      </c>
      <c r="D2196" s="47">
        <v>5</v>
      </c>
      <c r="F2196" s="47">
        <f t="shared" si="124"/>
        <v>0</v>
      </c>
    </row>
    <row r="2197" spans="1:6" x14ac:dyDescent="0.25">
      <c r="A2197" s="5" t="s">
        <v>21</v>
      </c>
      <c r="B2197" s="2">
        <v>43984</v>
      </c>
      <c r="C2197" s="1">
        <v>0</v>
      </c>
      <c r="D2197" s="47">
        <v>63</v>
      </c>
      <c r="F2197" s="47">
        <f t="shared" si="124"/>
        <v>0</v>
      </c>
    </row>
    <row r="2198" spans="1:6" x14ac:dyDescent="0.25">
      <c r="A2198" s="5" t="s">
        <v>17</v>
      </c>
      <c r="B2198" s="2">
        <v>43984</v>
      </c>
      <c r="C2198" s="1">
        <v>0</v>
      </c>
      <c r="D2198" s="47">
        <v>100</v>
      </c>
      <c r="F2198" s="47">
        <f t="shared" si="124"/>
        <v>0</v>
      </c>
    </row>
    <row r="2199" spans="1:6" x14ac:dyDescent="0.25">
      <c r="A2199" s="5" t="s">
        <v>23</v>
      </c>
      <c r="B2199" s="2">
        <v>43984</v>
      </c>
      <c r="C2199" s="1">
        <v>0</v>
      </c>
      <c r="D2199" s="47">
        <v>28</v>
      </c>
      <c r="F2199" s="47">
        <f t="shared" si="124"/>
        <v>0</v>
      </c>
    </row>
    <row r="2200" spans="1:6" x14ac:dyDescent="0.25">
      <c r="A2200" s="5" t="s">
        <v>19</v>
      </c>
      <c r="B2200" s="2">
        <v>43984</v>
      </c>
      <c r="C2200" s="1">
        <v>3</v>
      </c>
      <c r="D2200" s="47">
        <v>140</v>
      </c>
      <c r="F2200" s="47">
        <f t="shared" si="124"/>
        <v>0</v>
      </c>
    </row>
    <row r="2201" spans="1:6" x14ac:dyDescent="0.25">
      <c r="A2201" s="5" t="s">
        <v>18</v>
      </c>
      <c r="B2201" s="2">
        <v>43984</v>
      </c>
      <c r="C2201" s="1">
        <v>3</v>
      </c>
      <c r="D2201" s="47">
        <v>410</v>
      </c>
      <c r="F2201" s="47">
        <f t="shared" si="124"/>
        <v>0</v>
      </c>
    </row>
    <row r="2202" spans="1:6" x14ac:dyDescent="0.25">
      <c r="A2202" s="5" t="s">
        <v>34</v>
      </c>
      <c r="B2202" s="2">
        <v>43984</v>
      </c>
      <c r="C2202" s="1">
        <v>4</v>
      </c>
      <c r="D2202" s="47">
        <v>15</v>
      </c>
      <c r="F2202" s="47">
        <f t="shared" si="124"/>
        <v>0</v>
      </c>
    </row>
    <row r="2203" spans="1:6" x14ac:dyDescent="0.25">
      <c r="A2203" s="5" t="s">
        <v>35</v>
      </c>
      <c r="B2203" s="2">
        <v>43984</v>
      </c>
      <c r="C2203" s="1">
        <v>0</v>
      </c>
      <c r="D2203" s="47">
        <v>5</v>
      </c>
      <c r="F2203" s="47">
        <f>E2203+F2179</f>
        <v>0</v>
      </c>
    </row>
    <row r="2204" spans="1:6" x14ac:dyDescent="0.25">
      <c r="A2204" s="5" t="s">
        <v>36</v>
      </c>
      <c r="B2204" s="2">
        <v>43984</v>
      </c>
      <c r="C2204" s="1">
        <v>0</v>
      </c>
      <c r="D2204" s="47">
        <v>11</v>
      </c>
      <c r="F2204" s="47">
        <f t="shared" si="124"/>
        <v>0</v>
      </c>
    </row>
    <row r="2205" spans="1:6" x14ac:dyDescent="0.25">
      <c r="A2205" s="5" t="s">
        <v>37</v>
      </c>
      <c r="B2205" s="2">
        <v>43984</v>
      </c>
      <c r="C2205" s="1">
        <v>0</v>
      </c>
      <c r="D2205" s="47">
        <v>51</v>
      </c>
      <c r="F2205" s="47">
        <f t="shared" si="124"/>
        <v>0</v>
      </c>
    </row>
    <row r="2206" spans="1:6" x14ac:dyDescent="0.25">
      <c r="A2206" s="5" t="s">
        <v>22</v>
      </c>
      <c r="B2206" s="2">
        <v>43984</v>
      </c>
      <c r="C2206" s="1">
        <v>0</v>
      </c>
      <c r="D2206" s="47">
        <v>265</v>
      </c>
      <c r="F2206" s="47">
        <f>E2206+F2182</f>
        <v>3</v>
      </c>
    </row>
    <row r="2207" spans="1:6" x14ac:dyDescent="0.25">
      <c r="A2207" s="5" t="s">
        <v>38</v>
      </c>
      <c r="B2207" s="2">
        <v>43984</v>
      </c>
      <c r="C2207" s="1">
        <v>0</v>
      </c>
      <c r="D2207" s="47">
        <v>22</v>
      </c>
      <c r="F2207" s="47">
        <f>E2207+F2183</f>
        <v>0</v>
      </c>
    </row>
    <row r="2208" spans="1:6" x14ac:dyDescent="0.25">
      <c r="A2208" s="5" t="s">
        <v>39</v>
      </c>
      <c r="B2208" s="2">
        <v>43984</v>
      </c>
      <c r="C2208" s="1">
        <v>0</v>
      </c>
      <c r="D2208" s="47">
        <v>149</v>
      </c>
      <c r="F2208" s="47">
        <f t="shared" si="124"/>
        <v>0</v>
      </c>
    </row>
    <row r="2209" spans="1:6" x14ac:dyDescent="0.25">
      <c r="A2209" s="5" t="s">
        <v>40</v>
      </c>
      <c r="B2209" s="2">
        <v>43984</v>
      </c>
      <c r="C2209" s="1">
        <v>0</v>
      </c>
      <c r="D2209" s="47">
        <v>48</v>
      </c>
      <c r="F2209" s="47">
        <f>E2209+F2185</f>
        <v>3</v>
      </c>
    </row>
    <row r="2210" spans="1:6" x14ac:dyDescent="0.25">
      <c r="A2210" s="34" t="s">
        <v>16</v>
      </c>
      <c r="B2210" s="2">
        <v>43985</v>
      </c>
      <c r="C2210" s="1">
        <v>442</v>
      </c>
      <c r="D2210" s="47">
        <v>7074</v>
      </c>
      <c r="E2210" s="1">
        <v>6</v>
      </c>
      <c r="F2210" s="47">
        <f>E2210+F2186</f>
        <v>242</v>
      </c>
    </row>
    <row r="2211" spans="1:6" x14ac:dyDescent="0.25">
      <c r="A2211" s="5" t="s">
        <v>28</v>
      </c>
      <c r="B2211" s="2">
        <v>43985</v>
      </c>
      <c r="C2211" s="1">
        <v>0</v>
      </c>
      <c r="D2211" s="47">
        <v>0</v>
      </c>
      <c r="F2211" s="47">
        <f t="shared" ref="F2211:F2217" si="125">E2211+F2187</f>
        <v>0</v>
      </c>
    </row>
    <row r="2212" spans="1:6" x14ac:dyDescent="0.25">
      <c r="A2212" s="5" t="s">
        <v>15</v>
      </c>
      <c r="B2212" s="2">
        <v>43985</v>
      </c>
      <c r="C2212" s="1">
        <v>6</v>
      </c>
      <c r="D2212" s="47">
        <v>926</v>
      </c>
      <c r="E2212" s="1">
        <v>1</v>
      </c>
      <c r="F2212" s="47">
        <f t="shared" si="125"/>
        <v>58</v>
      </c>
    </row>
    <row r="2213" spans="1:6" x14ac:dyDescent="0.25">
      <c r="A2213" s="5" t="s">
        <v>29</v>
      </c>
      <c r="B2213" s="2">
        <v>43985</v>
      </c>
      <c r="C2213" s="1">
        <v>1</v>
      </c>
      <c r="D2213" s="47">
        <v>11</v>
      </c>
      <c r="F2213" s="47">
        <f t="shared" si="125"/>
        <v>1</v>
      </c>
    </row>
    <row r="2214" spans="1:6" x14ac:dyDescent="0.25">
      <c r="A2214" s="5" t="s">
        <v>43</v>
      </c>
      <c r="B2214" s="2">
        <v>43985</v>
      </c>
      <c r="C2214" s="1">
        <v>467</v>
      </c>
      <c r="D2214" s="47">
        <v>9318</v>
      </c>
      <c r="E2214" s="1">
        <v>5</v>
      </c>
      <c r="F2214" s="47">
        <f t="shared" si="125"/>
        <v>201</v>
      </c>
    </row>
    <row r="2215" spans="1:6" x14ac:dyDescent="0.25">
      <c r="A2215" s="5" t="s">
        <v>20</v>
      </c>
      <c r="B2215" s="2">
        <v>43985</v>
      </c>
      <c r="C2215" s="1">
        <v>1</v>
      </c>
      <c r="D2215" s="47">
        <v>462</v>
      </c>
      <c r="E2215" s="1">
        <v>1</v>
      </c>
      <c r="F2215" s="47">
        <f t="shared" si="125"/>
        <v>29</v>
      </c>
    </row>
    <row r="2216" spans="1:6" x14ac:dyDescent="0.25">
      <c r="A2216" s="5" t="s">
        <v>30</v>
      </c>
      <c r="B2216" s="2">
        <v>43985</v>
      </c>
      <c r="C2216" s="1">
        <v>0</v>
      </c>
      <c r="D2216" s="47">
        <v>96</v>
      </c>
      <c r="F2216" s="47">
        <f t="shared" si="125"/>
        <v>0</v>
      </c>
    </row>
    <row r="2217" spans="1:6" x14ac:dyDescent="0.25">
      <c r="A2217" s="5" t="s">
        <v>31</v>
      </c>
      <c r="B2217" s="2">
        <v>43985</v>
      </c>
      <c r="C2217" s="1">
        <v>2</v>
      </c>
      <c r="D2217" s="47">
        <v>35</v>
      </c>
      <c r="F2217" s="47">
        <f t="shared" si="125"/>
        <v>0</v>
      </c>
    </row>
    <row r="2218" spans="1:6" x14ac:dyDescent="0.25">
      <c r="A2218" s="5" t="s">
        <v>41</v>
      </c>
      <c r="B2218" s="2">
        <v>43985</v>
      </c>
      <c r="C2218" s="1">
        <v>0</v>
      </c>
      <c r="D2218" s="47">
        <v>0</v>
      </c>
      <c r="F2218" s="47">
        <f t="shared" ref="F2218:F2232" si="126">E2218+F2193</f>
        <v>0</v>
      </c>
    </row>
    <row r="2219" spans="1:6" x14ac:dyDescent="0.25">
      <c r="A2219" s="5" t="s">
        <v>32</v>
      </c>
      <c r="B2219" s="2">
        <v>43985</v>
      </c>
      <c r="C2219" s="1">
        <v>0</v>
      </c>
      <c r="D2219" s="47">
        <v>6</v>
      </c>
      <c r="F2219" s="47">
        <f t="shared" si="126"/>
        <v>0</v>
      </c>
    </row>
    <row r="2220" spans="1:6" x14ac:dyDescent="0.25">
      <c r="A2220" s="5" t="s">
        <v>33</v>
      </c>
      <c r="B2220" s="2">
        <v>43985</v>
      </c>
      <c r="C2220" s="1">
        <v>0</v>
      </c>
      <c r="D2220" s="47">
        <v>5</v>
      </c>
      <c r="F2220" s="47">
        <f t="shared" si="126"/>
        <v>0</v>
      </c>
    </row>
    <row r="2221" spans="1:6" x14ac:dyDescent="0.25">
      <c r="A2221" s="5" t="s">
        <v>21</v>
      </c>
      <c r="B2221" s="2">
        <v>43985</v>
      </c>
      <c r="C2221" s="1">
        <v>0</v>
      </c>
      <c r="D2221" s="47">
        <v>63</v>
      </c>
      <c r="F2221" s="47">
        <f t="shared" si="126"/>
        <v>0</v>
      </c>
    </row>
    <row r="2222" spans="1:6" x14ac:dyDescent="0.25">
      <c r="A2222" s="5" t="s">
        <v>17</v>
      </c>
      <c r="B2222" s="2">
        <v>43985</v>
      </c>
      <c r="C2222" s="1">
        <v>0</v>
      </c>
      <c r="D2222" s="47">
        <v>100</v>
      </c>
      <c r="F2222" s="47">
        <f t="shared" si="126"/>
        <v>0</v>
      </c>
    </row>
    <row r="2223" spans="1:6" x14ac:dyDescent="0.25">
      <c r="A2223" s="5" t="s">
        <v>23</v>
      </c>
      <c r="B2223" s="2">
        <v>43985</v>
      </c>
      <c r="C2223" s="1">
        <v>1</v>
      </c>
      <c r="D2223" s="47">
        <v>29</v>
      </c>
      <c r="F2223" s="47">
        <f t="shared" si="126"/>
        <v>0</v>
      </c>
    </row>
    <row r="2224" spans="1:6" x14ac:dyDescent="0.25">
      <c r="A2224" s="5" t="s">
        <v>19</v>
      </c>
      <c r="B2224" s="2">
        <v>43985</v>
      </c>
      <c r="C2224" s="1">
        <v>10</v>
      </c>
      <c r="D2224" s="47">
        <v>150</v>
      </c>
      <c r="F2224" s="47">
        <f t="shared" si="126"/>
        <v>0</v>
      </c>
    </row>
    <row r="2225" spans="1:6" x14ac:dyDescent="0.25">
      <c r="A2225" s="5" t="s">
        <v>18</v>
      </c>
      <c r="B2225" s="2">
        <v>43985</v>
      </c>
      <c r="C2225" s="1">
        <v>16</v>
      </c>
      <c r="D2225" s="47">
        <v>426</v>
      </c>
      <c r="E2225" s="1">
        <v>1</v>
      </c>
      <c r="F2225" s="47">
        <f t="shared" si="126"/>
        <v>1</v>
      </c>
    </row>
    <row r="2226" spans="1:6" x14ac:dyDescent="0.25">
      <c r="A2226" s="5" t="s">
        <v>34</v>
      </c>
      <c r="B2226" s="2">
        <v>43985</v>
      </c>
      <c r="C2226" s="1">
        <v>0</v>
      </c>
      <c r="D2226" s="47">
        <v>15</v>
      </c>
      <c r="F2226" s="47">
        <f t="shared" si="126"/>
        <v>0</v>
      </c>
    </row>
    <row r="2227" spans="1:6" x14ac:dyDescent="0.25">
      <c r="A2227" s="5" t="s">
        <v>35</v>
      </c>
      <c r="B2227" s="2">
        <v>43985</v>
      </c>
      <c r="C2227" s="1">
        <v>0</v>
      </c>
      <c r="D2227" s="47">
        <v>5</v>
      </c>
      <c r="F2227" s="47">
        <f>E2227+F2203</f>
        <v>0</v>
      </c>
    </row>
    <row r="2228" spans="1:6" x14ac:dyDescent="0.25">
      <c r="A2228" s="5" t="s">
        <v>36</v>
      </c>
      <c r="B2228" s="2">
        <v>43985</v>
      </c>
      <c r="C2228" s="1">
        <v>0</v>
      </c>
      <c r="D2228" s="47">
        <v>11</v>
      </c>
      <c r="F2228" s="47">
        <f t="shared" si="126"/>
        <v>0</v>
      </c>
    </row>
    <row r="2229" spans="1:6" x14ac:dyDescent="0.25">
      <c r="A2229" s="5" t="s">
        <v>37</v>
      </c>
      <c r="B2229" s="2">
        <v>43985</v>
      </c>
      <c r="C2229" s="1">
        <v>0</v>
      </c>
      <c r="D2229" s="47">
        <v>51</v>
      </c>
      <c r="F2229" s="47">
        <f t="shared" si="126"/>
        <v>0</v>
      </c>
    </row>
    <row r="2230" spans="1:6" x14ac:dyDescent="0.25">
      <c r="A2230" s="5" t="s">
        <v>22</v>
      </c>
      <c r="B2230" s="2">
        <v>43985</v>
      </c>
      <c r="C2230" s="1">
        <v>3</v>
      </c>
      <c r="D2230" s="47">
        <v>268</v>
      </c>
      <c r="F2230" s="47">
        <f>E2230+F2206</f>
        <v>3</v>
      </c>
    </row>
    <row r="2231" spans="1:6" x14ac:dyDescent="0.25">
      <c r="A2231" s="5" t="s">
        <v>38</v>
      </c>
      <c r="B2231" s="2">
        <v>43985</v>
      </c>
      <c r="C2231" s="1">
        <v>0</v>
      </c>
      <c r="D2231" s="47">
        <v>22</v>
      </c>
      <c r="F2231" s="47">
        <f>E2231+F2207</f>
        <v>0</v>
      </c>
    </row>
    <row r="2232" spans="1:6" x14ac:dyDescent="0.25">
      <c r="A2232" s="5" t="s">
        <v>39</v>
      </c>
      <c r="B2232" s="2">
        <v>43985</v>
      </c>
      <c r="C2232" s="1">
        <v>0</v>
      </c>
      <c r="D2232" s="47">
        <v>149</v>
      </c>
      <c r="F2232" s="47">
        <f t="shared" si="126"/>
        <v>0</v>
      </c>
    </row>
    <row r="2233" spans="1:6" x14ac:dyDescent="0.25">
      <c r="A2233" s="5" t="s">
        <v>40</v>
      </c>
      <c r="B2233" s="2">
        <v>43985</v>
      </c>
      <c r="C2233" s="1">
        <v>0</v>
      </c>
      <c r="D2233" s="47">
        <v>48</v>
      </c>
      <c r="F2233" s="47">
        <f>E2233+F2209</f>
        <v>3</v>
      </c>
    </row>
    <row r="2234" spans="1:6" x14ac:dyDescent="0.25">
      <c r="A2234" s="34" t="s">
        <v>16</v>
      </c>
      <c r="B2234" s="2">
        <v>43986</v>
      </c>
      <c r="C2234" s="1">
        <v>422</v>
      </c>
      <c r="D2234" s="47">
        <v>7496</v>
      </c>
      <c r="E2234" s="1">
        <v>11</v>
      </c>
      <c r="F2234" s="47">
        <f>E2234+F2210</f>
        <v>253</v>
      </c>
    </row>
    <row r="2235" spans="1:6" x14ac:dyDescent="0.25">
      <c r="A2235" s="5" t="s">
        <v>28</v>
      </c>
      <c r="B2235" s="2">
        <v>43986</v>
      </c>
      <c r="C2235" s="1">
        <v>0</v>
      </c>
      <c r="D2235" s="47">
        <v>0</v>
      </c>
      <c r="F2235" s="47">
        <f t="shared" ref="F2235:F2241" si="127">E2235+F2211</f>
        <v>0</v>
      </c>
    </row>
    <row r="2236" spans="1:6" x14ac:dyDescent="0.25">
      <c r="A2236" s="5" t="s">
        <v>15</v>
      </c>
      <c r="B2236" s="2">
        <v>43986</v>
      </c>
      <c r="C2236" s="1">
        <v>53</v>
      </c>
      <c r="D2236" s="47">
        <v>979</v>
      </c>
      <c r="E2236" s="1">
        <v>1</v>
      </c>
      <c r="F2236" s="47">
        <f t="shared" si="127"/>
        <v>59</v>
      </c>
    </row>
    <row r="2237" spans="1:6" x14ac:dyDescent="0.25">
      <c r="A2237" s="5" t="s">
        <v>29</v>
      </c>
      <c r="B2237" s="2">
        <v>43986</v>
      </c>
      <c r="C2237" s="1">
        <v>0</v>
      </c>
      <c r="D2237" s="47">
        <v>11</v>
      </c>
      <c r="F2237" s="47">
        <f t="shared" si="127"/>
        <v>1</v>
      </c>
    </row>
    <row r="2238" spans="1:6" x14ac:dyDescent="0.25">
      <c r="A2238" s="5" t="s">
        <v>43</v>
      </c>
      <c r="B2238" s="2">
        <v>43986</v>
      </c>
      <c r="C2238" s="1">
        <v>436</v>
      </c>
      <c r="D2238" s="47">
        <v>9754</v>
      </c>
      <c r="E2238" s="1">
        <v>12</v>
      </c>
      <c r="F2238" s="47">
        <f t="shared" si="127"/>
        <v>213</v>
      </c>
    </row>
    <row r="2239" spans="1:6" x14ac:dyDescent="0.25">
      <c r="A2239" s="5" t="s">
        <v>20</v>
      </c>
      <c r="B2239" s="2">
        <v>43986</v>
      </c>
      <c r="C2239" s="1">
        <v>2</v>
      </c>
      <c r="D2239" s="47">
        <v>464</v>
      </c>
      <c r="F2239" s="47">
        <f t="shared" si="127"/>
        <v>29</v>
      </c>
    </row>
    <row r="2240" spans="1:6" x14ac:dyDescent="0.25">
      <c r="A2240" s="5" t="s">
        <v>30</v>
      </c>
      <c r="B2240" s="2">
        <v>43986</v>
      </c>
      <c r="C2240" s="1">
        <v>0</v>
      </c>
      <c r="D2240" s="47">
        <v>96</v>
      </c>
      <c r="F2240" s="47">
        <f t="shared" si="127"/>
        <v>0</v>
      </c>
    </row>
    <row r="2241" spans="1:6" x14ac:dyDescent="0.25">
      <c r="A2241" s="5" t="s">
        <v>31</v>
      </c>
      <c r="B2241" s="2">
        <v>43986</v>
      </c>
      <c r="C2241" s="1">
        <v>0</v>
      </c>
      <c r="D2241" s="47">
        <v>35</v>
      </c>
      <c r="F2241" s="47">
        <f t="shared" si="127"/>
        <v>0</v>
      </c>
    </row>
    <row r="2242" spans="1:6" x14ac:dyDescent="0.25">
      <c r="A2242" s="5" t="s">
        <v>41</v>
      </c>
      <c r="B2242" s="2">
        <v>43986</v>
      </c>
      <c r="C2242" s="1">
        <v>0</v>
      </c>
      <c r="D2242" s="47">
        <v>0</v>
      </c>
      <c r="F2242" s="47">
        <f t="shared" ref="F2242:F2256" si="128">E2242+F2217</f>
        <v>0</v>
      </c>
    </row>
    <row r="2243" spans="1:6" x14ac:dyDescent="0.25">
      <c r="A2243" s="5" t="s">
        <v>32</v>
      </c>
      <c r="B2243" s="2">
        <v>43986</v>
      </c>
      <c r="C2243" s="1">
        <v>0</v>
      </c>
      <c r="D2243" s="47">
        <v>6</v>
      </c>
      <c r="F2243" s="47">
        <f t="shared" si="128"/>
        <v>0</v>
      </c>
    </row>
    <row r="2244" spans="1:6" x14ac:dyDescent="0.25">
      <c r="A2244" s="5" t="s">
        <v>33</v>
      </c>
      <c r="B2244" s="2">
        <v>43986</v>
      </c>
      <c r="C2244" s="1">
        <v>0</v>
      </c>
      <c r="D2244" s="47">
        <v>5</v>
      </c>
      <c r="F2244" s="47">
        <f t="shared" si="128"/>
        <v>0</v>
      </c>
    </row>
    <row r="2245" spans="1:6" x14ac:dyDescent="0.25">
      <c r="A2245" s="5" t="s">
        <v>21</v>
      </c>
      <c r="B2245" s="2">
        <v>43986</v>
      </c>
      <c r="C2245" s="1">
        <v>0</v>
      </c>
      <c r="D2245" s="47">
        <v>63</v>
      </c>
      <c r="F2245" s="47">
        <f t="shared" si="128"/>
        <v>0</v>
      </c>
    </row>
    <row r="2246" spans="1:6" x14ac:dyDescent="0.25">
      <c r="A2246" s="5" t="s">
        <v>17</v>
      </c>
      <c r="B2246" s="2">
        <v>43986</v>
      </c>
      <c r="C2246" s="1">
        <v>0</v>
      </c>
      <c r="D2246" s="47">
        <v>100</v>
      </c>
      <c r="F2246" s="47">
        <f t="shared" si="128"/>
        <v>0</v>
      </c>
    </row>
    <row r="2247" spans="1:6" x14ac:dyDescent="0.25">
      <c r="A2247" s="5" t="s">
        <v>23</v>
      </c>
      <c r="B2247" s="2">
        <v>43986</v>
      </c>
      <c r="C2247" s="1">
        <v>2</v>
      </c>
      <c r="D2247" s="47">
        <v>31</v>
      </c>
      <c r="F2247" s="47">
        <f t="shared" si="128"/>
        <v>0</v>
      </c>
    </row>
    <row r="2248" spans="1:6" x14ac:dyDescent="0.25">
      <c r="A2248" s="5" t="s">
        <v>19</v>
      </c>
      <c r="B2248" s="2">
        <v>43986</v>
      </c>
      <c r="C2248" s="1">
        <v>0</v>
      </c>
      <c r="D2248" s="47">
        <v>150</v>
      </c>
      <c r="F2248" s="47">
        <f t="shared" si="128"/>
        <v>0</v>
      </c>
    </row>
    <row r="2249" spans="1:6" x14ac:dyDescent="0.25">
      <c r="A2249" s="5" t="s">
        <v>18</v>
      </c>
      <c r="B2249" s="2">
        <v>43986</v>
      </c>
      <c r="C2249" s="1">
        <v>8</v>
      </c>
      <c r="D2249" s="47">
        <v>434</v>
      </c>
      <c r="E2249" s="1">
        <v>1</v>
      </c>
      <c r="F2249" s="47">
        <f t="shared" si="128"/>
        <v>1</v>
      </c>
    </row>
    <row r="2250" spans="1:6" x14ac:dyDescent="0.25">
      <c r="A2250" s="5" t="s">
        <v>34</v>
      </c>
      <c r="B2250" s="2">
        <v>43986</v>
      </c>
      <c r="C2250" s="1">
        <v>0</v>
      </c>
      <c r="D2250" s="47">
        <v>15</v>
      </c>
      <c r="F2250" s="47">
        <f t="shared" si="128"/>
        <v>1</v>
      </c>
    </row>
    <row r="2251" spans="1:6" x14ac:dyDescent="0.25">
      <c r="A2251" s="5" t="s">
        <v>35</v>
      </c>
      <c r="B2251" s="2">
        <v>43986</v>
      </c>
      <c r="C2251" s="1">
        <v>0</v>
      </c>
      <c r="D2251" s="47">
        <v>5</v>
      </c>
      <c r="F2251" s="47">
        <f>E2251+F2227</f>
        <v>0</v>
      </c>
    </row>
    <row r="2252" spans="1:6" x14ac:dyDescent="0.25">
      <c r="A2252" s="5" t="s">
        <v>36</v>
      </c>
      <c r="B2252" s="2">
        <v>43986</v>
      </c>
      <c r="C2252" s="1">
        <v>0</v>
      </c>
      <c r="D2252" s="47">
        <v>11</v>
      </c>
      <c r="F2252" s="47">
        <f t="shared" si="128"/>
        <v>0</v>
      </c>
    </row>
    <row r="2253" spans="1:6" x14ac:dyDescent="0.25">
      <c r="A2253" s="5" t="s">
        <v>37</v>
      </c>
      <c r="B2253" s="2">
        <v>43986</v>
      </c>
      <c r="C2253" s="1">
        <v>0</v>
      </c>
      <c r="D2253" s="47">
        <v>51</v>
      </c>
      <c r="F2253" s="47">
        <f t="shared" si="128"/>
        <v>0</v>
      </c>
    </row>
    <row r="2254" spans="1:6" x14ac:dyDescent="0.25">
      <c r="A2254" s="5" t="s">
        <v>22</v>
      </c>
      <c r="B2254" s="2">
        <v>43986</v>
      </c>
      <c r="C2254" s="1">
        <v>5</v>
      </c>
      <c r="D2254" s="47">
        <v>273</v>
      </c>
      <c r="F2254" s="47">
        <f>E2254+F2230</f>
        <v>3</v>
      </c>
    </row>
    <row r="2255" spans="1:6" x14ac:dyDescent="0.25">
      <c r="A2255" s="5" t="s">
        <v>38</v>
      </c>
      <c r="B2255" s="2">
        <v>43986</v>
      </c>
      <c r="C2255" s="1">
        <v>0</v>
      </c>
      <c r="D2255" s="47">
        <v>22</v>
      </c>
      <c r="F2255" s="47">
        <f>E2255+F2231</f>
        <v>0</v>
      </c>
    </row>
    <row r="2256" spans="1:6" x14ac:dyDescent="0.25">
      <c r="A2256" s="5" t="s">
        <v>39</v>
      </c>
      <c r="B2256" s="2">
        <v>43986</v>
      </c>
      <c r="C2256" s="1">
        <v>0</v>
      </c>
      <c r="D2256" s="47">
        <v>149</v>
      </c>
      <c r="F2256" s="47">
        <f t="shared" si="128"/>
        <v>0</v>
      </c>
    </row>
    <row r="2257" spans="1:6" x14ac:dyDescent="0.25">
      <c r="A2257" s="5" t="s">
        <v>40</v>
      </c>
      <c r="B2257" s="2">
        <v>43986</v>
      </c>
      <c r="C2257" s="1">
        <v>1</v>
      </c>
      <c r="D2257" s="47">
        <v>49</v>
      </c>
      <c r="F2257" s="47">
        <f>E2257+F2233</f>
        <v>3</v>
      </c>
    </row>
    <row r="2258" spans="1:6" x14ac:dyDescent="0.25">
      <c r="A2258" s="34" t="s">
        <v>16</v>
      </c>
      <c r="B2258" s="2">
        <v>43987</v>
      </c>
      <c r="C2258" s="1">
        <v>371</v>
      </c>
      <c r="D2258" s="47">
        <v>7867</v>
      </c>
      <c r="E2258" s="1">
        <v>8</v>
      </c>
      <c r="F2258" s="47">
        <f>E2258+F2234</f>
        <v>261</v>
      </c>
    </row>
    <row r="2259" spans="1:6" x14ac:dyDescent="0.25">
      <c r="A2259" s="5" t="s">
        <v>28</v>
      </c>
      <c r="B2259" s="2">
        <v>43987</v>
      </c>
      <c r="C2259" s="1">
        <v>0</v>
      </c>
      <c r="D2259" s="47">
        <v>0</v>
      </c>
      <c r="F2259" s="47">
        <f t="shared" ref="F2259:F2265" si="129">E2259+F2235</f>
        <v>0</v>
      </c>
    </row>
    <row r="2260" spans="1:6" x14ac:dyDescent="0.25">
      <c r="A2260" s="5" t="s">
        <v>15</v>
      </c>
      <c r="B2260" s="2">
        <v>43987</v>
      </c>
      <c r="C2260" s="1">
        <v>29</v>
      </c>
      <c r="D2260" s="47">
        <v>1008</v>
      </c>
      <c r="E2260" s="1">
        <v>1</v>
      </c>
      <c r="F2260" s="47">
        <f t="shared" si="129"/>
        <v>60</v>
      </c>
    </row>
    <row r="2261" spans="1:6" x14ac:dyDescent="0.25">
      <c r="A2261" s="5" t="s">
        <v>29</v>
      </c>
      <c r="B2261" s="2">
        <v>43987</v>
      </c>
      <c r="C2261" s="1">
        <v>3</v>
      </c>
      <c r="D2261" s="47">
        <v>14</v>
      </c>
      <c r="F2261" s="47">
        <f t="shared" si="129"/>
        <v>1</v>
      </c>
    </row>
    <row r="2262" spans="1:6" x14ac:dyDescent="0.25">
      <c r="A2262" s="5" t="s">
        <v>43</v>
      </c>
      <c r="B2262" s="2">
        <v>43987</v>
      </c>
      <c r="C2262" s="1">
        <v>420</v>
      </c>
      <c r="D2262" s="47">
        <v>10174</v>
      </c>
      <c r="E2262" s="1">
        <v>15</v>
      </c>
      <c r="F2262" s="47">
        <f t="shared" si="129"/>
        <v>228</v>
      </c>
    </row>
    <row r="2263" spans="1:6" x14ac:dyDescent="0.25">
      <c r="A2263" s="5" t="s">
        <v>20</v>
      </c>
      <c r="B2263" s="2">
        <v>43987</v>
      </c>
      <c r="C2263" s="1">
        <v>2</v>
      </c>
      <c r="D2263" s="47">
        <v>466</v>
      </c>
      <c r="F2263" s="47">
        <f t="shared" si="129"/>
        <v>29</v>
      </c>
    </row>
    <row r="2264" spans="1:6" x14ac:dyDescent="0.25">
      <c r="A2264" s="5" t="s">
        <v>30</v>
      </c>
      <c r="B2264" s="2">
        <v>43987</v>
      </c>
      <c r="C2264" s="1">
        <v>0</v>
      </c>
      <c r="D2264" s="47">
        <v>96</v>
      </c>
      <c r="F2264" s="47">
        <f t="shared" si="129"/>
        <v>0</v>
      </c>
    </row>
    <row r="2265" spans="1:6" x14ac:dyDescent="0.25">
      <c r="A2265" s="5" t="s">
        <v>31</v>
      </c>
      <c r="B2265" s="2">
        <v>43987</v>
      </c>
      <c r="C2265" s="1">
        <v>4</v>
      </c>
      <c r="D2265" s="47">
        <v>39</v>
      </c>
      <c r="F2265" s="47">
        <f t="shared" si="129"/>
        <v>0</v>
      </c>
    </row>
    <row r="2266" spans="1:6" x14ac:dyDescent="0.25">
      <c r="A2266" s="5" t="s">
        <v>41</v>
      </c>
      <c r="B2266" s="2">
        <v>43987</v>
      </c>
      <c r="C2266" s="1">
        <v>0</v>
      </c>
      <c r="D2266" s="47">
        <v>0</v>
      </c>
      <c r="F2266" s="47">
        <f t="shared" ref="F2266:F2280" si="130">E2266+F2241</f>
        <v>0</v>
      </c>
    </row>
    <row r="2267" spans="1:6" x14ac:dyDescent="0.25">
      <c r="A2267" s="5" t="s">
        <v>32</v>
      </c>
      <c r="B2267" s="2">
        <v>43987</v>
      </c>
      <c r="C2267" s="1">
        <v>0</v>
      </c>
      <c r="D2267" s="47">
        <v>6</v>
      </c>
      <c r="F2267" s="47">
        <f t="shared" si="130"/>
        <v>0</v>
      </c>
    </row>
    <row r="2268" spans="1:6" x14ac:dyDescent="0.25">
      <c r="A2268" s="5" t="s">
        <v>33</v>
      </c>
      <c r="B2268" s="2">
        <v>43987</v>
      </c>
      <c r="C2268" s="1">
        <v>0</v>
      </c>
      <c r="D2268" s="47">
        <v>5</v>
      </c>
      <c r="F2268" s="47">
        <f t="shared" si="130"/>
        <v>0</v>
      </c>
    </row>
    <row r="2269" spans="1:6" x14ac:dyDescent="0.25">
      <c r="A2269" s="5" t="s">
        <v>21</v>
      </c>
      <c r="B2269" s="2">
        <v>43987</v>
      </c>
      <c r="C2269" s="1">
        <v>0</v>
      </c>
      <c r="D2269" s="47">
        <v>63</v>
      </c>
      <c r="F2269" s="47">
        <f t="shared" si="130"/>
        <v>0</v>
      </c>
    </row>
    <row r="2270" spans="1:6" x14ac:dyDescent="0.25">
      <c r="A2270" s="5" t="s">
        <v>17</v>
      </c>
      <c r="B2270" s="2">
        <v>43987</v>
      </c>
      <c r="C2270" s="353">
        <v>1</v>
      </c>
      <c r="D2270" s="47">
        <v>101</v>
      </c>
      <c r="F2270" s="47">
        <f t="shared" si="130"/>
        <v>0</v>
      </c>
    </row>
    <row r="2271" spans="1:6" x14ac:dyDescent="0.25">
      <c r="A2271" s="5" t="s">
        <v>23</v>
      </c>
      <c r="B2271" s="2">
        <v>43987</v>
      </c>
      <c r="C2271" s="1">
        <v>0</v>
      </c>
      <c r="D2271" s="47">
        <v>31</v>
      </c>
      <c r="F2271" s="47">
        <f t="shared" si="130"/>
        <v>0</v>
      </c>
    </row>
    <row r="2272" spans="1:6" x14ac:dyDescent="0.25">
      <c r="A2272" s="5" t="s">
        <v>19</v>
      </c>
      <c r="B2272" s="2">
        <v>43987</v>
      </c>
      <c r="C2272" s="1">
        <v>1</v>
      </c>
      <c r="D2272" s="47">
        <v>151</v>
      </c>
      <c r="F2272" s="47">
        <f t="shared" si="130"/>
        <v>0</v>
      </c>
    </row>
    <row r="2273" spans="1:6" x14ac:dyDescent="0.25">
      <c r="A2273" s="5" t="s">
        <v>18</v>
      </c>
      <c r="B2273" s="2">
        <v>43987</v>
      </c>
      <c r="C2273" s="1">
        <v>8</v>
      </c>
      <c r="D2273" s="47">
        <v>442</v>
      </c>
      <c r="F2273" s="47">
        <f t="shared" si="130"/>
        <v>0</v>
      </c>
    </row>
    <row r="2274" spans="1:6" x14ac:dyDescent="0.25">
      <c r="A2274" s="5" t="s">
        <v>34</v>
      </c>
      <c r="B2274" s="2">
        <v>43987</v>
      </c>
      <c r="C2274" s="1">
        <v>0</v>
      </c>
      <c r="D2274" s="47">
        <v>15</v>
      </c>
      <c r="F2274" s="47">
        <f t="shared" si="130"/>
        <v>1</v>
      </c>
    </row>
    <row r="2275" spans="1:6" x14ac:dyDescent="0.25">
      <c r="A2275" s="5" t="s">
        <v>35</v>
      </c>
      <c r="B2275" s="2">
        <v>43987</v>
      </c>
      <c r="C2275" s="1">
        <v>0</v>
      </c>
      <c r="D2275" s="47">
        <v>5</v>
      </c>
      <c r="F2275" s="47">
        <f>E2275+F2251</f>
        <v>0</v>
      </c>
    </row>
    <row r="2276" spans="1:6" x14ac:dyDescent="0.25">
      <c r="A2276" s="5" t="s">
        <v>36</v>
      </c>
      <c r="B2276" s="2">
        <v>43987</v>
      </c>
      <c r="C2276" s="1">
        <v>0</v>
      </c>
      <c r="D2276" s="47">
        <v>11</v>
      </c>
      <c r="F2276" s="47">
        <f t="shared" si="130"/>
        <v>0</v>
      </c>
    </row>
    <row r="2277" spans="1:6" x14ac:dyDescent="0.25">
      <c r="A2277" s="5" t="s">
        <v>37</v>
      </c>
      <c r="B2277" s="2">
        <v>43987</v>
      </c>
      <c r="C2277" s="1">
        <v>0</v>
      </c>
      <c r="D2277" s="47">
        <v>51</v>
      </c>
      <c r="F2277" s="47">
        <f t="shared" si="130"/>
        <v>0</v>
      </c>
    </row>
    <row r="2278" spans="1:6" x14ac:dyDescent="0.25">
      <c r="A2278" s="5" t="s">
        <v>22</v>
      </c>
      <c r="B2278" s="2">
        <v>43987</v>
      </c>
      <c r="C2278" s="1">
        <v>1</v>
      </c>
      <c r="D2278" s="47">
        <v>274</v>
      </c>
      <c r="F2278" s="47">
        <f>E2278+F2254</f>
        <v>3</v>
      </c>
    </row>
    <row r="2279" spans="1:6" x14ac:dyDescent="0.25">
      <c r="A2279" s="5" t="s">
        <v>38</v>
      </c>
      <c r="B2279" s="2">
        <v>43987</v>
      </c>
      <c r="C2279" s="1">
        <v>0</v>
      </c>
      <c r="D2279" s="47">
        <v>22</v>
      </c>
      <c r="F2279" s="47">
        <f>E2279+F2255</f>
        <v>0</v>
      </c>
    </row>
    <row r="2280" spans="1:6" x14ac:dyDescent="0.25">
      <c r="A2280" s="5" t="s">
        <v>39</v>
      </c>
      <c r="B2280" s="2">
        <v>43987</v>
      </c>
      <c r="C2280" s="1">
        <v>0</v>
      </c>
      <c r="D2280" s="47">
        <v>149</v>
      </c>
      <c r="F2280" s="47">
        <f t="shared" si="130"/>
        <v>0</v>
      </c>
    </row>
    <row r="2281" spans="1:6" x14ac:dyDescent="0.25">
      <c r="A2281" s="5" t="s">
        <v>40</v>
      </c>
      <c r="B2281" s="2">
        <v>43987</v>
      </c>
      <c r="C2281" s="1">
        <v>0</v>
      </c>
      <c r="D2281" s="47">
        <v>49</v>
      </c>
      <c r="F2281" s="47">
        <f>E2281+F2257</f>
        <v>3</v>
      </c>
    </row>
    <row r="2282" spans="1:6" x14ac:dyDescent="0.25">
      <c r="A2282" s="34" t="s">
        <v>16</v>
      </c>
      <c r="B2282" s="2">
        <v>43988</v>
      </c>
      <c r="C2282" s="1">
        <v>457</v>
      </c>
      <c r="D2282" s="47">
        <v>8324</v>
      </c>
      <c r="E2282" s="1">
        <v>2</v>
      </c>
      <c r="F2282" s="47">
        <f>E2282+F2258</f>
        <v>263</v>
      </c>
    </row>
    <row r="2283" spans="1:6" x14ac:dyDescent="0.25">
      <c r="A2283" s="5" t="s">
        <v>28</v>
      </c>
      <c r="B2283" s="2">
        <v>43988</v>
      </c>
      <c r="C2283" s="1">
        <v>0</v>
      </c>
      <c r="D2283" s="47">
        <v>0</v>
      </c>
      <c r="F2283" s="47">
        <f t="shared" ref="F2283:F2289" si="131">E2283+F2259</f>
        <v>0</v>
      </c>
    </row>
    <row r="2284" spans="1:6" x14ac:dyDescent="0.25">
      <c r="A2284" s="5" t="s">
        <v>15</v>
      </c>
      <c r="B2284" s="2">
        <v>43988</v>
      </c>
      <c r="C2284" s="1">
        <v>19</v>
      </c>
      <c r="D2284" s="47">
        <v>1027</v>
      </c>
      <c r="F2284" s="47">
        <f t="shared" si="131"/>
        <v>60</v>
      </c>
    </row>
    <row r="2285" spans="1:6" x14ac:dyDescent="0.25">
      <c r="A2285" s="5" t="s">
        <v>29</v>
      </c>
      <c r="B2285" s="2">
        <v>43988</v>
      </c>
      <c r="C2285" s="1">
        <v>1</v>
      </c>
      <c r="D2285" s="47">
        <v>15</v>
      </c>
      <c r="F2285" s="47">
        <f t="shared" si="131"/>
        <v>1</v>
      </c>
    </row>
    <row r="2286" spans="1:6" x14ac:dyDescent="0.25">
      <c r="A2286" s="5" t="s">
        <v>43</v>
      </c>
      <c r="B2286" s="2">
        <v>43988</v>
      </c>
      <c r="C2286" s="1">
        <v>474</v>
      </c>
      <c r="D2286" s="47">
        <v>10648</v>
      </c>
      <c r="E2286" s="1">
        <v>13</v>
      </c>
      <c r="F2286" s="47">
        <f t="shared" si="131"/>
        <v>241</v>
      </c>
    </row>
    <row r="2287" spans="1:6" x14ac:dyDescent="0.25">
      <c r="A2287" s="5" t="s">
        <v>20</v>
      </c>
      <c r="B2287" s="2">
        <v>43988</v>
      </c>
      <c r="C2287" s="1">
        <v>0</v>
      </c>
      <c r="D2287" s="47">
        <v>466</v>
      </c>
      <c r="E2287" s="1">
        <v>1</v>
      </c>
      <c r="F2287" s="47">
        <f t="shared" si="131"/>
        <v>30</v>
      </c>
    </row>
    <row r="2288" spans="1:6" x14ac:dyDescent="0.25">
      <c r="A2288" s="5" t="s">
        <v>30</v>
      </c>
      <c r="B2288" s="2">
        <v>43988</v>
      </c>
      <c r="C2288" s="1">
        <v>0</v>
      </c>
      <c r="D2288" s="47">
        <v>96</v>
      </c>
      <c r="F2288" s="47">
        <f t="shared" si="131"/>
        <v>0</v>
      </c>
    </row>
    <row r="2289" spans="1:6" x14ac:dyDescent="0.25">
      <c r="A2289" s="5" t="s">
        <v>31</v>
      </c>
      <c r="B2289" s="2">
        <v>43988</v>
      </c>
      <c r="C2289" s="1">
        <v>10</v>
      </c>
      <c r="D2289" s="47">
        <v>49</v>
      </c>
      <c r="F2289" s="47">
        <f t="shared" si="131"/>
        <v>0</v>
      </c>
    </row>
    <row r="2290" spans="1:6" x14ac:dyDescent="0.25">
      <c r="A2290" s="5" t="s">
        <v>41</v>
      </c>
      <c r="B2290" s="2">
        <v>43988</v>
      </c>
      <c r="C2290" s="1">
        <v>0</v>
      </c>
      <c r="D2290" s="47">
        <v>0</v>
      </c>
      <c r="F2290" s="47">
        <f t="shared" ref="F2290:F2304" si="132">E2290+F2265</f>
        <v>0</v>
      </c>
    </row>
    <row r="2291" spans="1:6" x14ac:dyDescent="0.25">
      <c r="A2291" s="5" t="s">
        <v>32</v>
      </c>
      <c r="B2291" s="2">
        <v>43988</v>
      </c>
      <c r="C2291" s="1">
        <v>0</v>
      </c>
      <c r="D2291" s="47">
        <v>6</v>
      </c>
      <c r="F2291" s="47">
        <f t="shared" si="132"/>
        <v>0</v>
      </c>
    </row>
    <row r="2292" spans="1:6" x14ac:dyDescent="0.25">
      <c r="A2292" s="5" t="s">
        <v>33</v>
      </c>
      <c r="B2292" s="2">
        <v>43988</v>
      </c>
      <c r="C2292" s="1">
        <v>0</v>
      </c>
      <c r="D2292" s="47">
        <v>5</v>
      </c>
      <c r="F2292" s="47">
        <f t="shared" si="132"/>
        <v>0</v>
      </c>
    </row>
    <row r="2293" spans="1:6" x14ac:dyDescent="0.25">
      <c r="A2293" s="5" t="s">
        <v>21</v>
      </c>
      <c r="B2293" s="2">
        <v>43988</v>
      </c>
      <c r="C2293" s="1">
        <v>0</v>
      </c>
      <c r="D2293" s="47">
        <v>63</v>
      </c>
      <c r="F2293" s="47">
        <f t="shared" si="132"/>
        <v>0</v>
      </c>
    </row>
    <row r="2294" spans="1:6" x14ac:dyDescent="0.25">
      <c r="A2294" s="5" t="s">
        <v>17</v>
      </c>
      <c r="B2294" s="2">
        <v>43988</v>
      </c>
      <c r="C2294" s="353">
        <v>0</v>
      </c>
      <c r="D2294" s="47">
        <v>101</v>
      </c>
      <c r="F2294" s="47">
        <f t="shared" si="132"/>
        <v>0</v>
      </c>
    </row>
    <row r="2295" spans="1:6" x14ac:dyDescent="0.25">
      <c r="A2295" s="5" t="s">
        <v>23</v>
      </c>
      <c r="B2295" s="2">
        <v>43988</v>
      </c>
      <c r="C2295" s="1">
        <v>4</v>
      </c>
      <c r="D2295" s="47">
        <v>35</v>
      </c>
      <c r="F2295" s="47">
        <f t="shared" si="132"/>
        <v>0</v>
      </c>
    </row>
    <row r="2296" spans="1:6" x14ac:dyDescent="0.25">
      <c r="A2296" s="5" t="s">
        <v>19</v>
      </c>
      <c r="B2296" s="2">
        <v>43988</v>
      </c>
      <c r="C2296" s="1">
        <v>1</v>
      </c>
      <c r="D2296" s="47">
        <v>152</v>
      </c>
      <c r="F2296" s="47">
        <f t="shared" si="132"/>
        <v>0</v>
      </c>
    </row>
    <row r="2297" spans="1:6" x14ac:dyDescent="0.25">
      <c r="A2297" s="5" t="s">
        <v>18</v>
      </c>
      <c r="B2297" s="2">
        <v>43988</v>
      </c>
      <c r="C2297" s="1">
        <v>15</v>
      </c>
      <c r="D2297" s="47">
        <v>457</v>
      </c>
      <c r="F2297" s="47">
        <f t="shared" si="132"/>
        <v>0</v>
      </c>
    </row>
    <row r="2298" spans="1:6" x14ac:dyDescent="0.25">
      <c r="A2298" s="5" t="s">
        <v>34</v>
      </c>
      <c r="B2298" s="2">
        <v>43988</v>
      </c>
      <c r="C2298" s="1">
        <v>0</v>
      </c>
      <c r="D2298" s="47">
        <v>15</v>
      </c>
      <c r="F2298" s="47">
        <f t="shared" si="132"/>
        <v>0</v>
      </c>
    </row>
    <row r="2299" spans="1:6" x14ac:dyDescent="0.25">
      <c r="A2299" s="5" t="s">
        <v>35</v>
      </c>
      <c r="B2299" s="2">
        <v>43988</v>
      </c>
      <c r="C2299" s="1">
        <v>0</v>
      </c>
      <c r="D2299" s="47">
        <v>5</v>
      </c>
      <c r="F2299" s="47">
        <f>E2299+F2275</f>
        <v>0</v>
      </c>
    </row>
    <row r="2300" spans="1:6" x14ac:dyDescent="0.25">
      <c r="A2300" s="5" t="s">
        <v>36</v>
      </c>
      <c r="B2300" s="2">
        <v>43988</v>
      </c>
      <c r="C2300" s="1">
        <v>0</v>
      </c>
      <c r="D2300" s="47">
        <v>11</v>
      </c>
      <c r="F2300" s="47">
        <f t="shared" si="132"/>
        <v>0</v>
      </c>
    </row>
    <row r="2301" spans="1:6" x14ac:dyDescent="0.25">
      <c r="A2301" s="5" t="s">
        <v>37</v>
      </c>
      <c r="B2301" s="2">
        <v>43988</v>
      </c>
      <c r="C2301" s="1">
        <v>0</v>
      </c>
      <c r="D2301" s="47">
        <v>51</v>
      </c>
      <c r="F2301" s="47">
        <f t="shared" si="132"/>
        <v>0</v>
      </c>
    </row>
    <row r="2302" spans="1:6" x14ac:dyDescent="0.25">
      <c r="A2302" s="5" t="s">
        <v>22</v>
      </c>
      <c r="B2302" s="2">
        <v>43988</v>
      </c>
      <c r="C2302" s="1">
        <v>2</v>
      </c>
      <c r="D2302" s="47">
        <v>276</v>
      </c>
      <c r="F2302" s="47">
        <f>E2302+F2278</f>
        <v>3</v>
      </c>
    </row>
    <row r="2303" spans="1:6" x14ac:dyDescent="0.25">
      <c r="A2303" s="5" t="s">
        <v>38</v>
      </c>
      <c r="B2303" s="2">
        <v>43988</v>
      </c>
      <c r="C2303" s="1">
        <v>0</v>
      </c>
      <c r="D2303" s="47">
        <v>22</v>
      </c>
      <c r="F2303" s="47">
        <f>E2303+F2279</f>
        <v>0</v>
      </c>
    </row>
    <row r="2304" spans="1:6" x14ac:dyDescent="0.25">
      <c r="A2304" s="5" t="s">
        <v>39</v>
      </c>
      <c r="B2304" s="2">
        <v>43988</v>
      </c>
      <c r="C2304" s="1">
        <v>0</v>
      </c>
      <c r="D2304" s="47">
        <v>149</v>
      </c>
      <c r="F2304" s="47">
        <f t="shared" si="132"/>
        <v>0</v>
      </c>
    </row>
    <row r="2305" spans="1:6" x14ac:dyDescent="0.25">
      <c r="A2305" s="5" t="s">
        <v>40</v>
      </c>
      <c r="B2305" s="2">
        <v>43988</v>
      </c>
      <c r="C2305" s="1">
        <v>0</v>
      </c>
      <c r="D2305" s="47">
        <v>49</v>
      </c>
      <c r="F2305" s="47">
        <f>E2305+F2281</f>
        <v>3</v>
      </c>
    </row>
    <row r="2306" spans="1:6" x14ac:dyDescent="0.25">
      <c r="A2306" s="34" t="s">
        <v>16</v>
      </c>
      <c r="B2306" s="2">
        <v>43989</v>
      </c>
      <c r="C2306" s="1">
        <v>375</v>
      </c>
      <c r="D2306" s="47">
        <v>8699</v>
      </c>
      <c r="E2306" s="1">
        <v>9</v>
      </c>
      <c r="F2306" s="47">
        <f>E2306+F2282</f>
        <v>272</v>
      </c>
    </row>
    <row r="2307" spans="1:6" x14ac:dyDescent="0.25">
      <c r="A2307" s="5" t="s">
        <v>28</v>
      </c>
      <c r="B2307" s="2">
        <v>43989</v>
      </c>
      <c r="C2307" s="1">
        <v>0</v>
      </c>
      <c r="D2307" s="47">
        <v>0</v>
      </c>
      <c r="F2307" s="47">
        <f t="shared" ref="F2307:F2313" si="133">E2307+F2283</f>
        <v>0</v>
      </c>
    </row>
    <row r="2308" spans="1:6" x14ac:dyDescent="0.25">
      <c r="A2308" s="5" t="s">
        <v>15</v>
      </c>
      <c r="B2308" s="2">
        <v>43989</v>
      </c>
      <c r="C2308" s="1">
        <v>18</v>
      </c>
      <c r="D2308" s="47">
        <v>1045</v>
      </c>
      <c r="E2308" s="1">
        <v>1</v>
      </c>
      <c r="F2308" s="47">
        <f t="shared" si="133"/>
        <v>61</v>
      </c>
    </row>
    <row r="2309" spans="1:6" x14ac:dyDescent="0.25">
      <c r="A2309" s="5" t="s">
        <v>29</v>
      </c>
      <c r="B2309" s="2">
        <v>43989</v>
      </c>
      <c r="C2309" s="1">
        <v>5</v>
      </c>
      <c r="D2309" s="47">
        <v>20</v>
      </c>
      <c r="F2309" s="47">
        <f t="shared" si="133"/>
        <v>1</v>
      </c>
    </row>
    <row r="2310" spans="1:6" x14ac:dyDescent="0.25">
      <c r="A2310" s="5" t="s">
        <v>43</v>
      </c>
      <c r="B2310" s="2">
        <v>43989</v>
      </c>
      <c r="C2310" s="1">
        <v>359</v>
      </c>
      <c r="D2310" s="47">
        <v>11007</v>
      </c>
      <c r="E2310" s="1">
        <v>4</v>
      </c>
      <c r="F2310" s="47">
        <f t="shared" si="133"/>
        <v>245</v>
      </c>
    </row>
    <row r="2311" spans="1:6" x14ac:dyDescent="0.25">
      <c r="A2311" s="5" t="s">
        <v>20</v>
      </c>
      <c r="B2311" s="2">
        <v>43989</v>
      </c>
      <c r="C2311" s="1">
        <v>0</v>
      </c>
      <c r="D2311" s="47">
        <v>466</v>
      </c>
      <c r="F2311" s="47">
        <f t="shared" si="133"/>
        <v>30</v>
      </c>
    </row>
    <row r="2312" spans="1:6" x14ac:dyDescent="0.25">
      <c r="A2312" s="5" t="s">
        <v>30</v>
      </c>
      <c r="B2312" s="2">
        <v>43989</v>
      </c>
      <c r="C2312" s="1">
        <v>0</v>
      </c>
      <c r="D2312" s="47">
        <v>96</v>
      </c>
      <c r="F2312" s="47">
        <f t="shared" si="133"/>
        <v>0</v>
      </c>
    </row>
    <row r="2313" spans="1:6" x14ac:dyDescent="0.25">
      <c r="A2313" s="5" t="s">
        <v>31</v>
      </c>
      <c r="B2313" s="2">
        <v>43989</v>
      </c>
      <c r="C2313" s="1">
        <v>2</v>
      </c>
      <c r="D2313" s="47">
        <v>51</v>
      </c>
      <c r="F2313" s="47">
        <f t="shared" si="133"/>
        <v>0</v>
      </c>
    </row>
    <row r="2314" spans="1:6" x14ac:dyDescent="0.25">
      <c r="A2314" s="5" t="s">
        <v>41</v>
      </c>
      <c r="B2314" s="2">
        <v>43989</v>
      </c>
      <c r="C2314" s="1">
        <v>0</v>
      </c>
      <c r="D2314" s="47">
        <v>0</v>
      </c>
      <c r="F2314" s="47">
        <f t="shared" ref="F2314:F2328" si="134">E2314+F2289</f>
        <v>0</v>
      </c>
    </row>
    <row r="2315" spans="1:6" x14ac:dyDescent="0.25">
      <c r="A2315" s="5" t="s">
        <v>32</v>
      </c>
      <c r="B2315" s="2">
        <v>43989</v>
      </c>
      <c r="C2315" s="1">
        <v>0</v>
      </c>
      <c r="D2315" s="47">
        <v>6</v>
      </c>
      <c r="F2315" s="47">
        <f t="shared" si="134"/>
        <v>0</v>
      </c>
    </row>
    <row r="2316" spans="1:6" x14ac:dyDescent="0.25">
      <c r="A2316" s="5" t="s">
        <v>33</v>
      </c>
      <c r="B2316" s="2">
        <v>43989</v>
      </c>
      <c r="C2316" s="1">
        <v>0</v>
      </c>
      <c r="D2316" s="47">
        <v>5</v>
      </c>
      <c r="F2316" s="47">
        <f t="shared" si="134"/>
        <v>0</v>
      </c>
    </row>
    <row r="2317" spans="1:6" x14ac:dyDescent="0.25">
      <c r="A2317" s="5" t="s">
        <v>21</v>
      </c>
      <c r="B2317" s="2">
        <v>43989</v>
      </c>
      <c r="C2317" s="1">
        <v>1</v>
      </c>
      <c r="D2317" s="47">
        <v>64</v>
      </c>
      <c r="E2317" s="1">
        <v>1</v>
      </c>
      <c r="F2317" s="47">
        <f t="shared" si="134"/>
        <v>1</v>
      </c>
    </row>
    <row r="2318" spans="1:6" x14ac:dyDescent="0.25">
      <c r="A2318" s="5" t="s">
        <v>17</v>
      </c>
      <c r="B2318" s="2">
        <v>43989</v>
      </c>
      <c r="C2318" s="1">
        <v>0</v>
      </c>
      <c r="D2318" s="47">
        <v>101</v>
      </c>
      <c r="F2318" s="47">
        <f t="shared" si="134"/>
        <v>0</v>
      </c>
    </row>
    <row r="2319" spans="1:6" x14ac:dyDescent="0.25">
      <c r="A2319" s="5" t="s">
        <v>23</v>
      </c>
      <c r="B2319" s="2">
        <v>43989</v>
      </c>
      <c r="C2319" s="1">
        <v>3</v>
      </c>
      <c r="D2319" s="47">
        <v>38</v>
      </c>
      <c r="F2319" s="47">
        <f t="shared" si="134"/>
        <v>0</v>
      </c>
    </row>
    <row r="2320" spans="1:6" x14ac:dyDescent="0.25">
      <c r="A2320" s="5" t="s">
        <v>19</v>
      </c>
      <c r="B2320" s="2">
        <v>43989</v>
      </c>
      <c r="C2320" s="1">
        <v>0</v>
      </c>
      <c r="D2320" s="47">
        <v>152</v>
      </c>
      <c r="F2320" s="47">
        <f t="shared" si="134"/>
        <v>0</v>
      </c>
    </row>
    <row r="2321" spans="1:6" x14ac:dyDescent="0.25">
      <c r="A2321" s="5" t="s">
        <v>18</v>
      </c>
      <c r="B2321" s="2">
        <v>43989</v>
      </c>
      <c r="C2321" s="1">
        <v>10</v>
      </c>
      <c r="D2321" s="47">
        <v>467</v>
      </c>
      <c r="E2321" s="1">
        <v>1</v>
      </c>
      <c r="F2321" s="47">
        <f t="shared" si="134"/>
        <v>1</v>
      </c>
    </row>
    <row r="2322" spans="1:6" x14ac:dyDescent="0.25">
      <c r="A2322" s="5" t="s">
        <v>34</v>
      </c>
      <c r="B2322" s="2">
        <v>43989</v>
      </c>
      <c r="C2322" s="1">
        <v>1</v>
      </c>
      <c r="D2322" s="47">
        <v>16</v>
      </c>
      <c r="F2322" s="47">
        <f t="shared" si="134"/>
        <v>0</v>
      </c>
    </row>
    <row r="2323" spans="1:6" x14ac:dyDescent="0.25">
      <c r="A2323" s="5" t="s">
        <v>35</v>
      </c>
      <c r="B2323" s="2">
        <v>43989</v>
      </c>
      <c r="C2323" s="1">
        <v>0</v>
      </c>
      <c r="D2323" s="47">
        <v>5</v>
      </c>
      <c r="F2323" s="47">
        <f>E2323+F2299</f>
        <v>0</v>
      </c>
    </row>
    <row r="2324" spans="1:6" x14ac:dyDescent="0.25">
      <c r="A2324" s="5" t="s">
        <v>36</v>
      </c>
      <c r="B2324" s="2">
        <v>43989</v>
      </c>
      <c r="C2324" s="1">
        <v>0</v>
      </c>
      <c r="D2324" s="47">
        <v>11</v>
      </c>
      <c r="F2324" s="47">
        <f t="shared" si="134"/>
        <v>0</v>
      </c>
    </row>
    <row r="2325" spans="1:6" x14ac:dyDescent="0.25">
      <c r="A2325" s="5" t="s">
        <v>37</v>
      </c>
      <c r="B2325" s="2">
        <v>43989</v>
      </c>
      <c r="C2325" s="1">
        <v>0</v>
      </c>
      <c r="D2325" s="47">
        <v>51</v>
      </c>
      <c r="F2325" s="47">
        <f t="shared" si="134"/>
        <v>0</v>
      </c>
    </row>
    <row r="2326" spans="1:6" x14ac:dyDescent="0.25">
      <c r="A2326" s="5" t="s">
        <v>22</v>
      </c>
      <c r="B2326" s="2">
        <v>43989</v>
      </c>
      <c r="C2326" s="1">
        <v>0</v>
      </c>
      <c r="D2326" s="47">
        <v>276</v>
      </c>
      <c r="F2326" s="47">
        <f>E2326+F2302</f>
        <v>3</v>
      </c>
    </row>
    <row r="2327" spans="1:6" x14ac:dyDescent="0.25">
      <c r="A2327" s="5" t="s">
        <v>38</v>
      </c>
      <c r="B2327" s="2">
        <v>43989</v>
      </c>
      <c r="C2327" s="1">
        <v>0</v>
      </c>
      <c r="D2327" s="47">
        <v>22</v>
      </c>
      <c r="F2327" s="47">
        <f>E2327+F2303</f>
        <v>0</v>
      </c>
    </row>
    <row r="2328" spans="1:6" x14ac:dyDescent="0.25">
      <c r="A2328" s="5" t="s">
        <v>39</v>
      </c>
      <c r="B2328" s="2">
        <v>43989</v>
      </c>
      <c r="C2328" s="1">
        <v>0</v>
      </c>
      <c r="D2328" s="47">
        <v>149</v>
      </c>
      <c r="F2328" s="47">
        <f t="shared" si="134"/>
        <v>0</v>
      </c>
    </row>
    <row r="2329" spans="1:6" x14ac:dyDescent="0.25">
      <c r="A2329" s="5" t="s">
        <v>40</v>
      </c>
      <c r="B2329" s="2">
        <v>43989</v>
      </c>
      <c r="C2329" s="1">
        <v>0</v>
      </c>
      <c r="D2329" s="47">
        <v>49</v>
      </c>
      <c r="F2329" s="47">
        <f>E2329+F2305</f>
        <v>3</v>
      </c>
    </row>
    <row r="2330" spans="1:6" x14ac:dyDescent="0.25">
      <c r="A2330" s="34" t="s">
        <v>16</v>
      </c>
      <c r="B2330" s="2">
        <v>43990</v>
      </c>
      <c r="C2330" s="1">
        <v>344</v>
      </c>
      <c r="D2330" s="47">
        <v>9043</v>
      </c>
      <c r="E2330" s="1">
        <v>16</v>
      </c>
      <c r="F2330" s="47">
        <f>E2330+F2306</f>
        <v>288</v>
      </c>
    </row>
    <row r="2331" spans="1:6" x14ac:dyDescent="0.25">
      <c r="A2331" s="5" t="s">
        <v>28</v>
      </c>
      <c r="B2331" s="2">
        <v>43990</v>
      </c>
      <c r="C2331" s="1">
        <v>0</v>
      </c>
      <c r="D2331" s="47">
        <v>0</v>
      </c>
      <c r="F2331" s="47">
        <f t="shared" ref="F2331:F2337" si="135">E2331+F2307</f>
        <v>0</v>
      </c>
    </row>
    <row r="2332" spans="1:6" x14ac:dyDescent="0.25">
      <c r="A2332" s="5" t="s">
        <v>15</v>
      </c>
      <c r="B2332" s="2">
        <v>43990</v>
      </c>
      <c r="C2332" s="1">
        <v>45</v>
      </c>
      <c r="D2332" s="47">
        <v>1090</v>
      </c>
      <c r="E2332" s="1">
        <v>1</v>
      </c>
      <c r="F2332" s="47">
        <f t="shared" si="135"/>
        <v>62</v>
      </c>
    </row>
    <row r="2333" spans="1:6" x14ac:dyDescent="0.25">
      <c r="A2333" s="5" t="s">
        <v>29</v>
      </c>
      <c r="B2333" s="2">
        <v>43990</v>
      </c>
      <c r="C2333" s="1">
        <v>1</v>
      </c>
      <c r="D2333" s="47">
        <v>21</v>
      </c>
      <c r="F2333" s="47">
        <f t="shared" si="135"/>
        <v>1</v>
      </c>
    </row>
    <row r="2334" spans="1:6" x14ac:dyDescent="0.25">
      <c r="A2334" s="5" t="s">
        <v>43</v>
      </c>
      <c r="B2334" s="2">
        <v>43990</v>
      </c>
      <c r="C2334" s="1">
        <v>420</v>
      </c>
      <c r="D2334" s="47">
        <v>11427</v>
      </c>
      <c r="E2334" s="1">
        <v>9</v>
      </c>
      <c r="F2334" s="47">
        <f t="shared" si="135"/>
        <v>254</v>
      </c>
    </row>
    <row r="2335" spans="1:6" x14ac:dyDescent="0.25">
      <c r="A2335" s="5" t="s">
        <v>20</v>
      </c>
      <c r="B2335" s="2">
        <v>43990</v>
      </c>
      <c r="C2335" s="1">
        <v>1</v>
      </c>
      <c r="D2335" s="47">
        <v>467</v>
      </c>
      <c r="F2335" s="47">
        <f t="shared" si="135"/>
        <v>30</v>
      </c>
    </row>
    <row r="2336" spans="1:6" x14ac:dyDescent="0.25">
      <c r="A2336" s="5" t="s">
        <v>30</v>
      </c>
      <c r="B2336" s="2">
        <v>43990</v>
      </c>
      <c r="C2336" s="1">
        <v>0</v>
      </c>
      <c r="D2336" s="47">
        <v>96</v>
      </c>
      <c r="F2336" s="47">
        <f t="shared" si="135"/>
        <v>0</v>
      </c>
    </row>
    <row r="2337" spans="1:6" x14ac:dyDescent="0.25">
      <c r="A2337" s="5" t="s">
        <v>31</v>
      </c>
      <c r="B2337" s="2">
        <v>43990</v>
      </c>
      <c r="C2337" s="1">
        <v>2</v>
      </c>
      <c r="D2337" s="47">
        <v>53</v>
      </c>
      <c r="F2337" s="47">
        <f t="shared" si="135"/>
        <v>0</v>
      </c>
    </row>
    <row r="2338" spans="1:6" x14ac:dyDescent="0.25">
      <c r="A2338" s="5" t="s">
        <v>41</v>
      </c>
      <c r="B2338" s="2">
        <v>43990</v>
      </c>
      <c r="C2338" s="1">
        <v>0</v>
      </c>
      <c r="D2338" s="47">
        <v>0</v>
      </c>
      <c r="F2338" s="47">
        <f t="shared" ref="F2338:F2352" si="136">E2338+F2313</f>
        <v>0</v>
      </c>
    </row>
    <row r="2339" spans="1:6" x14ac:dyDescent="0.25">
      <c r="A2339" s="5" t="s">
        <v>32</v>
      </c>
      <c r="B2339" s="2">
        <v>43990</v>
      </c>
      <c r="C2339" s="1">
        <v>0</v>
      </c>
      <c r="D2339" s="47">
        <v>6</v>
      </c>
      <c r="F2339" s="47">
        <f t="shared" si="136"/>
        <v>0</v>
      </c>
    </row>
    <row r="2340" spans="1:6" x14ac:dyDescent="0.25">
      <c r="A2340" s="5" t="s">
        <v>33</v>
      </c>
      <c r="B2340" s="2">
        <v>43990</v>
      </c>
      <c r="C2340" s="1">
        <v>0</v>
      </c>
      <c r="D2340" s="47">
        <v>5</v>
      </c>
      <c r="F2340" s="47">
        <f t="shared" si="136"/>
        <v>0</v>
      </c>
    </row>
    <row r="2341" spans="1:6" x14ac:dyDescent="0.25">
      <c r="A2341" s="5" t="s">
        <v>21</v>
      </c>
      <c r="B2341" s="2">
        <v>43990</v>
      </c>
      <c r="C2341" s="1">
        <v>0</v>
      </c>
      <c r="D2341" s="47">
        <v>64</v>
      </c>
      <c r="F2341" s="47">
        <f t="shared" si="136"/>
        <v>0</v>
      </c>
    </row>
    <row r="2342" spans="1:6" x14ac:dyDescent="0.25">
      <c r="A2342" s="5" t="s">
        <v>17</v>
      </c>
      <c r="B2342" s="2">
        <v>43990</v>
      </c>
      <c r="C2342" s="1">
        <v>1</v>
      </c>
      <c r="D2342" s="47">
        <v>102</v>
      </c>
      <c r="F2342" s="47">
        <f t="shared" si="136"/>
        <v>1</v>
      </c>
    </row>
    <row r="2343" spans="1:6" x14ac:dyDescent="0.25">
      <c r="A2343" s="5" t="s">
        <v>23</v>
      </c>
      <c r="B2343" s="2">
        <v>43990</v>
      </c>
      <c r="C2343" s="1">
        <v>1</v>
      </c>
      <c r="D2343" s="47">
        <v>39</v>
      </c>
      <c r="F2343" s="47">
        <f t="shared" si="136"/>
        <v>0</v>
      </c>
    </row>
    <row r="2344" spans="1:6" x14ac:dyDescent="0.25">
      <c r="A2344" s="5" t="s">
        <v>19</v>
      </c>
      <c r="B2344" s="2">
        <v>43990</v>
      </c>
      <c r="C2344" s="1">
        <v>0</v>
      </c>
      <c r="D2344" s="47">
        <v>152</v>
      </c>
      <c r="F2344" s="47">
        <f t="shared" si="136"/>
        <v>0</v>
      </c>
    </row>
    <row r="2345" spans="1:6" x14ac:dyDescent="0.25">
      <c r="A2345" s="5" t="s">
        <v>18</v>
      </c>
      <c r="B2345" s="2">
        <v>43990</v>
      </c>
      <c r="C2345" s="1">
        <v>11</v>
      </c>
      <c r="D2345" s="47">
        <v>478</v>
      </c>
      <c r="E2345" s="1">
        <v>2</v>
      </c>
      <c r="F2345" s="47">
        <f t="shared" si="136"/>
        <v>2</v>
      </c>
    </row>
    <row r="2346" spans="1:6" x14ac:dyDescent="0.25">
      <c r="A2346" s="5" t="s">
        <v>34</v>
      </c>
      <c r="B2346" s="2">
        <v>43990</v>
      </c>
      <c r="C2346" s="1">
        <v>0</v>
      </c>
      <c r="D2346" s="47">
        <v>16</v>
      </c>
      <c r="F2346" s="47">
        <f t="shared" si="136"/>
        <v>1</v>
      </c>
    </row>
    <row r="2347" spans="1:6" x14ac:dyDescent="0.25">
      <c r="A2347" s="5" t="s">
        <v>35</v>
      </c>
      <c r="B2347" s="2">
        <v>43990</v>
      </c>
      <c r="C2347" s="1">
        <v>0</v>
      </c>
      <c r="D2347" s="47">
        <v>5</v>
      </c>
      <c r="F2347" s="47">
        <f>E2347+F2323</f>
        <v>0</v>
      </c>
    </row>
    <row r="2348" spans="1:6" x14ac:dyDescent="0.25">
      <c r="A2348" s="5" t="s">
        <v>36</v>
      </c>
      <c r="B2348" s="2">
        <v>43990</v>
      </c>
      <c r="C2348" s="1">
        <v>0</v>
      </c>
      <c r="D2348" s="47">
        <v>11</v>
      </c>
      <c r="F2348" s="47">
        <f t="shared" si="136"/>
        <v>0</v>
      </c>
    </row>
    <row r="2349" spans="1:6" x14ac:dyDescent="0.25">
      <c r="A2349" s="5" t="s">
        <v>37</v>
      </c>
      <c r="B2349" s="2">
        <v>43990</v>
      </c>
      <c r="C2349" s="1">
        <v>0</v>
      </c>
      <c r="D2349" s="47">
        <v>51</v>
      </c>
      <c r="F2349" s="47">
        <f t="shared" si="136"/>
        <v>0</v>
      </c>
    </row>
    <row r="2350" spans="1:6" x14ac:dyDescent="0.25">
      <c r="A2350" s="5" t="s">
        <v>22</v>
      </c>
      <c r="B2350" s="2">
        <v>43990</v>
      </c>
      <c r="C2350" s="1">
        <v>0</v>
      </c>
      <c r="D2350" s="47">
        <v>276</v>
      </c>
      <c r="F2350" s="47">
        <f>E2350+F2326</f>
        <v>3</v>
      </c>
    </row>
    <row r="2351" spans="1:6" x14ac:dyDescent="0.25">
      <c r="A2351" s="5" t="s">
        <v>38</v>
      </c>
      <c r="B2351" s="2">
        <v>43990</v>
      </c>
      <c r="C2351" s="1">
        <v>0</v>
      </c>
      <c r="D2351" s="47">
        <v>22</v>
      </c>
      <c r="F2351" s="47">
        <f>E2351+F2327</f>
        <v>0</v>
      </c>
    </row>
    <row r="2352" spans="1:6" x14ac:dyDescent="0.25">
      <c r="A2352" s="5" t="s">
        <v>39</v>
      </c>
      <c r="B2352" s="2">
        <v>43990</v>
      </c>
      <c r="C2352" s="1">
        <v>0</v>
      </c>
      <c r="D2352" s="47">
        <v>149</v>
      </c>
      <c r="F2352" s="47">
        <f t="shared" si="136"/>
        <v>0</v>
      </c>
    </row>
    <row r="2353" spans="1:6" x14ac:dyDescent="0.25">
      <c r="A2353" s="5" t="s">
        <v>40</v>
      </c>
      <c r="B2353" s="2">
        <v>43990</v>
      </c>
      <c r="C2353" s="1">
        <v>0</v>
      </c>
      <c r="D2353" s="47">
        <v>49</v>
      </c>
      <c r="E2353" s="1">
        <v>1</v>
      </c>
      <c r="F2353" s="47">
        <f>E2353+F2329</f>
        <v>4</v>
      </c>
    </row>
    <row r="2354" spans="1:6" x14ac:dyDescent="0.25">
      <c r="A2354" s="34" t="s">
        <v>16</v>
      </c>
      <c r="B2354" s="2">
        <v>43991</v>
      </c>
      <c r="C2354" s="1">
        <v>545</v>
      </c>
      <c r="D2354" s="47">
        <v>9588</v>
      </c>
      <c r="E2354" s="1">
        <v>13</v>
      </c>
      <c r="F2354" s="47">
        <f>E2354+F2330</f>
        <v>301</v>
      </c>
    </row>
    <row r="2355" spans="1:6" x14ac:dyDescent="0.25">
      <c r="A2355" s="5" t="s">
        <v>28</v>
      </c>
      <c r="B2355" s="2">
        <v>43991</v>
      </c>
      <c r="C2355" s="1">
        <v>0</v>
      </c>
      <c r="D2355" s="47">
        <v>0</v>
      </c>
      <c r="F2355" s="47">
        <f t="shared" ref="F2355:F2361" si="137">E2355+F2331</f>
        <v>0</v>
      </c>
    </row>
    <row r="2356" spans="1:6" x14ac:dyDescent="0.25">
      <c r="A2356" s="5" t="s">
        <v>15</v>
      </c>
      <c r="B2356" s="2">
        <v>43991</v>
      </c>
      <c r="C2356" s="1">
        <v>28</v>
      </c>
      <c r="D2356" s="47">
        <v>1118</v>
      </c>
      <c r="E2356" s="1">
        <v>2</v>
      </c>
      <c r="F2356" s="47">
        <f t="shared" si="137"/>
        <v>64</v>
      </c>
    </row>
    <row r="2357" spans="1:6" x14ac:dyDescent="0.25">
      <c r="A2357" s="5" t="s">
        <v>29</v>
      </c>
      <c r="B2357" s="2">
        <v>43991</v>
      </c>
      <c r="C2357" s="1">
        <v>5</v>
      </c>
      <c r="D2357" s="47">
        <v>26</v>
      </c>
      <c r="F2357" s="47">
        <f t="shared" si="137"/>
        <v>1</v>
      </c>
    </row>
    <row r="2358" spans="1:6" x14ac:dyDescent="0.25">
      <c r="A2358" s="5" t="s">
        <v>43</v>
      </c>
      <c r="B2358" s="2">
        <v>43991</v>
      </c>
      <c r="C2358" s="1">
        <v>535</v>
      </c>
      <c r="D2358" s="47">
        <v>11962</v>
      </c>
      <c r="E2358" s="1">
        <v>8</v>
      </c>
      <c r="F2358" s="47">
        <f t="shared" si="137"/>
        <v>262</v>
      </c>
    </row>
    <row r="2359" spans="1:6" x14ac:dyDescent="0.25">
      <c r="A2359" s="5" t="s">
        <v>20</v>
      </c>
      <c r="B2359" s="2">
        <v>43991</v>
      </c>
      <c r="C2359" s="1">
        <v>2</v>
      </c>
      <c r="D2359" s="47">
        <v>469</v>
      </c>
      <c r="F2359" s="47">
        <f t="shared" si="137"/>
        <v>30</v>
      </c>
    </row>
    <row r="2360" spans="1:6" x14ac:dyDescent="0.25">
      <c r="A2360" s="5" t="s">
        <v>30</v>
      </c>
      <c r="B2360" s="2">
        <v>43991</v>
      </c>
      <c r="C2360" s="1">
        <v>1</v>
      </c>
      <c r="D2360" s="47">
        <v>97</v>
      </c>
      <c r="F2360" s="47">
        <f t="shared" si="137"/>
        <v>0</v>
      </c>
    </row>
    <row r="2361" spans="1:6" x14ac:dyDescent="0.25">
      <c r="A2361" s="5" t="s">
        <v>31</v>
      </c>
      <c r="B2361" s="2">
        <v>43991</v>
      </c>
      <c r="C2361" s="1">
        <v>2</v>
      </c>
      <c r="D2361" s="47">
        <v>55</v>
      </c>
      <c r="F2361" s="47">
        <f t="shared" si="137"/>
        <v>0</v>
      </c>
    </row>
    <row r="2362" spans="1:6" x14ac:dyDescent="0.25">
      <c r="A2362" s="5" t="s">
        <v>41</v>
      </c>
      <c r="B2362" s="2">
        <v>43991</v>
      </c>
      <c r="C2362" s="1">
        <v>0</v>
      </c>
      <c r="D2362" s="47">
        <v>0</v>
      </c>
      <c r="F2362" s="47">
        <f t="shared" ref="F2362:F2376" si="138">E2362+F2337</f>
        <v>0</v>
      </c>
    </row>
    <row r="2363" spans="1:6" x14ac:dyDescent="0.25">
      <c r="A2363" s="5" t="s">
        <v>32</v>
      </c>
      <c r="B2363" s="2">
        <v>43991</v>
      </c>
      <c r="C2363" s="1">
        <v>2</v>
      </c>
      <c r="D2363" s="47">
        <v>8</v>
      </c>
      <c r="F2363" s="47">
        <f t="shared" si="138"/>
        <v>0</v>
      </c>
    </row>
    <row r="2364" spans="1:6" x14ac:dyDescent="0.25">
      <c r="A2364" s="5" t="s">
        <v>33</v>
      </c>
      <c r="B2364" s="2">
        <v>43991</v>
      </c>
      <c r="C2364" s="1">
        <v>0</v>
      </c>
      <c r="D2364" s="47">
        <v>5</v>
      </c>
      <c r="F2364" s="47">
        <f t="shared" si="138"/>
        <v>0</v>
      </c>
    </row>
    <row r="2365" spans="1:6" x14ac:dyDescent="0.25">
      <c r="A2365" s="5" t="s">
        <v>21</v>
      </c>
      <c r="B2365" s="2">
        <v>43991</v>
      </c>
      <c r="C2365" s="1">
        <v>0</v>
      </c>
      <c r="D2365" s="47">
        <v>64</v>
      </c>
      <c r="F2365" s="47">
        <f t="shared" si="138"/>
        <v>0</v>
      </c>
    </row>
    <row r="2366" spans="1:6" x14ac:dyDescent="0.25">
      <c r="A2366" s="5" t="s">
        <v>17</v>
      </c>
      <c r="B2366" s="2">
        <v>43991</v>
      </c>
      <c r="C2366" s="1">
        <v>1</v>
      </c>
      <c r="D2366" s="47">
        <v>103</v>
      </c>
      <c r="F2366" s="47">
        <f t="shared" si="138"/>
        <v>0</v>
      </c>
    </row>
    <row r="2367" spans="1:6" x14ac:dyDescent="0.25">
      <c r="A2367" s="5" t="s">
        <v>23</v>
      </c>
      <c r="B2367" s="2">
        <v>43991</v>
      </c>
      <c r="C2367" s="1">
        <v>-1</v>
      </c>
      <c r="D2367" s="47">
        <v>38</v>
      </c>
      <c r="F2367" s="47">
        <f t="shared" si="138"/>
        <v>1</v>
      </c>
    </row>
    <row r="2368" spans="1:6" x14ac:dyDescent="0.25">
      <c r="A2368" s="5" t="s">
        <v>19</v>
      </c>
      <c r="B2368" s="2">
        <v>43991</v>
      </c>
      <c r="C2368" s="1">
        <v>5</v>
      </c>
      <c r="D2368" s="47">
        <v>157</v>
      </c>
      <c r="F2368" s="47">
        <f t="shared" si="138"/>
        <v>0</v>
      </c>
    </row>
    <row r="2369" spans="1:6" x14ac:dyDescent="0.25">
      <c r="A2369" s="5" t="s">
        <v>18</v>
      </c>
      <c r="B2369" s="2">
        <v>43991</v>
      </c>
      <c r="C2369" s="1">
        <v>13</v>
      </c>
      <c r="D2369" s="47">
        <v>491</v>
      </c>
      <c r="E2369" s="1">
        <v>1</v>
      </c>
      <c r="F2369" s="47">
        <f t="shared" si="138"/>
        <v>1</v>
      </c>
    </row>
    <row r="2370" spans="1:6" x14ac:dyDescent="0.25">
      <c r="A2370" s="5" t="s">
        <v>34</v>
      </c>
      <c r="B2370" s="2">
        <v>43991</v>
      </c>
      <c r="C2370" s="1">
        <v>0</v>
      </c>
      <c r="D2370" s="47">
        <v>16</v>
      </c>
      <c r="F2370" s="47">
        <f t="shared" si="138"/>
        <v>2</v>
      </c>
    </row>
    <row r="2371" spans="1:6" x14ac:dyDescent="0.25">
      <c r="A2371" s="5" t="s">
        <v>35</v>
      </c>
      <c r="B2371" s="2">
        <v>43991</v>
      </c>
      <c r="C2371" s="1">
        <v>0</v>
      </c>
      <c r="D2371" s="47">
        <v>5</v>
      </c>
      <c r="F2371" s="47">
        <f>E2371+F2347</f>
        <v>0</v>
      </c>
    </row>
    <row r="2372" spans="1:6" x14ac:dyDescent="0.25">
      <c r="A2372" s="5" t="s">
        <v>36</v>
      </c>
      <c r="B2372" s="2">
        <v>43991</v>
      </c>
      <c r="C2372" s="1">
        <v>0</v>
      </c>
      <c r="D2372" s="47">
        <v>11</v>
      </c>
      <c r="F2372" s="47">
        <f t="shared" si="138"/>
        <v>0</v>
      </c>
    </row>
    <row r="2373" spans="1:6" x14ac:dyDescent="0.25">
      <c r="A2373" s="5" t="s">
        <v>37</v>
      </c>
      <c r="B2373" s="2">
        <v>43991</v>
      </c>
      <c r="C2373" s="1">
        <v>0</v>
      </c>
      <c r="D2373" s="47">
        <v>51</v>
      </c>
      <c r="F2373" s="47">
        <f t="shared" si="138"/>
        <v>0</v>
      </c>
    </row>
    <row r="2374" spans="1:6" x14ac:dyDescent="0.25">
      <c r="A2374" s="5" t="s">
        <v>22</v>
      </c>
      <c r="B2374" s="2">
        <v>43991</v>
      </c>
      <c r="C2374" s="1">
        <v>2</v>
      </c>
      <c r="D2374" s="47">
        <v>278</v>
      </c>
      <c r="F2374" s="47">
        <f>E2374+F2350</f>
        <v>3</v>
      </c>
    </row>
    <row r="2375" spans="1:6" x14ac:dyDescent="0.25">
      <c r="A2375" s="5" t="s">
        <v>38</v>
      </c>
      <c r="B2375" s="2">
        <v>43991</v>
      </c>
      <c r="C2375" s="1">
        <v>0</v>
      </c>
      <c r="D2375" s="47">
        <v>22</v>
      </c>
      <c r="F2375" s="47">
        <f>E2375+F2351</f>
        <v>0</v>
      </c>
    </row>
    <row r="2376" spans="1:6" x14ac:dyDescent="0.25">
      <c r="A2376" s="5" t="s">
        <v>39</v>
      </c>
      <c r="B2376" s="2">
        <v>43991</v>
      </c>
      <c r="C2376" s="1">
        <v>0</v>
      </c>
      <c r="D2376" s="47">
        <v>149</v>
      </c>
      <c r="F2376" s="47">
        <f t="shared" si="138"/>
        <v>0</v>
      </c>
    </row>
    <row r="2377" spans="1:6" x14ac:dyDescent="0.25">
      <c r="A2377" s="5" t="s">
        <v>40</v>
      </c>
      <c r="B2377" s="2">
        <v>43991</v>
      </c>
      <c r="C2377" s="1">
        <v>0</v>
      </c>
      <c r="D2377" s="47">
        <v>49</v>
      </c>
      <c r="F2377" s="47">
        <f>E2377+F2353</f>
        <v>4</v>
      </c>
    </row>
    <row r="2378" spans="1:6" x14ac:dyDescent="0.25">
      <c r="A2378" s="34" t="s">
        <v>16</v>
      </c>
      <c r="B2378" s="2">
        <v>43992</v>
      </c>
      <c r="C2378" s="1">
        <v>621</v>
      </c>
      <c r="D2378" s="47">
        <v>10209</v>
      </c>
      <c r="E2378" s="1">
        <v>7</v>
      </c>
      <c r="F2378" s="47">
        <f>E2378+F2354</f>
        <v>308</v>
      </c>
    </row>
    <row r="2379" spans="1:6" x14ac:dyDescent="0.25">
      <c r="A2379" s="5" t="s">
        <v>28</v>
      </c>
      <c r="B2379" s="2">
        <v>43992</v>
      </c>
      <c r="C2379" s="1">
        <v>0</v>
      </c>
      <c r="D2379" s="47">
        <v>0</v>
      </c>
      <c r="F2379" s="47">
        <f t="shared" ref="F2379:F2385" si="139">E2379+F2355</f>
        <v>0</v>
      </c>
    </row>
    <row r="2380" spans="1:6" x14ac:dyDescent="0.25">
      <c r="A2380" s="5" t="s">
        <v>15</v>
      </c>
      <c r="B2380" s="2">
        <v>43992</v>
      </c>
      <c r="C2380" s="1">
        <v>45</v>
      </c>
      <c r="D2380" s="47">
        <v>1163</v>
      </c>
      <c r="F2380" s="47">
        <f t="shared" si="139"/>
        <v>64</v>
      </c>
    </row>
    <row r="2381" spans="1:6" x14ac:dyDescent="0.25">
      <c r="A2381" s="5" t="s">
        <v>29</v>
      </c>
      <c r="B2381" s="2">
        <v>43992</v>
      </c>
      <c r="C2381" s="1">
        <v>0</v>
      </c>
      <c r="D2381" s="47">
        <v>26</v>
      </c>
      <c r="F2381" s="47">
        <f t="shared" si="139"/>
        <v>1</v>
      </c>
    </row>
    <row r="2382" spans="1:6" x14ac:dyDescent="0.25">
      <c r="A2382" s="5" t="s">
        <v>43</v>
      </c>
      <c r="B2382" s="2">
        <v>43992</v>
      </c>
      <c r="C2382" s="1">
        <v>521</v>
      </c>
      <c r="D2382" s="47">
        <v>12483</v>
      </c>
      <c r="E2382" s="1">
        <v>11</v>
      </c>
      <c r="F2382" s="47">
        <f>E2382+F2358</f>
        <v>273</v>
      </c>
    </row>
    <row r="2383" spans="1:6" x14ac:dyDescent="0.25">
      <c r="A2383" s="5" t="s">
        <v>20</v>
      </c>
      <c r="B2383" s="2">
        <v>43992</v>
      </c>
      <c r="C2383" s="1">
        <v>5</v>
      </c>
      <c r="D2383" s="47">
        <v>474</v>
      </c>
      <c r="F2383" s="47">
        <f t="shared" si="139"/>
        <v>30</v>
      </c>
    </row>
    <row r="2384" spans="1:6" x14ac:dyDescent="0.25">
      <c r="A2384" s="5" t="s">
        <v>30</v>
      </c>
      <c r="B2384" s="2">
        <v>43992</v>
      </c>
      <c r="C2384" s="1">
        <v>0</v>
      </c>
      <c r="D2384" s="47">
        <v>97</v>
      </c>
      <c r="F2384" s="47">
        <f t="shared" si="139"/>
        <v>0</v>
      </c>
    </row>
    <row r="2385" spans="1:6" x14ac:dyDescent="0.25">
      <c r="A2385" s="5" t="s">
        <v>31</v>
      </c>
      <c r="B2385" s="2">
        <v>43992</v>
      </c>
      <c r="C2385" s="1">
        <v>4</v>
      </c>
      <c r="D2385" s="47">
        <v>59</v>
      </c>
      <c r="F2385" s="47">
        <f t="shared" si="139"/>
        <v>0</v>
      </c>
    </row>
    <row r="2386" spans="1:6" x14ac:dyDescent="0.25">
      <c r="A2386" s="5" t="s">
        <v>41</v>
      </c>
      <c r="B2386" s="2">
        <v>43992</v>
      </c>
      <c r="C2386" s="1">
        <v>0</v>
      </c>
      <c r="D2386" s="47">
        <v>0</v>
      </c>
      <c r="F2386" s="47">
        <f t="shared" ref="F2386:F2400" si="140">E2386+F2361</f>
        <v>0</v>
      </c>
    </row>
    <row r="2387" spans="1:6" x14ac:dyDescent="0.25">
      <c r="A2387" s="5" t="s">
        <v>32</v>
      </c>
      <c r="B2387" s="2">
        <v>43992</v>
      </c>
      <c r="C2387" s="1">
        <v>0</v>
      </c>
      <c r="D2387" s="47">
        <v>8</v>
      </c>
      <c r="F2387" s="47">
        <f t="shared" si="140"/>
        <v>0</v>
      </c>
    </row>
    <row r="2388" spans="1:6" x14ac:dyDescent="0.25">
      <c r="A2388" s="5" t="s">
        <v>33</v>
      </c>
      <c r="B2388" s="2">
        <v>43992</v>
      </c>
      <c r="C2388" s="1">
        <v>0</v>
      </c>
      <c r="D2388" s="47">
        <v>5</v>
      </c>
      <c r="F2388" s="47">
        <f t="shared" si="140"/>
        <v>0</v>
      </c>
    </row>
    <row r="2389" spans="1:6" x14ac:dyDescent="0.25">
      <c r="A2389" s="5" t="s">
        <v>21</v>
      </c>
      <c r="B2389" s="2">
        <v>43992</v>
      </c>
      <c r="C2389" s="1">
        <v>0</v>
      </c>
      <c r="D2389" s="47">
        <v>64</v>
      </c>
      <c r="F2389" s="47">
        <f t="shared" si="140"/>
        <v>0</v>
      </c>
    </row>
    <row r="2390" spans="1:6" x14ac:dyDescent="0.25">
      <c r="A2390" s="5" t="s">
        <v>17</v>
      </c>
      <c r="B2390" s="2">
        <v>43992</v>
      </c>
      <c r="C2390" s="1">
        <v>0</v>
      </c>
      <c r="D2390" s="47">
        <v>103</v>
      </c>
      <c r="F2390" s="47">
        <f t="shared" si="140"/>
        <v>0</v>
      </c>
    </row>
    <row r="2391" spans="1:6" x14ac:dyDescent="0.25">
      <c r="A2391" s="5" t="s">
        <v>23</v>
      </c>
      <c r="B2391" s="2">
        <v>43992</v>
      </c>
      <c r="C2391" s="1">
        <v>0</v>
      </c>
      <c r="D2391" s="47">
        <v>38</v>
      </c>
      <c r="F2391" s="47">
        <f t="shared" si="140"/>
        <v>0</v>
      </c>
    </row>
    <row r="2392" spans="1:6" x14ac:dyDescent="0.25">
      <c r="A2392" s="5" t="s">
        <v>19</v>
      </c>
      <c r="B2392" s="2">
        <v>43992</v>
      </c>
      <c r="C2392" s="1">
        <v>10</v>
      </c>
      <c r="D2392" s="47">
        <v>167</v>
      </c>
      <c r="F2392" s="47">
        <f t="shared" si="140"/>
        <v>1</v>
      </c>
    </row>
    <row r="2393" spans="1:6" x14ac:dyDescent="0.25">
      <c r="A2393" s="5" t="s">
        <v>18</v>
      </c>
      <c r="B2393" s="2">
        <v>43992</v>
      </c>
      <c r="C2393" s="1">
        <v>12</v>
      </c>
      <c r="D2393" s="47">
        <v>503</v>
      </c>
      <c r="F2393" s="47">
        <f t="shared" si="140"/>
        <v>0</v>
      </c>
    </row>
    <row r="2394" spans="1:6" x14ac:dyDescent="0.25">
      <c r="A2394" s="5" t="s">
        <v>34</v>
      </c>
      <c r="B2394" s="2">
        <v>43992</v>
      </c>
      <c r="C2394" s="1">
        <v>3</v>
      </c>
      <c r="D2394" s="47">
        <v>19</v>
      </c>
      <c r="F2394" s="47">
        <f t="shared" si="140"/>
        <v>1</v>
      </c>
    </row>
    <row r="2395" spans="1:6" x14ac:dyDescent="0.25">
      <c r="A2395" s="5" t="s">
        <v>35</v>
      </c>
      <c r="B2395" s="2">
        <v>43992</v>
      </c>
      <c r="C2395" s="1">
        <v>1</v>
      </c>
      <c r="D2395" s="47">
        <v>6</v>
      </c>
      <c r="F2395" s="47">
        <f>E2395+F2371</f>
        <v>0</v>
      </c>
    </row>
    <row r="2396" spans="1:6" x14ac:dyDescent="0.25">
      <c r="A2396" s="5" t="s">
        <v>36</v>
      </c>
      <c r="B2396" s="2">
        <v>43992</v>
      </c>
      <c r="C2396" s="1">
        <v>0</v>
      </c>
      <c r="D2396" s="47">
        <v>11</v>
      </c>
      <c r="F2396" s="47">
        <f t="shared" si="140"/>
        <v>0</v>
      </c>
    </row>
    <row r="2397" spans="1:6" x14ac:dyDescent="0.25">
      <c r="A2397" s="5" t="s">
        <v>37</v>
      </c>
      <c r="B2397" s="2">
        <v>43992</v>
      </c>
      <c r="C2397" s="1">
        <v>0</v>
      </c>
      <c r="D2397" s="47">
        <v>51</v>
      </c>
      <c r="F2397" s="47">
        <f t="shared" si="140"/>
        <v>0</v>
      </c>
    </row>
    <row r="2398" spans="1:6" x14ac:dyDescent="0.25">
      <c r="A2398" s="5" t="s">
        <v>22</v>
      </c>
      <c r="B2398" s="2">
        <v>43992</v>
      </c>
      <c r="C2398" s="1">
        <v>4</v>
      </c>
      <c r="D2398" s="47">
        <v>282</v>
      </c>
      <c r="F2398" s="47">
        <f>E2398+F2374</f>
        <v>3</v>
      </c>
    </row>
    <row r="2399" spans="1:6" x14ac:dyDescent="0.25">
      <c r="A2399" s="5" t="s">
        <v>38</v>
      </c>
      <c r="B2399" s="2">
        <v>43992</v>
      </c>
      <c r="C2399" s="1">
        <v>0</v>
      </c>
      <c r="D2399" s="47">
        <v>22</v>
      </c>
      <c r="F2399" s="47">
        <f>E2399+F2375</f>
        <v>0</v>
      </c>
    </row>
    <row r="2400" spans="1:6" x14ac:dyDescent="0.25">
      <c r="A2400" s="5" t="s">
        <v>39</v>
      </c>
      <c r="B2400" s="2">
        <v>43992</v>
      </c>
      <c r="C2400" s="1">
        <v>0</v>
      </c>
      <c r="D2400" s="47">
        <v>149</v>
      </c>
      <c r="F2400" s="47">
        <f t="shared" si="140"/>
        <v>0</v>
      </c>
    </row>
    <row r="2401" spans="1:6" x14ac:dyDescent="0.25">
      <c r="A2401" s="5" t="s">
        <v>40</v>
      </c>
      <c r="B2401" s="2">
        <v>43992</v>
      </c>
      <c r="C2401" s="1">
        <v>0</v>
      </c>
      <c r="D2401" s="47">
        <v>49</v>
      </c>
      <c r="F2401" s="47">
        <f>E2401+F2377</f>
        <v>4</v>
      </c>
    </row>
    <row r="2402" spans="1:6" x14ac:dyDescent="0.25">
      <c r="A2402" s="34" t="s">
        <v>16</v>
      </c>
      <c r="B2402" s="2">
        <v>43993</v>
      </c>
      <c r="C2402" s="1">
        <v>756</v>
      </c>
      <c r="D2402" s="47">
        <v>10965</v>
      </c>
      <c r="E2402" s="1">
        <v>19</v>
      </c>
      <c r="F2402" s="47">
        <f>E2402+F2378</f>
        <v>327</v>
      </c>
    </row>
    <row r="2403" spans="1:6" x14ac:dyDescent="0.25">
      <c r="A2403" s="5" t="s">
        <v>28</v>
      </c>
      <c r="B2403" s="2">
        <v>43993</v>
      </c>
      <c r="C2403" s="1">
        <v>0</v>
      </c>
      <c r="D2403" s="47">
        <v>0</v>
      </c>
      <c r="F2403" s="47">
        <f t="shared" ref="F2403:F2409" si="141">E2403+F2379</f>
        <v>0</v>
      </c>
    </row>
    <row r="2404" spans="1:6" x14ac:dyDescent="0.25">
      <c r="A2404" s="5" t="s">
        <v>15</v>
      </c>
      <c r="B2404" s="2">
        <v>43993</v>
      </c>
      <c r="C2404" s="1">
        <v>48</v>
      </c>
      <c r="D2404" s="47">
        <v>1211</v>
      </c>
      <c r="E2404" s="1">
        <v>1</v>
      </c>
      <c r="F2404" s="47">
        <f t="shared" si="141"/>
        <v>65</v>
      </c>
    </row>
    <row r="2405" spans="1:6" x14ac:dyDescent="0.25">
      <c r="A2405" s="5" t="s">
        <v>29</v>
      </c>
      <c r="B2405" s="2">
        <v>43993</v>
      </c>
      <c r="C2405" s="1">
        <v>0</v>
      </c>
      <c r="D2405" s="47">
        <v>26</v>
      </c>
      <c r="F2405" s="47">
        <f t="shared" si="141"/>
        <v>1</v>
      </c>
    </row>
    <row r="2406" spans="1:6" x14ac:dyDescent="0.25">
      <c r="A2406" s="5" t="s">
        <v>43</v>
      </c>
      <c r="B2406" s="2">
        <v>43993</v>
      </c>
      <c r="C2406" s="1">
        <v>538</v>
      </c>
      <c r="D2406" s="47">
        <v>13021</v>
      </c>
      <c r="E2406" s="1">
        <v>7</v>
      </c>
      <c r="F2406" s="47">
        <f t="shared" si="141"/>
        <v>280</v>
      </c>
    </row>
    <row r="2407" spans="1:6" x14ac:dyDescent="0.25">
      <c r="A2407" s="5" t="s">
        <v>20</v>
      </c>
      <c r="B2407" s="2">
        <v>43993</v>
      </c>
      <c r="C2407" s="1">
        <v>3</v>
      </c>
      <c r="D2407" s="47">
        <v>477</v>
      </c>
      <c r="F2407" s="47">
        <f t="shared" si="141"/>
        <v>30</v>
      </c>
    </row>
    <row r="2408" spans="1:6" x14ac:dyDescent="0.25">
      <c r="A2408" s="5" t="s">
        <v>30</v>
      </c>
      <c r="B2408" s="2">
        <v>43993</v>
      </c>
      <c r="C2408" s="1">
        <v>3</v>
      </c>
      <c r="D2408" s="47">
        <v>100</v>
      </c>
      <c r="F2408" s="47">
        <f t="shared" si="141"/>
        <v>0</v>
      </c>
    </row>
    <row r="2409" spans="1:6" x14ac:dyDescent="0.25">
      <c r="A2409" s="5" t="s">
        <v>31</v>
      </c>
      <c r="B2409" s="2">
        <v>43993</v>
      </c>
      <c r="C2409" s="1">
        <v>6</v>
      </c>
      <c r="D2409" s="47">
        <v>65</v>
      </c>
      <c r="F2409" s="47">
        <f t="shared" si="141"/>
        <v>0</v>
      </c>
    </row>
    <row r="2410" spans="1:6" x14ac:dyDescent="0.25">
      <c r="A2410" s="5" t="s">
        <v>41</v>
      </c>
      <c r="B2410" s="2">
        <v>43993</v>
      </c>
      <c r="C2410" s="1">
        <v>0</v>
      </c>
      <c r="D2410" s="47">
        <v>0</v>
      </c>
      <c r="F2410" s="47">
        <f t="shared" ref="F2410:F2424" si="142">E2410+F2385</f>
        <v>0</v>
      </c>
    </row>
    <row r="2411" spans="1:6" x14ac:dyDescent="0.25">
      <c r="A2411" s="5" t="s">
        <v>32</v>
      </c>
      <c r="B2411" s="2">
        <v>43993</v>
      </c>
      <c r="C2411" s="1">
        <v>0</v>
      </c>
      <c r="D2411" s="47">
        <v>8</v>
      </c>
      <c r="F2411" s="47">
        <f t="shared" si="142"/>
        <v>0</v>
      </c>
    </row>
    <row r="2412" spans="1:6" x14ac:dyDescent="0.25">
      <c r="A2412" s="5" t="s">
        <v>33</v>
      </c>
      <c r="B2412" s="2">
        <v>43993</v>
      </c>
      <c r="C2412" s="1">
        <v>0</v>
      </c>
      <c r="D2412" s="47">
        <v>5</v>
      </c>
      <c r="F2412" s="47">
        <f t="shared" si="142"/>
        <v>0</v>
      </c>
    </row>
    <row r="2413" spans="1:6" x14ac:dyDescent="0.25">
      <c r="A2413" s="5" t="s">
        <v>21</v>
      </c>
      <c r="B2413" s="2">
        <v>43993</v>
      </c>
      <c r="C2413" s="1">
        <v>0</v>
      </c>
      <c r="D2413" s="47">
        <v>64</v>
      </c>
      <c r="F2413" s="47">
        <f t="shared" si="142"/>
        <v>0</v>
      </c>
    </row>
    <row r="2414" spans="1:6" x14ac:dyDescent="0.25">
      <c r="A2414" s="5" t="s">
        <v>17</v>
      </c>
      <c r="B2414" s="2">
        <v>43993</v>
      </c>
      <c r="C2414" s="1">
        <v>1</v>
      </c>
      <c r="D2414" s="47">
        <v>104</v>
      </c>
      <c r="F2414" s="47">
        <f t="shared" si="142"/>
        <v>0</v>
      </c>
    </row>
    <row r="2415" spans="1:6" x14ac:dyDescent="0.25">
      <c r="A2415" s="5" t="s">
        <v>23</v>
      </c>
      <c r="B2415" s="2">
        <v>43993</v>
      </c>
      <c r="C2415" s="1">
        <v>1</v>
      </c>
      <c r="D2415" s="47">
        <v>39</v>
      </c>
      <c r="E2415" s="1">
        <v>1</v>
      </c>
      <c r="F2415" s="47">
        <f t="shared" si="142"/>
        <v>1</v>
      </c>
    </row>
    <row r="2416" spans="1:6" x14ac:dyDescent="0.25">
      <c r="A2416" s="5" t="s">
        <v>19</v>
      </c>
      <c r="B2416" s="2">
        <v>43993</v>
      </c>
      <c r="C2416" s="1">
        <v>14</v>
      </c>
      <c r="D2416" s="47">
        <v>181</v>
      </c>
      <c r="F2416" s="47">
        <f t="shared" si="142"/>
        <v>0</v>
      </c>
    </row>
    <row r="2417" spans="1:6" x14ac:dyDescent="0.25">
      <c r="A2417" s="5" t="s">
        <v>18</v>
      </c>
      <c r="B2417" s="2">
        <v>43993</v>
      </c>
      <c r="C2417" s="1">
        <v>14</v>
      </c>
      <c r="D2417" s="47">
        <v>517</v>
      </c>
      <c r="E2417" s="1">
        <v>1</v>
      </c>
      <c r="F2417" s="47">
        <f t="shared" si="142"/>
        <v>2</v>
      </c>
    </row>
    <row r="2418" spans="1:6" x14ac:dyDescent="0.25">
      <c r="A2418" s="5" t="s">
        <v>34</v>
      </c>
      <c r="B2418" s="2">
        <v>43993</v>
      </c>
      <c r="C2418" s="1">
        <v>-2</v>
      </c>
      <c r="D2418" s="47">
        <v>17</v>
      </c>
      <c r="F2418" s="47">
        <f t="shared" si="142"/>
        <v>0</v>
      </c>
    </row>
    <row r="2419" spans="1:6" x14ac:dyDescent="0.25">
      <c r="A2419" s="5" t="s">
        <v>35</v>
      </c>
      <c r="B2419" s="2">
        <v>43993</v>
      </c>
      <c r="C2419" s="1">
        <v>0</v>
      </c>
      <c r="D2419" s="47">
        <v>6</v>
      </c>
      <c r="F2419" s="47">
        <f>E2419+F2395</f>
        <v>0</v>
      </c>
    </row>
    <row r="2420" spans="1:6" x14ac:dyDescent="0.25">
      <c r="A2420" s="5" t="s">
        <v>36</v>
      </c>
      <c r="B2420" s="2">
        <v>43993</v>
      </c>
      <c r="C2420" s="1">
        <v>0</v>
      </c>
      <c r="D2420" s="47">
        <v>11</v>
      </c>
      <c r="F2420" s="47">
        <f t="shared" si="142"/>
        <v>0</v>
      </c>
    </row>
    <row r="2421" spans="1:6" x14ac:dyDescent="0.25">
      <c r="A2421" s="5" t="s">
        <v>37</v>
      </c>
      <c r="B2421" s="2">
        <v>43993</v>
      </c>
      <c r="C2421" s="1">
        <v>0</v>
      </c>
      <c r="D2421" s="47">
        <v>51</v>
      </c>
      <c r="F2421" s="47">
        <f t="shared" si="142"/>
        <v>0</v>
      </c>
    </row>
    <row r="2422" spans="1:6" x14ac:dyDescent="0.25">
      <c r="A2422" s="5" t="s">
        <v>22</v>
      </c>
      <c r="B2422" s="2">
        <v>43993</v>
      </c>
      <c r="C2422" s="1">
        <v>2</v>
      </c>
      <c r="D2422" s="47">
        <v>284</v>
      </c>
      <c r="F2422" s="47">
        <f>E2422+F2398</f>
        <v>3</v>
      </c>
    </row>
    <row r="2423" spans="1:6" x14ac:dyDescent="0.25">
      <c r="A2423" s="5" t="s">
        <v>38</v>
      </c>
      <c r="B2423" s="2">
        <v>43993</v>
      </c>
      <c r="C2423" s="1">
        <v>0</v>
      </c>
      <c r="D2423" s="47">
        <v>22</v>
      </c>
      <c r="F2423" s="47">
        <f>E2423+F2399</f>
        <v>0</v>
      </c>
    </row>
    <row r="2424" spans="1:6" x14ac:dyDescent="0.25">
      <c r="A2424" s="5" t="s">
        <v>39</v>
      </c>
      <c r="B2424" s="2">
        <v>43993</v>
      </c>
      <c r="C2424" s="1">
        <v>0</v>
      </c>
      <c r="D2424" s="47">
        <v>149</v>
      </c>
      <c r="F2424" s="47">
        <f t="shared" si="142"/>
        <v>0</v>
      </c>
    </row>
    <row r="2425" spans="1:6" x14ac:dyDescent="0.25">
      <c r="A2425" s="5" t="s">
        <v>40</v>
      </c>
      <c r="B2425" s="2">
        <v>43993</v>
      </c>
      <c r="C2425" s="1">
        <v>0</v>
      </c>
      <c r="D2425" s="47">
        <v>49</v>
      </c>
      <c r="F2425" s="47">
        <f>E2425+F2401</f>
        <v>4</v>
      </c>
    </row>
    <row r="2426" spans="1:6" x14ac:dyDescent="0.25">
      <c r="A2426" s="34" t="s">
        <v>16</v>
      </c>
      <c r="B2426" s="2">
        <v>43994</v>
      </c>
      <c r="C2426" s="1">
        <v>745</v>
      </c>
      <c r="D2426" s="47">
        <v>11710</v>
      </c>
      <c r="E2426" s="1">
        <v>11</v>
      </c>
      <c r="F2426" s="47">
        <f>E2426+F2402</f>
        <v>338</v>
      </c>
    </row>
    <row r="2427" spans="1:6" x14ac:dyDescent="0.25">
      <c r="A2427" s="5" t="s">
        <v>28</v>
      </c>
      <c r="B2427" s="2">
        <v>43994</v>
      </c>
      <c r="C2427" s="1">
        <v>0</v>
      </c>
      <c r="D2427" s="47">
        <v>0</v>
      </c>
      <c r="F2427" s="47">
        <f t="shared" ref="F2427:F2433" si="143">E2427+F2403</f>
        <v>0</v>
      </c>
    </row>
    <row r="2428" spans="1:6" x14ac:dyDescent="0.25">
      <c r="A2428" s="5" t="s">
        <v>15</v>
      </c>
      <c r="B2428" s="2">
        <v>43994</v>
      </c>
      <c r="C2428" s="1">
        <v>39</v>
      </c>
      <c r="D2428" s="47">
        <v>1250</v>
      </c>
      <c r="E2428" s="1">
        <v>3</v>
      </c>
      <c r="F2428" s="47">
        <f t="shared" si="143"/>
        <v>68</v>
      </c>
    </row>
    <row r="2429" spans="1:6" x14ac:dyDescent="0.25">
      <c r="A2429" s="5" t="s">
        <v>29</v>
      </c>
      <c r="B2429" s="2">
        <v>43994</v>
      </c>
      <c r="C2429" s="1">
        <v>4</v>
      </c>
      <c r="D2429" s="47">
        <v>30</v>
      </c>
      <c r="E2429" s="1">
        <v>1</v>
      </c>
      <c r="F2429" s="47">
        <f t="shared" si="143"/>
        <v>2</v>
      </c>
    </row>
    <row r="2430" spans="1:6" x14ac:dyDescent="0.25">
      <c r="A2430" s="5" t="s">
        <v>43</v>
      </c>
      <c r="B2430" s="2">
        <v>43994</v>
      </c>
      <c r="C2430" s="1">
        <v>565</v>
      </c>
      <c r="D2430" s="47">
        <v>13586</v>
      </c>
      <c r="E2430" s="1">
        <v>4</v>
      </c>
      <c r="F2430" s="47">
        <f t="shared" si="143"/>
        <v>284</v>
      </c>
    </row>
    <row r="2431" spans="1:6" x14ac:dyDescent="0.25">
      <c r="A2431" s="5" t="s">
        <v>20</v>
      </c>
      <c r="B2431" s="2">
        <v>43994</v>
      </c>
      <c r="C2431" s="1">
        <v>9</v>
      </c>
      <c r="D2431" s="47">
        <v>486</v>
      </c>
      <c r="E2431" s="1">
        <v>1</v>
      </c>
      <c r="F2431" s="47">
        <f t="shared" si="143"/>
        <v>31</v>
      </c>
    </row>
    <row r="2432" spans="1:6" x14ac:dyDescent="0.25">
      <c r="A2432" s="5" t="s">
        <v>30</v>
      </c>
      <c r="B2432" s="2">
        <v>43994</v>
      </c>
      <c r="C2432" s="1">
        <v>0</v>
      </c>
      <c r="D2432" s="47">
        <v>100</v>
      </c>
      <c r="F2432" s="47">
        <f t="shared" si="143"/>
        <v>0</v>
      </c>
    </row>
    <row r="2433" spans="1:6" x14ac:dyDescent="0.25">
      <c r="A2433" s="5" t="s">
        <v>31</v>
      </c>
      <c r="B2433" s="2">
        <v>43994</v>
      </c>
      <c r="C2433" s="1">
        <v>4</v>
      </c>
      <c r="D2433" s="47">
        <v>69</v>
      </c>
      <c r="F2433" s="47">
        <f t="shared" si="143"/>
        <v>0</v>
      </c>
    </row>
    <row r="2434" spans="1:6" x14ac:dyDescent="0.25">
      <c r="A2434" s="5" t="s">
        <v>41</v>
      </c>
      <c r="B2434" s="2">
        <v>43994</v>
      </c>
      <c r="C2434" s="1">
        <v>1</v>
      </c>
      <c r="D2434" s="47">
        <v>1</v>
      </c>
      <c r="F2434" s="47">
        <f t="shared" ref="F2434:F2448" si="144">E2434+F2409</f>
        <v>0</v>
      </c>
    </row>
    <row r="2435" spans="1:6" x14ac:dyDescent="0.25">
      <c r="A2435" s="5" t="s">
        <v>32</v>
      </c>
      <c r="B2435" s="2">
        <v>43994</v>
      </c>
      <c r="C2435" s="1">
        <v>0</v>
      </c>
      <c r="D2435" s="47">
        <v>8</v>
      </c>
      <c r="F2435" s="47">
        <f t="shared" si="144"/>
        <v>0</v>
      </c>
    </row>
    <row r="2436" spans="1:6" x14ac:dyDescent="0.25">
      <c r="A2436" s="5" t="s">
        <v>33</v>
      </c>
      <c r="B2436" s="2">
        <v>43994</v>
      </c>
      <c r="C2436" s="1">
        <v>0</v>
      </c>
      <c r="D2436" s="47">
        <v>5</v>
      </c>
      <c r="F2436" s="47">
        <f t="shared" si="144"/>
        <v>0</v>
      </c>
    </row>
    <row r="2437" spans="1:6" x14ac:dyDescent="0.25">
      <c r="A2437" s="5" t="s">
        <v>21</v>
      </c>
      <c r="B2437" s="2">
        <v>43994</v>
      </c>
      <c r="C2437" s="1">
        <v>0</v>
      </c>
      <c r="D2437" s="47">
        <v>64</v>
      </c>
      <c r="F2437" s="47">
        <f t="shared" si="144"/>
        <v>0</v>
      </c>
    </row>
    <row r="2438" spans="1:6" x14ac:dyDescent="0.25">
      <c r="A2438" s="5" t="s">
        <v>17</v>
      </c>
      <c r="B2438" s="2">
        <v>43994</v>
      </c>
      <c r="C2438" s="1">
        <v>2</v>
      </c>
      <c r="D2438" s="47">
        <v>106</v>
      </c>
      <c r="F2438" s="47">
        <f t="shared" si="144"/>
        <v>0</v>
      </c>
    </row>
    <row r="2439" spans="1:6" x14ac:dyDescent="0.25">
      <c r="A2439" s="5" t="s">
        <v>23</v>
      </c>
      <c r="B2439" s="2">
        <v>43994</v>
      </c>
      <c r="C2439" s="1">
        <v>0</v>
      </c>
      <c r="D2439" s="47">
        <v>39</v>
      </c>
      <c r="F2439" s="47">
        <f t="shared" si="144"/>
        <v>0</v>
      </c>
    </row>
    <row r="2440" spans="1:6" x14ac:dyDescent="0.25">
      <c r="A2440" s="5" t="s">
        <v>19</v>
      </c>
      <c r="B2440" s="2">
        <v>43994</v>
      </c>
      <c r="C2440" s="1">
        <v>6</v>
      </c>
      <c r="D2440" s="47">
        <v>187</v>
      </c>
      <c r="F2440" s="47">
        <f t="shared" si="144"/>
        <v>1</v>
      </c>
    </row>
    <row r="2441" spans="1:6" x14ac:dyDescent="0.25">
      <c r="A2441" s="5" t="s">
        <v>18</v>
      </c>
      <c r="B2441" s="2">
        <v>43994</v>
      </c>
      <c r="C2441" s="1">
        <v>16</v>
      </c>
      <c r="D2441" s="47">
        <v>533</v>
      </c>
      <c r="F2441" s="47">
        <f t="shared" si="144"/>
        <v>0</v>
      </c>
    </row>
    <row r="2442" spans="1:6" x14ac:dyDescent="0.25">
      <c r="A2442" s="5" t="s">
        <v>34</v>
      </c>
      <c r="B2442" s="2">
        <v>43994</v>
      </c>
      <c r="C2442" s="1">
        <v>0</v>
      </c>
      <c r="D2442" s="47">
        <v>17</v>
      </c>
      <c r="F2442" s="47">
        <f t="shared" si="144"/>
        <v>2</v>
      </c>
    </row>
    <row r="2443" spans="1:6" x14ac:dyDescent="0.25">
      <c r="A2443" s="5" t="s">
        <v>35</v>
      </c>
      <c r="B2443" s="2">
        <v>43994</v>
      </c>
      <c r="C2443" s="1">
        <v>0</v>
      </c>
      <c r="D2443" s="47">
        <v>6</v>
      </c>
      <c r="F2443" s="47">
        <f>E2443+F2419</f>
        <v>0</v>
      </c>
    </row>
    <row r="2444" spans="1:6" x14ac:dyDescent="0.25">
      <c r="A2444" s="5" t="s">
        <v>36</v>
      </c>
      <c r="B2444" s="2">
        <v>43994</v>
      </c>
      <c r="C2444" s="1">
        <v>0</v>
      </c>
      <c r="D2444" s="47">
        <v>11</v>
      </c>
      <c r="F2444" s="47">
        <f t="shared" si="144"/>
        <v>0</v>
      </c>
    </row>
    <row r="2445" spans="1:6" x14ac:dyDescent="0.25">
      <c r="A2445" s="5" t="s">
        <v>37</v>
      </c>
      <c r="B2445" s="2">
        <v>43994</v>
      </c>
      <c r="C2445" s="1">
        <v>0</v>
      </c>
      <c r="D2445" s="47">
        <v>51</v>
      </c>
      <c r="F2445" s="47">
        <f t="shared" si="144"/>
        <v>0</v>
      </c>
    </row>
    <row r="2446" spans="1:6" x14ac:dyDescent="0.25">
      <c r="A2446" s="5" t="s">
        <v>22</v>
      </c>
      <c r="B2446" s="2">
        <v>43994</v>
      </c>
      <c r="C2446" s="1">
        <v>0</v>
      </c>
      <c r="D2446" s="47">
        <v>284</v>
      </c>
      <c r="F2446" s="47">
        <f>E2446+F2422</f>
        <v>3</v>
      </c>
    </row>
    <row r="2447" spans="1:6" x14ac:dyDescent="0.25">
      <c r="A2447" s="5" t="s">
        <v>38</v>
      </c>
      <c r="B2447" s="2">
        <v>43994</v>
      </c>
      <c r="C2447" s="1">
        <v>0</v>
      </c>
      <c r="D2447" s="47">
        <v>22</v>
      </c>
      <c r="F2447" s="47">
        <f>E2447+F2423</f>
        <v>0</v>
      </c>
    </row>
    <row r="2448" spans="1:6" x14ac:dyDescent="0.25">
      <c r="A2448" s="5" t="s">
        <v>39</v>
      </c>
      <c r="B2448" s="2">
        <v>43994</v>
      </c>
      <c r="C2448" s="1">
        <v>0</v>
      </c>
      <c r="D2448" s="47">
        <v>149</v>
      </c>
      <c r="F2448" s="47">
        <f t="shared" si="144"/>
        <v>0</v>
      </c>
    </row>
    <row r="2449" spans="1:6" x14ac:dyDescent="0.25">
      <c r="A2449" s="5" t="s">
        <v>40</v>
      </c>
      <c r="B2449" s="2">
        <v>43994</v>
      </c>
      <c r="C2449" s="1">
        <v>1</v>
      </c>
      <c r="D2449" s="47">
        <v>50</v>
      </c>
      <c r="F2449" s="47">
        <f>E2449+F2425</f>
        <v>4</v>
      </c>
    </row>
    <row r="2450" spans="1:6" x14ac:dyDescent="0.25">
      <c r="A2450" s="34" t="s">
        <v>16</v>
      </c>
      <c r="B2450" s="2">
        <v>43995</v>
      </c>
      <c r="C2450" s="1">
        <v>849</v>
      </c>
      <c r="D2450" s="47">
        <v>12559</v>
      </c>
      <c r="E2450" s="1">
        <v>19</v>
      </c>
      <c r="F2450" s="47">
        <f>E2450+F2426</f>
        <v>357</v>
      </c>
    </row>
    <row r="2451" spans="1:6" x14ac:dyDescent="0.25">
      <c r="A2451" s="5" t="s">
        <v>28</v>
      </c>
      <c r="B2451" s="2">
        <v>43995</v>
      </c>
      <c r="C2451" s="1">
        <v>0</v>
      </c>
      <c r="D2451" s="47">
        <v>0</v>
      </c>
      <c r="F2451" s="47">
        <f t="shared" ref="F2451:F2457" si="145">E2451+F2427</f>
        <v>0</v>
      </c>
    </row>
    <row r="2452" spans="1:6" x14ac:dyDescent="0.25">
      <c r="A2452" s="5" t="s">
        <v>15</v>
      </c>
      <c r="B2452" s="2">
        <v>43995</v>
      </c>
      <c r="C2452" s="1">
        <v>49</v>
      </c>
      <c r="D2452" s="47">
        <v>1299</v>
      </c>
      <c r="F2452" s="47">
        <f t="shared" si="145"/>
        <v>68</v>
      </c>
    </row>
    <row r="2453" spans="1:6" x14ac:dyDescent="0.25">
      <c r="A2453" s="5" t="s">
        <v>29</v>
      </c>
      <c r="B2453" s="2">
        <v>43995</v>
      </c>
      <c r="C2453" s="1">
        <v>9</v>
      </c>
      <c r="D2453" s="47">
        <v>39</v>
      </c>
      <c r="F2453" s="47">
        <f t="shared" si="145"/>
        <v>2</v>
      </c>
    </row>
    <row r="2454" spans="1:6" x14ac:dyDescent="0.25">
      <c r="A2454" s="5" t="s">
        <v>43</v>
      </c>
      <c r="B2454" s="2">
        <v>43995</v>
      </c>
      <c r="C2454" s="1">
        <v>558</v>
      </c>
      <c r="D2454" s="47">
        <v>14144</v>
      </c>
      <c r="E2454" s="1">
        <v>7</v>
      </c>
      <c r="F2454" s="47">
        <f t="shared" si="145"/>
        <v>291</v>
      </c>
    </row>
    <row r="2455" spans="1:6" x14ac:dyDescent="0.25">
      <c r="A2455" s="5" t="s">
        <v>20</v>
      </c>
      <c r="B2455" s="2">
        <v>43995</v>
      </c>
      <c r="C2455" s="1">
        <v>6</v>
      </c>
      <c r="D2455" s="47">
        <v>492</v>
      </c>
      <c r="F2455" s="47">
        <f t="shared" si="145"/>
        <v>31</v>
      </c>
    </row>
    <row r="2456" spans="1:6" x14ac:dyDescent="0.25">
      <c r="A2456" s="5" t="s">
        <v>30</v>
      </c>
      <c r="B2456" s="2">
        <v>43995</v>
      </c>
      <c r="C2456" s="1">
        <v>1</v>
      </c>
      <c r="D2456" s="47">
        <v>101</v>
      </c>
      <c r="F2456" s="47">
        <f t="shared" si="145"/>
        <v>0</v>
      </c>
    </row>
    <row r="2457" spans="1:6" x14ac:dyDescent="0.25">
      <c r="A2457" s="5" t="s">
        <v>31</v>
      </c>
      <c r="B2457" s="2">
        <v>43995</v>
      </c>
      <c r="C2457" s="1">
        <v>2</v>
      </c>
      <c r="D2457" s="47">
        <v>71</v>
      </c>
      <c r="F2457" s="47">
        <f t="shared" si="145"/>
        <v>0</v>
      </c>
    </row>
    <row r="2458" spans="1:6" x14ac:dyDescent="0.25">
      <c r="A2458" s="5" t="s">
        <v>41</v>
      </c>
      <c r="B2458" s="2">
        <v>43995</v>
      </c>
      <c r="C2458" s="1">
        <v>26</v>
      </c>
      <c r="D2458" s="47">
        <v>27</v>
      </c>
      <c r="F2458" s="47">
        <f t="shared" ref="F2458:F2472" si="146">E2458+F2433</f>
        <v>0</v>
      </c>
    </row>
    <row r="2459" spans="1:6" x14ac:dyDescent="0.25">
      <c r="A2459" s="5" t="s">
        <v>32</v>
      </c>
      <c r="B2459" s="2">
        <v>43995</v>
      </c>
      <c r="C2459" s="1">
        <v>0</v>
      </c>
      <c r="D2459" s="47">
        <v>8</v>
      </c>
      <c r="E2459" s="1">
        <v>1</v>
      </c>
      <c r="F2459" s="47">
        <f t="shared" si="146"/>
        <v>1</v>
      </c>
    </row>
    <row r="2460" spans="1:6" x14ac:dyDescent="0.25">
      <c r="A2460" s="5" t="s">
        <v>33</v>
      </c>
      <c r="B2460" s="2">
        <v>43995</v>
      </c>
      <c r="C2460" s="1">
        <v>0</v>
      </c>
      <c r="D2460" s="47">
        <v>5</v>
      </c>
      <c r="F2460" s="47">
        <f t="shared" si="146"/>
        <v>0</v>
      </c>
    </row>
    <row r="2461" spans="1:6" x14ac:dyDescent="0.25">
      <c r="A2461" s="5" t="s">
        <v>21</v>
      </c>
      <c r="B2461" s="2">
        <v>43995</v>
      </c>
      <c r="C2461" s="1">
        <v>0</v>
      </c>
      <c r="D2461" s="47">
        <v>64</v>
      </c>
      <c r="F2461" s="47">
        <f t="shared" si="146"/>
        <v>0</v>
      </c>
    </row>
    <row r="2462" spans="1:6" x14ac:dyDescent="0.25">
      <c r="A2462" s="5" t="s">
        <v>17</v>
      </c>
      <c r="B2462" s="2">
        <v>43995</v>
      </c>
      <c r="C2462" s="1">
        <v>0</v>
      </c>
      <c r="D2462" s="47">
        <v>106</v>
      </c>
      <c r="F2462" s="47">
        <f t="shared" si="146"/>
        <v>0</v>
      </c>
    </row>
    <row r="2463" spans="1:6" x14ac:dyDescent="0.25">
      <c r="A2463" s="5" t="s">
        <v>23</v>
      </c>
      <c r="B2463" s="2">
        <v>43995</v>
      </c>
      <c r="C2463" s="1">
        <v>0</v>
      </c>
      <c r="D2463" s="47">
        <v>39</v>
      </c>
      <c r="F2463" s="47">
        <f t="shared" si="146"/>
        <v>0</v>
      </c>
    </row>
    <row r="2464" spans="1:6" x14ac:dyDescent="0.25">
      <c r="A2464" s="5" t="s">
        <v>19</v>
      </c>
      <c r="B2464" s="2">
        <v>43995</v>
      </c>
      <c r="C2464" s="1">
        <v>13</v>
      </c>
      <c r="D2464" s="47">
        <v>200</v>
      </c>
      <c r="F2464" s="47">
        <f t="shared" si="146"/>
        <v>0</v>
      </c>
    </row>
    <row r="2465" spans="1:6" x14ac:dyDescent="0.25">
      <c r="A2465" s="5" t="s">
        <v>18</v>
      </c>
      <c r="B2465" s="2">
        <v>43995</v>
      </c>
      <c r="C2465" s="1">
        <v>13</v>
      </c>
      <c r="D2465" s="47">
        <v>546</v>
      </c>
      <c r="E2465" s="1">
        <v>3</v>
      </c>
      <c r="F2465" s="47">
        <f t="shared" si="146"/>
        <v>4</v>
      </c>
    </row>
    <row r="2466" spans="1:6" x14ac:dyDescent="0.25">
      <c r="A2466" s="5" t="s">
        <v>34</v>
      </c>
      <c r="B2466" s="2">
        <v>43995</v>
      </c>
      <c r="C2466" s="1">
        <v>2</v>
      </c>
      <c r="D2466" s="47">
        <v>19</v>
      </c>
      <c r="F2466" s="47">
        <f t="shared" si="146"/>
        <v>0</v>
      </c>
    </row>
    <row r="2467" spans="1:6" x14ac:dyDescent="0.25">
      <c r="A2467" s="5" t="s">
        <v>35</v>
      </c>
      <c r="B2467" s="2">
        <v>43995</v>
      </c>
      <c r="C2467" s="1">
        <v>1</v>
      </c>
      <c r="D2467" s="47">
        <v>7</v>
      </c>
      <c r="F2467" s="47">
        <f>E2467+F2443</f>
        <v>0</v>
      </c>
    </row>
    <row r="2468" spans="1:6" x14ac:dyDescent="0.25">
      <c r="A2468" s="5" t="s">
        <v>36</v>
      </c>
      <c r="B2468" s="2">
        <v>43995</v>
      </c>
      <c r="C2468" s="1">
        <v>0</v>
      </c>
      <c r="D2468" s="47">
        <v>11</v>
      </c>
      <c r="F2468" s="47">
        <f t="shared" si="146"/>
        <v>0</v>
      </c>
    </row>
    <row r="2469" spans="1:6" x14ac:dyDescent="0.25">
      <c r="A2469" s="5" t="s">
        <v>37</v>
      </c>
      <c r="B2469" s="2">
        <v>43995</v>
      </c>
      <c r="C2469" s="1">
        <v>0</v>
      </c>
      <c r="D2469" s="47">
        <v>51</v>
      </c>
      <c r="F2469" s="47">
        <f t="shared" si="146"/>
        <v>0</v>
      </c>
    </row>
    <row r="2470" spans="1:6" x14ac:dyDescent="0.25">
      <c r="A2470" s="5" t="s">
        <v>22</v>
      </c>
      <c r="B2470" s="2">
        <v>43995</v>
      </c>
      <c r="C2470" s="1">
        <v>1</v>
      </c>
      <c r="D2470" s="47">
        <v>285</v>
      </c>
      <c r="F2470" s="47">
        <f>E2470+F2446</f>
        <v>3</v>
      </c>
    </row>
    <row r="2471" spans="1:6" x14ac:dyDescent="0.25">
      <c r="A2471" s="5" t="s">
        <v>38</v>
      </c>
      <c r="B2471" s="2">
        <v>43995</v>
      </c>
      <c r="C2471" s="1">
        <v>0</v>
      </c>
      <c r="D2471" s="47">
        <v>22</v>
      </c>
      <c r="F2471" s="47">
        <f>E2471+F2447</f>
        <v>0</v>
      </c>
    </row>
    <row r="2472" spans="1:6" x14ac:dyDescent="0.25">
      <c r="A2472" s="5" t="s">
        <v>39</v>
      </c>
      <c r="B2472" s="2">
        <v>43995</v>
      </c>
      <c r="C2472" s="1">
        <v>0</v>
      </c>
      <c r="D2472" s="47">
        <v>149</v>
      </c>
      <c r="F2472" s="47">
        <f t="shared" si="146"/>
        <v>0</v>
      </c>
    </row>
    <row r="2473" spans="1:6" x14ac:dyDescent="0.25">
      <c r="A2473" s="5" t="s">
        <v>40</v>
      </c>
      <c r="B2473" s="2">
        <v>43995</v>
      </c>
      <c r="C2473" s="1">
        <v>1</v>
      </c>
      <c r="D2473" s="47">
        <v>51</v>
      </c>
      <c r="F2473" s="47">
        <f>E2473+F2449</f>
        <v>4</v>
      </c>
    </row>
    <row r="2474" spans="1:6" x14ac:dyDescent="0.25">
      <c r="A2474" s="34" t="s">
        <v>16</v>
      </c>
      <c r="B2474" s="2">
        <v>43996</v>
      </c>
      <c r="C2474" s="1">
        <v>635</v>
      </c>
      <c r="D2474" s="47">
        <v>13194</v>
      </c>
      <c r="E2474" s="1">
        <v>9</v>
      </c>
      <c r="F2474" s="47">
        <f>E2474+F2450</f>
        <v>366</v>
      </c>
    </row>
    <row r="2475" spans="1:6" x14ac:dyDescent="0.25">
      <c r="A2475" s="5" t="s">
        <v>28</v>
      </c>
      <c r="B2475" s="2">
        <v>43996</v>
      </c>
      <c r="C2475" s="1">
        <v>0</v>
      </c>
      <c r="D2475" s="47">
        <v>0</v>
      </c>
      <c r="F2475" s="47">
        <f t="shared" ref="F2475:F2481" si="147">E2475+F2451</f>
        <v>0</v>
      </c>
    </row>
    <row r="2476" spans="1:6" x14ac:dyDescent="0.25">
      <c r="A2476" s="5" t="s">
        <v>15</v>
      </c>
      <c r="B2476" s="2">
        <v>43996</v>
      </c>
      <c r="C2476" s="1">
        <v>27</v>
      </c>
      <c r="D2476" s="47">
        <v>1326</v>
      </c>
      <c r="E2476" s="1">
        <v>3</v>
      </c>
      <c r="F2476" s="47">
        <f t="shared" si="147"/>
        <v>71</v>
      </c>
    </row>
    <row r="2477" spans="1:6" x14ac:dyDescent="0.25">
      <c r="A2477" s="5" t="s">
        <v>29</v>
      </c>
      <c r="B2477" s="2">
        <v>43996</v>
      </c>
      <c r="C2477" s="1">
        <v>2</v>
      </c>
      <c r="D2477" s="47">
        <v>41</v>
      </c>
      <c r="F2477" s="47">
        <f t="shared" si="147"/>
        <v>2</v>
      </c>
    </row>
    <row r="2478" spans="1:6" x14ac:dyDescent="0.25">
      <c r="A2478" s="5" t="s">
        <v>43</v>
      </c>
      <c r="B2478" s="2">
        <v>43996</v>
      </c>
      <c r="C2478" s="1">
        <v>558</v>
      </c>
      <c r="D2478" s="47">
        <v>14702</v>
      </c>
      <c r="E2478" s="1">
        <v>5</v>
      </c>
      <c r="F2478" s="47">
        <f t="shared" si="147"/>
        <v>296</v>
      </c>
    </row>
    <row r="2479" spans="1:6" x14ac:dyDescent="0.25">
      <c r="A2479" s="5" t="s">
        <v>20</v>
      </c>
      <c r="B2479" s="2">
        <v>43996</v>
      </c>
      <c r="C2479" s="1">
        <v>6</v>
      </c>
      <c r="D2479" s="47">
        <v>498</v>
      </c>
      <c r="E2479" s="1">
        <v>1</v>
      </c>
      <c r="F2479" s="47">
        <f t="shared" si="147"/>
        <v>32</v>
      </c>
    </row>
    <row r="2480" spans="1:6" x14ac:dyDescent="0.25">
      <c r="A2480" s="5" t="s">
        <v>30</v>
      </c>
      <c r="B2480" s="2">
        <v>43996</v>
      </c>
      <c r="C2480" s="1">
        <v>2</v>
      </c>
      <c r="D2480" s="47">
        <v>103</v>
      </c>
      <c r="F2480" s="47">
        <f t="shared" si="147"/>
        <v>0</v>
      </c>
    </row>
    <row r="2481" spans="1:6" x14ac:dyDescent="0.25">
      <c r="A2481" s="5" t="s">
        <v>31</v>
      </c>
      <c r="B2481" s="2">
        <v>43996</v>
      </c>
      <c r="C2481" s="1">
        <v>15</v>
      </c>
      <c r="D2481" s="47">
        <v>86</v>
      </c>
      <c r="F2481" s="47">
        <f t="shared" si="147"/>
        <v>0</v>
      </c>
    </row>
    <row r="2482" spans="1:6" x14ac:dyDescent="0.25">
      <c r="A2482" s="5" t="s">
        <v>41</v>
      </c>
      <c r="B2482" s="2">
        <v>43996</v>
      </c>
      <c r="C2482" s="1">
        <v>6</v>
      </c>
      <c r="D2482" s="47">
        <v>33</v>
      </c>
      <c r="F2482" s="47">
        <f t="shared" ref="F2482:F2496" si="148">E2482+F2457</f>
        <v>0</v>
      </c>
    </row>
    <row r="2483" spans="1:6" x14ac:dyDescent="0.25">
      <c r="A2483" s="5" t="s">
        <v>32</v>
      </c>
      <c r="B2483" s="2">
        <v>43996</v>
      </c>
      <c r="C2483" s="1">
        <v>0</v>
      </c>
      <c r="D2483" s="47">
        <v>8</v>
      </c>
      <c r="F2483" s="47">
        <f t="shared" si="148"/>
        <v>0</v>
      </c>
    </row>
    <row r="2484" spans="1:6" x14ac:dyDescent="0.25">
      <c r="A2484" s="5" t="s">
        <v>33</v>
      </c>
      <c r="B2484" s="2">
        <v>43996</v>
      </c>
      <c r="C2484" s="1">
        <v>1</v>
      </c>
      <c r="D2484" s="47">
        <v>6</v>
      </c>
      <c r="F2484" s="47">
        <f t="shared" si="148"/>
        <v>1</v>
      </c>
    </row>
    <row r="2485" spans="1:6" x14ac:dyDescent="0.25">
      <c r="A2485" s="5" t="s">
        <v>21</v>
      </c>
      <c r="B2485" s="2">
        <v>43996</v>
      </c>
      <c r="C2485" s="1">
        <v>0</v>
      </c>
      <c r="D2485" s="47">
        <v>64</v>
      </c>
      <c r="F2485" s="47">
        <f t="shared" si="148"/>
        <v>0</v>
      </c>
    </row>
    <row r="2486" spans="1:6" x14ac:dyDescent="0.25">
      <c r="A2486" s="5" t="s">
        <v>17</v>
      </c>
      <c r="B2486" s="2">
        <v>43996</v>
      </c>
      <c r="C2486" s="1">
        <v>7</v>
      </c>
      <c r="D2486" s="47">
        <v>113</v>
      </c>
      <c r="F2486" s="47">
        <f t="shared" si="148"/>
        <v>0</v>
      </c>
    </row>
    <row r="2487" spans="1:6" x14ac:dyDescent="0.25">
      <c r="A2487" s="5" t="s">
        <v>23</v>
      </c>
      <c r="B2487" s="2">
        <v>43996</v>
      </c>
      <c r="C2487" s="1">
        <v>0</v>
      </c>
      <c r="D2487" s="47">
        <v>39</v>
      </c>
      <c r="F2487" s="47">
        <f t="shared" si="148"/>
        <v>0</v>
      </c>
    </row>
    <row r="2488" spans="1:6" x14ac:dyDescent="0.25">
      <c r="A2488" s="5" t="s">
        <v>19</v>
      </c>
      <c r="B2488" s="2">
        <v>43996</v>
      </c>
      <c r="C2488" s="1">
        <v>9</v>
      </c>
      <c r="D2488" s="47">
        <v>209</v>
      </c>
      <c r="F2488" s="47">
        <f t="shared" si="148"/>
        <v>0</v>
      </c>
    </row>
    <row r="2489" spans="1:6" x14ac:dyDescent="0.25">
      <c r="A2489" s="5" t="s">
        <v>18</v>
      </c>
      <c r="B2489" s="2">
        <v>43996</v>
      </c>
      <c r="C2489" s="1">
        <v>6</v>
      </c>
      <c r="D2489" s="47">
        <v>552</v>
      </c>
      <c r="F2489" s="47">
        <f t="shared" si="148"/>
        <v>0</v>
      </c>
    </row>
    <row r="2490" spans="1:6" x14ac:dyDescent="0.25">
      <c r="A2490" s="5" t="s">
        <v>34</v>
      </c>
      <c r="B2490" s="2">
        <v>43996</v>
      </c>
      <c r="C2490" s="1">
        <v>2</v>
      </c>
      <c r="D2490" s="47">
        <v>21</v>
      </c>
      <c r="F2490" s="47">
        <f t="shared" si="148"/>
        <v>4</v>
      </c>
    </row>
    <row r="2491" spans="1:6" x14ac:dyDescent="0.25">
      <c r="A2491" s="5" t="s">
        <v>35</v>
      </c>
      <c r="B2491" s="2">
        <v>43996</v>
      </c>
      <c r="C2491" s="1">
        <v>0</v>
      </c>
      <c r="D2491" s="47">
        <v>7</v>
      </c>
      <c r="F2491" s="47">
        <f>E2491+F2467</f>
        <v>0</v>
      </c>
    </row>
    <row r="2492" spans="1:6" x14ac:dyDescent="0.25">
      <c r="A2492" s="5" t="s">
        <v>36</v>
      </c>
      <c r="B2492" s="2">
        <v>43996</v>
      </c>
      <c r="C2492" s="1">
        <v>0</v>
      </c>
      <c r="D2492" s="47">
        <v>11</v>
      </c>
      <c r="F2492" s="47">
        <f t="shared" si="148"/>
        <v>0</v>
      </c>
    </row>
    <row r="2493" spans="1:6" x14ac:dyDescent="0.25">
      <c r="A2493" s="5" t="s">
        <v>37</v>
      </c>
      <c r="B2493" s="2">
        <v>43996</v>
      </c>
      <c r="C2493" s="1">
        <v>0</v>
      </c>
      <c r="D2493" s="47">
        <v>51</v>
      </c>
      <c r="F2493" s="47">
        <f t="shared" si="148"/>
        <v>0</v>
      </c>
    </row>
    <row r="2494" spans="1:6" x14ac:dyDescent="0.25">
      <c r="A2494" s="5" t="s">
        <v>22</v>
      </c>
      <c r="B2494" s="2">
        <v>43996</v>
      </c>
      <c r="C2494" s="1">
        <v>0</v>
      </c>
      <c r="D2494" s="47">
        <v>285</v>
      </c>
      <c r="F2494" s="47">
        <f>E2494+F2470</f>
        <v>3</v>
      </c>
    </row>
    <row r="2495" spans="1:6" x14ac:dyDescent="0.25">
      <c r="A2495" s="5" t="s">
        <v>38</v>
      </c>
      <c r="B2495" s="2">
        <v>43996</v>
      </c>
      <c r="C2495" s="1">
        <v>0</v>
      </c>
      <c r="D2495" s="47">
        <v>22</v>
      </c>
      <c r="F2495" s="47">
        <f>E2495+F2471</f>
        <v>0</v>
      </c>
    </row>
    <row r="2496" spans="1:6" x14ac:dyDescent="0.25">
      <c r="A2496" s="5" t="s">
        <v>39</v>
      </c>
      <c r="B2496" s="2">
        <v>43996</v>
      </c>
      <c r="C2496" s="1">
        <v>0</v>
      </c>
      <c r="D2496" s="47">
        <v>149</v>
      </c>
      <c r="F2496" s="47">
        <f t="shared" si="148"/>
        <v>0</v>
      </c>
    </row>
    <row r="2497" spans="1:6" x14ac:dyDescent="0.25">
      <c r="A2497" s="5" t="s">
        <v>40</v>
      </c>
      <c r="B2497" s="2">
        <v>43996</v>
      </c>
      <c r="C2497" s="1">
        <v>6</v>
      </c>
      <c r="D2497" s="47">
        <v>57</v>
      </c>
      <c r="F2497" s="47">
        <f>E2497+F2473</f>
        <v>4</v>
      </c>
    </row>
    <row r="2498" spans="1:6" x14ac:dyDescent="0.25">
      <c r="A2498" s="34" t="s">
        <v>16</v>
      </c>
      <c r="B2498" s="2">
        <v>43997</v>
      </c>
      <c r="C2498" s="1">
        <v>552</v>
      </c>
      <c r="D2498" s="47">
        <v>13746</v>
      </c>
      <c r="E2498" s="1">
        <v>12</v>
      </c>
      <c r="F2498" s="47">
        <f>E2498+F2474</f>
        <v>378</v>
      </c>
    </row>
    <row r="2499" spans="1:6" x14ac:dyDescent="0.25">
      <c r="A2499" s="5" t="s">
        <v>28</v>
      </c>
      <c r="B2499" s="2">
        <v>43997</v>
      </c>
      <c r="C2499" s="1">
        <v>0</v>
      </c>
      <c r="D2499" s="47">
        <v>0</v>
      </c>
      <c r="F2499" s="47">
        <f t="shared" ref="F2499:F2505" si="149">E2499+F2475</f>
        <v>0</v>
      </c>
    </row>
    <row r="2500" spans="1:6" x14ac:dyDescent="0.25">
      <c r="A2500" s="5" t="s">
        <v>15</v>
      </c>
      <c r="B2500" s="2">
        <v>43997</v>
      </c>
      <c r="C2500" s="1">
        <v>38</v>
      </c>
      <c r="D2500" s="47">
        <v>1364</v>
      </c>
      <c r="F2500" s="47">
        <f t="shared" si="149"/>
        <v>71</v>
      </c>
    </row>
    <row r="2501" spans="1:6" x14ac:dyDescent="0.25">
      <c r="A2501" s="5" t="s">
        <v>29</v>
      </c>
      <c r="B2501" s="2">
        <v>43997</v>
      </c>
      <c r="C2501" s="1">
        <v>22</v>
      </c>
      <c r="D2501" s="47">
        <v>63</v>
      </c>
      <c r="F2501" s="47">
        <f t="shared" si="149"/>
        <v>2</v>
      </c>
    </row>
    <row r="2502" spans="1:6" x14ac:dyDescent="0.25">
      <c r="A2502" s="5" t="s">
        <v>43</v>
      </c>
      <c r="B2502" s="2">
        <v>43997</v>
      </c>
      <c r="C2502" s="1">
        <v>575</v>
      </c>
      <c r="D2502" s="47">
        <v>15277</v>
      </c>
      <c r="E2502" s="1">
        <v>7</v>
      </c>
      <c r="F2502" s="47">
        <f t="shared" si="149"/>
        <v>303</v>
      </c>
    </row>
    <row r="2503" spans="1:6" x14ac:dyDescent="0.25">
      <c r="A2503" s="5" t="s">
        <v>20</v>
      </c>
      <c r="B2503" s="2">
        <v>43997</v>
      </c>
      <c r="C2503" s="1">
        <v>2</v>
      </c>
      <c r="D2503" s="47">
        <v>500</v>
      </c>
      <c r="E2503" s="1">
        <v>1</v>
      </c>
      <c r="F2503" s="47">
        <f t="shared" si="149"/>
        <v>33</v>
      </c>
    </row>
    <row r="2504" spans="1:6" x14ac:dyDescent="0.25">
      <c r="A2504" s="5" t="s">
        <v>30</v>
      </c>
      <c r="B2504" s="2">
        <v>43997</v>
      </c>
      <c r="C2504" s="1">
        <v>1</v>
      </c>
      <c r="D2504" s="47">
        <v>104</v>
      </c>
      <c r="F2504" s="47">
        <f t="shared" si="149"/>
        <v>0</v>
      </c>
    </row>
    <row r="2505" spans="1:6" x14ac:dyDescent="0.25">
      <c r="A2505" s="5" t="s">
        <v>31</v>
      </c>
      <c r="B2505" s="2">
        <v>43997</v>
      </c>
      <c r="C2505" s="1">
        <v>2</v>
      </c>
      <c r="D2505" s="47">
        <v>88</v>
      </c>
      <c r="F2505" s="47">
        <f t="shared" si="149"/>
        <v>0</v>
      </c>
    </row>
    <row r="2506" spans="1:6" x14ac:dyDescent="0.25">
      <c r="A2506" s="5" t="s">
        <v>41</v>
      </c>
      <c r="B2506" s="2">
        <v>43997</v>
      </c>
      <c r="C2506" s="1">
        <v>0</v>
      </c>
      <c r="D2506" s="47">
        <v>33</v>
      </c>
      <c r="F2506" s="47">
        <f t="shared" ref="F2506:F2520" si="150">E2506+F2481</f>
        <v>0</v>
      </c>
    </row>
    <row r="2507" spans="1:6" x14ac:dyDescent="0.25">
      <c r="A2507" s="5" t="s">
        <v>32</v>
      </c>
      <c r="B2507" s="2">
        <v>43997</v>
      </c>
      <c r="C2507" s="1">
        <v>0</v>
      </c>
      <c r="D2507" s="47">
        <v>8</v>
      </c>
      <c r="F2507" s="47">
        <f t="shared" si="150"/>
        <v>0</v>
      </c>
    </row>
    <row r="2508" spans="1:6" x14ac:dyDescent="0.25">
      <c r="A2508" s="5" t="s">
        <v>33</v>
      </c>
      <c r="B2508" s="2">
        <v>43997</v>
      </c>
      <c r="C2508" s="1">
        <v>0</v>
      </c>
      <c r="D2508" s="47">
        <v>6</v>
      </c>
      <c r="F2508" s="47">
        <f t="shared" si="150"/>
        <v>0</v>
      </c>
    </row>
    <row r="2509" spans="1:6" x14ac:dyDescent="0.25">
      <c r="A2509" s="5" t="s">
        <v>21</v>
      </c>
      <c r="B2509" s="2">
        <v>43997</v>
      </c>
      <c r="C2509" s="1">
        <v>0</v>
      </c>
      <c r="D2509" s="47">
        <v>64</v>
      </c>
      <c r="F2509" s="47">
        <f t="shared" si="150"/>
        <v>1</v>
      </c>
    </row>
    <row r="2510" spans="1:6" x14ac:dyDescent="0.25">
      <c r="A2510" s="5" t="s">
        <v>17</v>
      </c>
      <c r="B2510" s="2">
        <v>43997</v>
      </c>
      <c r="C2510" s="1">
        <v>0</v>
      </c>
      <c r="D2510" s="47">
        <v>113</v>
      </c>
      <c r="F2510" s="47">
        <f t="shared" si="150"/>
        <v>0</v>
      </c>
    </row>
    <row r="2511" spans="1:6" x14ac:dyDescent="0.25">
      <c r="A2511" s="5" t="s">
        <v>23</v>
      </c>
      <c r="B2511" s="2">
        <v>43997</v>
      </c>
      <c r="C2511" s="1">
        <v>1</v>
      </c>
      <c r="D2511" s="47">
        <v>40</v>
      </c>
      <c r="F2511" s="47">
        <f t="shared" si="150"/>
        <v>0</v>
      </c>
    </row>
    <row r="2512" spans="1:6" x14ac:dyDescent="0.25">
      <c r="A2512" s="5" t="s">
        <v>19</v>
      </c>
      <c r="B2512" s="2">
        <v>43997</v>
      </c>
      <c r="C2512" s="1">
        <v>3</v>
      </c>
      <c r="D2512" s="47">
        <v>212</v>
      </c>
      <c r="F2512" s="47">
        <f t="shared" si="150"/>
        <v>0</v>
      </c>
    </row>
    <row r="2513" spans="1:6" x14ac:dyDescent="0.25">
      <c r="A2513" s="5" t="s">
        <v>18</v>
      </c>
      <c r="B2513" s="2">
        <v>43997</v>
      </c>
      <c r="C2513" s="1">
        <v>12</v>
      </c>
      <c r="D2513" s="47">
        <v>564</v>
      </c>
      <c r="E2513" s="1">
        <v>1</v>
      </c>
      <c r="F2513" s="47">
        <f t="shared" si="150"/>
        <v>1</v>
      </c>
    </row>
    <row r="2514" spans="1:6" x14ac:dyDescent="0.25">
      <c r="A2514" s="5" t="s">
        <v>34</v>
      </c>
      <c r="B2514" s="2">
        <v>43997</v>
      </c>
      <c r="C2514" s="1">
        <v>0</v>
      </c>
      <c r="D2514" s="47">
        <v>21</v>
      </c>
      <c r="F2514" s="47">
        <f t="shared" si="150"/>
        <v>0</v>
      </c>
    </row>
    <row r="2515" spans="1:6" x14ac:dyDescent="0.25">
      <c r="A2515" s="5" t="s">
        <v>35</v>
      </c>
      <c r="B2515" s="2">
        <v>43997</v>
      </c>
      <c r="C2515" s="1">
        <v>0</v>
      </c>
      <c r="D2515" s="47">
        <v>7</v>
      </c>
      <c r="F2515" s="47">
        <f>E2515+F2491</f>
        <v>0</v>
      </c>
    </row>
    <row r="2516" spans="1:6" x14ac:dyDescent="0.25">
      <c r="A2516" s="5" t="s">
        <v>36</v>
      </c>
      <c r="B2516" s="2">
        <v>43997</v>
      </c>
      <c r="C2516" s="1">
        <v>0</v>
      </c>
      <c r="D2516" s="47">
        <v>11</v>
      </c>
      <c r="F2516" s="47">
        <f t="shared" si="150"/>
        <v>0</v>
      </c>
    </row>
    <row r="2517" spans="1:6" x14ac:dyDescent="0.25">
      <c r="A2517" s="5" t="s">
        <v>37</v>
      </c>
      <c r="B2517" s="2">
        <v>43997</v>
      </c>
      <c r="C2517" s="1">
        <v>0</v>
      </c>
      <c r="D2517" s="47">
        <v>51</v>
      </c>
      <c r="F2517" s="47">
        <f t="shared" si="150"/>
        <v>0</v>
      </c>
    </row>
    <row r="2518" spans="1:6" x14ac:dyDescent="0.25">
      <c r="A2518" s="5" t="s">
        <v>22</v>
      </c>
      <c r="B2518" s="2">
        <v>43997</v>
      </c>
      <c r="C2518" s="1">
        <v>0</v>
      </c>
      <c r="D2518" s="47">
        <v>285</v>
      </c>
      <c r="F2518" s="47">
        <f>E2518+F2494</f>
        <v>3</v>
      </c>
    </row>
    <row r="2519" spans="1:6" x14ac:dyDescent="0.25">
      <c r="A2519" s="5" t="s">
        <v>38</v>
      </c>
      <c r="B2519" s="2">
        <v>43997</v>
      </c>
      <c r="C2519" s="1">
        <v>0</v>
      </c>
      <c r="D2519" s="47">
        <v>22</v>
      </c>
      <c r="F2519" s="47">
        <f>E2519+F2495</f>
        <v>0</v>
      </c>
    </row>
    <row r="2520" spans="1:6" x14ac:dyDescent="0.25">
      <c r="A2520" s="5" t="s">
        <v>39</v>
      </c>
      <c r="B2520" s="2">
        <v>43997</v>
      </c>
      <c r="C2520" s="1">
        <v>0</v>
      </c>
      <c r="D2520" s="47">
        <v>149</v>
      </c>
      <c r="F2520" s="47">
        <f t="shared" si="150"/>
        <v>0</v>
      </c>
    </row>
    <row r="2521" spans="1:6" x14ac:dyDescent="0.25">
      <c r="A2521" s="5" t="s">
        <v>40</v>
      </c>
      <c r="B2521" s="2">
        <v>43997</v>
      </c>
      <c r="C2521" s="1">
        <v>0</v>
      </c>
      <c r="D2521" s="47">
        <v>57</v>
      </c>
      <c r="F2521" s="47">
        <f>E2521+F2497</f>
        <v>4</v>
      </c>
    </row>
    <row r="2522" spans="1:6" x14ac:dyDescent="0.25">
      <c r="A2522" s="34" t="s">
        <v>16</v>
      </c>
      <c r="B2522" s="2">
        <v>43998</v>
      </c>
      <c r="C2522" s="1">
        <v>798</v>
      </c>
      <c r="D2522" s="47">
        <v>14544</v>
      </c>
      <c r="E2522" s="1">
        <v>7</v>
      </c>
      <c r="F2522" s="47">
        <f>E2522+F2498</f>
        <v>385</v>
      </c>
    </row>
    <row r="2523" spans="1:6" x14ac:dyDescent="0.25">
      <c r="A2523" s="5" t="s">
        <v>28</v>
      </c>
      <c r="B2523" s="2">
        <v>43998</v>
      </c>
      <c r="C2523" s="1">
        <v>0</v>
      </c>
      <c r="D2523" s="47">
        <v>0</v>
      </c>
      <c r="F2523" s="47">
        <f t="shared" ref="F2523:F2529" si="151">E2523+F2499</f>
        <v>0</v>
      </c>
    </row>
    <row r="2524" spans="1:6" x14ac:dyDescent="0.25">
      <c r="A2524" s="5" t="s">
        <v>15</v>
      </c>
      <c r="B2524" s="2">
        <v>43998</v>
      </c>
      <c r="C2524" s="1">
        <v>23</v>
      </c>
      <c r="D2524" s="47">
        <v>1387</v>
      </c>
      <c r="E2524" s="1">
        <v>5</v>
      </c>
      <c r="F2524" s="47">
        <f t="shared" si="151"/>
        <v>76</v>
      </c>
    </row>
    <row r="2525" spans="1:6" x14ac:dyDescent="0.25">
      <c r="A2525" s="5" t="s">
        <v>29</v>
      </c>
      <c r="B2525" s="2">
        <v>43998</v>
      </c>
      <c r="C2525" s="1">
        <v>1</v>
      </c>
      <c r="D2525" s="47">
        <v>64</v>
      </c>
      <c r="F2525" s="47">
        <f t="shared" si="151"/>
        <v>2</v>
      </c>
    </row>
    <row r="2526" spans="1:6" x14ac:dyDescent="0.25">
      <c r="A2526" s="5" t="s">
        <v>43</v>
      </c>
      <c r="B2526" s="2">
        <v>43998</v>
      </c>
      <c r="C2526" s="1">
        <v>488</v>
      </c>
      <c r="D2526" s="47">
        <v>15765</v>
      </c>
      <c r="E2526" s="1">
        <v>10</v>
      </c>
      <c r="F2526" s="47">
        <f>E2526+F2502</f>
        <v>313</v>
      </c>
    </row>
    <row r="2527" spans="1:6" x14ac:dyDescent="0.25">
      <c r="A2527" s="5" t="s">
        <v>20</v>
      </c>
      <c r="B2527" s="2">
        <v>43998</v>
      </c>
      <c r="C2527" s="1">
        <v>1</v>
      </c>
      <c r="D2527" s="47">
        <v>501</v>
      </c>
      <c r="F2527" s="47">
        <f t="shared" si="151"/>
        <v>33</v>
      </c>
    </row>
    <row r="2528" spans="1:6" x14ac:dyDescent="0.25">
      <c r="A2528" s="5" t="s">
        <v>30</v>
      </c>
      <c r="B2528" s="2">
        <v>43998</v>
      </c>
      <c r="C2528" s="1">
        <v>1</v>
      </c>
      <c r="D2528" s="47">
        <v>105</v>
      </c>
      <c r="F2528" s="47">
        <f t="shared" si="151"/>
        <v>0</v>
      </c>
    </row>
    <row r="2529" spans="1:6" x14ac:dyDescent="0.25">
      <c r="A2529" s="5" t="s">
        <v>31</v>
      </c>
      <c r="B2529" s="2">
        <v>43998</v>
      </c>
      <c r="C2529" s="1">
        <v>12</v>
      </c>
      <c r="D2529" s="47">
        <v>100</v>
      </c>
      <c r="F2529" s="47">
        <f t="shared" si="151"/>
        <v>0</v>
      </c>
    </row>
    <row r="2530" spans="1:6" x14ac:dyDescent="0.25">
      <c r="A2530" s="5" t="s">
        <v>41</v>
      </c>
      <c r="B2530" s="2">
        <v>43998</v>
      </c>
      <c r="C2530" s="1">
        <v>0</v>
      </c>
      <c r="D2530" s="47">
        <v>33</v>
      </c>
      <c r="F2530" s="47">
        <f t="shared" ref="F2530:F2544" si="152">E2530+F2505</f>
        <v>0</v>
      </c>
    </row>
    <row r="2531" spans="1:6" x14ac:dyDescent="0.25">
      <c r="A2531" s="5" t="s">
        <v>32</v>
      </c>
      <c r="B2531" s="2">
        <v>43998</v>
      </c>
      <c r="C2531" s="1">
        <v>0</v>
      </c>
      <c r="D2531" s="47">
        <v>8</v>
      </c>
      <c r="F2531" s="47">
        <f t="shared" si="152"/>
        <v>0</v>
      </c>
    </row>
    <row r="2532" spans="1:6" x14ac:dyDescent="0.25">
      <c r="A2532" s="5" t="s">
        <v>33</v>
      </c>
      <c r="B2532" s="2">
        <v>43998</v>
      </c>
      <c r="C2532" s="1">
        <v>0</v>
      </c>
      <c r="D2532" s="47">
        <v>6</v>
      </c>
      <c r="F2532" s="47">
        <f t="shared" si="152"/>
        <v>0</v>
      </c>
    </row>
    <row r="2533" spans="1:6" x14ac:dyDescent="0.25">
      <c r="A2533" s="5" t="s">
        <v>21</v>
      </c>
      <c r="B2533" s="2">
        <v>43998</v>
      </c>
      <c r="C2533" s="1">
        <v>0</v>
      </c>
      <c r="D2533" s="47">
        <v>64</v>
      </c>
      <c r="F2533" s="47">
        <f t="shared" si="152"/>
        <v>0</v>
      </c>
    </row>
    <row r="2534" spans="1:6" x14ac:dyDescent="0.25">
      <c r="A2534" s="5" t="s">
        <v>17</v>
      </c>
      <c r="B2534" s="2">
        <v>43998</v>
      </c>
      <c r="C2534" s="1">
        <v>3</v>
      </c>
      <c r="D2534" s="47">
        <v>116</v>
      </c>
      <c r="F2534" s="47">
        <f t="shared" si="152"/>
        <v>1</v>
      </c>
    </row>
    <row r="2535" spans="1:6" x14ac:dyDescent="0.25">
      <c r="A2535" s="5" t="s">
        <v>23</v>
      </c>
      <c r="B2535" s="2">
        <v>43998</v>
      </c>
      <c r="C2535" s="1">
        <v>0</v>
      </c>
      <c r="D2535" s="47">
        <v>40</v>
      </c>
      <c r="F2535" s="47">
        <f t="shared" si="152"/>
        <v>0</v>
      </c>
    </row>
    <row r="2536" spans="1:6" x14ac:dyDescent="0.25">
      <c r="A2536" s="5" t="s">
        <v>19</v>
      </c>
      <c r="B2536" s="2">
        <v>43998</v>
      </c>
      <c r="C2536" s="1">
        <v>28</v>
      </c>
      <c r="D2536" s="47">
        <v>240</v>
      </c>
      <c r="E2536" s="1">
        <v>1</v>
      </c>
      <c r="F2536" s="47">
        <f t="shared" si="152"/>
        <v>1</v>
      </c>
    </row>
    <row r="2537" spans="1:6" x14ac:dyDescent="0.25">
      <c r="A2537" s="5" t="s">
        <v>18</v>
      </c>
      <c r="B2537" s="2">
        <v>43998</v>
      </c>
      <c r="C2537" s="1">
        <v>17</v>
      </c>
      <c r="D2537" s="47">
        <v>581</v>
      </c>
      <c r="F2537" s="47">
        <f t="shared" si="152"/>
        <v>0</v>
      </c>
    </row>
    <row r="2538" spans="1:6" x14ac:dyDescent="0.25">
      <c r="A2538" s="5" t="s">
        <v>34</v>
      </c>
      <c r="B2538" s="2">
        <v>43998</v>
      </c>
      <c r="C2538" s="1">
        <v>-1</v>
      </c>
      <c r="D2538" s="47">
        <v>20</v>
      </c>
      <c r="F2538" s="47">
        <f t="shared" si="152"/>
        <v>1</v>
      </c>
    </row>
    <row r="2539" spans="1:6" x14ac:dyDescent="0.25">
      <c r="A2539" s="5" t="s">
        <v>35</v>
      </c>
      <c r="B2539" s="2">
        <v>43998</v>
      </c>
      <c r="C2539" s="1">
        <v>0</v>
      </c>
      <c r="D2539" s="47">
        <v>7</v>
      </c>
      <c r="F2539" s="47">
        <f>E2539+F2515</f>
        <v>0</v>
      </c>
    </row>
    <row r="2540" spans="1:6" x14ac:dyDescent="0.25">
      <c r="A2540" s="5" t="s">
        <v>36</v>
      </c>
      <c r="B2540" s="2">
        <v>43998</v>
      </c>
      <c r="C2540" s="1">
        <v>0</v>
      </c>
      <c r="D2540" s="47">
        <v>11</v>
      </c>
      <c r="F2540" s="47">
        <f t="shared" si="152"/>
        <v>0</v>
      </c>
    </row>
    <row r="2541" spans="1:6" x14ac:dyDescent="0.25">
      <c r="A2541" s="5" t="s">
        <v>37</v>
      </c>
      <c r="B2541" s="2">
        <v>43998</v>
      </c>
      <c r="C2541" s="1">
        <v>0</v>
      </c>
      <c r="D2541" s="47">
        <v>51</v>
      </c>
      <c r="F2541" s="47">
        <f t="shared" si="152"/>
        <v>0</v>
      </c>
    </row>
    <row r="2542" spans="1:6" x14ac:dyDescent="0.25">
      <c r="A2542" s="5" t="s">
        <v>22</v>
      </c>
      <c r="B2542" s="2">
        <v>43998</v>
      </c>
      <c r="C2542" s="1">
        <v>3</v>
      </c>
      <c r="D2542" s="47">
        <v>288</v>
      </c>
      <c r="E2542" s="1">
        <v>1</v>
      </c>
      <c r="F2542" s="47">
        <f>E2542+F2518</f>
        <v>4</v>
      </c>
    </row>
    <row r="2543" spans="1:6" x14ac:dyDescent="0.25">
      <c r="A2543" s="5" t="s">
        <v>38</v>
      </c>
      <c r="B2543" s="2">
        <v>43998</v>
      </c>
      <c r="C2543" s="1">
        <v>0</v>
      </c>
      <c r="D2543" s="47">
        <v>22</v>
      </c>
      <c r="F2543" s="47">
        <f>E2543+F2519</f>
        <v>0</v>
      </c>
    </row>
    <row r="2544" spans="1:6" x14ac:dyDescent="0.25">
      <c r="A2544" s="5" t="s">
        <v>39</v>
      </c>
      <c r="B2544" s="2">
        <v>43998</v>
      </c>
      <c r="C2544" s="1">
        <v>0</v>
      </c>
      <c r="D2544" s="47">
        <v>149</v>
      </c>
      <c r="F2544" s="47">
        <f t="shared" si="152"/>
        <v>0</v>
      </c>
    </row>
    <row r="2545" spans="1:6" x14ac:dyDescent="0.25">
      <c r="A2545" s="5" t="s">
        <v>40</v>
      </c>
      <c r="B2545" s="2">
        <v>43998</v>
      </c>
      <c r="C2545" s="1">
        <v>0</v>
      </c>
      <c r="D2545" s="47">
        <v>57</v>
      </c>
      <c r="F2545" s="47">
        <f>E2545+F2521</f>
        <v>4</v>
      </c>
    </row>
    <row r="2546" spans="1:6" x14ac:dyDescent="0.25">
      <c r="A2546" s="34" t="s">
        <v>16</v>
      </c>
      <c r="B2546" s="2">
        <v>43999</v>
      </c>
      <c r="C2546" s="1">
        <v>799</v>
      </c>
      <c r="D2546" s="47">
        <v>15343</v>
      </c>
      <c r="E2546" s="1">
        <v>12</v>
      </c>
      <c r="F2546" s="47">
        <f>E2546+F2522</f>
        <v>397</v>
      </c>
    </row>
    <row r="2547" spans="1:6" x14ac:dyDescent="0.25">
      <c r="A2547" s="5" t="s">
        <v>28</v>
      </c>
      <c r="B2547" s="2">
        <v>43999</v>
      </c>
      <c r="C2547" s="1">
        <v>0</v>
      </c>
      <c r="D2547" s="47">
        <v>0</v>
      </c>
      <c r="F2547" s="47">
        <f t="shared" ref="F2547:F2553" si="153">E2547+F2523</f>
        <v>0</v>
      </c>
    </row>
    <row r="2548" spans="1:6" x14ac:dyDescent="0.25">
      <c r="A2548" s="5" t="s">
        <v>15</v>
      </c>
      <c r="B2548" s="2">
        <v>43999</v>
      </c>
      <c r="C2548" s="1">
        <v>20</v>
      </c>
      <c r="D2548" s="47">
        <v>1407</v>
      </c>
      <c r="F2548" s="47">
        <f t="shared" si="153"/>
        <v>76</v>
      </c>
    </row>
    <row r="2549" spans="1:6" x14ac:dyDescent="0.25">
      <c r="A2549" s="5" t="s">
        <v>29</v>
      </c>
      <c r="B2549" s="2">
        <v>43999</v>
      </c>
      <c r="C2549" s="1">
        <v>8</v>
      </c>
      <c r="D2549" s="47">
        <v>72</v>
      </c>
      <c r="F2549" s="47">
        <f t="shared" si="153"/>
        <v>2</v>
      </c>
    </row>
    <row r="2550" spans="1:6" x14ac:dyDescent="0.25">
      <c r="A2550" s="5" t="s">
        <v>43</v>
      </c>
      <c r="B2550" s="2">
        <v>43999</v>
      </c>
      <c r="C2550" s="1">
        <v>522</v>
      </c>
      <c r="D2550" s="47">
        <v>16287</v>
      </c>
      <c r="E2550" s="1">
        <v>23</v>
      </c>
      <c r="F2550" s="47">
        <f t="shared" si="153"/>
        <v>336</v>
      </c>
    </row>
    <row r="2551" spans="1:6" x14ac:dyDescent="0.25">
      <c r="A2551" s="5" t="s">
        <v>20</v>
      </c>
      <c r="B2551" s="2">
        <v>43999</v>
      </c>
      <c r="C2551" s="1">
        <v>6</v>
      </c>
      <c r="D2551" s="47">
        <v>507</v>
      </c>
      <c r="F2551" s="47">
        <f t="shared" si="153"/>
        <v>33</v>
      </c>
    </row>
    <row r="2552" spans="1:6" x14ac:dyDescent="0.25">
      <c r="A2552" s="5" t="s">
        <v>30</v>
      </c>
      <c r="B2552" s="2">
        <v>43999</v>
      </c>
      <c r="C2552" s="1">
        <v>2</v>
      </c>
      <c r="D2552" s="47">
        <v>107</v>
      </c>
      <c r="F2552" s="47">
        <f t="shared" si="153"/>
        <v>0</v>
      </c>
    </row>
    <row r="2553" spans="1:6" x14ac:dyDescent="0.25">
      <c r="A2553" s="5" t="s">
        <v>31</v>
      </c>
      <c r="B2553" s="2">
        <v>43999</v>
      </c>
      <c r="C2553" s="1">
        <v>5</v>
      </c>
      <c r="D2553" s="47">
        <v>105</v>
      </c>
      <c r="F2553" s="47">
        <f t="shared" si="153"/>
        <v>0</v>
      </c>
    </row>
    <row r="2554" spans="1:6" x14ac:dyDescent="0.25">
      <c r="A2554" s="5" t="s">
        <v>41</v>
      </c>
      <c r="B2554" s="2">
        <v>43999</v>
      </c>
      <c r="C2554" s="1">
        <v>0</v>
      </c>
      <c r="D2554" s="47">
        <v>33</v>
      </c>
      <c r="F2554" s="47">
        <f t="shared" ref="F2554:F2568" si="154">E2554+F2529</f>
        <v>0</v>
      </c>
    </row>
    <row r="2555" spans="1:6" x14ac:dyDescent="0.25">
      <c r="A2555" s="5" t="s">
        <v>32</v>
      </c>
      <c r="B2555" s="2">
        <v>43999</v>
      </c>
      <c r="C2555" s="1">
        <v>1</v>
      </c>
      <c r="D2555" s="47">
        <v>9</v>
      </c>
      <c r="F2555" s="47">
        <f t="shared" si="154"/>
        <v>0</v>
      </c>
    </row>
    <row r="2556" spans="1:6" x14ac:dyDescent="0.25">
      <c r="A2556" s="5" t="s">
        <v>33</v>
      </c>
      <c r="B2556" s="2">
        <v>43999</v>
      </c>
      <c r="C2556" s="1">
        <v>0</v>
      </c>
      <c r="D2556" s="47">
        <v>6</v>
      </c>
      <c r="F2556" s="47">
        <f t="shared" si="154"/>
        <v>0</v>
      </c>
    </row>
    <row r="2557" spans="1:6" x14ac:dyDescent="0.25">
      <c r="A2557" s="5" t="s">
        <v>21</v>
      </c>
      <c r="B2557" s="2">
        <v>43999</v>
      </c>
      <c r="C2557" s="1">
        <v>0</v>
      </c>
      <c r="D2557" s="47">
        <v>64</v>
      </c>
      <c r="F2557" s="47">
        <f t="shared" si="154"/>
        <v>0</v>
      </c>
    </row>
    <row r="2558" spans="1:6" x14ac:dyDescent="0.25">
      <c r="A2558" s="5" t="s">
        <v>17</v>
      </c>
      <c r="B2558" s="2">
        <v>43999</v>
      </c>
      <c r="C2558" s="1">
        <v>1</v>
      </c>
      <c r="D2558" s="47">
        <v>117</v>
      </c>
      <c r="F2558" s="47">
        <f t="shared" si="154"/>
        <v>0</v>
      </c>
    </row>
    <row r="2559" spans="1:6" x14ac:dyDescent="0.25">
      <c r="A2559" s="5" t="s">
        <v>23</v>
      </c>
      <c r="B2559" s="2">
        <v>43999</v>
      </c>
      <c r="C2559" s="1">
        <v>0</v>
      </c>
      <c r="D2559" s="47">
        <v>40</v>
      </c>
      <c r="F2559" s="47">
        <f t="shared" si="154"/>
        <v>1</v>
      </c>
    </row>
    <row r="2560" spans="1:6" x14ac:dyDescent="0.25">
      <c r="A2560" s="5" t="s">
        <v>19</v>
      </c>
      <c r="B2560" s="2">
        <v>43999</v>
      </c>
      <c r="C2560" s="1">
        <v>11</v>
      </c>
      <c r="D2560" s="47">
        <v>251</v>
      </c>
      <c r="F2560" s="47">
        <f t="shared" si="154"/>
        <v>0</v>
      </c>
    </row>
    <row r="2561" spans="1:6" x14ac:dyDescent="0.25">
      <c r="A2561" s="5" t="s">
        <v>18</v>
      </c>
      <c r="B2561" s="2">
        <v>43999</v>
      </c>
      <c r="C2561" s="1">
        <v>14</v>
      </c>
      <c r="D2561" s="47">
        <v>595</v>
      </c>
      <c r="F2561" s="47">
        <f t="shared" si="154"/>
        <v>1</v>
      </c>
    </row>
    <row r="2562" spans="1:6" x14ac:dyDescent="0.25">
      <c r="A2562" s="5" t="s">
        <v>34</v>
      </c>
      <c r="B2562" s="2">
        <v>43999</v>
      </c>
      <c r="C2562" s="1">
        <v>1</v>
      </c>
      <c r="D2562" s="47">
        <v>21</v>
      </c>
      <c r="F2562" s="47">
        <f t="shared" si="154"/>
        <v>0</v>
      </c>
    </row>
    <row r="2563" spans="1:6" x14ac:dyDescent="0.25">
      <c r="A2563" s="5" t="s">
        <v>35</v>
      </c>
      <c r="B2563" s="2">
        <v>43999</v>
      </c>
      <c r="C2563" s="1">
        <v>0</v>
      </c>
      <c r="D2563" s="47">
        <v>7</v>
      </c>
      <c r="F2563" s="47">
        <f>E2563+F2539</f>
        <v>0</v>
      </c>
    </row>
    <row r="2564" spans="1:6" x14ac:dyDescent="0.25">
      <c r="A2564" s="5" t="s">
        <v>36</v>
      </c>
      <c r="B2564" s="2">
        <v>43999</v>
      </c>
      <c r="C2564" s="1">
        <v>0</v>
      </c>
      <c r="D2564" s="47">
        <v>11</v>
      </c>
      <c r="F2564" s="47">
        <f t="shared" si="154"/>
        <v>0</v>
      </c>
    </row>
    <row r="2565" spans="1:6" x14ac:dyDescent="0.25">
      <c r="A2565" s="5" t="s">
        <v>37</v>
      </c>
      <c r="B2565" s="2">
        <v>43999</v>
      </c>
      <c r="C2565" s="1">
        <v>0</v>
      </c>
      <c r="D2565" s="47">
        <v>51</v>
      </c>
      <c r="F2565" s="47">
        <f t="shared" si="154"/>
        <v>0</v>
      </c>
    </row>
    <row r="2566" spans="1:6" x14ac:dyDescent="0.25">
      <c r="A2566" s="5" t="s">
        <v>22</v>
      </c>
      <c r="B2566" s="2">
        <v>43999</v>
      </c>
      <c r="C2566" s="1">
        <v>2</v>
      </c>
      <c r="D2566" s="47">
        <v>290</v>
      </c>
      <c r="F2566" s="47">
        <f>E2566+F2542</f>
        <v>4</v>
      </c>
    </row>
    <row r="2567" spans="1:6" x14ac:dyDescent="0.25">
      <c r="A2567" s="5" t="s">
        <v>38</v>
      </c>
      <c r="B2567" s="2">
        <v>43999</v>
      </c>
      <c r="C2567" s="1">
        <v>0</v>
      </c>
      <c r="D2567" s="47">
        <v>22</v>
      </c>
      <c r="F2567" s="47">
        <f>E2567+F2543</f>
        <v>0</v>
      </c>
    </row>
    <row r="2568" spans="1:6" x14ac:dyDescent="0.25">
      <c r="A2568" s="5" t="s">
        <v>39</v>
      </c>
      <c r="B2568" s="2">
        <v>43999</v>
      </c>
      <c r="C2568" s="1">
        <v>0</v>
      </c>
      <c r="D2568" s="47">
        <v>149</v>
      </c>
      <c r="F2568" s="47">
        <f t="shared" si="154"/>
        <v>0</v>
      </c>
    </row>
    <row r="2569" spans="1:6" x14ac:dyDescent="0.25">
      <c r="A2569" s="5" t="s">
        <v>40</v>
      </c>
      <c r="B2569" s="2">
        <v>43999</v>
      </c>
      <c r="C2569" s="1">
        <v>1</v>
      </c>
      <c r="D2569" s="47">
        <v>58</v>
      </c>
      <c r="F2569" s="47">
        <f>E2569+F2545</f>
        <v>4</v>
      </c>
    </row>
    <row r="2570" spans="1:6" x14ac:dyDescent="0.25">
      <c r="A2570" s="34" t="s">
        <v>16</v>
      </c>
      <c r="B2570" s="2">
        <v>44000</v>
      </c>
      <c r="C2570" s="1">
        <v>1106</v>
      </c>
      <c r="D2570" s="47">
        <v>16449</v>
      </c>
      <c r="E2570" s="1">
        <v>13</v>
      </c>
      <c r="F2570" s="47">
        <f>E2570+F2546</f>
        <v>410</v>
      </c>
    </row>
    <row r="2571" spans="1:6" x14ac:dyDescent="0.25">
      <c r="A2571" s="5" t="s">
        <v>28</v>
      </c>
      <c r="B2571" s="2">
        <v>44000</v>
      </c>
      <c r="C2571" s="1">
        <v>0</v>
      </c>
      <c r="D2571" s="47">
        <v>0</v>
      </c>
      <c r="F2571" s="47">
        <f t="shared" ref="F2571:F2577" si="155">E2571+F2547</f>
        <v>0</v>
      </c>
    </row>
    <row r="2572" spans="1:6" x14ac:dyDescent="0.25">
      <c r="A2572" s="5" t="s">
        <v>15</v>
      </c>
      <c r="B2572" s="2">
        <v>44000</v>
      </c>
      <c r="C2572" s="1">
        <v>68</v>
      </c>
      <c r="D2572" s="47">
        <v>1475</v>
      </c>
      <c r="E2572" s="1">
        <v>2</v>
      </c>
      <c r="F2572" s="47">
        <f t="shared" si="155"/>
        <v>78</v>
      </c>
    </row>
    <row r="2573" spans="1:6" x14ac:dyDescent="0.25">
      <c r="A2573" s="5" t="s">
        <v>29</v>
      </c>
      <c r="B2573" s="2">
        <v>44000</v>
      </c>
      <c r="C2573" s="1">
        <v>10</v>
      </c>
      <c r="D2573" s="47">
        <v>82</v>
      </c>
      <c r="F2573" s="47">
        <f t="shared" si="155"/>
        <v>2</v>
      </c>
    </row>
    <row r="2574" spans="1:6" x14ac:dyDescent="0.25">
      <c r="A2574" s="5" t="s">
        <v>43</v>
      </c>
      <c r="B2574" s="2">
        <v>44000</v>
      </c>
      <c r="C2574" s="1">
        <v>692</v>
      </c>
      <c r="D2574" s="47">
        <v>16979</v>
      </c>
      <c r="E2574" s="1">
        <v>15</v>
      </c>
      <c r="F2574" s="47">
        <f t="shared" si="155"/>
        <v>351</v>
      </c>
    </row>
    <row r="2575" spans="1:6" x14ac:dyDescent="0.25">
      <c r="A2575" s="5" t="s">
        <v>20</v>
      </c>
      <c r="B2575" s="2">
        <v>44000</v>
      </c>
      <c r="C2575" s="1">
        <v>9</v>
      </c>
      <c r="D2575" s="47">
        <v>516</v>
      </c>
      <c r="F2575" s="47">
        <f t="shared" si="155"/>
        <v>33</v>
      </c>
    </row>
    <row r="2576" spans="1:6" x14ac:dyDescent="0.25">
      <c r="A2576" s="5" t="s">
        <v>30</v>
      </c>
      <c r="B2576" s="2">
        <v>44000</v>
      </c>
      <c r="C2576" s="1">
        <v>1</v>
      </c>
      <c r="D2576" s="47">
        <v>108</v>
      </c>
      <c r="F2576" s="47">
        <f t="shared" si="155"/>
        <v>0</v>
      </c>
    </row>
    <row r="2577" spans="1:6" x14ac:dyDescent="0.25">
      <c r="A2577" s="5" t="s">
        <v>31</v>
      </c>
      <c r="B2577" s="2">
        <v>44000</v>
      </c>
      <c r="C2577" s="1">
        <v>6</v>
      </c>
      <c r="D2577" s="47">
        <v>111</v>
      </c>
      <c r="F2577" s="47">
        <f t="shared" si="155"/>
        <v>0</v>
      </c>
    </row>
    <row r="2578" spans="1:6" x14ac:dyDescent="0.25">
      <c r="A2578" s="5" t="s">
        <v>41</v>
      </c>
      <c r="B2578" s="2">
        <v>44000</v>
      </c>
      <c r="C2578" s="1">
        <v>4</v>
      </c>
      <c r="D2578" s="47">
        <v>37</v>
      </c>
      <c r="F2578" s="47">
        <f t="shared" ref="F2578:F2592" si="156">E2578+F2553</f>
        <v>0</v>
      </c>
    </row>
    <row r="2579" spans="1:6" x14ac:dyDescent="0.25">
      <c r="A2579" s="5" t="s">
        <v>32</v>
      </c>
      <c r="B2579" s="2">
        <v>44000</v>
      </c>
      <c r="C2579" s="1">
        <v>3</v>
      </c>
      <c r="D2579" s="47">
        <v>12</v>
      </c>
      <c r="F2579" s="47">
        <f t="shared" si="156"/>
        <v>0</v>
      </c>
    </row>
    <row r="2580" spans="1:6" x14ac:dyDescent="0.25">
      <c r="A2580" s="5" t="s">
        <v>33</v>
      </c>
      <c r="B2580" s="2">
        <v>44000</v>
      </c>
      <c r="C2580" s="1">
        <v>0</v>
      </c>
      <c r="D2580" s="47">
        <v>6</v>
      </c>
      <c r="F2580" s="47">
        <f t="shared" si="156"/>
        <v>0</v>
      </c>
    </row>
    <row r="2581" spans="1:6" x14ac:dyDescent="0.25">
      <c r="A2581" s="5" t="s">
        <v>21</v>
      </c>
      <c r="B2581" s="2">
        <v>44000</v>
      </c>
      <c r="C2581" s="1">
        <v>0</v>
      </c>
      <c r="D2581" s="47">
        <v>64</v>
      </c>
      <c r="F2581" s="47">
        <f t="shared" si="156"/>
        <v>0</v>
      </c>
    </row>
    <row r="2582" spans="1:6" x14ac:dyDescent="0.25">
      <c r="A2582" s="5" t="s">
        <v>17</v>
      </c>
      <c r="B2582" s="2">
        <v>44000</v>
      </c>
      <c r="C2582" s="1">
        <v>3</v>
      </c>
      <c r="D2582" s="47">
        <v>120</v>
      </c>
      <c r="F2582" s="47">
        <f t="shared" si="156"/>
        <v>0</v>
      </c>
    </row>
    <row r="2583" spans="1:6" x14ac:dyDescent="0.25">
      <c r="A2583" s="5" t="s">
        <v>23</v>
      </c>
      <c r="B2583" s="2">
        <v>44000</v>
      </c>
      <c r="C2583" s="1">
        <v>1</v>
      </c>
      <c r="D2583" s="47">
        <v>41</v>
      </c>
      <c r="F2583" s="47">
        <f t="shared" si="156"/>
        <v>0</v>
      </c>
    </row>
    <row r="2584" spans="1:6" x14ac:dyDescent="0.25">
      <c r="A2584" s="5" t="s">
        <v>19</v>
      </c>
      <c r="B2584" s="2">
        <v>44000</v>
      </c>
      <c r="C2584" s="1">
        <v>16</v>
      </c>
      <c r="D2584" s="47">
        <v>267</v>
      </c>
      <c r="E2584" s="1">
        <v>1</v>
      </c>
      <c r="F2584" s="47">
        <f t="shared" si="156"/>
        <v>2</v>
      </c>
    </row>
    <row r="2585" spans="1:6" x14ac:dyDescent="0.25">
      <c r="A2585" s="5" t="s">
        <v>18</v>
      </c>
      <c r="B2585" s="2">
        <v>44000</v>
      </c>
      <c r="C2585" s="1">
        <v>27</v>
      </c>
      <c r="D2585" s="47">
        <v>622</v>
      </c>
      <c r="E2585" s="1">
        <v>3</v>
      </c>
      <c r="F2585" s="47">
        <f t="shared" si="156"/>
        <v>3</v>
      </c>
    </row>
    <row r="2586" spans="1:6" x14ac:dyDescent="0.25">
      <c r="A2586" s="5" t="s">
        <v>34</v>
      </c>
      <c r="B2586" s="2">
        <v>44000</v>
      </c>
      <c r="C2586" s="1">
        <v>0</v>
      </c>
      <c r="D2586" s="47">
        <v>21</v>
      </c>
      <c r="F2586" s="47">
        <f t="shared" si="156"/>
        <v>1</v>
      </c>
    </row>
    <row r="2587" spans="1:6" x14ac:dyDescent="0.25">
      <c r="A2587" s="5" t="s">
        <v>35</v>
      </c>
      <c r="B2587" s="2">
        <v>44000</v>
      </c>
      <c r="C2587" s="1">
        <v>0</v>
      </c>
      <c r="D2587" s="47">
        <v>7</v>
      </c>
      <c r="F2587" s="47">
        <f>E2587+F2563</f>
        <v>0</v>
      </c>
    </row>
    <row r="2588" spans="1:6" x14ac:dyDescent="0.25">
      <c r="A2588" s="5" t="s">
        <v>36</v>
      </c>
      <c r="B2588" s="2">
        <v>44000</v>
      </c>
      <c r="C2588" s="1">
        <v>0</v>
      </c>
      <c r="D2588" s="47">
        <v>11</v>
      </c>
      <c r="F2588" s="47">
        <f t="shared" si="156"/>
        <v>0</v>
      </c>
    </row>
    <row r="2589" spans="1:6" x14ac:dyDescent="0.25">
      <c r="A2589" s="5" t="s">
        <v>37</v>
      </c>
      <c r="B2589" s="2">
        <v>44000</v>
      </c>
      <c r="C2589" s="1">
        <v>0</v>
      </c>
      <c r="D2589" s="47">
        <v>51</v>
      </c>
      <c r="F2589" s="47">
        <f t="shared" si="156"/>
        <v>0</v>
      </c>
    </row>
    <row r="2590" spans="1:6" x14ac:dyDescent="0.25">
      <c r="A2590" s="5" t="s">
        <v>22</v>
      </c>
      <c r="B2590" s="2">
        <v>44000</v>
      </c>
      <c r="C2590" s="1">
        <v>11</v>
      </c>
      <c r="D2590" s="47">
        <v>301</v>
      </c>
      <c r="F2590" s="47">
        <f>E2590+F2566</f>
        <v>4</v>
      </c>
    </row>
    <row r="2591" spans="1:6" x14ac:dyDescent="0.25">
      <c r="A2591" s="5" t="s">
        <v>38</v>
      </c>
      <c r="B2591" s="2">
        <v>44000</v>
      </c>
      <c r="C2591" s="1">
        <v>0</v>
      </c>
      <c r="D2591" s="47">
        <v>22</v>
      </c>
      <c r="F2591" s="47">
        <f>E2591+F2567</f>
        <v>0</v>
      </c>
    </row>
    <row r="2592" spans="1:6" x14ac:dyDescent="0.25">
      <c r="A2592" s="5" t="s">
        <v>39</v>
      </c>
      <c r="B2592" s="2">
        <v>44000</v>
      </c>
      <c r="C2592" s="1">
        <v>0</v>
      </c>
      <c r="D2592" s="47">
        <v>149</v>
      </c>
      <c r="F2592" s="47">
        <f t="shared" si="156"/>
        <v>0</v>
      </c>
    </row>
    <row r="2593" spans="1:6" x14ac:dyDescent="0.25">
      <c r="A2593" s="5" t="s">
        <v>40</v>
      </c>
      <c r="B2593" s="2">
        <v>44000</v>
      </c>
      <c r="C2593" s="1">
        <v>1</v>
      </c>
      <c r="D2593" s="47">
        <v>59</v>
      </c>
      <c r="F2593" s="47">
        <f>E2593+F2569</f>
        <v>4</v>
      </c>
    </row>
    <row r="2594" spans="1:6" x14ac:dyDescent="0.25">
      <c r="A2594" s="34" t="s">
        <v>16</v>
      </c>
      <c r="B2594" s="2">
        <v>44001</v>
      </c>
      <c r="C2594" s="1">
        <v>1119</v>
      </c>
      <c r="D2594" s="47">
        <v>17568</v>
      </c>
      <c r="E2594" s="1">
        <v>16</v>
      </c>
      <c r="F2594" s="47">
        <f>E2594+F2570</f>
        <v>426</v>
      </c>
    </row>
    <row r="2595" spans="1:6" x14ac:dyDescent="0.25">
      <c r="A2595" s="5" t="s">
        <v>28</v>
      </c>
      <c r="B2595" s="2">
        <v>44001</v>
      </c>
      <c r="C2595" s="1">
        <v>0</v>
      </c>
      <c r="D2595" s="47">
        <v>0</v>
      </c>
      <c r="F2595" s="47">
        <f t="shared" ref="F2595:F2601" si="157">E2595+F2571</f>
        <v>0</v>
      </c>
    </row>
    <row r="2596" spans="1:6" x14ac:dyDescent="0.25">
      <c r="A2596" s="5" t="s">
        <v>15</v>
      </c>
      <c r="B2596" s="2">
        <v>44001</v>
      </c>
      <c r="C2596" s="1">
        <v>31</v>
      </c>
      <c r="D2596" s="47">
        <v>1506</v>
      </c>
      <c r="E2596" s="1">
        <v>5</v>
      </c>
      <c r="F2596" s="47">
        <f t="shared" si="157"/>
        <v>83</v>
      </c>
    </row>
    <row r="2597" spans="1:6" x14ac:dyDescent="0.25">
      <c r="A2597" s="5" t="s">
        <v>29</v>
      </c>
      <c r="B2597" s="2">
        <v>44001</v>
      </c>
      <c r="C2597" s="1">
        <v>3</v>
      </c>
      <c r="D2597" s="47">
        <v>85</v>
      </c>
      <c r="F2597" s="47">
        <f t="shared" si="157"/>
        <v>2</v>
      </c>
    </row>
    <row r="2598" spans="1:6" x14ac:dyDescent="0.25">
      <c r="A2598" s="5" t="s">
        <v>43</v>
      </c>
      <c r="B2598" s="2">
        <v>44001</v>
      </c>
      <c r="C2598" s="1">
        <v>804</v>
      </c>
      <c r="D2598" s="47">
        <v>17783</v>
      </c>
      <c r="E2598" s="1">
        <v>11</v>
      </c>
      <c r="F2598" s="47">
        <f t="shared" si="157"/>
        <v>362</v>
      </c>
    </row>
    <row r="2599" spans="1:6" x14ac:dyDescent="0.25">
      <c r="A2599" s="5" t="s">
        <v>20</v>
      </c>
      <c r="B2599" s="2">
        <v>44001</v>
      </c>
      <c r="C2599" s="1">
        <v>19</v>
      </c>
      <c r="D2599" s="47">
        <v>535</v>
      </c>
      <c r="F2599" s="47">
        <f t="shared" si="157"/>
        <v>33</v>
      </c>
    </row>
    <row r="2600" spans="1:6" x14ac:dyDescent="0.25">
      <c r="A2600" s="5" t="s">
        <v>30</v>
      </c>
      <c r="B2600" s="2">
        <v>44001</v>
      </c>
      <c r="C2600" s="1">
        <v>5</v>
      </c>
      <c r="D2600" s="47">
        <v>113</v>
      </c>
      <c r="F2600" s="47">
        <f t="shared" si="157"/>
        <v>0</v>
      </c>
    </row>
    <row r="2601" spans="1:6" x14ac:dyDescent="0.25">
      <c r="A2601" s="5" t="s">
        <v>31</v>
      </c>
      <c r="B2601" s="2">
        <v>44001</v>
      </c>
      <c r="C2601" s="1">
        <v>4</v>
      </c>
      <c r="D2601" s="47">
        <v>115</v>
      </c>
      <c r="F2601" s="47">
        <f t="shared" si="157"/>
        <v>0</v>
      </c>
    </row>
    <row r="2602" spans="1:6" x14ac:dyDescent="0.25">
      <c r="A2602" s="5" t="s">
        <v>41</v>
      </c>
      <c r="B2602" s="2">
        <v>44001</v>
      </c>
      <c r="C2602" s="1">
        <v>0</v>
      </c>
      <c r="D2602" s="47">
        <v>37</v>
      </c>
      <c r="F2602" s="47">
        <f t="shared" ref="F2602:F2616" si="158">E2602+F2577</f>
        <v>0</v>
      </c>
    </row>
    <row r="2603" spans="1:6" x14ac:dyDescent="0.25">
      <c r="A2603" s="5" t="s">
        <v>32</v>
      </c>
      <c r="B2603" s="2">
        <v>44001</v>
      </c>
      <c r="C2603" s="1">
        <v>1</v>
      </c>
      <c r="D2603" s="47">
        <v>13</v>
      </c>
      <c r="F2603" s="47">
        <f t="shared" si="158"/>
        <v>0</v>
      </c>
    </row>
    <row r="2604" spans="1:6" x14ac:dyDescent="0.25">
      <c r="A2604" s="5" t="s">
        <v>33</v>
      </c>
      <c r="B2604" s="2">
        <v>44001</v>
      </c>
      <c r="C2604" s="1">
        <v>0</v>
      </c>
      <c r="D2604" s="47">
        <v>6</v>
      </c>
      <c r="F2604" s="47">
        <f t="shared" si="158"/>
        <v>0</v>
      </c>
    </row>
    <row r="2605" spans="1:6" x14ac:dyDescent="0.25">
      <c r="A2605" s="5" t="s">
        <v>21</v>
      </c>
      <c r="B2605" s="2">
        <v>44001</v>
      </c>
      <c r="C2605" s="1">
        <v>0</v>
      </c>
      <c r="D2605" s="47">
        <v>64</v>
      </c>
      <c r="F2605" s="47">
        <f t="shared" si="158"/>
        <v>0</v>
      </c>
    </row>
    <row r="2606" spans="1:6" x14ac:dyDescent="0.25">
      <c r="A2606" s="5" t="s">
        <v>17</v>
      </c>
      <c r="B2606" s="2">
        <v>44001</v>
      </c>
      <c r="C2606" s="1">
        <v>3</v>
      </c>
      <c r="D2606" s="47">
        <v>123</v>
      </c>
      <c r="F2606" s="47">
        <f t="shared" si="158"/>
        <v>0</v>
      </c>
    </row>
    <row r="2607" spans="1:6" x14ac:dyDescent="0.25">
      <c r="A2607" s="5" t="s">
        <v>23</v>
      </c>
      <c r="B2607" s="2">
        <v>44001</v>
      </c>
      <c r="C2607" s="1">
        <v>-1</v>
      </c>
      <c r="D2607" s="47">
        <v>40</v>
      </c>
      <c r="F2607" s="47">
        <f t="shared" si="158"/>
        <v>0</v>
      </c>
    </row>
    <row r="2608" spans="1:6" x14ac:dyDescent="0.25">
      <c r="A2608" s="5" t="s">
        <v>19</v>
      </c>
      <c r="B2608" s="2">
        <v>44001</v>
      </c>
      <c r="C2608" s="1">
        <v>27</v>
      </c>
      <c r="D2608" s="47">
        <v>294</v>
      </c>
      <c r="F2608" s="47">
        <f t="shared" si="158"/>
        <v>0</v>
      </c>
    </row>
    <row r="2609" spans="1:6" x14ac:dyDescent="0.25">
      <c r="A2609" s="5" t="s">
        <v>18</v>
      </c>
      <c r="B2609" s="2">
        <v>44001</v>
      </c>
      <c r="C2609" s="1">
        <v>34</v>
      </c>
      <c r="D2609" s="47">
        <v>656</v>
      </c>
      <c r="F2609" s="47">
        <f t="shared" si="158"/>
        <v>2</v>
      </c>
    </row>
    <row r="2610" spans="1:6" x14ac:dyDescent="0.25">
      <c r="A2610" s="5" t="s">
        <v>34</v>
      </c>
      <c r="B2610" s="2">
        <v>44001</v>
      </c>
      <c r="C2610" s="1">
        <v>0</v>
      </c>
      <c r="D2610" s="47">
        <v>21</v>
      </c>
      <c r="F2610" s="47">
        <f t="shared" si="158"/>
        <v>3</v>
      </c>
    </row>
    <row r="2611" spans="1:6" x14ac:dyDescent="0.25">
      <c r="A2611" s="5" t="s">
        <v>35</v>
      </c>
      <c r="B2611" s="2">
        <v>44001</v>
      </c>
      <c r="C2611" s="1">
        <v>0</v>
      </c>
      <c r="D2611" s="47">
        <v>7</v>
      </c>
      <c r="F2611" s="47">
        <f>E2611+F2587</f>
        <v>0</v>
      </c>
    </row>
    <row r="2612" spans="1:6" x14ac:dyDescent="0.25">
      <c r="A2612" s="5" t="s">
        <v>36</v>
      </c>
      <c r="B2612" s="2">
        <v>44001</v>
      </c>
      <c r="C2612" s="1">
        <v>0</v>
      </c>
      <c r="D2612" s="47">
        <v>11</v>
      </c>
      <c r="F2612" s="47">
        <f t="shared" si="158"/>
        <v>0</v>
      </c>
    </row>
    <row r="2613" spans="1:6" x14ac:dyDescent="0.25">
      <c r="A2613" s="5" t="s">
        <v>37</v>
      </c>
      <c r="B2613" s="2">
        <v>44001</v>
      </c>
      <c r="C2613" s="1">
        <v>0</v>
      </c>
      <c r="D2613" s="47">
        <v>51</v>
      </c>
      <c r="F2613" s="47">
        <f t="shared" si="158"/>
        <v>0</v>
      </c>
    </row>
    <row r="2614" spans="1:6" x14ac:dyDescent="0.25">
      <c r="A2614" s="5" t="s">
        <v>22</v>
      </c>
      <c r="B2614" s="2">
        <v>44001</v>
      </c>
      <c r="C2614" s="1">
        <v>11</v>
      </c>
      <c r="D2614" s="47">
        <v>312</v>
      </c>
      <c r="F2614" s="47">
        <f>E2614+F2590</f>
        <v>4</v>
      </c>
    </row>
    <row r="2615" spans="1:6" x14ac:dyDescent="0.25">
      <c r="A2615" s="5" t="s">
        <v>38</v>
      </c>
      <c r="B2615" s="2">
        <v>44001</v>
      </c>
      <c r="C2615" s="1">
        <v>0</v>
      </c>
      <c r="D2615" s="47">
        <v>22</v>
      </c>
      <c r="F2615" s="47">
        <f>E2615+F2591</f>
        <v>0</v>
      </c>
    </row>
    <row r="2616" spans="1:6" x14ac:dyDescent="0.25">
      <c r="A2616" s="5" t="s">
        <v>39</v>
      </c>
      <c r="B2616" s="2">
        <v>44001</v>
      </c>
      <c r="C2616" s="1">
        <v>0</v>
      </c>
      <c r="D2616" s="47">
        <v>149</v>
      </c>
      <c r="F2616" s="47">
        <f t="shared" si="158"/>
        <v>0</v>
      </c>
    </row>
    <row r="2617" spans="1:6" x14ac:dyDescent="0.25">
      <c r="A2617" s="5" t="s">
        <v>40</v>
      </c>
      <c r="B2617" s="2">
        <v>44001</v>
      </c>
      <c r="C2617" s="1">
        <v>0</v>
      </c>
      <c r="D2617" s="47">
        <v>59</v>
      </c>
      <c r="F2617" s="47">
        <f>E2617+F2593</f>
        <v>4</v>
      </c>
    </row>
    <row r="2618" spans="1:6" x14ac:dyDescent="0.25">
      <c r="A2618" s="34" t="s">
        <v>16</v>
      </c>
      <c r="B2618" s="2">
        <v>44002</v>
      </c>
      <c r="C2618" s="1">
        <v>1013</v>
      </c>
      <c r="D2618" s="47">
        <v>18581</v>
      </c>
      <c r="E2618" s="1">
        <v>6</v>
      </c>
      <c r="F2618" s="47">
        <f>E2618+F2594</f>
        <v>432</v>
      </c>
    </row>
    <row r="2619" spans="1:6" x14ac:dyDescent="0.25">
      <c r="A2619" s="5" t="s">
        <v>28</v>
      </c>
      <c r="B2619" s="2">
        <v>44002</v>
      </c>
      <c r="C2619" s="1">
        <v>0</v>
      </c>
      <c r="D2619" s="47">
        <v>0</v>
      </c>
      <c r="F2619" s="47">
        <f t="shared" ref="F2619:F2625" si="159">E2619+F2595</f>
        <v>0</v>
      </c>
    </row>
    <row r="2620" spans="1:6" x14ac:dyDescent="0.25">
      <c r="A2620" s="5" t="s">
        <v>15</v>
      </c>
      <c r="B2620" s="2">
        <v>44002</v>
      </c>
      <c r="C2620" s="1">
        <v>24</v>
      </c>
      <c r="D2620" s="47">
        <v>1530</v>
      </c>
      <c r="F2620" s="47">
        <f t="shared" si="159"/>
        <v>83</v>
      </c>
    </row>
    <row r="2621" spans="1:6" x14ac:dyDescent="0.25">
      <c r="A2621" s="5" t="s">
        <v>29</v>
      </c>
      <c r="B2621" s="2">
        <v>44002</v>
      </c>
      <c r="C2621" s="1">
        <v>3</v>
      </c>
      <c r="D2621" s="47">
        <v>88</v>
      </c>
      <c r="F2621" s="47">
        <f t="shared" si="159"/>
        <v>2</v>
      </c>
    </row>
    <row r="2622" spans="1:6" x14ac:dyDescent="0.25">
      <c r="A2622" s="5" t="s">
        <v>43</v>
      </c>
      <c r="B2622" s="2">
        <v>44002</v>
      </c>
      <c r="C2622" s="1">
        <v>512</v>
      </c>
      <c r="D2622" s="47">
        <v>18295</v>
      </c>
      <c r="E2622" s="1">
        <v>7</v>
      </c>
      <c r="F2622" s="47">
        <f t="shared" si="159"/>
        <v>369</v>
      </c>
    </row>
    <row r="2623" spans="1:6" x14ac:dyDescent="0.25">
      <c r="A2623" s="5" t="s">
        <v>20</v>
      </c>
      <c r="B2623" s="2">
        <v>44002</v>
      </c>
      <c r="C2623" s="1">
        <v>20</v>
      </c>
      <c r="D2623" s="47">
        <v>555</v>
      </c>
      <c r="F2623" s="47">
        <f t="shared" si="159"/>
        <v>33</v>
      </c>
    </row>
    <row r="2624" spans="1:6" x14ac:dyDescent="0.25">
      <c r="A2624" s="5" t="s">
        <v>30</v>
      </c>
      <c r="B2624" s="2">
        <v>44002</v>
      </c>
      <c r="C2624" s="1">
        <v>2</v>
      </c>
      <c r="D2624" s="47">
        <v>115</v>
      </c>
      <c r="F2624" s="47">
        <f t="shared" si="159"/>
        <v>0</v>
      </c>
    </row>
    <row r="2625" spans="1:6" x14ac:dyDescent="0.25">
      <c r="A2625" s="5" t="s">
        <v>31</v>
      </c>
      <c r="B2625" s="2">
        <v>44002</v>
      </c>
      <c r="C2625" s="1">
        <v>19</v>
      </c>
      <c r="D2625" s="47">
        <v>134</v>
      </c>
      <c r="F2625" s="47">
        <f t="shared" si="159"/>
        <v>0</v>
      </c>
    </row>
    <row r="2626" spans="1:6" x14ac:dyDescent="0.25">
      <c r="A2626" s="5" t="s">
        <v>41</v>
      </c>
      <c r="B2626" s="2">
        <v>44002</v>
      </c>
      <c r="C2626" s="1">
        <v>2</v>
      </c>
      <c r="D2626" s="47">
        <v>39</v>
      </c>
      <c r="F2626" s="47">
        <f t="shared" ref="F2626:F2640" si="160">E2626+F2601</f>
        <v>0</v>
      </c>
    </row>
    <row r="2627" spans="1:6" x14ac:dyDescent="0.25">
      <c r="A2627" s="5" t="s">
        <v>32</v>
      </c>
      <c r="B2627" s="2">
        <v>44002</v>
      </c>
      <c r="C2627" s="1">
        <v>0</v>
      </c>
      <c r="D2627" s="47">
        <v>13</v>
      </c>
      <c r="F2627" s="47">
        <f t="shared" si="160"/>
        <v>0</v>
      </c>
    </row>
    <row r="2628" spans="1:6" x14ac:dyDescent="0.25">
      <c r="A2628" s="5" t="s">
        <v>33</v>
      </c>
      <c r="B2628" s="2">
        <v>44002</v>
      </c>
      <c r="C2628" s="1">
        <v>0</v>
      </c>
      <c r="D2628" s="47">
        <v>6</v>
      </c>
      <c r="F2628" s="47">
        <f t="shared" si="160"/>
        <v>0</v>
      </c>
    </row>
    <row r="2629" spans="1:6" x14ac:dyDescent="0.25">
      <c r="A2629" s="5" t="s">
        <v>21</v>
      </c>
      <c r="B2629" s="2">
        <v>44002</v>
      </c>
      <c r="C2629" s="1">
        <v>0</v>
      </c>
      <c r="D2629" s="47">
        <v>64</v>
      </c>
      <c r="F2629" s="47">
        <f t="shared" si="160"/>
        <v>0</v>
      </c>
    </row>
    <row r="2630" spans="1:6" x14ac:dyDescent="0.25">
      <c r="A2630" s="5" t="s">
        <v>17</v>
      </c>
      <c r="B2630" s="2">
        <v>44002</v>
      </c>
      <c r="C2630" s="1">
        <v>0</v>
      </c>
      <c r="D2630" s="47">
        <v>123</v>
      </c>
      <c r="F2630" s="47">
        <f t="shared" si="160"/>
        <v>0</v>
      </c>
    </row>
    <row r="2631" spans="1:6" x14ac:dyDescent="0.25">
      <c r="A2631" s="5" t="s">
        <v>23</v>
      </c>
      <c r="B2631" s="2">
        <v>44002</v>
      </c>
      <c r="C2631" s="1">
        <v>5</v>
      </c>
      <c r="D2631" s="47">
        <v>45</v>
      </c>
      <c r="F2631" s="47">
        <f t="shared" si="160"/>
        <v>0</v>
      </c>
    </row>
    <row r="2632" spans="1:6" x14ac:dyDescent="0.25">
      <c r="A2632" s="5" t="s">
        <v>19</v>
      </c>
      <c r="B2632" s="2">
        <v>44002</v>
      </c>
      <c r="C2632" s="1">
        <v>0</v>
      </c>
      <c r="D2632" s="47">
        <v>294</v>
      </c>
      <c r="F2632" s="47">
        <f t="shared" si="160"/>
        <v>0</v>
      </c>
    </row>
    <row r="2633" spans="1:6" x14ac:dyDescent="0.25">
      <c r="A2633" s="5" t="s">
        <v>18</v>
      </c>
      <c r="B2633" s="2">
        <v>44002</v>
      </c>
      <c r="C2633" s="1">
        <v>19</v>
      </c>
      <c r="D2633" s="47">
        <v>675</v>
      </c>
      <c r="F2633" s="47">
        <f t="shared" si="160"/>
        <v>0</v>
      </c>
    </row>
    <row r="2634" spans="1:6" x14ac:dyDescent="0.25">
      <c r="A2634" s="5" t="s">
        <v>34</v>
      </c>
      <c r="B2634" s="2">
        <v>44002</v>
      </c>
      <c r="C2634" s="1">
        <v>0</v>
      </c>
      <c r="D2634" s="47">
        <v>21</v>
      </c>
      <c r="F2634" s="47">
        <f t="shared" si="160"/>
        <v>2</v>
      </c>
    </row>
    <row r="2635" spans="1:6" x14ac:dyDescent="0.25">
      <c r="A2635" s="5" t="s">
        <v>35</v>
      </c>
      <c r="B2635" s="2">
        <v>44002</v>
      </c>
      <c r="C2635" s="1">
        <v>0</v>
      </c>
      <c r="D2635" s="47">
        <v>7</v>
      </c>
      <c r="F2635" s="47">
        <f>E2635+F2611</f>
        <v>0</v>
      </c>
    </row>
    <row r="2636" spans="1:6" x14ac:dyDescent="0.25">
      <c r="A2636" s="5" t="s">
        <v>36</v>
      </c>
      <c r="B2636" s="2">
        <v>44002</v>
      </c>
      <c r="C2636" s="1">
        <v>0</v>
      </c>
      <c r="D2636" s="47">
        <v>11</v>
      </c>
      <c r="F2636" s="47">
        <f t="shared" si="160"/>
        <v>0</v>
      </c>
    </row>
    <row r="2637" spans="1:6" x14ac:dyDescent="0.25">
      <c r="A2637" s="5" t="s">
        <v>37</v>
      </c>
      <c r="B2637" s="2">
        <v>44002</v>
      </c>
      <c r="C2637" s="1">
        <v>0</v>
      </c>
      <c r="D2637" s="47">
        <v>51</v>
      </c>
      <c r="F2637" s="47">
        <f t="shared" si="160"/>
        <v>0</v>
      </c>
    </row>
    <row r="2638" spans="1:6" x14ac:dyDescent="0.25">
      <c r="A2638" s="5" t="s">
        <v>22</v>
      </c>
      <c r="B2638" s="2">
        <v>44002</v>
      </c>
      <c r="C2638" s="1">
        <v>6</v>
      </c>
      <c r="D2638" s="47">
        <v>318</v>
      </c>
      <c r="F2638" s="47">
        <f>E2638+F2614</f>
        <v>4</v>
      </c>
    </row>
    <row r="2639" spans="1:6" x14ac:dyDescent="0.25">
      <c r="A2639" s="5" t="s">
        <v>38</v>
      </c>
      <c r="B2639" s="2">
        <v>44002</v>
      </c>
      <c r="C2639" s="1">
        <v>0</v>
      </c>
      <c r="D2639" s="47">
        <v>22</v>
      </c>
      <c r="F2639" s="47">
        <f>E2639+F2615</f>
        <v>0</v>
      </c>
    </row>
    <row r="2640" spans="1:6" x14ac:dyDescent="0.25">
      <c r="A2640" s="5" t="s">
        <v>39</v>
      </c>
      <c r="B2640" s="2">
        <v>44002</v>
      </c>
      <c r="C2640" s="1">
        <v>0</v>
      </c>
      <c r="D2640" s="47">
        <v>149</v>
      </c>
      <c r="F2640" s="47">
        <f t="shared" si="160"/>
        <v>0</v>
      </c>
    </row>
    <row r="2641" spans="1:6" x14ac:dyDescent="0.25">
      <c r="A2641" s="5" t="s">
        <v>40</v>
      </c>
      <c r="B2641" s="2">
        <v>44002</v>
      </c>
      <c r="C2641" s="1">
        <v>0</v>
      </c>
      <c r="D2641" s="47">
        <v>59</v>
      </c>
      <c r="F2641" s="47">
        <f>E2641+F2617</f>
        <v>4</v>
      </c>
    </row>
    <row r="2642" spans="1:6" x14ac:dyDescent="0.25">
      <c r="A2642" s="34" t="s">
        <v>16</v>
      </c>
      <c r="B2642" s="2">
        <v>44003</v>
      </c>
      <c r="C2642" s="1">
        <v>746</v>
      </c>
      <c r="D2642" s="47">
        <v>19327</v>
      </c>
      <c r="E2642" s="1">
        <v>9</v>
      </c>
      <c r="F2642" s="47">
        <f>E2642+F2618</f>
        <v>441</v>
      </c>
    </row>
    <row r="2643" spans="1:6" x14ac:dyDescent="0.25">
      <c r="A2643" s="5" t="s">
        <v>28</v>
      </c>
      <c r="B2643" s="2">
        <v>44003</v>
      </c>
      <c r="C2643" s="1">
        <v>0</v>
      </c>
      <c r="D2643" s="47">
        <v>0</v>
      </c>
      <c r="F2643" s="47">
        <f t="shared" ref="F2643:F2649" si="161">E2643+F2619</f>
        <v>0</v>
      </c>
    </row>
    <row r="2644" spans="1:6" x14ac:dyDescent="0.25">
      <c r="A2644" s="5" t="s">
        <v>15</v>
      </c>
      <c r="B2644" s="2">
        <v>44003</v>
      </c>
      <c r="C2644" s="1">
        <v>52</v>
      </c>
      <c r="D2644" s="47">
        <v>1582</v>
      </c>
      <c r="F2644" s="47">
        <f t="shared" si="161"/>
        <v>83</v>
      </c>
    </row>
    <row r="2645" spans="1:6" x14ac:dyDescent="0.25">
      <c r="A2645" s="5" t="s">
        <v>29</v>
      </c>
      <c r="B2645" s="2">
        <v>44003</v>
      </c>
      <c r="C2645" s="1">
        <v>6</v>
      </c>
      <c r="D2645" s="47">
        <v>94</v>
      </c>
      <c r="F2645" s="47">
        <f t="shared" si="161"/>
        <v>2</v>
      </c>
    </row>
    <row r="2646" spans="1:6" x14ac:dyDescent="0.25">
      <c r="A2646" s="5" t="s">
        <v>43</v>
      </c>
      <c r="B2646" s="2">
        <v>44003</v>
      </c>
      <c r="C2646" s="1">
        <v>707</v>
      </c>
      <c r="D2646" s="47">
        <v>19002</v>
      </c>
      <c r="E2646" s="1">
        <v>8</v>
      </c>
      <c r="F2646" s="47">
        <f t="shared" si="161"/>
        <v>377</v>
      </c>
    </row>
    <row r="2647" spans="1:6" x14ac:dyDescent="0.25">
      <c r="A2647" s="5" t="s">
        <v>20</v>
      </c>
      <c r="B2647" s="2">
        <v>44003</v>
      </c>
      <c r="C2647" s="1">
        <v>13</v>
      </c>
      <c r="D2647" s="47">
        <v>568</v>
      </c>
      <c r="F2647" s="47">
        <f t="shared" si="161"/>
        <v>33</v>
      </c>
    </row>
    <row r="2648" spans="1:6" x14ac:dyDescent="0.25">
      <c r="A2648" s="5" t="s">
        <v>30</v>
      </c>
      <c r="B2648" s="2">
        <v>44003</v>
      </c>
      <c r="C2648" s="1">
        <v>0</v>
      </c>
      <c r="D2648" s="47">
        <v>115</v>
      </c>
      <c r="F2648" s="47">
        <f t="shared" si="161"/>
        <v>0</v>
      </c>
    </row>
    <row r="2649" spans="1:6" x14ac:dyDescent="0.25">
      <c r="A2649" s="5" t="s">
        <v>31</v>
      </c>
      <c r="B2649" s="2">
        <v>44003</v>
      </c>
      <c r="C2649" s="1">
        <v>10</v>
      </c>
      <c r="D2649" s="47">
        <v>144</v>
      </c>
      <c r="F2649" s="47">
        <f t="shared" si="161"/>
        <v>0</v>
      </c>
    </row>
    <row r="2650" spans="1:6" x14ac:dyDescent="0.25">
      <c r="A2650" s="5" t="s">
        <v>41</v>
      </c>
      <c r="B2650" s="2">
        <v>44003</v>
      </c>
      <c r="C2650" s="1">
        <v>0</v>
      </c>
      <c r="D2650" s="47">
        <v>39</v>
      </c>
      <c r="F2650" s="47">
        <f t="shared" ref="F2650:F2664" si="162">E2650+F2625</f>
        <v>0</v>
      </c>
    </row>
    <row r="2651" spans="1:6" x14ac:dyDescent="0.25">
      <c r="A2651" s="5" t="s">
        <v>32</v>
      </c>
      <c r="B2651" s="2">
        <v>44003</v>
      </c>
      <c r="C2651" s="1">
        <v>0</v>
      </c>
      <c r="D2651" s="47">
        <v>13</v>
      </c>
      <c r="F2651" s="47">
        <f t="shared" si="162"/>
        <v>0</v>
      </c>
    </row>
    <row r="2652" spans="1:6" x14ac:dyDescent="0.25">
      <c r="A2652" s="5" t="s">
        <v>33</v>
      </c>
      <c r="B2652" s="2">
        <v>44003</v>
      </c>
      <c r="C2652" s="1">
        <v>0</v>
      </c>
      <c r="D2652" s="47">
        <v>6</v>
      </c>
      <c r="F2652" s="47">
        <f t="shared" si="162"/>
        <v>0</v>
      </c>
    </row>
    <row r="2653" spans="1:6" x14ac:dyDescent="0.25">
      <c r="A2653" s="5" t="s">
        <v>21</v>
      </c>
      <c r="B2653" s="2">
        <v>44003</v>
      </c>
      <c r="C2653" s="1">
        <v>0</v>
      </c>
      <c r="D2653" s="47">
        <v>64</v>
      </c>
      <c r="F2653" s="47">
        <f t="shared" si="162"/>
        <v>0</v>
      </c>
    </row>
    <row r="2654" spans="1:6" x14ac:dyDescent="0.25">
      <c r="A2654" s="5" t="s">
        <v>17</v>
      </c>
      <c r="B2654" s="2">
        <v>44003</v>
      </c>
      <c r="C2654" s="1">
        <v>5</v>
      </c>
      <c r="D2654" s="47">
        <v>128</v>
      </c>
      <c r="F2654" s="47">
        <f t="shared" si="162"/>
        <v>0</v>
      </c>
    </row>
    <row r="2655" spans="1:6" x14ac:dyDescent="0.25">
      <c r="A2655" s="5" t="s">
        <v>23</v>
      </c>
      <c r="B2655" s="2">
        <v>44003</v>
      </c>
      <c r="C2655" s="1">
        <v>0</v>
      </c>
      <c r="D2655" s="47">
        <v>45</v>
      </c>
      <c r="F2655" s="47">
        <f t="shared" si="162"/>
        <v>0</v>
      </c>
    </row>
    <row r="2656" spans="1:6" x14ac:dyDescent="0.25">
      <c r="A2656" s="5" t="s">
        <v>19</v>
      </c>
      <c r="B2656" s="2">
        <v>44003</v>
      </c>
      <c r="C2656" s="1">
        <v>9</v>
      </c>
      <c r="D2656" s="47">
        <v>303</v>
      </c>
      <c r="F2656" s="47">
        <f t="shared" si="162"/>
        <v>0</v>
      </c>
    </row>
    <row r="2657" spans="1:6" x14ac:dyDescent="0.25">
      <c r="A2657" s="5" t="s">
        <v>18</v>
      </c>
      <c r="B2657" s="2">
        <v>44003</v>
      </c>
      <c r="C2657" s="1">
        <v>16</v>
      </c>
      <c r="D2657" s="47">
        <v>691</v>
      </c>
      <c r="E2657" s="1">
        <v>2</v>
      </c>
      <c r="F2657" s="47">
        <f t="shared" si="162"/>
        <v>2</v>
      </c>
    </row>
    <row r="2658" spans="1:6" x14ac:dyDescent="0.25">
      <c r="A2658" s="5" t="s">
        <v>34</v>
      </c>
      <c r="B2658" s="2">
        <v>44003</v>
      </c>
      <c r="C2658" s="1">
        <v>0</v>
      </c>
      <c r="D2658" s="47">
        <v>21</v>
      </c>
      <c r="F2658" s="47">
        <f t="shared" si="162"/>
        <v>0</v>
      </c>
    </row>
    <row r="2659" spans="1:6" x14ac:dyDescent="0.25">
      <c r="A2659" s="5" t="s">
        <v>35</v>
      </c>
      <c r="B2659" s="2">
        <v>44003</v>
      </c>
      <c r="C2659" s="1">
        <v>0</v>
      </c>
      <c r="D2659" s="47">
        <v>7</v>
      </c>
      <c r="F2659" s="47">
        <f>E2659+F2635</f>
        <v>0</v>
      </c>
    </row>
    <row r="2660" spans="1:6" x14ac:dyDescent="0.25">
      <c r="A2660" s="5" t="s">
        <v>36</v>
      </c>
      <c r="B2660" s="2">
        <v>44003</v>
      </c>
      <c r="C2660" s="1">
        <v>0</v>
      </c>
      <c r="D2660" s="47">
        <v>11</v>
      </c>
      <c r="F2660" s="47">
        <f t="shared" si="162"/>
        <v>0</v>
      </c>
    </row>
    <row r="2661" spans="1:6" x14ac:dyDescent="0.25">
      <c r="A2661" s="5" t="s">
        <v>37</v>
      </c>
      <c r="B2661" s="2">
        <v>44003</v>
      </c>
      <c r="C2661" s="1">
        <v>0</v>
      </c>
      <c r="D2661" s="47">
        <v>51</v>
      </c>
      <c r="F2661" s="47">
        <f t="shared" si="162"/>
        <v>0</v>
      </c>
    </row>
    <row r="2662" spans="1:6" x14ac:dyDescent="0.25">
      <c r="A2662" s="5" t="s">
        <v>22</v>
      </c>
      <c r="B2662" s="2">
        <v>44003</v>
      </c>
      <c r="C2662" s="1">
        <v>17</v>
      </c>
      <c r="D2662" s="47">
        <v>335</v>
      </c>
      <c r="F2662" s="47">
        <f>E2662+F2638</f>
        <v>4</v>
      </c>
    </row>
    <row r="2663" spans="1:6" x14ac:dyDescent="0.25">
      <c r="A2663" s="5" t="s">
        <v>38</v>
      </c>
      <c r="B2663" s="2">
        <v>44003</v>
      </c>
      <c r="C2663" s="1">
        <v>0</v>
      </c>
      <c r="D2663" s="47">
        <v>22</v>
      </c>
      <c r="F2663" s="47">
        <f>E2663+F2639</f>
        <v>0</v>
      </c>
    </row>
    <row r="2664" spans="1:6" x14ac:dyDescent="0.25">
      <c r="A2664" s="5" t="s">
        <v>39</v>
      </c>
      <c r="B2664" s="2">
        <v>44003</v>
      </c>
      <c r="C2664" s="1">
        <v>0</v>
      </c>
      <c r="D2664" s="47">
        <v>149</v>
      </c>
      <c r="F2664" s="47">
        <f t="shared" si="162"/>
        <v>0</v>
      </c>
    </row>
    <row r="2665" spans="1:6" x14ac:dyDescent="0.25">
      <c r="A2665" s="5" t="s">
        <v>40</v>
      </c>
      <c r="B2665" s="2">
        <v>44003</v>
      </c>
      <c r="C2665" s="1">
        <v>0</v>
      </c>
      <c r="D2665" s="47">
        <v>59</v>
      </c>
      <c r="F2665" s="47">
        <f>E2665+F2641</f>
        <v>4</v>
      </c>
    </row>
    <row r="2666" spans="1:6" x14ac:dyDescent="0.25">
      <c r="A2666" s="34" t="s">
        <v>16</v>
      </c>
      <c r="B2666" s="2">
        <v>44004</v>
      </c>
      <c r="C2666" s="1">
        <v>1037</v>
      </c>
      <c r="D2666" s="47">
        <v>20364</v>
      </c>
      <c r="E2666" s="1">
        <v>8</v>
      </c>
      <c r="F2666" s="47">
        <f>E2666+F2642</f>
        <v>449</v>
      </c>
    </row>
    <row r="2667" spans="1:6" x14ac:dyDescent="0.25">
      <c r="A2667" s="5" t="s">
        <v>28</v>
      </c>
      <c r="B2667" s="2">
        <v>44004</v>
      </c>
      <c r="C2667" s="1">
        <v>0</v>
      </c>
      <c r="D2667" s="47">
        <v>0</v>
      </c>
      <c r="F2667" s="47">
        <f t="shared" ref="F2667:F2673" si="163">E2667+F2643</f>
        <v>0</v>
      </c>
    </row>
    <row r="2668" spans="1:6" x14ac:dyDescent="0.25">
      <c r="A2668" s="5" t="s">
        <v>15</v>
      </c>
      <c r="B2668" s="2">
        <v>44004</v>
      </c>
      <c r="C2668" s="1">
        <v>20</v>
      </c>
      <c r="D2668" s="47">
        <v>1602</v>
      </c>
      <c r="E2668" s="1">
        <v>1</v>
      </c>
      <c r="F2668" s="47">
        <f>E2668+F2644</f>
        <v>84</v>
      </c>
    </row>
    <row r="2669" spans="1:6" x14ac:dyDescent="0.25">
      <c r="A2669" s="5" t="s">
        <v>29</v>
      </c>
      <c r="B2669" s="2">
        <v>44004</v>
      </c>
      <c r="C2669" s="1">
        <v>5</v>
      </c>
      <c r="D2669" s="47">
        <v>99</v>
      </c>
      <c r="F2669" s="47">
        <f t="shared" si="163"/>
        <v>2</v>
      </c>
    </row>
    <row r="2670" spans="1:6" x14ac:dyDescent="0.25">
      <c r="A2670" s="5" t="s">
        <v>43</v>
      </c>
      <c r="B2670" s="2">
        <v>44004</v>
      </c>
      <c r="C2670" s="1">
        <v>1024</v>
      </c>
      <c r="D2670" s="47">
        <v>20026</v>
      </c>
      <c r="E2670" s="1">
        <v>18</v>
      </c>
      <c r="F2670" s="47">
        <f t="shared" si="163"/>
        <v>395</v>
      </c>
    </row>
    <row r="2671" spans="1:6" x14ac:dyDescent="0.25">
      <c r="A2671" s="5" t="s">
        <v>20</v>
      </c>
      <c r="B2671" s="2">
        <v>44004</v>
      </c>
      <c r="C2671" s="1">
        <v>11</v>
      </c>
      <c r="D2671" s="47">
        <v>579</v>
      </c>
      <c r="F2671" s="47">
        <f t="shared" si="163"/>
        <v>33</v>
      </c>
    </row>
    <row r="2672" spans="1:6" x14ac:dyDescent="0.25">
      <c r="A2672" s="5" t="s">
        <v>30</v>
      </c>
      <c r="B2672" s="2">
        <v>44004</v>
      </c>
      <c r="C2672" s="1">
        <v>0</v>
      </c>
      <c r="D2672" s="47">
        <v>115</v>
      </c>
      <c r="F2672" s="47">
        <f t="shared" si="163"/>
        <v>0</v>
      </c>
    </row>
    <row r="2673" spans="1:6" x14ac:dyDescent="0.25">
      <c r="A2673" s="5" t="s">
        <v>31</v>
      </c>
      <c r="B2673" s="2">
        <v>44004</v>
      </c>
      <c r="C2673" s="1">
        <v>16</v>
      </c>
      <c r="D2673" s="47">
        <v>160</v>
      </c>
      <c r="F2673" s="47">
        <f t="shared" si="163"/>
        <v>0</v>
      </c>
    </row>
    <row r="2674" spans="1:6" x14ac:dyDescent="0.25">
      <c r="A2674" s="5" t="s">
        <v>41</v>
      </c>
      <c r="B2674" s="2">
        <v>44004</v>
      </c>
      <c r="C2674" s="1">
        <v>0</v>
      </c>
      <c r="D2674" s="47">
        <v>39</v>
      </c>
      <c r="F2674" s="47">
        <f t="shared" ref="F2674:F2688" si="164">E2674+F2649</f>
        <v>0</v>
      </c>
    </row>
    <row r="2675" spans="1:6" x14ac:dyDescent="0.25">
      <c r="A2675" s="5" t="s">
        <v>32</v>
      </c>
      <c r="B2675" s="2">
        <v>44004</v>
      </c>
      <c r="C2675" s="1">
        <v>2</v>
      </c>
      <c r="D2675" s="47">
        <v>15</v>
      </c>
      <c r="F2675" s="47">
        <f t="shared" si="164"/>
        <v>0</v>
      </c>
    </row>
    <row r="2676" spans="1:6" x14ac:dyDescent="0.25">
      <c r="A2676" s="5" t="s">
        <v>33</v>
      </c>
      <c r="B2676" s="2">
        <v>44004</v>
      </c>
      <c r="C2676" s="1">
        <v>0</v>
      </c>
      <c r="D2676" s="47">
        <v>6</v>
      </c>
      <c r="F2676" s="47">
        <f t="shared" si="164"/>
        <v>0</v>
      </c>
    </row>
    <row r="2677" spans="1:6" x14ac:dyDescent="0.25">
      <c r="A2677" s="5" t="s">
        <v>21</v>
      </c>
      <c r="B2677" s="2">
        <v>44004</v>
      </c>
      <c r="C2677" s="1">
        <v>0</v>
      </c>
      <c r="D2677" s="47">
        <v>64</v>
      </c>
      <c r="F2677" s="47">
        <f t="shared" si="164"/>
        <v>0</v>
      </c>
    </row>
    <row r="2678" spans="1:6" x14ac:dyDescent="0.25">
      <c r="A2678" s="5" t="s">
        <v>17</v>
      </c>
      <c r="B2678" s="2">
        <v>44004</v>
      </c>
      <c r="C2678" s="1">
        <v>3</v>
      </c>
      <c r="D2678" s="47">
        <v>131</v>
      </c>
      <c r="F2678" s="47">
        <f t="shared" si="164"/>
        <v>0</v>
      </c>
    </row>
    <row r="2679" spans="1:6" x14ac:dyDescent="0.25">
      <c r="A2679" s="5" t="s">
        <v>23</v>
      </c>
      <c r="B2679" s="2">
        <v>44004</v>
      </c>
      <c r="C2679" s="1">
        <v>0</v>
      </c>
      <c r="D2679" s="47">
        <v>45</v>
      </c>
      <c r="F2679" s="47">
        <f t="shared" si="164"/>
        <v>0</v>
      </c>
    </row>
    <row r="2680" spans="1:6" x14ac:dyDescent="0.25">
      <c r="A2680" s="5" t="s">
        <v>19</v>
      </c>
      <c r="B2680" s="2">
        <v>44004</v>
      </c>
      <c r="C2680" s="1">
        <v>11</v>
      </c>
      <c r="D2680" s="47">
        <v>314</v>
      </c>
      <c r="E2680" s="1">
        <v>1</v>
      </c>
      <c r="F2680" s="47">
        <f t="shared" si="164"/>
        <v>1</v>
      </c>
    </row>
    <row r="2681" spans="1:6" x14ac:dyDescent="0.25">
      <c r="A2681" s="5" t="s">
        <v>18</v>
      </c>
      <c r="B2681" s="2">
        <v>44004</v>
      </c>
      <c r="C2681" s="1">
        <v>8</v>
      </c>
      <c r="D2681" s="47">
        <v>699</v>
      </c>
      <c r="E2681" s="1">
        <v>4</v>
      </c>
      <c r="F2681" s="47">
        <f t="shared" si="164"/>
        <v>4</v>
      </c>
    </row>
    <row r="2682" spans="1:6" x14ac:dyDescent="0.25">
      <c r="A2682" s="5" t="s">
        <v>34</v>
      </c>
      <c r="B2682" s="2">
        <v>44004</v>
      </c>
      <c r="C2682" s="1">
        <v>1</v>
      </c>
      <c r="D2682" s="47">
        <v>22</v>
      </c>
      <c r="F2682" s="47">
        <f t="shared" si="164"/>
        <v>2</v>
      </c>
    </row>
    <row r="2683" spans="1:6" x14ac:dyDescent="0.25">
      <c r="A2683" s="5" t="s">
        <v>35</v>
      </c>
      <c r="B2683" s="2">
        <v>44004</v>
      </c>
      <c r="C2683" s="1">
        <v>1</v>
      </c>
      <c r="D2683" s="47">
        <v>8</v>
      </c>
      <c r="F2683" s="47">
        <f>E2683+F2659</f>
        <v>0</v>
      </c>
    </row>
    <row r="2684" spans="1:6" x14ac:dyDescent="0.25">
      <c r="A2684" s="5" t="s">
        <v>36</v>
      </c>
      <c r="B2684" s="2">
        <v>44004</v>
      </c>
      <c r="C2684" s="1">
        <v>0</v>
      </c>
      <c r="D2684" s="47">
        <v>11</v>
      </c>
      <c r="F2684" s="47">
        <f t="shared" si="164"/>
        <v>0</v>
      </c>
    </row>
    <row r="2685" spans="1:6" x14ac:dyDescent="0.25">
      <c r="A2685" s="5" t="s">
        <v>37</v>
      </c>
      <c r="B2685" s="2">
        <v>44004</v>
      </c>
      <c r="C2685" s="1">
        <v>0</v>
      </c>
      <c r="D2685" s="47">
        <v>51</v>
      </c>
      <c r="F2685" s="47">
        <f t="shared" si="164"/>
        <v>0</v>
      </c>
    </row>
    <row r="2686" spans="1:6" x14ac:dyDescent="0.25">
      <c r="A2686" s="5" t="s">
        <v>22</v>
      </c>
      <c r="B2686" s="2">
        <v>44004</v>
      </c>
      <c r="C2686" s="1">
        <v>5</v>
      </c>
      <c r="D2686" s="47">
        <v>340</v>
      </c>
      <c r="F2686" s="47">
        <f>E2686+F2662</f>
        <v>4</v>
      </c>
    </row>
    <row r="2687" spans="1:6" x14ac:dyDescent="0.25">
      <c r="A2687" s="5" t="s">
        <v>38</v>
      </c>
      <c r="B2687" s="2">
        <v>44004</v>
      </c>
      <c r="C2687" s="1">
        <v>0</v>
      </c>
      <c r="D2687" s="47">
        <v>22</v>
      </c>
      <c r="F2687" s="47">
        <f>E2687+F2663</f>
        <v>0</v>
      </c>
    </row>
    <row r="2688" spans="1:6" x14ac:dyDescent="0.25">
      <c r="A2688" s="5" t="s">
        <v>39</v>
      </c>
      <c r="B2688" s="2">
        <v>44004</v>
      </c>
      <c r="C2688" s="1">
        <v>0</v>
      </c>
      <c r="D2688" s="47">
        <v>149</v>
      </c>
      <c r="F2688" s="47">
        <f t="shared" si="164"/>
        <v>0</v>
      </c>
    </row>
    <row r="2689" spans="1:6" x14ac:dyDescent="0.25">
      <c r="A2689" s="5" t="s">
        <v>40</v>
      </c>
      <c r="B2689" s="2">
        <v>44004</v>
      </c>
      <c r="C2689" s="1">
        <v>1</v>
      </c>
      <c r="D2689" s="47">
        <v>60</v>
      </c>
      <c r="F2689" s="47">
        <f>E2689+F2665</f>
        <v>4</v>
      </c>
    </row>
    <row r="2690" spans="1:6" x14ac:dyDescent="0.25">
      <c r="A2690" s="34" t="s">
        <v>16</v>
      </c>
      <c r="B2690" s="2">
        <v>44005</v>
      </c>
      <c r="C2690" s="1">
        <v>1334</v>
      </c>
      <c r="D2690" s="47">
        <v>21698</v>
      </c>
      <c r="E2690" s="1">
        <v>15</v>
      </c>
      <c r="F2690" s="47">
        <f>E2690+F2666</f>
        <v>464</v>
      </c>
    </row>
    <row r="2691" spans="1:6" x14ac:dyDescent="0.25">
      <c r="A2691" s="5" t="s">
        <v>28</v>
      </c>
      <c r="B2691" s="2">
        <v>44005</v>
      </c>
      <c r="C2691" s="1">
        <v>0</v>
      </c>
      <c r="D2691" s="47">
        <v>0</v>
      </c>
      <c r="F2691" s="47">
        <f t="shared" ref="F2691:F2697" si="165">E2691+F2667</f>
        <v>0</v>
      </c>
    </row>
    <row r="2692" spans="1:6" x14ac:dyDescent="0.25">
      <c r="A2692" s="5" t="s">
        <v>15</v>
      </c>
      <c r="B2692" s="2">
        <v>44005</v>
      </c>
      <c r="C2692" s="1">
        <v>55</v>
      </c>
      <c r="D2692" s="47">
        <v>1657</v>
      </c>
      <c r="E2692" s="1">
        <v>1</v>
      </c>
      <c r="F2692" s="47">
        <f t="shared" si="165"/>
        <v>85</v>
      </c>
    </row>
    <row r="2693" spans="1:6" x14ac:dyDescent="0.25">
      <c r="A2693" s="5" t="s">
        <v>29</v>
      </c>
      <c r="B2693" s="2">
        <v>44005</v>
      </c>
      <c r="C2693" s="1">
        <v>2</v>
      </c>
      <c r="D2693" s="47">
        <v>101</v>
      </c>
      <c r="F2693" s="47">
        <f t="shared" si="165"/>
        <v>2</v>
      </c>
    </row>
    <row r="2694" spans="1:6" x14ac:dyDescent="0.25">
      <c r="A2694" s="5" t="s">
        <v>43</v>
      </c>
      <c r="B2694" s="2">
        <v>44005</v>
      </c>
      <c r="C2694" s="1">
        <v>759</v>
      </c>
      <c r="D2694" s="47">
        <v>20785</v>
      </c>
      <c r="E2694" s="1">
        <v>17</v>
      </c>
      <c r="F2694" s="47">
        <f>E2694+F2670</f>
        <v>412</v>
      </c>
    </row>
    <row r="2695" spans="1:6" x14ac:dyDescent="0.25">
      <c r="A2695" s="5" t="s">
        <v>20</v>
      </c>
      <c r="B2695" s="2">
        <v>44005</v>
      </c>
      <c r="C2695" s="1">
        <v>23</v>
      </c>
      <c r="D2695" s="47">
        <v>602</v>
      </c>
      <c r="F2695" s="47">
        <f t="shared" si="165"/>
        <v>33</v>
      </c>
    </row>
    <row r="2696" spans="1:6" x14ac:dyDescent="0.25">
      <c r="A2696" s="5" t="s">
        <v>30</v>
      </c>
      <c r="B2696" s="2">
        <v>44005</v>
      </c>
      <c r="C2696" s="1">
        <v>0</v>
      </c>
      <c r="D2696" s="47">
        <v>115</v>
      </c>
      <c r="F2696" s="47">
        <f t="shared" si="165"/>
        <v>0</v>
      </c>
    </row>
    <row r="2697" spans="1:6" x14ac:dyDescent="0.25">
      <c r="A2697" s="5" t="s">
        <v>31</v>
      </c>
      <c r="B2697" s="2">
        <v>44005</v>
      </c>
      <c r="C2697" s="1">
        <v>17</v>
      </c>
      <c r="D2697" s="47">
        <v>177</v>
      </c>
      <c r="F2697" s="47">
        <f t="shared" si="165"/>
        <v>0</v>
      </c>
    </row>
    <row r="2698" spans="1:6" x14ac:dyDescent="0.25">
      <c r="A2698" s="5" t="s">
        <v>41</v>
      </c>
      <c r="B2698" s="2">
        <v>44005</v>
      </c>
      <c r="C2698" s="1">
        <v>6</v>
      </c>
      <c r="D2698" s="47">
        <v>45</v>
      </c>
      <c r="F2698" s="47">
        <f t="shared" ref="F2698:F2712" si="166">E2698+F2673</f>
        <v>0</v>
      </c>
    </row>
    <row r="2699" spans="1:6" x14ac:dyDescent="0.25">
      <c r="A2699" s="5" t="s">
        <v>32</v>
      </c>
      <c r="B2699" s="2">
        <v>44005</v>
      </c>
      <c r="C2699" s="1">
        <v>2</v>
      </c>
      <c r="D2699" s="47">
        <v>17</v>
      </c>
      <c r="F2699" s="47">
        <f t="shared" si="166"/>
        <v>0</v>
      </c>
    </row>
    <row r="2700" spans="1:6" x14ac:dyDescent="0.25">
      <c r="A2700" s="5" t="s">
        <v>33</v>
      </c>
      <c r="B2700" s="2">
        <v>44005</v>
      </c>
      <c r="C2700" s="1">
        <v>0</v>
      </c>
      <c r="D2700" s="47">
        <v>6</v>
      </c>
      <c r="F2700" s="47">
        <f t="shared" si="166"/>
        <v>0</v>
      </c>
    </row>
    <row r="2701" spans="1:6" x14ac:dyDescent="0.25">
      <c r="A2701" s="5" t="s">
        <v>21</v>
      </c>
      <c r="B2701" s="2">
        <v>44005</v>
      </c>
      <c r="C2701" s="1">
        <v>1</v>
      </c>
      <c r="D2701" s="47">
        <v>65</v>
      </c>
      <c r="F2701" s="47">
        <f t="shared" si="166"/>
        <v>0</v>
      </c>
    </row>
    <row r="2702" spans="1:6" x14ac:dyDescent="0.25">
      <c r="A2702" s="5" t="s">
        <v>17</v>
      </c>
      <c r="B2702" s="2">
        <v>44005</v>
      </c>
      <c r="C2702" s="1">
        <v>8</v>
      </c>
      <c r="D2702" s="47">
        <v>139</v>
      </c>
      <c r="F2702" s="47">
        <f t="shared" si="166"/>
        <v>0</v>
      </c>
    </row>
    <row r="2703" spans="1:6" x14ac:dyDescent="0.25">
      <c r="A2703" s="5" t="s">
        <v>23</v>
      </c>
      <c r="B2703" s="2">
        <v>44005</v>
      </c>
      <c r="C2703" s="1">
        <v>0</v>
      </c>
      <c r="D2703" s="47">
        <v>45</v>
      </c>
      <c r="F2703" s="47">
        <f t="shared" si="166"/>
        <v>0</v>
      </c>
    </row>
    <row r="2704" spans="1:6" x14ac:dyDescent="0.25">
      <c r="A2704" s="5" t="s">
        <v>19</v>
      </c>
      <c r="B2704" s="2">
        <v>44005</v>
      </c>
      <c r="C2704" s="1">
        <v>29</v>
      </c>
      <c r="D2704" s="47">
        <v>343</v>
      </c>
      <c r="F2704" s="47">
        <f t="shared" si="166"/>
        <v>0</v>
      </c>
    </row>
    <row r="2705" spans="1:6" x14ac:dyDescent="0.25">
      <c r="A2705" s="5" t="s">
        <v>18</v>
      </c>
      <c r="B2705" s="2">
        <v>44005</v>
      </c>
      <c r="C2705" s="1">
        <v>19</v>
      </c>
      <c r="D2705" s="47">
        <v>718</v>
      </c>
      <c r="E2705" s="1">
        <v>1</v>
      </c>
      <c r="F2705" s="47">
        <f t="shared" si="166"/>
        <v>2</v>
      </c>
    </row>
    <row r="2706" spans="1:6" x14ac:dyDescent="0.25">
      <c r="A2706" s="5" t="s">
        <v>34</v>
      </c>
      <c r="B2706" s="2">
        <v>44005</v>
      </c>
      <c r="C2706" s="1">
        <v>0</v>
      </c>
      <c r="D2706" s="47">
        <v>22</v>
      </c>
      <c r="F2706" s="47">
        <f t="shared" si="166"/>
        <v>4</v>
      </c>
    </row>
    <row r="2707" spans="1:6" x14ac:dyDescent="0.25">
      <c r="A2707" s="5" t="s">
        <v>35</v>
      </c>
      <c r="B2707" s="2">
        <v>44005</v>
      </c>
      <c r="C2707" s="1">
        <v>0</v>
      </c>
      <c r="D2707" s="47">
        <v>8</v>
      </c>
      <c r="F2707" s="47">
        <f>E2707+F2683</f>
        <v>0</v>
      </c>
    </row>
    <row r="2708" spans="1:6" x14ac:dyDescent="0.25">
      <c r="A2708" s="5" t="s">
        <v>36</v>
      </c>
      <c r="B2708" s="2">
        <v>44005</v>
      </c>
      <c r="C2708" s="1">
        <v>0</v>
      </c>
      <c r="D2708" s="47">
        <v>11</v>
      </c>
      <c r="F2708" s="47">
        <f t="shared" si="166"/>
        <v>0</v>
      </c>
    </row>
    <row r="2709" spans="1:6" x14ac:dyDescent="0.25">
      <c r="A2709" s="5" t="s">
        <v>37</v>
      </c>
      <c r="B2709" s="2">
        <v>44005</v>
      </c>
      <c r="C2709" s="1">
        <v>0</v>
      </c>
      <c r="D2709" s="47">
        <v>51</v>
      </c>
      <c r="F2709" s="47">
        <f t="shared" si="166"/>
        <v>0</v>
      </c>
    </row>
    <row r="2710" spans="1:6" x14ac:dyDescent="0.25">
      <c r="A2710" s="5" t="s">
        <v>22</v>
      </c>
      <c r="B2710" s="2">
        <v>44005</v>
      </c>
      <c r="C2710" s="1">
        <v>29</v>
      </c>
      <c r="D2710" s="47">
        <v>369</v>
      </c>
      <c r="F2710" s="47">
        <f>E2710+F2686</f>
        <v>4</v>
      </c>
    </row>
    <row r="2711" spans="1:6" x14ac:dyDescent="0.25">
      <c r="A2711" s="5" t="s">
        <v>38</v>
      </c>
      <c r="B2711" s="2">
        <v>44005</v>
      </c>
      <c r="C2711" s="1">
        <v>0</v>
      </c>
      <c r="D2711" s="47">
        <v>22</v>
      </c>
      <c r="F2711" s="47">
        <f>E2711+F2687</f>
        <v>0</v>
      </c>
    </row>
    <row r="2712" spans="1:6" x14ac:dyDescent="0.25">
      <c r="A2712" s="5" t="s">
        <v>39</v>
      </c>
      <c r="B2712" s="2">
        <v>44005</v>
      </c>
      <c r="C2712" s="1">
        <v>0</v>
      </c>
      <c r="D2712" s="47">
        <v>149</v>
      </c>
      <c r="F2712" s="47">
        <f t="shared" si="166"/>
        <v>0</v>
      </c>
    </row>
    <row r="2713" spans="1:6" x14ac:dyDescent="0.25">
      <c r="A2713" s="5" t="s">
        <v>40</v>
      </c>
      <c r="B2713" s="2">
        <v>44005</v>
      </c>
      <c r="C2713" s="1">
        <v>0</v>
      </c>
      <c r="D2713" s="47">
        <v>60</v>
      </c>
      <c r="F2713" s="47">
        <f>E2713+F2689</f>
        <v>4</v>
      </c>
    </row>
    <row r="2714" spans="1:6" x14ac:dyDescent="0.25">
      <c r="A2714" s="34" t="s">
        <v>16</v>
      </c>
      <c r="B2714" s="2">
        <v>44006</v>
      </c>
      <c r="C2714" s="1">
        <v>1463</v>
      </c>
      <c r="D2714" s="47">
        <v>23161</v>
      </c>
      <c r="E2714" s="1">
        <v>21</v>
      </c>
      <c r="F2714" s="47">
        <f>E2714+F2690</f>
        <v>485</v>
      </c>
    </row>
    <row r="2715" spans="1:6" x14ac:dyDescent="0.25">
      <c r="A2715" s="5" t="s">
        <v>28</v>
      </c>
      <c r="B2715" s="2">
        <v>44006</v>
      </c>
      <c r="C2715" s="1">
        <v>0</v>
      </c>
      <c r="D2715" s="47">
        <v>0</v>
      </c>
      <c r="F2715" s="47">
        <f t="shared" ref="F2715:F2721" si="167">E2715+F2691</f>
        <v>0</v>
      </c>
    </row>
    <row r="2716" spans="1:6" x14ac:dyDescent="0.25">
      <c r="A2716" s="5" t="s">
        <v>15</v>
      </c>
      <c r="B2716" s="2">
        <v>44006</v>
      </c>
      <c r="C2716" s="1">
        <v>37</v>
      </c>
      <c r="D2716" s="47">
        <v>1694</v>
      </c>
      <c r="E2716" s="1">
        <v>2</v>
      </c>
      <c r="F2716" s="47">
        <f t="shared" si="167"/>
        <v>87</v>
      </c>
    </row>
    <row r="2717" spans="1:6" x14ac:dyDescent="0.25">
      <c r="A2717" s="5" t="s">
        <v>29</v>
      </c>
      <c r="B2717" s="2">
        <v>44006</v>
      </c>
      <c r="C2717" s="1">
        <v>2</v>
      </c>
      <c r="D2717" s="47">
        <v>103</v>
      </c>
      <c r="F2717" s="47">
        <f t="shared" si="167"/>
        <v>2</v>
      </c>
    </row>
    <row r="2718" spans="1:6" x14ac:dyDescent="0.25">
      <c r="A2718" s="5" t="s">
        <v>43</v>
      </c>
      <c r="B2718" s="2">
        <v>44006</v>
      </c>
      <c r="C2718" s="1">
        <v>1012</v>
      </c>
      <c r="D2718" s="47">
        <v>21797</v>
      </c>
      <c r="E2718" s="1">
        <v>10</v>
      </c>
      <c r="F2718" s="47">
        <f t="shared" si="167"/>
        <v>422</v>
      </c>
    </row>
    <row r="2719" spans="1:6" x14ac:dyDescent="0.25">
      <c r="A2719" s="5" t="s">
        <v>20</v>
      </c>
      <c r="B2719" s="2">
        <v>44006</v>
      </c>
      <c r="C2719" s="1">
        <v>2</v>
      </c>
      <c r="D2719" s="47">
        <v>604</v>
      </c>
      <c r="F2719" s="47">
        <f t="shared" si="167"/>
        <v>33</v>
      </c>
    </row>
    <row r="2720" spans="1:6" x14ac:dyDescent="0.25">
      <c r="A2720" s="5" t="s">
        <v>30</v>
      </c>
      <c r="B2720" s="2">
        <v>44006</v>
      </c>
      <c r="C2720" s="1">
        <v>0</v>
      </c>
      <c r="D2720" s="47">
        <v>115</v>
      </c>
      <c r="F2720" s="47">
        <f t="shared" si="167"/>
        <v>0</v>
      </c>
    </row>
    <row r="2721" spans="1:6" x14ac:dyDescent="0.25">
      <c r="A2721" s="5" t="s">
        <v>31</v>
      </c>
      <c r="B2721" s="2">
        <v>44006</v>
      </c>
      <c r="C2721" s="1">
        <v>24</v>
      </c>
      <c r="D2721" s="47">
        <v>201</v>
      </c>
      <c r="F2721" s="47">
        <f t="shared" si="167"/>
        <v>0</v>
      </c>
    </row>
    <row r="2722" spans="1:6" x14ac:dyDescent="0.25">
      <c r="A2722" s="5" t="s">
        <v>41</v>
      </c>
      <c r="B2722" s="2">
        <v>44006</v>
      </c>
      <c r="C2722" s="1">
        <v>0</v>
      </c>
      <c r="D2722" s="47">
        <v>45</v>
      </c>
      <c r="F2722" s="47">
        <f t="shared" ref="F2722:F2733" si="168">E2722+F2697</f>
        <v>0</v>
      </c>
    </row>
    <row r="2723" spans="1:6" x14ac:dyDescent="0.25">
      <c r="A2723" s="5" t="s">
        <v>32</v>
      </c>
      <c r="B2723" s="2">
        <v>44006</v>
      </c>
      <c r="C2723" s="1">
        <v>26</v>
      </c>
      <c r="D2723" s="47">
        <v>43</v>
      </c>
      <c r="F2723" s="47">
        <f t="shared" si="168"/>
        <v>0</v>
      </c>
    </row>
    <row r="2724" spans="1:6" x14ac:dyDescent="0.25">
      <c r="A2724" s="5" t="s">
        <v>33</v>
      </c>
      <c r="B2724" s="2">
        <v>44006</v>
      </c>
      <c r="C2724" s="1">
        <v>1</v>
      </c>
      <c r="D2724" s="47">
        <v>7</v>
      </c>
      <c r="F2724" s="47">
        <f t="shared" si="168"/>
        <v>0</v>
      </c>
    </row>
    <row r="2725" spans="1:6" x14ac:dyDescent="0.25">
      <c r="A2725" s="5" t="s">
        <v>21</v>
      </c>
      <c r="B2725" s="2">
        <v>44006</v>
      </c>
      <c r="C2725" s="1">
        <v>7</v>
      </c>
      <c r="D2725" s="47">
        <v>72</v>
      </c>
      <c r="F2725" s="47">
        <f t="shared" si="168"/>
        <v>0</v>
      </c>
    </row>
    <row r="2726" spans="1:6" x14ac:dyDescent="0.25">
      <c r="A2726" s="5" t="s">
        <v>17</v>
      </c>
      <c r="B2726" s="2">
        <v>44006</v>
      </c>
      <c r="C2726" s="1">
        <v>8</v>
      </c>
      <c r="D2726" s="47">
        <v>147</v>
      </c>
      <c r="F2726" s="47">
        <f t="shared" si="168"/>
        <v>0</v>
      </c>
    </row>
    <row r="2727" spans="1:6" x14ac:dyDescent="0.25">
      <c r="A2727" s="5" t="s">
        <v>23</v>
      </c>
      <c r="B2727" s="2">
        <v>44006</v>
      </c>
      <c r="C2727" s="1">
        <v>0</v>
      </c>
      <c r="D2727" s="47">
        <v>45</v>
      </c>
      <c r="F2727" s="47">
        <f t="shared" si="168"/>
        <v>0</v>
      </c>
    </row>
    <row r="2728" spans="1:6" x14ac:dyDescent="0.25">
      <c r="A2728" s="5" t="s">
        <v>19</v>
      </c>
      <c r="B2728" s="2">
        <v>44006</v>
      </c>
      <c r="C2728" s="1">
        <v>12</v>
      </c>
      <c r="D2728" s="47">
        <v>355</v>
      </c>
      <c r="E2728" s="1">
        <v>1</v>
      </c>
      <c r="F2728" s="47">
        <f t="shared" si="168"/>
        <v>1</v>
      </c>
    </row>
    <row r="2729" spans="1:6" x14ac:dyDescent="0.25">
      <c r="A2729" s="5" t="s">
        <v>18</v>
      </c>
      <c r="B2729" s="2">
        <v>44006</v>
      </c>
      <c r="C2729" s="1">
        <v>24</v>
      </c>
      <c r="D2729" s="47">
        <v>742</v>
      </c>
      <c r="E2729" s="1">
        <v>2</v>
      </c>
      <c r="F2729" s="47">
        <f t="shared" si="168"/>
        <v>2</v>
      </c>
    </row>
    <row r="2730" spans="1:6" x14ac:dyDescent="0.25">
      <c r="A2730" s="5" t="s">
        <v>34</v>
      </c>
      <c r="B2730" s="2">
        <v>44006</v>
      </c>
      <c r="C2730" s="1">
        <v>3</v>
      </c>
      <c r="D2730" s="47">
        <v>25</v>
      </c>
      <c r="F2730" s="47">
        <f t="shared" si="168"/>
        <v>2</v>
      </c>
    </row>
    <row r="2731" spans="1:6" x14ac:dyDescent="0.25">
      <c r="A2731" s="5" t="s">
        <v>35</v>
      </c>
      <c r="B2731" s="2">
        <v>44006</v>
      </c>
      <c r="C2731" s="1">
        <v>0</v>
      </c>
      <c r="D2731" s="47">
        <v>8</v>
      </c>
      <c r="F2731" s="47">
        <f>E2731+F2707</f>
        <v>0</v>
      </c>
    </row>
    <row r="2732" spans="1:6" x14ac:dyDescent="0.25">
      <c r="A2732" s="5" t="s">
        <v>36</v>
      </c>
      <c r="B2732" s="2">
        <v>44006</v>
      </c>
      <c r="C2732" s="1">
        <v>0</v>
      </c>
      <c r="D2732" s="47">
        <v>11</v>
      </c>
      <c r="F2732" s="47">
        <f t="shared" si="168"/>
        <v>0</v>
      </c>
    </row>
    <row r="2733" spans="1:6" x14ac:dyDescent="0.25">
      <c r="A2733" s="5" t="s">
        <v>37</v>
      </c>
      <c r="B2733" s="2">
        <v>44006</v>
      </c>
      <c r="C2733" s="1">
        <v>-1</v>
      </c>
      <c r="D2733" s="47">
        <v>50</v>
      </c>
      <c r="F2733" s="47">
        <f t="shared" si="168"/>
        <v>0</v>
      </c>
    </row>
    <row r="2734" spans="1:6" x14ac:dyDescent="0.25">
      <c r="A2734" s="5" t="s">
        <v>22</v>
      </c>
      <c r="B2734" s="2">
        <v>44006</v>
      </c>
      <c r="C2734" s="1">
        <v>4</v>
      </c>
      <c r="D2734" s="47">
        <v>373</v>
      </c>
      <c r="F2734" s="47">
        <f>E2734+F2710</f>
        <v>4</v>
      </c>
    </row>
    <row r="2735" spans="1:6" x14ac:dyDescent="0.25">
      <c r="A2735" s="5" t="s">
        <v>38</v>
      </c>
      <c r="B2735" s="2">
        <v>44006</v>
      </c>
      <c r="C2735" s="1">
        <v>0</v>
      </c>
      <c r="D2735" s="47">
        <v>22</v>
      </c>
      <c r="F2735" s="47">
        <f>E2735+F2711</f>
        <v>0</v>
      </c>
    </row>
    <row r="2736" spans="1:6" x14ac:dyDescent="0.25">
      <c r="A2736" s="5" t="s">
        <v>39</v>
      </c>
      <c r="B2736" s="2">
        <v>44006</v>
      </c>
      <c r="C2736" s="1">
        <v>0</v>
      </c>
      <c r="D2736" s="47">
        <v>149</v>
      </c>
      <c r="E2736" s="1">
        <v>1</v>
      </c>
      <c r="F2736" s="47">
        <f>E2736+F2712</f>
        <v>1</v>
      </c>
    </row>
    <row r="2737" spans="1:6" x14ac:dyDescent="0.25">
      <c r="A2737" s="5" t="s">
        <v>40</v>
      </c>
      <c r="B2737" s="2">
        <v>44006</v>
      </c>
      <c r="C2737" s="1">
        <v>10</v>
      </c>
      <c r="D2737" s="47">
        <v>70</v>
      </c>
      <c r="F2737" s="47">
        <f>E2737+F2713</f>
        <v>4</v>
      </c>
    </row>
    <row r="2738" spans="1:6" x14ac:dyDescent="0.25">
      <c r="A2738" s="34" t="s">
        <v>16</v>
      </c>
      <c r="B2738" s="2">
        <v>44007</v>
      </c>
      <c r="C2738" s="1">
        <v>1482</v>
      </c>
      <c r="D2738" s="47">
        <v>24643</v>
      </c>
      <c r="E2738" s="1">
        <v>15</v>
      </c>
      <c r="F2738" s="47">
        <f>E2738+F2714</f>
        <v>500</v>
      </c>
    </row>
    <row r="2739" spans="1:6" x14ac:dyDescent="0.25">
      <c r="A2739" s="5" t="s">
        <v>28</v>
      </c>
      <c r="B2739" s="2">
        <v>44007</v>
      </c>
      <c r="C2739" s="1">
        <v>0</v>
      </c>
      <c r="D2739" s="47">
        <v>0</v>
      </c>
      <c r="F2739" s="47">
        <f t="shared" ref="F2739:F2745" si="169">E2739+F2715</f>
        <v>0</v>
      </c>
    </row>
    <row r="2740" spans="1:6" x14ac:dyDescent="0.25">
      <c r="A2740" s="5" t="s">
        <v>15</v>
      </c>
      <c r="B2740" s="2">
        <v>44007</v>
      </c>
      <c r="C2740" s="1">
        <v>61</v>
      </c>
      <c r="D2740" s="47">
        <v>1755</v>
      </c>
      <c r="E2740" s="1">
        <v>2</v>
      </c>
      <c r="F2740" s="47">
        <f t="shared" si="169"/>
        <v>89</v>
      </c>
    </row>
    <row r="2741" spans="1:6" x14ac:dyDescent="0.25">
      <c r="A2741" s="5" t="s">
        <v>29</v>
      </c>
      <c r="B2741" s="2">
        <v>44007</v>
      </c>
      <c r="C2741" s="1">
        <v>1</v>
      </c>
      <c r="D2741" s="47">
        <v>104</v>
      </c>
      <c r="F2741" s="47">
        <f t="shared" si="169"/>
        <v>2</v>
      </c>
    </row>
    <row r="2742" spans="1:6" x14ac:dyDescent="0.25">
      <c r="A2742" s="5" t="s">
        <v>43</v>
      </c>
      <c r="B2742" s="2">
        <v>44007</v>
      </c>
      <c r="C2742" s="1">
        <v>942</v>
      </c>
      <c r="D2742" s="47">
        <v>22739</v>
      </c>
      <c r="E2742" s="1">
        <v>15</v>
      </c>
      <c r="F2742" s="47">
        <f t="shared" si="169"/>
        <v>437</v>
      </c>
    </row>
    <row r="2743" spans="1:6" x14ac:dyDescent="0.25">
      <c r="A2743" s="5" t="s">
        <v>20</v>
      </c>
      <c r="B2743" s="2">
        <v>44007</v>
      </c>
      <c r="C2743" s="1">
        <v>6</v>
      </c>
      <c r="D2743" s="47">
        <v>610</v>
      </c>
      <c r="F2743" s="47">
        <f t="shared" si="169"/>
        <v>33</v>
      </c>
    </row>
    <row r="2744" spans="1:6" x14ac:dyDescent="0.25">
      <c r="A2744" s="5" t="s">
        <v>30</v>
      </c>
      <c r="B2744" s="2">
        <v>44007</v>
      </c>
      <c r="C2744" s="1">
        <v>0</v>
      </c>
      <c r="D2744" s="47">
        <v>115</v>
      </c>
      <c r="F2744" s="47">
        <f t="shared" si="169"/>
        <v>0</v>
      </c>
    </row>
    <row r="2745" spans="1:6" x14ac:dyDescent="0.25">
      <c r="A2745" s="5" t="s">
        <v>31</v>
      </c>
      <c r="B2745" s="2">
        <v>44007</v>
      </c>
      <c r="C2745" s="1">
        <v>17</v>
      </c>
      <c r="D2745" s="47">
        <v>218</v>
      </c>
      <c r="F2745" s="47">
        <f t="shared" si="169"/>
        <v>0</v>
      </c>
    </row>
    <row r="2746" spans="1:6" x14ac:dyDescent="0.25">
      <c r="A2746" s="5" t="s">
        <v>41</v>
      </c>
      <c r="B2746" s="2">
        <v>44007</v>
      </c>
      <c r="C2746" s="1">
        <v>0</v>
      </c>
      <c r="D2746" s="47">
        <v>45</v>
      </c>
      <c r="F2746" s="47">
        <f t="shared" ref="F2746:F2757" si="170">E2746+F2721</f>
        <v>0</v>
      </c>
    </row>
    <row r="2747" spans="1:6" x14ac:dyDescent="0.25">
      <c r="A2747" s="5" t="s">
        <v>32</v>
      </c>
      <c r="B2747" s="2">
        <v>44007</v>
      </c>
      <c r="C2747" s="1">
        <v>1</v>
      </c>
      <c r="D2747" s="47">
        <v>44</v>
      </c>
      <c r="F2747" s="47">
        <f t="shared" si="170"/>
        <v>0</v>
      </c>
    </row>
    <row r="2748" spans="1:6" x14ac:dyDescent="0.25">
      <c r="A2748" s="5" t="s">
        <v>33</v>
      </c>
      <c r="B2748" s="2">
        <v>44007</v>
      </c>
      <c r="C2748" s="1">
        <v>0</v>
      </c>
      <c r="D2748" s="47">
        <v>7</v>
      </c>
      <c r="F2748" s="47">
        <f t="shared" si="170"/>
        <v>0</v>
      </c>
    </row>
    <row r="2749" spans="1:6" x14ac:dyDescent="0.25">
      <c r="A2749" s="5" t="s">
        <v>21</v>
      </c>
      <c r="B2749" s="2">
        <v>44007</v>
      </c>
      <c r="C2749" s="1">
        <v>2</v>
      </c>
      <c r="D2749" s="47">
        <v>74</v>
      </c>
      <c r="F2749" s="47">
        <f t="shared" si="170"/>
        <v>0</v>
      </c>
    </row>
    <row r="2750" spans="1:6" x14ac:dyDescent="0.25">
      <c r="A2750" s="5" t="s">
        <v>17</v>
      </c>
      <c r="B2750" s="2">
        <v>44007</v>
      </c>
      <c r="C2750" s="1">
        <v>1</v>
      </c>
      <c r="D2750" s="47">
        <v>148</v>
      </c>
      <c r="F2750" s="47">
        <f t="shared" si="170"/>
        <v>0</v>
      </c>
    </row>
    <row r="2751" spans="1:6" x14ac:dyDescent="0.25">
      <c r="A2751" s="5" t="s">
        <v>23</v>
      </c>
      <c r="B2751" s="2">
        <v>44007</v>
      </c>
      <c r="C2751" s="1">
        <v>1</v>
      </c>
      <c r="D2751" s="47">
        <v>46</v>
      </c>
      <c r="F2751" s="47">
        <f t="shared" si="170"/>
        <v>0</v>
      </c>
    </row>
    <row r="2752" spans="1:6" x14ac:dyDescent="0.25">
      <c r="A2752" s="5" t="s">
        <v>19</v>
      </c>
      <c r="B2752" s="2">
        <v>44007</v>
      </c>
      <c r="C2752" s="1">
        <v>20</v>
      </c>
      <c r="D2752" s="47">
        <v>375</v>
      </c>
      <c r="E2752" s="1">
        <v>2</v>
      </c>
      <c r="F2752" s="47">
        <f t="shared" si="170"/>
        <v>2</v>
      </c>
    </row>
    <row r="2753" spans="1:6" x14ac:dyDescent="0.25">
      <c r="A2753" s="5" t="s">
        <v>18</v>
      </c>
      <c r="B2753" s="2">
        <v>44007</v>
      </c>
      <c r="C2753" s="1">
        <v>50</v>
      </c>
      <c r="D2753" s="47">
        <v>792</v>
      </c>
      <c r="F2753" s="47">
        <f t="shared" si="170"/>
        <v>1</v>
      </c>
    </row>
    <row r="2754" spans="1:6" x14ac:dyDescent="0.25">
      <c r="A2754" s="5" t="s">
        <v>34</v>
      </c>
      <c r="B2754" s="2">
        <v>44007</v>
      </c>
      <c r="C2754" s="1">
        <v>0</v>
      </c>
      <c r="D2754" s="47">
        <v>25</v>
      </c>
      <c r="F2754" s="47">
        <f t="shared" si="170"/>
        <v>2</v>
      </c>
    </row>
    <row r="2755" spans="1:6" x14ac:dyDescent="0.25">
      <c r="A2755" s="5" t="s">
        <v>35</v>
      </c>
      <c r="B2755" s="2">
        <v>44007</v>
      </c>
      <c r="C2755" s="1">
        <v>0</v>
      </c>
      <c r="D2755" s="47">
        <v>8</v>
      </c>
      <c r="F2755" s="47">
        <f>E2755+F2731</f>
        <v>0</v>
      </c>
    </row>
    <row r="2756" spans="1:6" x14ac:dyDescent="0.25">
      <c r="A2756" s="5" t="s">
        <v>36</v>
      </c>
      <c r="B2756" s="2">
        <v>44007</v>
      </c>
      <c r="C2756" s="1">
        <v>0</v>
      </c>
      <c r="D2756" s="47">
        <v>11</v>
      </c>
      <c r="F2756" s="47">
        <f t="shared" si="170"/>
        <v>0</v>
      </c>
    </row>
    <row r="2757" spans="1:6" x14ac:dyDescent="0.25">
      <c r="A2757" s="5" t="s">
        <v>37</v>
      </c>
      <c r="B2757" s="2">
        <v>44007</v>
      </c>
      <c r="C2757" s="1">
        <v>0</v>
      </c>
      <c r="D2757" s="47">
        <v>50</v>
      </c>
      <c r="F2757" s="47">
        <f t="shared" si="170"/>
        <v>0</v>
      </c>
    </row>
    <row r="2758" spans="1:6" x14ac:dyDescent="0.25">
      <c r="A2758" s="5" t="s">
        <v>22</v>
      </c>
      <c r="B2758" s="2">
        <v>44007</v>
      </c>
      <c r="C2758" s="1">
        <v>21</v>
      </c>
      <c r="D2758" s="47">
        <v>394</v>
      </c>
      <c r="F2758" s="47">
        <f>E2758+F2734</f>
        <v>4</v>
      </c>
    </row>
    <row r="2759" spans="1:6" x14ac:dyDescent="0.25">
      <c r="A2759" s="5" t="s">
        <v>38</v>
      </c>
      <c r="B2759" s="2">
        <v>44007</v>
      </c>
      <c r="C2759" s="1">
        <v>0</v>
      </c>
      <c r="D2759" s="47">
        <v>22</v>
      </c>
      <c r="F2759" s="47">
        <f>E2759+F2735</f>
        <v>0</v>
      </c>
    </row>
    <row r="2760" spans="1:6" x14ac:dyDescent="0.25">
      <c r="A2760" s="5" t="s">
        <v>39</v>
      </c>
      <c r="B2760" s="2">
        <v>44007</v>
      </c>
      <c r="C2760" s="1">
        <v>0</v>
      </c>
      <c r="D2760" s="47">
        <v>149</v>
      </c>
      <c r="F2760" s="47">
        <f>E2760+F2736</f>
        <v>1</v>
      </c>
    </row>
    <row r="2761" spans="1:6" x14ac:dyDescent="0.25">
      <c r="A2761" s="5" t="s">
        <v>40</v>
      </c>
      <c r="B2761" s="2">
        <v>44007</v>
      </c>
      <c r="C2761" s="1">
        <v>1</v>
      </c>
      <c r="D2761" s="47">
        <v>71</v>
      </c>
      <c r="F2761" s="47">
        <f>E2761+F2737</f>
        <v>4</v>
      </c>
    </row>
    <row r="2762" spans="1:6" x14ac:dyDescent="0.25">
      <c r="A2762" s="34" t="s">
        <v>16</v>
      </c>
      <c r="B2762" s="2">
        <v>44008</v>
      </c>
      <c r="C2762" s="1">
        <v>1692</v>
      </c>
      <c r="D2762" s="47">
        <v>26335</v>
      </c>
      <c r="E2762" s="1">
        <v>21</v>
      </c>
      <c r="F2762" s="47">
        <f>E2762+F2738</f>
        <v>521</v>
      </c>
    </row>
    <row r="2763" spans="1:6" x14ac:dyDescent="0.25">
      <c r="A2763" s="5" t="s">
        <v>28</v>
      </c>
      <c r="B2763" s="2">
        <v>44008</v>
      </c>
      <c r="C2763" s="1">
        <v>0</v>
      </c>
      <c r="D2763" s="47">
        <v>0</v>
      </c>
      <c r="F2763" s="47">
        <f t="shared" ref="F2763:F2769" si="171">E2763+F2739</f>
        <v>0</v>
      </c>
    </row>
    <row r="2764" spans="1:6" x14ac:dyDescent="0.25">
      <c r="A2764" s="5" t="s">
        <v>15</v>
      </c>
      <c r="B2764" s="2">
        <v>44008</v>
      </c>
      <c r="C2764" s="1">
        <v>76</v>
      </c>
      <c r="D2764" s="47">
        <v>1831</v>
      </c>
      <c r="E2764" s="1">
        <v>2</v>
      </c>
      <c r="F2764" s="47">
        <f t="shared" si="171"/>
        <v>91</v>
      </c>
    </row>
    <row r="2765" spans="1:6" x14ac:dyDescent="0.25">
      <c r="A2765" s="5" t="s">
        <v>29</v>
      </c>
      <c r="B2765" s="2">
        <v>44008</v>
      </c>
      <c r="C2765" s="1">
        <v>10</v>
      </c>
      <c r="D2765" s="47">
        <v>114</v>
      </c>
      <c r="F2765" s="47">
        <f t="shared" si="171"/>
        <v>2</v>
      </c>
    </row>
    <row r="2766" spans="1:6" x14ac:dyDescent="0.25">
      <c r="A2766" s="5" t="s">
        <v>43</v>
      </c>
      <c r="B2766" s="2">
        <v>44008</v>
      </c>
      <c r="C2766" s="1">
        <v>967</v>
      </c>
      <c r="D2766" s="47">
        <v>23706</v>
      </c>
      <c r="E2766" s="1">
        <v>11</v>
      </c>
      <c r="F2766" s="47">
        <f t="shared" si="171"/>
        <v>448</v>
      </c>
    </row>
    <row r="2767" spans="1:6" x14ac:dyDescent="0.25">
      <c r="A2767" s="5" t="s">
        <v>20</v>
      </c>
      <c r="B2767" s="2">
        <v>44008</v>
      </c>
      <c r="C2767" s="1">
        <v>8</v>
      </c>
      <c r="D2767" s="47">
        <v>618</v>
      </c>
      <c r="F2767" s="47">
        <f t="shared" si="171"/>
        <v>33</v>
      </c>
    </row>
    <row r="2768" spans="1:6" x14ac:dyDescent="0.25">
      <c r="A2768" s="5" t="s">
        <v>30</v>
      </c>
      <c r="B2768" s="2">
        <v>44008</v>
      </c>
      <c r="C2768" s="1">
        <v>0</v>
      </c>
      <c r="D2768" s="47">
        <v>115</v>
      </c>
      <c r="F2768" s="47">
        <f t="shared" si="171"/>
        <v>0</v>
      </c>
    </row>
    <row r="2769" spans="1:6" x14ac:dyDescent="0.25">
      <c r="A2769" s="5" t="s">
        <v>31</v>
      </c>
      <c r="B2769" s="2">
        <v>44008</v>
      </c>
      <c r="C2769" s="1">
        <v>19</v>
      </c>
      <c r="D2769" s="47">
        <v>237</v>
      </c>
      <c r="F2769" s="47">
        <f t="shared" si="171"/>
        <v>0</v>
      </c>
    </row>
    <row r="2770" spans="1:6" x14ac:dyDescent="0.25">
      <c r="A2770" s="5" t="s">
        <v>41</v>
      </c>
      <c r="B2770" s="2">
        <v>44008</v>
      </c>
      <c r="C2770" s="1">
        <v>25</v>
      </c>
      <c r="D2770" s="47">
        <v>70</v>
      </c>
      <c r="F2770" s="47">
        <f t="shared" ref="F2770:F2781" si="172">E2770+F2745</f>
        <v>0</v>
      </c>
    </row>
    <row r="2771" spans="1:6" x14ac:dyDescent="0.25">
      <c r="A2771" s="5" t="s">
        <v>32</v>
      </c>
      <c r="B2771" s="2">
        <v>44008</v>
      </c>
      <c r="C2771" s="1">
        <v>27</v>
      </c>
      <c r="D2771" s="47">
        <v>71</v>
      </c>
      <c r="F2771" s="47">
        <f t="shared" si="172"/>
        <v>0</v>
      </c>
    </row>
    <row r="2772" spans="1:6" x14ac:dyDescent="0.25">
      <c r="A2772" s="5" t="s">
        <v>33</v>
      </c>
      <c r="B2772" s="2">
        <v>44008</v>
      </c>
      <c r="C2772" s="1">
        <v>0</v>
      </c>
      <c r="D2772" s="47">
        <v>7</v>
      </c>
      <c r="F2772" s="47">
        <f t="shared" si="172"/>
        <v>0</v>
      </c>
    </row>
    <row r="2773" spans="1:6" x14ac:dyDescent="0.25">
      <c r="A2773" s="5" t="s">
        <v>21</v>
      </c>
      <c r="B2773" s="2">
        <v>44008</v>
      </c>
      <c r="C2773" s="1">
        <v>1</v>
      </c>
      <c r="D2773" s="47">
        <v>75</v>
      </c>
      <c r="F2773" s="47">
        <f t="shared" si="172"/>
        <v>0</v>
      </c>
    </row>
    <row r="2774" spans="1:6" x14ac:dyDescent="0.25">
      <c r="A2774" s="5" t="s">
        <v>17</v>
      </c>
      <c r="B2774" s="2">
        <v>44008</v>
      </c>
      <c r="C2774" s="1">
        <v>3</v>
      </c>
      <c r="D2774" s="47">
        <v>151</v>
      </c>
      <c r="F2774" s="47">
        <f t="shared" si="172"/>
        <v>0</v>
      </c>
    </row>
    <row r="2775" spans="1:6" x14ac:dyDescent="0.25">
      <c r="A2775" s="5" t="s">
        <v>23</v>
      </c>
      <c r="B2775" s="2">
        <v>44008</v>
      </c>
      <c r="C2775" s="1">
        <v>0</v>
      </c>
      <c r="D2775" s="47">
        <v>46</v>
      </c>
      <c r="F2775" s="47">
        <f t="shared" si="172"/>
        <v>0</v>
      </c>
    </row>
    <row r="2776" spans="1:6" x14ac:dyDescent="0.25">
      <c r="A2776" s="5" t="s">
        <v>19</v>
      </c>
      <c r="B2776" s="2">
        <v>44008</v>
      </c>
      <c r="C2776" s="1">
        <v>31</v>
      </c>
      <c r="D2776" s="47">
        <v>406</v>
      </c>
      <c r="F2776" s="47">
        <f t="shared" si="172"/>
        <v>0</v>
      </c>
    </row>
    <row r="2777" spans="1:6" x14ac:dyDescent="0.25">
      <c r="A2777" s="5" t="s">
        <v>18</v>
      </c>
      <c r="B2777" s="2">
        <v>44008</v>
      </c>
      <c r="C2777" s="1">
        <v>13</v>
      </c>
      <c r="D2777" s="47">
        <v>805</v>
      </c>
      <c r="F2777" s="47">
        <f t="shared" si="172"/>
        <v>2</v>
      </c>
    </row>
    <row r="2778" spans="1:6" x14ac:dyDescent="0.25">
      <c r="A2778" s="5" t="s">
        <v>34</v>
      </c>
      <c r="B2778" s="2">
        <v>44008</v>
      </c>
      <c r="C2778" s="1">
        <v>0</v>
      </c>
      <c r="D2778" s="47">
        <v>25</v>
      </c>
      <c r="F2778" s="47">
        <f t="shared" si="172"/>
        <v>1</v>
      </c>
    </row>
    <row r="2779" spans="1:6" x14ac:dyDescent="0.25">
      <c r="A2779" s="5" t="s">
        <v>35</v>
      </c>
      <c r="B2779" s="2">
        <v>44008</v>
      </c>
      <c r="C2779" s="1">
        <v>0</v>
      </c>
      <c r="D2779" s="47">
        <v>8</v>
      </c>
      <c r="F2779" s="47">
        <f>E2779+F2755</f>
        <v>0</v>
      </c>
    </row>
    <row r="2780" spans="1:6" x14ac:dyDescent="0.25">
      <c r="A2780" s="5" t="s">
        <v>36</v>
      </c>
      <c r="B2780" s="2">
        <v>44008</v>
      </c>
      <c r="C2780" s="1">
        <v>0</v>
      </c>
      <c r="D2780" s="47">
        <v>11</v>
      </c>
      <c r="F2780" s="47">
        <f t="shared" si="172"/>
        <v>0</v>
      </c>
    </row>
    <row r="2781" spans="1:6" x14ac:dyDescent="0.25">
      <c r="A2781" s="5" t="s">
        <v>37</v>
      </c>
      <c r="B2781" s="2">
        <v>44008</v>
      </c>
      <c r="C2781" s="1">
        <v>0</v>
      </c>
      <c r="D2781" s="47">
        <v>50</v>
      </c>
      <c r="F2781" s="47">
        <f t="shared" si="172"/>
        <v>0</v>
      </c>
    </row>
    <row r="2782" spans="1:6" x14ac:dyDescent="0.25">
      <c r="A2782" s="5" t="s">
        <v>22</v>
      </c>
      <c r="B2782" s="2">
        <v>44008</v>
      </c>
      <c r="C2782" s="1">
        <v>12</v>
      </c>
      <c r="D2782" s="47">
        <v>406</v>
      </c>
      <c r="F2782" s="47">
        <f>E2782+F2758</f>
        <v>4</v>
      </c>
    </row>
    <row r="2783" spans="1:6" x14ac:dyDescent="0.25">
      <c r="A2783" s="5" t="s">
        <v>38</v>
      </c>
      <c r="B2783" s="2">
        <v>44008</v>
      </c>
      <c r="C2783" s="1">
        <v>0</v>
      </c>
      <c r="D2783" s="47">
        <v>22</v>
      </c>
      <c r="F2783" s="47">
        <f>E2783+F2759</f>
        <v>0</v>
      </c>
    </row>
    <row r="2784" spans="1:6" x14ac:dyDescent="0.25">
      <c r="A2784" s="5" t="s">
        <v>39</v>
      </c>
      <c r="B2784" s="2">
        <v>44008</v>
      </c>
      <c r="C2784" s="1">
        <v>0</v>
      </c>
      <c r="D2784" s="47">
        <v>149</v>
      </c>
      <c r="F2784" s="47">
        <f>E2784+F2760</f>
        <v>1</v>
      </c>
    </row>
    <row r="2785" spans="1:6" x14ac:dyDescent="0.25">
      <c r="A2785" s="5" t="s">
        <v>40</v>
      </c>
      <c r="B2785" s="2">
        <v>44008</v>
      </c>
      <c r="C2785" s="1">
        <v>1</v>
      </c>
      <c r="D2785" s="47">
        <v>72</v>
      </c>
      <c r="F2785" s="47">
        <f>E2785+F2761</f>
        <v>4</v>
      </c>
    </row>
    <row r="2786" spans="1:6" x14ac:dyDescent="0.25">
      <c r="A2786" s="34" t="s">
        <v>16</v>
      </c>
      <c r="B2786" s="2">
        <v>44009</v>
      </c>
      <c r="C2786" s="1">
        <v>1423</v>
      </c>
      <c r="D2786" s="47">
        <v>27758</v>
      </c>
      <c r="E2786" s="1">
        <v>13</v>
      </c>
      <c r="F2786" s="47">
        <f>E2786+F2762</f>
        <v>534</v>
      </c>
    </row>
    <row r="2787" spans="1:6" x14ac:dyDescent="0.25">
      <c r="A2787" s="5" t="s">
        <v>28</v>
      </c>
      <c r="B2787" s="2">
        <v>44009</v>
      </c>
      <c r="C2787" s="1">
        <v>0</v>
      </c>
      <c r="D2787" s="47">
        <v>0</v>
      </c>
      <c r="F2787" s="47">
        <f t="shared" ref="F2787:F2793" si="173">E2787+F2763</f>
        <v>0</v>
      </c>
    </row>
    <row r="2788" spans="1:6" x14ac:dyDescent="0.25">
      <c r="A2788" s="5" t="s">
        <v>15</v>
      </c>
      <c r="B2788" s="2">
        <v>44009</v>
      </c>
      <c r="C2788" s="1">
        <v>52</v>
      </c>
      <c r="D2788" s="47">
        <v>1883</v>
      </c>
      <c r="F2788" s="47">
        <f t="shared" si="173"/>
        <v>91</v>
      </c>
    </row>
    <row r="2789" spans="1:6" x14ac:dyDescent="0.25">
      <c r="A2789" s="5" t="s">
        <v>29</v>
      </c>
      <c r="B2789" s="2">
        <v>44009</v>
      </c>
      <c r="C2789" s="1">
        <v>0</v>
      </c>
      <c r="D2789" s="47">
        <v>114</v>
      </c>
      <c r="F2789" s="47">
        <f t="shared" si="173"/>
        <v>2</v>
      </c>
    </row>
    <row r="2790" spans="1:6" x14ac:dyDescent="0.25">
      <c r="A2790" s="5" t="s">
        <v>43</v>
      </c>
      <c r="B2790" s="2">
        <v>44009</v>
      </c>
      <c r="C2790" s="1">
        <v>849</v>
      </c>
      <c r="D2790" s="47">
        <v>24555</v>
      </c>
      <c r="E2790" s="1">
        <v>10</v>
      </c>
      <c r="F2790" s="47">
        <f t="shared" si="173"/>
        <v>458</v>
      </c>
    </row>
    <row r="2791" spans="1:6" x14ac:dyDescent="0.25">
      <c r="A2791" s="5" t="s">
        <v>20</v>
      </c>
      <c r="B2791" s="2">
        <v>44009</v>
      </c>
      <c r="C2791" s="1">
        <v>15</v>
      </c>
      <c r="D2791" s="47">
        <v>633</v>
      </c>
      <c r="F2791" s="47">
        <f t="shared" si="173"/>
        <v>33</v>
      </c>
    </row>
    <row r="2792" spans="1:6" x14ac:dyDescent="0.25">
      <c r="A2792" s="5" t="s">
        <v>30</v>
      </c>
      <c r="B2792" s="2">
        <v>44009</v>
      </c>
      <c r="C2792" s="1">
        <v>1</v>
      </c>
      <c r="D2792" s="47">
        <v>116</v>
      </c>
      <c r="F2792" s="47">
        <f t="shared" si="173"/>
        <v>0</v>
      </c>
    </row>
    <row r="2793" spans="1:6" x14ac:dyDescent="0.25">
      <c r="A2793" s="5" t="s">
        <v>31</v>
      </c>
      <c r="B2793" s="2">
        <v>44009</v>
      </c>
      <c r="C2793" s="1">
        <v>12</v>
      </c>
      <c r="D2793" s="47">
        <v>249</v>
      </c>
      <c r="F2793" s="47">
        <f t="shared" si="173"/>
        <v>0</v>
      </c>
    </row>
    <row r="2794" spans="1:6" x14ac:dyDescent="0.25">
      <c r="A2794" s="5" t="s">
        <v>41</v>
      </c>
      <c r="B2794" s="2">
        <v>44009</v>
      </c>
      <c r="C2794" s="1">
        <v>1</v>
      </c>
      <c r="D2794" s="47">
        <v>71</v>
      </c>
      <c r="F2794" s="47">
        <f t="shared" ref="F2794:F2805" si="174">E2794+F2769</f>
        <v>0</v>
      </c>
    </row>
    <row r="2795" spans="1:6" x14ac:dyDescent="0.25">
      <c r="A2795" s="5" t="s">
        <v>32</v>
      </c>
      <c r="B2795" s="2">
        <v>44009</v>
      </c>
      <c r="C2795" s="1">
        <v>3</v>
      </c>
      <c r="D2795" s="47">
        <v>74</v>
      </c>
      <c r="F2795" s="47">
        <f t="shared" si="174"/>
        <v>0</v>
      </c>
    </row>
    <row r="2796" spans="1:6" x14ac:dyDescent="0.25">
      <c r="A2796" s="5" t="s">
        <v>33</v>
      </c>
      <c r="B2796" s="2">
        <v>44009</v>
      </c>
      <c r="C2796" s="1">
        <v>0</v>
      </c>
      <c r="D2796" s="47">
        <v>7</v>
      </c>
      <c r="F2796" s="47">
        <f t="shared" si="174"/>
        <v>0</v>
      </c>
    </row>
    <row r="2797" spans="1:6" x14ac:dyDescent="0.25">
      <c r="A2797" s="5" t="s">
        <v>21</v>
      </c>
      <c r="B2797" s="2">
        <v>44009</v>
      </c>
      <c r="C2797" s="1">
        <v>1</v>
      </c>
      <c r="D2797" s="47">
        <v>76</v>
      </c>
      <c r="F2797" s="47">
        <f t="shared" si="174"/>
        <v>0</v>
      </c>
    </row>
    <row r="2798" spans="1:6" x14ac:dyDescent="0.25">
      <c r="A2798" s="5" t="s">
        <v>17</v>
      </c>
      <c r="B2798" s="2">
        <v>44009</v>
      </c>
      <c r="C2798" s="1">
        <v>6</v>
      </c>
      <c r="D2798" s="47">
        <v>157</v>
      </c>
      <c r="F2798" s="47">
        <f t="shared" si="174"/>
        <v>0</v>
      </c>
    </row>
    <row r="2799" spans="1:6" x14ac:dyDescent="0.25">
      <c r="A2799" s="5" t="s">
        <v>23</v>
      </c>
      <c r="B2799" s="2">
        <v>44009</v>
      </c>
      <c r="C2799" s="1">
        <v>0</v>
      </c>
      <c r="D2799" s="47">
        <v>46</v>
      </c>
      <c r="F2799" s="47">
        <f t="shared" si="174"/>
        <v>0</v>
      </c>
    </row>
    <row r="2800" spans="1:6" x14ac:dyDescent="0.25">
      <c r="A2800" s="5" t="s">
        <v>19</v>
      </c>
      <c r="B2800" s="2">
        <v>44009</v>
      </c>
      <c r="C2800" s="1">
        <v>16</v>
      </c>
      <c r="D2800" s="47">
        <v>422</v>
      </c>
      <c r="F2800" s="47">
        <f t="shared" si="174"/>
        <v>0</v>
      </c>
    </row>
    <row r="2801" spans="1:6" x14ac:dyDescent="0.25">
      <c r="A2801" s="5" t="s">
        <v>18</v>
      </c>
      <c r="B2801" s="2">
        <v>44009</v>
      </c>
      <c r="C2801" s="1">
        <v>14</v>
      </c>
      <c r="D2801" s="47">
        <v>819</v>
      </c>
      <c r="F2801" s="47">
        <f t="shared" si="174"/>
        <v>0</v>
      </c>
    </row>
    <row r="2802" spans="1:6" x14ac:dyDescent="0.25">
      <c r="A2802" s="5" t="s">
        <v>34</v>
      </c>
      <c r="B2802" s="2">
        <v>44009</v>
      </c>
      <c r="C2802" s="1">
        <v>2</v>
      </c>
      <c r="D2802" s="47">
        <v>27</v>
      </c>
      <c r="F2802" s="47">
        <f t="shared" si="174"/>
        <v>2</v>
      </c>
    </row>
    <row r="2803" spans="1:6" x14ac:dyDescent="0.25">
      <c r="A2803" s="5" t="s">
        <v>35</v>
      </c>
      <c r="B2803" s="2">
        <v>44009</v>
      </c>
      <c r="C2803" s="1">
        <v>0</v>
      </c>
      <c r="D2803" s="47">
        <v>8</v>
      </c>
      <c r="F2803" s="47">
        <f>E2803+F2779</f>
        <v>0</v>
      </c>
    </row>
    <row r="2804" spans="1:6" x14ac:dyDescent="0.25">
      <c r="A2804" s="5" t="s">
        <v>36</v>
      </c>
      <c r="B2804" s="2">
        <v>44009</v>
      </c>
      <c r="C2804" s="1">
        <v>0</v>
      </c>
      <c r="D2804" s="47">
        <v>11</v>
      </c>
      <c r="F2804" s="47">
        <f t="shared" si="174"/>
        <v>0</v>
      </c>
    </row>
    <row r="2805" spans="1:6" x14ac:dyDescent="0.25">
      <c r="A2805" s="5" t="s">
        <v>37</v>
      </c>
      <c r="B2805" s="2">
        <v>44009</v>
      </c>
      <c r="C2805" s="1">
        <v>0</v>
      </c>
      <c r="D2805" s="47">
        <v>50</v>
      </c>
      <c r="F2805" s="47">
        <f t="shared" si="174"/>
        <v>0</v>
      </c>
    </row>
    <row r="2806" spans="1:6" x14ac:dyDescent="0.25">
      <c r="A2806" s="5" t="s">
        <v>22</v>
      </c>
      <c r="B2806" s="2">
        <v>44009</v>
      </c>
      <c r="C2806" s="1">
        <v>5</v>
      </c>
      <c r="D2806" s="47">
        <v>411</v>
      </c>
      <c r="F2806" s="47">
        <f>E2806+F2782</f>
        <v>4</v>
      </c>
    </row>
    <row r="2807" spans="1:6" x14ac:dyDescent="0.25">
      <c r="A2807" s="5" t="s">
        <v>38</v>
      </c>
      <c r="B2807" s="2">
        <v>44009</v>
      </c>
      <c r="C2807" s="1">
        <v>0</v>
      </c>
      <c r="D2807" s="47">
        <v>22</v>
      </c>
      <c r="F2807" s="47">
        <f>E2807+F2783</f>
        <v>0</v>
      </c>
    </row>
    <row r="2808" spans="1:6" x14ac:dyDescent="0.25">
      <c r="A2808" s="5" t="s">
        <v>39</v>
      </c>
      <c r="B2808" s="2">
        <v>44009</v>
      </c>
      <c r="C2808" s="1">
        <v>0</v>
      </c>
      <c r="D2808" s="47">
        <v>149</v>
      </c>
      <c r="F2808" s="47">
        <f>E2808+F2784</f>
        <v>1</v>
      </c>
    </row>
    <row r="2809" spans="1:6" x14ac:dyDescent="0.25">
      <c r="A2809" s="5" t="s">
        <v>40</v>
      </c>
      <c r="B2809" s="2">
        <v>44009</v>
      </c>
      <c r="C2809" s="1">
        <v>1</v>
      </c>
      <c r="D2809" s="47">
        <v>73</v>
      </c>
      <c r="F2809" s="47">
        <f>E2809+F2785</f>
        <v>4</v>
      </c>
    </row>
    <row r="2810" spans="1:6" x14ac:dyDescent="0.25">
      <c r="A2810" s="34" t="s">
        <v>16</v>
      </c>
      <c r="B2810" s="2">
        <v>44010</v>
      </c>
      <c r="C2810" s="1">
        <v>1225</v>
      </c>
      <c r="D2810" s="47">
        <v>28983</v>
      </c>
      <c r="E2810" s="1">
        <v>11</v>
      </c>
      <c r="F2810" s="47">
        <f>E2810+F2786</f>
        <v>545</v>
      </c>
    </row>
    <row r="2811" spans="1:6" x14ac:dyDescent="0.25">
      <c r="A2811" s="5" t="s">
        <v>28</v>
      </c>
      <c r="B2811" s="2">
        <v>44010</v>
      </c>
      <c r="C2811" s="1">
        <v>0</v>
      </c>
      <c r="D2811" s="47">
        <v>0</v>
      </c>
      <c r="F2811" s="47">
        <f t="shared" ref="F2811:F2817" si="175">E2811+F2787</f>
        <v>0</v>
      </c>
    </row>
    <row r="2812" spans="1:6" x14ac:dyDescent="0.25">
      <c r="A2812" s="5" t="s">
        <v>15</v>
      </c>
      <c r="B2812" s="2">
        <v>44010</v>
      </c>
      <c r="C2812" s="1">
        <v>47</v>
      </c>
      <c r="D2812" s="47">
        <v>1930</v>
      </c>
      <c r="F2812" s="47">
        <f t="shared" si="175"/>
        <v>91</v>
      </c>
    </row>
    <row r="2813" spans="1:6" x14ac:dyDescent="0.25">
      <c r="A2813" s="5" t="s">
        <v>29</v>
      </c>
      <c r="B2813" s="2">
        <v>44010</v>
      </c>
      <c r="C2813" s="1">
        <v>5</v>
      </c>
      <c r="D2813" s="47">
        <v>119</v>
      </c>
      <c r="F2813" s="47">
        <f t="shared" si="175"/>
        <v>2</v>
      </c>
    </row>
    <row r="2814" spans="1:6" x14ac:dyDescent="0.25">
      <c r="A2814" s="5" t="s">
        <v>43</v>
      </c>
      <c r="B2814" s="2">
        <v>44010</v>
      </c>
      <c r="C2814" s="1">
        <v>852</v>
      </c>
      <c r="D2814" s="47">
        <v>25407</v>
      </c>
      <c r="E2814" s="1">
        <v>12</v>
      </c>
      <c r="F2814" s="47">
        <f>E2814+F2790</f>
        <v>470</v>
      </c>
    </row>
    <row r="2815" spans="1:6" x14ac:dyDescent="0.25">
      <c r="A2815" s="5" t="s">
        <v>20</v>
      </c>
      <c r="B2815" s="2">
        <v>44010</v>
      </c>
      <c r="C2815" s="1">
        <v>5</v>
      </c>
      <c r="D2815" s="47">
        <v>638</v>
      </c>
      <c r="F2815" s="47">
        <f t="shared" si="175"/>
        <v>33</v>
      </c>
    </row>
    <row r="2816" spans="1:6" x14ac:dyDescent="0.25">
      <c r="A2816" s="5" t="s">
        <v>30</v>
      </c>
      <c r="B2816" s="2">
        <v>44010</v>
      </c>
      <c r="C2816" s="1">
        <v>0</v>
      </c>
      <c r="D2816" s="47">
        <v>116</v>
      </c>
      <c r="F2816" s="47">
        <f t="shared" si="175"/>
        <v>0</v>
      </c>
    </row>
    <row r="2817" spans="1:6" x14ac:dyDescent="0.25">
      <c r="A2817" s="5" t="s">
        <v>31</v>
      </c>
      <c r="B2817" s="2">
        <v>44010</v>
      </c>
      <c r="C2817" s="1">
        <v>24</v>
      </c>
      <c r="D2817" s="47">
        <v>273</v>
      </c>
      <c r="F2817" s="47">
        <f t="shared" si="175"/>
        <v>0</v>
      </c>
    </row>
    <row r="2818" spans="1:6" x14ac:dyDescent="0.25">
      <c r="A2818" s="5" t="s">
        <v>41</v>
      </c>
      <c r="B2818" s="2">
        <v>44010</v>
      </c>
      <c r="C2818" s="1">
        <v>0</v>
      </c>
      <c r="D2818" s="47">
        <v>71</v>
      </c>
      <c r="F2818" s="47">
        <f t="shared" ref="F2818:F2829" si="176">E2818+F2793</f>
        <v>0</v>
      </c>
    </row>
    <row r="2819" spans="1:6" x14ac:dyDescent="0.25">
      <c r="A2819" s="5" t="s">
        <v>32</v>
      </c>
      <c r="B2819" s="2">
        <v>44010</v>
      </c>
      <c r="C2819" s="1">
        <v>0</v>
      </c>
      <c r="D2819" s="47">
        <v>74</v>
      </c>
      <c r="F2819" s="47">
        <f t="shared" si="176"/>
        <v>0</v>
      </c>
    </row>
    <row r="2820" spans="1:6" x14ac:dyDescent="0.25">
      <c r="A2820" s="5" t="s">
        <v>33</v>
      </c>
      <c r="B2820" s="2">
        <v>44010</v>
      </c>
      <c r="C2820" s="1">
        <v>0</v>
      </c>
      <c r="D2820" s="47">
        <v>7</v>
      </c>
      <c r="F2820" s="47">
        <f t="shared" si="176"/>
        <v>0</v>
      </c>
    </row>
    <row r="2821" spans="1:6" x14ac:dyDescent="0.25">
      <c r="A2821" s="5" t="s">
        <v>21</v>
      </c>
      <c r="B2821" s="2">
        <v>44010</v>
      </c>
      <c r="C2821" s="1">
        <v>0</v>
      </c>
      <c r="D2821" s="47">
        <v>76</v>
      </c>
      <c r="F2821" s="47">
        <f t="shared" si="176"/>
        <v>0</v>
      </c>
    </row>
    <row r="2822" spans="1:6" x14ac:dyDescent="0.25">
      <c r="A2822" s="5" t="s">
        <v>17</v>
      </c>
      <c r="B2822" s="2">
        <v>44010</v>
      </c>
      <c r="C2822" s="1">
        <v>6</v>
      </c>
      <c r="D2822" s="47">
        <v>163</v>
      </c>
      <c r="E2822" s="1">
        <v>1</v>
      </c>
      <c r="F2822" s="47">
        <f t="shared" si="176"/>
        <v>1</v>
      </c>
    </row>
    <row r="2823" spans="1:6" x14ac:dyDescent="0.25">
      <c r="A2823" s="5" t="s">
        <v>23</v>
      </c>
      <c r="B2823" s="2">
        <v>44010</v>
      </c>
      <c r="C2823" s="1">
        <v>0</v>
      </c>
      <c r="D2823" s="47">
        <v>46</v>
      </c>
      <c r="F2823" s="47">
        <f t="shared" si="176"/>
        <v>0</v>
      </c>
    </row>
    <row r="2824" spans="1:6" x14ac:dyDescent="0.25">
      <c r="A2824" s="5" t="s">
        <v>19</v>
      </c>
      <c r="B2824" s="2">
        <v>44010</v>
      </c>
      <c r="C2824" s="1">
        <v>12</v>
      </c>
      <c r="D2824" s="47">
        <v>434</v>
      </c>
      <c r="E2824" s="1">
        <v>1</v>
      </c>
      <c r="F2824" s="47">
        <f t="shared" si="176"/>
        <v>1</v>
      </c>
    </row>
    <row r="2825" spans="1:6" x14ac:dyDescent="0.25">
      <c r="A2825" s="5" t="s">
        <v>18</v>
      </c>
      <c r="B2825" s="2">
        <v>44010</v>
      </c>
      <c r="C2825" s="1">
        <v>6</v>
      </c>
      <c r="D2825" s="47">
        <v>825</v>
      </c>
      <c r="E2825" s="1">
        <v>1</v>
      </c>
      <c r="F2825" s="47">
        <f t="shared" si="176"/>
        <v>1</v>
      </c>
    </row>
    <row r="2826" spans="1:6" x14ac:dyDescent="0.25">
      <c r="A2826" s="5" t="s">
        <v>34</v>
      </c>
      <c r="B2826" s="2">
        <v>44010</v>
      </c>
      <c r="C2826" s="1">
        <v>0</v>
      </c>
      <c r="D2826" s="47">
        <v>27</v>
      </c>
      <c r="F2826" s="47">
        <f t="shared" si="176"/>
        <v>0</v>
      </c>
    </row>
    <row r="2827" spans="1:6" x14ac:dyDescent="0.25">
      <c r="A2827" s="5" t="s">
        <v>35</v>
      </c>
      <c r="B2827" s="2">
        <v>44010</v>
      </c>
      <c r="C2827" s="1">
        <v>0</v>
      </c>
      <c r="D2827" s="47">
        <v>8</v>
      </c>
      <c r="F2827" s="47">
        <f>E2827+F2803</f>
        <v>0</v>
      </c>
    </row>
    <row r="2828" spans="1:6" x14ac:dyDescent="0.25">
      <c r="A2828" s="5" t="s">
        <v>36</v>
      </c>
      <c r="B2828" s="2">
        <v>44010</v>
      </c>
      <c r="C2828" s="1">
        <v>0</v>
      </c>
      <c r="D2828" s="47">
        <v>11</v>
      </c>
      <c r="F2828" s="47">
        <f t="shared" si="176"/>
        <v>0</v>
      </c>
    </row>
    <row r="2829" spans="1:6" x14ac:dyDescent="0.25">
      <c r="A2829" s="5" t="s">
        <v>37</v>
      </c>
      <c r="B2829" s="2">
        <v>44010</v>
      </c>
      <c r="C2829" s="1">
        <v>0</v>
      </c>
      <c r="D2829" s="47">
        <v>50</v>
      </c>
      <c r="F2829" s="47">
        <f t="shared" si="176"/>
        <v>0</v>
      </c>
    </row>
    <row r="2830" spans="1:6" x14ac:dyDescent="0.25">
      <c r="A2830" s="5" t="s">
        <v>22</v>
      </c>
      <c r="B2830" s="2">
        <v>44010</v>
      </c>
      <c r="C2830" s="1">
        <v>6</v>
      </c>
      <c r="D2830" s="47">
        <v>417</v>
      </c>
      <c r="F2830" s="47">
        <f>E2830+F2806</f>
        <v>4</v>
      </c>
    </row>
    <row r="2831" spans="1:6" x14ac:dyDescent="0.25">
      <c r="A2831" s="5" t="s">
        <v>38</v>
      </c>
      <c r="B2831" s="2">
        <v>44010</v>
      </c>
      <c r="C2831" s="1">
        <v>1</v>
      </c>
      <c r="D2831" s="47">
        <v>23</v>
      </c>
      <c r="F2831" s="47">
        <f>E2831+F2807</f>
        <v>0</v>
      </c>
    </row>
    <row r="2832" spans="1:6" x14ac:dyDescent="0.25">
      <c r="A2832" s="5" t="s">
        <v>39</v>
      </c>
      <c r="B2832" s="2">
        <v>44010</v>
      </c>
      <c r="C2832" s="1">
        <v>0</v>
      </c>
      <c r="D2832" s="47">
        <v>149</v>
      </c>
      <c r="F2832" s="47">
        <f>E2832+F2808</f>
        <v>1</v>
      </c>
    </row>
    <row r="2833" spans="1:6" x14ac:dyDescent="0.25">
      <c r="A2833" s="5" t="s">
        <v>40</v>
      </c>
      <c r="B2833" s="2">
        <v>44010</v>
      </c>
      <c r="C2833" s="1">
        <v>0</v>
      </c>
      <c r="D2833" s="47">
        <v>73</v>
      </c>
      <c r="F2833" s="47">
        <f>E2833+F2809</f>
        <v>4</v>
      </c>
    </row>
    <row r="2834" spans="1:6" x14ac:dyDescent="0.25">
      <c r="A2834" s="34" t="s">
        <v>16</v>
      </c>
      <c r="B2834" s="2">
        <v>44011</v>
      </c>
      <c r="C2834" s="1">
        <v>1280</v>
      </c>
      <c r="D2834" s="47">
        <v>30263</v>
      </c>
      <c r="E2834" s="1">
        <v>21</v>
      </c>
      <c r="F2834" s="47">
        <f>E2834+F2810</f>
        <v>566</v>
      </c>
    </row>
    <row r="2835" spans="1:6" x14ac:dyDescent="0.25">
      <c r="A2835" s="5" t="s">
        <v>28</v>
      </c>
      <c r="B2835" s="2">
        <v>44011</v>
      </c>
      <c r="C2835" s="1">
        <v>0</v>
      </c>
      <c r="D2835" s="47">
        <v>0</v>
      </c>
      <c r="F2835" s="47">
        <f t="shared" ref="F2835:F2841" si="177">E2835+F2811</f>
        <v>0</v>
      </c>
    </row>
    <row r="2836" spans="1:6" x14ac:dyDescent="0.25">
      <c r="A2836" s="5" t="s">
        <v>15</v>
      </c>
      <c r="B2836" s="2">
        <v>44011</v>
      </c>
      <c r="C2836" s="1">
        <v>31</v>
      </c>
      <c r="D2836" s="47">
        <v>1961</v>
      </c>
      <c r="E2836" s="1">
        <v>2</v>
      </c>
      <c r="F2836" s="47">
        <f t="shared" si="177"/>
        <v>93</v>
      </c>
    </row>
    <row r="2837" spans="1:6" x14ac:dyDescent="0.25">
      <c r="A2837" s="5" t="s">
        <v>29</v>
      </c>
      <c r="B2837" s="2">
        <v>44011</v>
      </c>
      <c r="C2837" s="1">
        <v>1</v>
      </c>
      <c r="D2837" s="47">
        <v>120</v>
      </c>
      <c r="F2837" s="47">
        <f t="shared" si="177"/>
        <v>2</v>
      </c>
    </row>
    <row r="2838" spans="1:6" x14ac:dyDescent="0.25">
      <c r="A2838" s="5" t="s">
        <v>43</v>
      </c>
      <c r="B2838" s="2">
        <v>44011</v>
      </c>
      <c r="C2838" s="1">
        <v>944</v>
      </c>
      <c r="D2838" s="47">
        <v>26351</v>
      </c>
      <c r="E2838" s="1">
        <v>23</v>
      </c>
      <c r="F2838" s="47">
        <f t="shared" si="177"/>
        <v>493</v>
      </c>
    </row>
    <row r="2839" spans="1:6" x14ac:dyDescent="0.25">
      <c r="A2839" s="5" t="s">
        <v>20</v>
      </c>
      <c r="B2839" s="2">
        <v>44011</v>
      </c>
      <c r="C2839" s="1">
        <v>2</v>
      </c>
      <c r="D2839" s="47">
        <v>640</v>
      </c>
      <c r="E2839" s="1">
        <v>1</v>
      </c>
      <c r="F2839" s="47">
        <f t="shared" si="177"/>
        <v>34</v>
      </c>
    </row>
    <row r="2840" spans="1:6" x14ac:dyDescent="0.25">
      <c r="A2840" s="5" t="s">
        <v>30</v>
      </c>
      <c r="B2840" s="2">
        <v>44011</v>
      </c>
      <c r="C2840" s="1">
        <v>2</v>
      </c>
      <c r="D2840" s="47">
        <v>118</v>
      </c>
      <c r="F2840" s="47">
        <f t="shared" si="177"/>
        <v>0</v>
      </c>
    </row>
    <row r="2841" spans="1:6" x14ac:dyDescent="0.25">
      <c r="A2841" s="5" t="s">
        <v>31</v>
      </c>
      <c r="B2841" s="2">
        <v>44011</v>
      </c>
      <c r="C2841" s="1">
        <v>5</v>
      </c>
      <c r="D2841" s="47">
        <v>278</v>
      </c>
      <c r="F2841" s="47">
        <f t="shared" si="177"/>
        <v>0</v>
      </c>
    </row>
    <row r="2842" spans="1:6" x14ac:dyDescent="0.25">
      <c r="A2842" s="5" t="s">
        <v>41</v>
      </c>
      <c r="B2842" s="2">
        <v>44011</v>
      </c>
      <c r="C2842" s="1">
        <v>0</v>
      </c>
      <c r="D2842" s="47">
        <v>71</v>
      </c>
      <c r="F2842" s="47">
        <f t="shared" ref="F2842:F2853" si="178">E2842+F2817</f>
        <v>0</v>
      </c>
    </row>
    <row r="2843" spans="1:6" x14ac:dyDescent="0.25">
      <c r="A2843" s="5" t="s">
        <v>32</v>
      </c>
      <c r="B2843" s="2">
        <v>44011</v>
      </c>
      <c r="C2843" s="1">
        <v>16</v>
      </c>
      <c r="D2843" s="47">
        <v>90</v>
      </c>
      <c r="F2843" s="47">
        <f t="shared" si="178"/>
        <v>0</v>
      </c>
    </row>
    <row r="2844" spans="1:6" x14ac:dyDescent="0.25">
      <c r="A2844" s="5" t="s">
        <v>33</v>
      </c>
      <c r="B2844" s="2">
        <v>44011</v>
      </c>
      <c r="C2844" s="1">
        <v>0</v>
      </c>
      <c r="D2844" s="47">
        <v>7</v>
      </c>
      <c r="F2844" s="47">
        <f t="shared" si="178"/>
        <v>0</v>
      </c>
    </row>
    <row r="2845" spans="1:6" x14ac:dyDescent="0.25">
      <c r="A2845" s="5" t="s">
        <v>21</v>
      </c>
      <c r="B2845" s="2">
        <v>44011</v>
      </c>
      <c r="C2845" s="1">
        <v>4</v>
      </c>
      <c r="D2845" s="47">
        <v>80</v>
      </c>
      <c r="F2845" s="47">
        <f t="shared" si="178"/>
        <v>0</v>
      </c>
    </row>
    <row r="2846" spans="1:6" x14ac:dyDescent="0.25">
      <c r="A2846" s="5" t="s">
        <v>17</v>
      </c>
      <c r="B2846" s="2">
        <v>44011</v>
      </c>
      <c r="C2846" s="1">
        <v>1</v>
      </c>
      <c r="D2846" s="47">
        <v>164</v>
      </c>
      <c r="F2846" s="47">
        <f t="shared" si="178"/>
        <v>0</v>
      </c>
    </row>
    <row r="2847" spans="1:6" x14ac:dyDescent="0.25">
      <c r="A2847" s="5" t="s">
        <v>23</v>
      </c>
      <c r="B2847" s="2">
        <v>44011</v>
      </c>
      <c r="C2847" s="1">
        <v>1</v>
      </c>
      <c r="D2847" s="47">
        <v>47</v>
      </c>
      <c r="F2847" s="47">
        <f t="shared" si="178"/>
        <v>1</v>
      </c>
    </row>
    <row r="2848" spans="1:6" x14ac:dyDescent="0.25">
      <c r="A2848" s="5" t="s">
        <v>19</v>
      </c>
      <c r="B2848" s="2">
        <v>44011</v>
      </c>
      <c r="C2848" s="1">
        <v>18</v>
      </c>
      <c r="D2848" s="47">
        <v>452</v>
      </c>
      <c r="E2848" s="1">
        <v>1</v>
      </c>
      <c r="F2848" s="47">
        <f t="shared" si="178"/>
        <v>1</v>
      </c>
    </row>
    <row r="2849" spans="1:6" x14ac:dyDescent="0.25">
      <c r="A2849" s="5" t="s">
        <v>18</v>
      </c>
      <c r="B2849" s="2">
        <v>44011</v>
      </c>
      <c r="C2849" s="1">
        <v>24</v>
      </c>
      <c r="D2849" s="47">
        <v>849</v>
      </c>
      <c r="F2849" s="47">
        <f t="shared" si="178"/>
        <v>1</v>
      </c>
    </row>
    <row r="2850" spans="1:6" x14ac:dyDescent="0.25">
      <c r="A2850" s="5" t="s">
        <v>34</v>
      </c>
      <c r="B2850" s="2">
        <v>44011</v>
      </c>
      <c r="C2850" s="1">
        <v>3</v>
      </c>
      <c r="D2850" s="47">
        <v>30</v>
      </c>
      <c r="F2850" s="47">
        <f t="shared" si="178"/>
        <v>1</v>
      </c>
    </row>
    <row r="2851" spans="1:6" x14ac:dyDescent="0.25">
      <c r="A2851" s="5" t="s">
        <v>35</v>
      </c>
      <c r="B2851" s="2">
        <v>44011</v>
      </c>
      <c r="C2851" s="1">
        <v>0</v>
      </c>
      <c r="D2851" s="47">
        <v>8</v>
      </c>
      <c r="F2851" s="47">
        <f>E2851+F2827</f>
        <v>0</v>
      </c>
    </row>
    <row r="2852" spans="1:6" x14ac:dyDescent="0.25">
      <c r="A2852" s="5" t="s">
        <v>36</v>
      </c>
      <c r="B2852" s="2">
        <v>44011</v>
      </c>
      <c r="C2852" s="1">
        <v>0</v>
      </c>
      <c r="D2852" s="47">
        <v>11</v>
      </c>
      <c r="F2852" s="47">
        <f t="shared" si="178"/>
        <v>0</v>
      </c>
    </row>
    <row r="2853" spans="1:6" x14ac:dyDescent="0.25">
      <c r="A2853" s="5" t="s">
        <v>37</v>
      </c>
      <c r="B2853" s="2">
        <v>44011</v>
      </c>
      <c r="C2853" s="1">
        <v>0</v>
      </c>
      <c r="D2853" s="47">
        <v>50</v>
      </c>
      <c r="F2853" s="47">
        <f t="shared" si="178"/>
        <v>0</v>
      </c>
    </row>
    <row r="2854" spans="1:6" x14ac:dyDescent="0.25">
      <c r="A2854" s="5" t="s">
        <v>22</v>
      </c>
      <c r="B2854" s="2">
        <v>44011</v>
      </c>
      <c r="C2854" s="1">
        <v>3</v>
      </c>
      <c r="D2854" s="47">
        <v>420</v>
      </c>
      <c r="F2854" s="47">
        <f>E2854+F2830</f>
        <v>4</v>
      </c>
    </row>
    <row r="2855" spans="1:6" x14ac:dyDescent="0.25">
      <c r="A2855" s="5" t="s">
        <v>38</v>
      </c>
      <c r="B2855" s="2">
        <v>44011</v>
      </c>
      <c r="C2855" s="1">
        <v>1</v>
      </c>
      <c r="D2855" s="47">
        <v>24</v>
      </c>
      <c r="F2855" s="47">
        <f>E2855+F2831</f>
        <v>0</v>
      </c>
    </row>
    <row r="2856" spans="1:6" x14ac:dyDescent="0.25">
      <c r="A2856" s="5" t="s">
        <v>39</v>
      </c>
      <c r="B2856" s="2">
        <v>44011</v>
      </c>
      <c r="C2856" s="1">
        <v>0</v>
      </c>
      <c r="D2856" s="47">
        <v>149</v>
      </c>
      <c r="F2856" s="47">
        <f>E2856+F2832</f>
        <v>1</v>
      </c>
    </row>
    <row r="2857" spans="1:6" x14ac:dyDescent="0.25">
      <c r="A2857" s="5" t="s">
        <v>40</v>
      </c>
      <c r="B2857" s="2">
        <v>44011</v>
      </c>
      <c r="C2857" s="1">
        <v>0</v>
      </c>
      <c r="D2857" s="47">
        <v>73</v>
      </c>
      <c r="F2857" s="47">
        <f>E2857+F2833</f>
        <v>4</v>
      </c>
    </row>
    <row r="2858" spans="1:6" x14ac:dyDescent="0.25">
      <c r="A2858" s="34" t="s">
        <v>16</v>
      </c>
      <c r="B2858" s="2">
        <v>44012</v>
      </c>
      <c r="C2858" s="1">
        <v>1374</v>
      </c>
      <c r="D2858" s="47">
        <v>31637</v>
      </c>
      <c r="E2858" s="1">
        <v>13</v>
      </c>
      <c r="F2858" s="47">
        <f>E2858+F2834</f>
        <v>579</v>
      </c>
    </row>
    <row r="2859" spans="1:6" x14ac:dyDescent="0.25">
      <c r="A2859" s="5" t="s">
        <v>28</v>
      </c>
      <c r="B2859" s="2">
        <v>44012</v>
      </c>
      <c r="C2859" s="1">
        <v>0</v>
      </c>
      <c r="D2859" s="47">
        <v>0</v>
      </c>
      <c r="F2859" s="47">
        <f t="shared" ref="F2859:F2865" si="179">E2859+F2835</f>
        <v>0</v>
      </c>
    </row>
    <row r="2860" spans="1:6" x14ac:dyDescent="0.25">
      <c r="A2860" s="5" t="s">
        <v>15</v>
      </c>
      <c r="B2860" s="2">
        <v>44012</v>
      </c>
      <c r="C2860" s="1">
        <v>70</v>
      </c>
      <c r="D2860" s="47">
        <v>2031</v>
      </c>
      <c r="E2860" s="1">
        <v>2</v>
      </c>
      <c r="F2860" s="47">
        <f t="shared" si="179"/>
        <v>95</v>
      </c>
    </row>
    <row r="2861" spans="1:6" x14ac:dyDescent="0.25">
      <c r="A2861" s="5" t="s">
        <v>29</v>
      </c>
      <c r="B2861" s="2">
        <v>44012</v>
      </c>
      <c r="C2861" s="1">
        <v>8</v>
      </c>
      <c r="D2861" s="47">
        <v>128</v>
      </c>
      <c r="F2861" s="47">
        <f t="shared" si="179"/>
        <v>2</v>
      </c>
    </row>
    <row r="2862" spans="1:6" x14ac:dyDescent="0.25">
      <c r="A2862" s="5" t="s">
        <v>43</v>
      </c>
      <c r="B2862" s="2">
        <v>44012</v>
      </c>
      <c r="C2862" s="1">
        <v>744</v>
      </c>
      <c r="D2862" s="47">
        <v>27095</v>
      </c>
      <c r="E2862" s="1">
        <v>12</v>
      </c>
      <c r="F2862" s="47">
        <f t="shared" si="179"/>
        <v>505</v>
      </c>
    </row>
    <row r="2863" spans="1:6" x14ac:dyDescent="0.25">
      <c r="A2863" s="5" t="s">
        <v>20</v>
      </c>
      <c r="B2863" s="2">
        <v>44012</v>
      </c>
      <c r="C2863" s="1">
        <v>11</v>
      </c>
      <c r="D2863" s="47">
        <v>651</v>
      </c>
      <c r="F2863" s="47">
        <f t="shared" si="179"/>
        <v>34</v>
      </c>
    </row>
    <row r="2864" spans="1:6" x14ac:dyDescent="0.25">
      <c r="A2864" s="5" t="s">
        <v>30</v>
      </c>
      <c r="B2864" s="2">
        <v>44012</v>
      </c>
      <c r="C2864" s="1">
        <v>0</v>
      </c>
      <c r="D2864" s="47">
        <v>118</v>
      </c>
      <c r="F2864" s="47">
        <f t="shared" si="179"/>
        <v>0</v>
      </c>
    </row>
    <row r="2865" spans="1:6" x14ac:dyDescent="0.25">
      <c r="A2865" s="5" t="s">
        <v>31</v>
      </c>
      <c r="B2865" s="2">
        <v>44012</v>
      </c>
      <c r="C2865" s="1">
        <v>6</v>
      </c>
      <c r="D2865" s="47">
        <v>284</v>
      </c>
      <c r="F2865" s="47">
        <f t="shared" si="179"/>
        <v>0</v>
      </c>
    </row>
    <row r="2866" spans="1:6" x14ac:dyDescent="0.25">
      <c r="A2866" s="5" t="s">
        <v>41</v>
      </c>
      <c r="B2866" s="2">
        <v>44012</v>
      </c>
      <c r="C2866" s="1">
        <v>0</v>
      </c>
      <c r="D2866" s="47">
        <v>71</v>
      </c>
      <c r="F2866" s="47">
        <f t="shared" ref="F2866:F2877" si="180">E2866+F2841</f>
        <v>0</v>
      </c>
    </row>
    <row r="2867" spans="1:6" x14ac:dyDescent="0.25">
      <c r="A2867" s="5" t="s">
        <v>32</v>
      </c>
      <c r="B2867" s="2">
        <v>44012</v>
      </c>
      <c r="C2867" s="1">
        <v>6</v>
      </c>
      <c r="D2867" s="47">
        <v>96</v>
      </c>
      <c r="F2867" s="47">
        <f t="shared" si="180"/>
        <v>0</v>
      </c>
    </row>
    <row r="2868" spans="1:6" x14ac:dyDescent="0.25">
      <c r="A2868" s="5" t="s">
        <v>33</v>
      </c>
      <c r="B2868" s="2">
        <v>44012</v>
      </c>
      <c r="C2868" s="1">
        <v>0</v>
      </c>
      <c r="D2868" s="47">
        <v>7</v>
      </c>
      <c r="F2868" s="47">
        <f t="shared" si="180"/>
        <v>0</v>
      </c>
    </row>
    <row r="2869" spans="1:6" x14ac:dyDescent="0.25">
      <c r="A2869" s="5" t="s">
        <v>21</v>
      </c>
      <c r="B2869" s="2">
        <v>44012</v>
      </c>
      <c r="C2869" s="1">
        <v>4</v>
      </c>
      <c r="D2869" s="47">
        <v>84</v>
      </c>
      <c r="F2869" s="47">
        <f t="shared" si="180"/>
        <v>0</v>
      </c>
    </row>
    <row r="2870" spans="1:6" x14ac:dyDescent="0.25">
      <c r="A2870" s="5" t="s">
        <v>17</v>
      </c>
      <c r="B2870" s="2">
        <v>44012</v>
      </c>
      <c r="C2870" s="1">
        <v>4</v>
      </c>
      <c r="D2870" s="47">
        <v>168</v>
      </c>
      <c r="F2870" s="47">
        <f t="shared" si="180"/>
        <v>0</v>
      </c>
    </row>
    <row r="2871" spans="1:6" x14ac:dyDescent="0.25">
      <c r="A2871" s="5" t="s">
        <v>23</v>
      </c>
      <c r="B2871" s="2">
        <v>44012</v>
      </c>
      <c r="C2871" s="1">
        <v>0</v>
      </c>
      <c r="D2871" s="47">
        <v>47</v>
      </c>
      <c r="F2871" s="47">
        <f t="shared" si="180"/>
        <v>0</v>
      </c>
    </row>
    <row r="2872" spans="1:6" x14ac:dyDescent="0.25">
      <c r="A2872" s="5" t="s">
        <v>19</v>
      </c>
      <c r="B2872" s="2">
        <v>44012</v>
      </c>
      <c r="C2872" s="1">
        <v>18</v>
      </c>
      <c r="D2872" s="47">
        <v>470</v>
      </c>
      <c r="F2872" s="47">
        <f t="shared" si="180"/>
        <v>1</v>
      </c>
    </row>
    <row r="2873" spans="1:6" x14ac:dyDescent="0.25">
      <c r="A2873" s="5" t="s">
        <v>18</v>
      </c>
      <c r="B2873" s="2">
        <v>44012</v>
      </c>
      <c r="C2873" s="1">
        <v>15</v>
      </c>
      <c r="D2873" s="47">
        <v>864</v>
      </c>
      <c r="F2873" s="47">
        <f t="shared" si="180"/>
        <v>1</v>
      </c>
    </row>
    <row r="2874" spans="1:6" x14ac:dyDescent="0.25">
      <c r="A2874" s="5" t="s">
        <v>34</v>
      </c>
      <c r="B2874" s="2">
        <v>44012</v>
      </c>
      <c r="C2874" s="1">
        <v>1</v>
      </c>
      <c r="D2874" s="47">
        <v>31</v>
      </c>
      <c r="F2874" s="47">
        <f t="shared" si="180"/>
        <v>1</v>
      </c>
    </row>
    <row r="2875" spans="1:6" x14ac:dyDescent="0.25">
      <c r="A2875" s="5" t="s">
        <v>35</v>
      </c>
      <c r="B2875" s="2">
        <v>44012</v>
      </c>
      <c r="C2875" s="1">
        <v>0</v>
      </c>
      <c r="D2875" s="47">
        <v>8</v>
      </c>
      <c r="F2875" s="47">
        <f>E2875+F2851</f>
        <v>0</v>
      </c>
    </row>
    <row r="2876" spans="1:6" x14ac:dyDescent="0.25">
      <c r="A2876" s="5" t="s">
        <v>36</v>
      </c>
      <c r="B2876" s="2">
        <v>44012</v>
      </c>
      <c r="C2876" s="1">
        <v>0</v>
      </c>
      <c r="D2876" s="47">
        <v>11</v>
      </c>
      <c r="F2876" s="47">
        <f t="shared" si="180"/>
        <v>0</v>
      </c>
    </row>
    <row r="2877" spans="1:6" x14ac:dyDescent="0.25">
      <c r="A2877" s="5" t="s">
        <v>37</v>
      </c>
      <c r="B2877" s="2">
        <v>44012</v>
      </c>
      <c r="C2877" s="1">
        <v>0</v>
      </c>
      <c r="D2877" s="47">
        <v>50</v>
      </c>
      <c r="F2877" s="47">
        <f t="shared" si="180"/>
        <v>0</v>
      </c>
    </row>
    <row r="2878" spans="1:6" x14ac:dyDescent="0.25">
      <c r="A2878" s="5" t="s">
        <v>22</v>
      </c>
      <c r="B2878" s="2">
        <v>44012</v>
      </c>
      <c r="C2878" s="1">
        <v>1</v>
      </c>
      <c r="D2878" s="47">
        <v>421</v>
      </c>
      <c r="F2878" s="47">
        <f>E2878+F2854</f>
        <v>4</v>
      </c>
    </row>
    <row r="2879" spans="1:6" x14ac:dyDescent="0.25">
      <c r="A2879" s="5" t="s">
        <v>38</v>
      </c>
      <c r="B2879" s="2">
        <v>44012</v>
      </c>
      <c r="C2879" s="1">
        <v>0</v>
      </c>
      <c r="D2879" s="47">
        <v>24</v>
      </c>
      <c r="F2879" s="47">
        <f>E2879+F2855</f>
        <v>0</v>
      </c>
    </row>
    <row r="2880" spans="1:6" x14ac:dyDescent="0.25">
      <c r="A2880" s="5" t="s">
        <v>39</v>
      </c>
      <c r="B2880" s="2">
        <v>44012</v>
      </c>
      <c r="C2880" s="1">
        <v>0</v>
      </c>
      <c r="D2880" s="47">
        <v>149</v>
      </c>
      <c r="F2880" s="47">
        <f>E2880+F2856</f>
        <v>1</v>
      </c>
    </row>
    <row r="2881" spans="1:6" x14ac:dyDescent="0.25">
      <c r="A2881" s="5" t="s">
        <v>40</v>
      </c>
      <c r="B2881" s="2">
        <v>44012</v>
      </c>
      <c r="C2881" s="1">
        <v>0</v>
      </c>
      <c r="D2881" s="47">
        <v>73</v>
      </c>
      <c r="F2881" s="47">
        <f>E2881+F2857</f>
        <v>4</v>
      </c>
    </row>
    <row r="2882" spans="1:6" x14ac:dyDescent="0.25">
      <c r="A2882" s="34" t="s">
        <v>16</v>
      </c>
      <c r="B2882" s="2">
        <v>44013</v>
      </c>
      <c r="C2882" s="1">
        <v>1671</v>
      </c>
      <c r="D2882" s="47">
        <v>33308</v>
      </c>
      <c r="E2882" s="1">
        <v>27</v>
      </c>
      <c r="F2882" s="47">
        <f>E2882+F2858</f>
        <v>606</v>
      </c>
    </row>
    <row r="2883" spans="1:6" x14ac:dyDescent="0.25">
      <c r="A2883" s="5" t="s">
        <v>28</v>
      </c>
      <c r="B2883" s="2">
        <v>44013</v>
      </c>
      <c r="C2883" s="1">
        <v>0</v>
      </c>
      <c r="D2883" s="47">
        <v>0</v>
      </c>
      <c r="F2883" s="47">
        <f t="shared" ref="F2883:F2889" si="181">E2883+F2859</f>
        <v>0</v>
      </c>
    </row>
    <row r="2884" spans="1:6" x14ac:dyDescent="0.25">
      <c r="A2884" s="5" t="s">
        <v>15</v>
      </c>
      <c r="B2884" s="2">
        <v>44013</v>
      </c>
      <c r="C2884" s="1">
        <v>60</v>
      </c>
      <c r="D2884" s="47">
        <v>2091</v>
      </c>
      <c r="E2884" s="1">
        <v>3</v>
      </c>
      <c r="F2884" s="47">
        <f t="shared" si="181"/>
        <v>98</v>
      </c>
    </row>
    <row r="2885" spans="1:6" x14ac:dyDescent="0.25">
      <c r="A2885" s="5" t="s">
        <v>29</v>
      </c>
      <c r="B2885" s="2">
        <v>44013</v>
      </c>
      <c r="C2885" s="1">
        <v>8</v>
      </c>
      <c r="D2885" s="47">
        <v>136</v>
      </c>
      <c r="F2885" s="47">
        <f t="shared" si="181"/>
        <v>2</v>
      </c>
    </row>
    <row r="2886" spans="1:6" x14ac:dyDescent="0.25">
      <c r="A2886" s="5" t="s">
        <v>43</v>
      </c>
      <c r="B2886" s="2">
        <v>44013</v>
      </c>
      <c r="C2886" s="1">
        <v>841</v>
      </c>
      <c r="D2886" s="47">
        <v>27936</v>
      </c>
      <c r="E2886" s="1">
        <v>13</v>
      </c>
      <c r="F2886" s="47">
        <f t="shared" si="181"/>
        <v>518</v>
      </c>
    </row>
    <row r="2887" spans="1:6" x14ac:dyDescent="0.25">
      <c r="A2887" s="5" t="s">
        <v>20</v>
      </c>
      <c r="B2887" s="2">
        <v>44013</v>
      </c>
      <c r="C2887" s="1">
        <v>11</v>
      </c>
      <c r="D2887" s="47">
        <v>662</v>
      </c>
      <c r="F2887" s="47">
        <f t="shared" si="181"/>
        <v>34</v>
      </c>
    </row>
    <row r="2888" spans="1:6" x14ac:dyDescent="0.25">
      <c r="A2888" s="5" t="s">
        <v>30</v>
      </c>
      <c r="B2888" s="2">
        <v>44013</v>
      </c>
      <c r="C2888" s="1">
        <v>1</v>
      </c>
      <c r="D2888" s="47">
        <v>119</v>
      </c>
      <c r="F2888" s="47">
        <f t="shared" si="181"/>
        <v>0</v>
      </c>
    </row>
    <row r="2889" spans="1:6" x14ac:dyDescent="0.25">
      <c r="A2889" s="5" t="s">
        <v>31</v>
      </c>
      <c r="B2889" s="2">
        <v>44013</v>
      </c>
      <c r="C2889" s="1">
        <v>9</v>
      </c>
      <c r="D2889" s="47">
        <v>293</v>
      </c>
      <c r="F2889" s="47">
        <f t="shared" si="181"/>
        <v>0</v>
      </c>
    </row>
    <row r="2890" spans="1:6" x14ac:dyDescent="0.25">
      <c r="A2890" s="5" t="s">
        <v>41</v>
      </c>
      <c r="B2890" s="2">
        <v>44013</v>
      </c>
      <c r="C2890" s="1">
        <v>4</v>
      </c>
      <c r="D2890" s="47">
        <v>75</v>
      </c>
      <c r="F2890" s="47">
        <f t="shared" ref="F2890:F2901" si="182">E2890+F2865</f>
        <v>0</v>
      </c>
    </row>
    <row r="2891" spans="1:6" x14ac:dyDescent="0.25">
      <c r="A2891" s="5" t="s">
        <v>32</v>
      </c>
      <c r="B2891" s="2">
        <v>44013</v>
      </c>
      <c r="C2891" s="1">
        <v>17</v>
      </c>
      <c r="D2891" s="47">
        <v>113</v>
      </c>
      <c r="F2891" s="47">
        <f t="shared" si="182"/>
        <v>0</v>
      </c>
    </row>
    <row r="2892" spans="1:6" x14ac:dyDescent="0.25">
      <c r="A2892" s="5" t="s">
        <v>33</v>
      </c>
      <c r="B2892" s="2">
        <v>44013</v>
      </c>
      <c r="C2892" s="1">
        <v>0</v>
      </c>
      <c r="D2892" s="47">
        <v>7</v>
      </c>
      <c r="F2892" s="47">
        <f t="shared" si="182"/>
        <v>0</v>
      </c>
    </row>
    <row r="2893" spans="1:6" x14ac:dyDescent="0.25">
      <c r="A2893" s="5" t="s">
        <v>21</v>
      </c>
      <c r="B2893" s="2">
        <v>44013</v>
      </c>
      <c r="C2893" s="1">
        <v>1</v>
      </c>
      <c r="D2893" s="47">
        <v>85</v>
      </c>
      <c r="E2893" s="1">
        <v>1</v>
      </c>
      <c r="F2893" s="47">
        <f t="shared" si="182"/>
        <v>1</v>
      </c>
    </row>
    <row r="2894" spans="1:6" x14ac:dyDescent="0.25">
      <c r="A2894" s="5" t="s">
        <v>17</v>
      </c>
      <c r="B2894" s="2">
        <v>44013</v>
      </c>
      <c r="C2894" s="1">
        <v>7</v>
      </c>
      <c r="D2894" s="47">
        <v>175</v>
      </c>
      <c r="F2894" s="47">
        <f t="shared" si="182"/>
        <v>0</v>
      </c>
    </row>
    <row r="2895" spans="1:6" x14ac:dyDescent="0.25">
      <c r="A2895" s="5" t="s">
        <v>23</v>
      </c>
      <c r="B2895" s="2">
        <v>44013</v>
      </c>
      <c r="C2895" s="1">
        <v>0</v>
      </c>
      <c r="D2895" s="47">
        <v>47</v>
      </c>
      <c r="F2895" s="47">
        <f t="shared" si="182"/>
        <v>0</v>
      </c>
    </row>
    <row r="2896" spans="1:6" x14ac:dyDescent="0.25">
      <c r="A2896" s="5" t="s">
        <v>19</v>
      </c>
      <c r="B2896" s="2">
        <v>44013</v>
      </c>
      <c r="C2896" s="1">
        <v>12</v>
      </c>
      <c r="D2896" s="47">
        <v>482</v>
      </c>
      <c r="F2896" s="47">
        <f t="shared" si="182"/>
        <v>0</v>
      </c>
    </row>
    <row r="2897" spans="1:6" x14ac:dyDescent="0.25">
      <c r="A2897" s="5" t="s">
        <v>18</v>
      </c>
      <c r="B2897" s="2">
        <v>44013</v>
      </c>
      <c r="C2897" s="1">
        <v>13</v>
      </c>
      <c r="D2897" s="47">
        <v>877</v>
      </c>
      <c r="F2897" s="47">
        <f t="shared" si="182"/>
        <v>1</v>
      </c>
    </row>
    <row r="2898" spans="1:6" x14ac:dyDescent="0.25">
      <c r="A2898" s="5" t="s">
        <v>34</v>
      </c>
      <c r="B2898" s="2">
        <v>44013</v>
      </c>
      <c r="C2898" s="1">
        <v>2</v>
      </c>
      <c r="D2898" s="47">
        <v>33</v>
      </c>
      <c r="F2898" s="47">
        <f t="shared" si="182"/>
        <v>1</v>
      </c>
    </row>
    <row r="2899" spans="1:6" x14ac:dyDescent="0.25">
      <c r="A2899" s="5" t="s">
        <v>35</v>
      </c>
      <c r="B2899" s="2">
        <v>44013</v>
      </c>
      <c r="C2899" s="1">
        <v>0</v>
      </c>
      <c r="D2899" s="47">
        <v>8</v>
      </c>
      <c r="F2899" s="47">
        <f>E2899+F2875</f>
        <v>0</v>
      </c>
    </row>
    <row r="2900" spans="1:6" x14ac:dyDescent="0.25">
      <c r="A2900" s="5" t="s">
        <v>36</v>
      </c>
      <c r="B2900" s="2">
        <v>44013</v>
      </c>
      <c r="C2900" s="1">
        <v>0</v>
      </c>
      <c r="D2900" s="47">
        <v>11</v>
      </c>
      <c r="F2900" s="47">
        <f t="shared" si="182"/>
        <v>0</v>
      </c>
    </row>
    <row r="2901" spans="1:6" x14ac:dyDescent="0.25">
      <c r="A2901" s="5" t="s">
        <v>37</v>
      </c>
      <c r="B2901" s="2">
        <v>44013</v>
      </c>
      <c r="C2901" s="1">
        <v>0</v>
      </c>
      <c r="D2901" s="47">
        <v>50</v>
      </c>
      <c r="F2901" s="47">
        <f t="shared" si="182"/>
        <v>0</v>
      </c>
    </row>
    <row r="2902" spans="1:6" x14ac:dyDescent="0.25">
      <c r="A2902" s="5" t="s">
        <v>22</v>
      </c>
      <c r="B2902" s="2">
        <v>44013</v>
      </c>
      <c r="C2902" s="1">
        <v>1</v>
      </c>
      <c r="D2902" s="47">
        <v>422</v>
      </c>
      <c r="F2902" s="47">
        <f>E2902+F2878</f>
        <v>4</v>
      </c>
    </row>
    <row r="2903" spans="1:6" x14ac:dyDescent="0.25">
      <c r="A2903" s="5" t="s">
        <v>38</v>
      </c>
      <c r="B2903" s="2">
        <v>44013</v>
      </c>
      <c r="C2903" s="1">
        <v>1</v>
      </c>
      <c r="D2903" s="47">
        <v>25</v>
      </c>
      <c r="F2903" s="47">
        <f>E2903+F2879</f>
        <v>0</v>
      </c>
    </row>
    <row r="2904" spans="1:6" x14ac:dyDescent="0.25">
      <c r="A2904" s="5" t="s">
        <v>39</v>
      </c>
      <c r="B2904" s="2">
        <v>44013</v>
      </c>
      <c r="C2904" s="1">
        <v>0</v>
      </c>
      <c r="D2904" s="47">
        <v>149</v>
      </c>
      <c r="F2904" s="47">
        <f>E2904+F2880</f>
        <v>1</v>
      </c>
    </row>
    <row r="2905" spans="1:6" x14ac:dyDescent="0.25">
      <c r="A2905" s="5" t="s">
        <v>40</v>
      </c>
      <c r="B2905" s="2">
        <v>44013</v>
      </c>
      <c r="C2905" s="1">
        <v>8</v>
      </c>
      <c r="D2905" s="47">
        <v>81</v>
      </c>
      <c r="F2905" s="47">
        <f>E2905+F2881</f>
        <v>4</v>
      </c>
    </row>
    <row r="2906" spans="1:6" x14ac:dyDescent="0.25">
      <c r="A2906" s="34" t="s">
        <v>16</v>
      </c>
      <c r="B2906" s="2">
        <v>44014</v>
      </c>
      <c r="C2906" s="1">
        <v>1733</v>
      </c>
      <c r="D2906" s="47">
        <v>35041</v>
      </c>
      <c r="E2906" s="1">
        <v>21</v>
      </c>
      <c r="F2906" s="47">
        <f>E2906+F2882</f>
        <v>627</v>
      </c>
    </row>
    <row r="2907" spans="1:6" x14ac:dyDescent="0.25">
      <c r="A2907" s="5" t="s">
        <v>28</v>
      </c>
      <c r="B2907" s="2">
        <v>44014</v>
      </c>
      <c r="C2907" s="1">
        <v>0</v>
      </c>
      <c r="D2907" s="47">
        <v>0</v>
      </c>
      <c r="F2907" s="47">
        <f t="shared" ref="F2907:F2913" si="183">E2907+F2883</f>
        <v>0</v>
      </c>
    </row>
    <row r="2908" spans="1:6" x14ac:dyDescent="0.25">
      <c r="A2908" s="5" t="s">
        <v>15</v>
      </c>
      <c r="B2908" s="2">
        <v>44014</v>
      </c>
      <c r="C2908" s="1">
        <v>81</v>
      </c>
      <c r="D2908" s="47">
        <v>2172</v>
      </c>
      <c r="E2908" s="1">
        <v>2</v>
      </c>
      <c r="F2908" s="47">
        <f t="shared" si="183"/>
        <v>100</v>
      </c>
    </row>
    <row r="2909" spans="1:6" x14ac:dyDescent="0.25">
      <c r="A2909" s="5" t="s">
        <v>29</v>
      </c>
      <c r="B2909" s="2">
        <v>44014</v>
      </c>
      <c r="C2909" s="1">
        <v>0</v>
      </c>
      <c r="D2909" s="47">
        <v>136</v>
      </c>
      <c r="F2909" s="47">
        <f t="shared" si="183"/>
        <v>2</v>
      </c>
    </row>
    <row r="2910" spans="1:6" x14ac:dyDescent="0.25">
      <c r="A2910" s="5" t="s">
        <v>43</v>
      </c>
      <c r="B2910" s="2">
        <v>44014</v>
      </c>
      <c r="C2910" s="1">
        <v>840</v>
      </c>
      <c r="D2910" s="47">
        <v>28776</v>
      </c>
      <c r="E2910" s="1">
        <v>11</v>
      </c>
      <c r="F2910" s="47">
        <f t="shared" si="183"/>
        <v>529</v>
      </c>
    </row>
    <row r="2911" spans="1:6" x14ac:dyDescent="0.25">
      <c r="A2911" s="5" t="s">
        <v>20</v>
      </c>
      <c r="B2911" s="2">
        <v>44014</v>
      </c>
      <c r="C2911" s="1">
        <v>8</v>
      </c>
      <c r="D2911" s="47">
        <v>670</v>
      </c>
      <c r="F2911" s="47">
        <f t="shared" si="183"/>
        <v>34</v>
      </c>
    </row>
    <row r="2912" spans="1:6" x14ac:dyDescent="0.25">
      <c r="A2912" s="5" t="s">
        <v>30</v>
      </c>
      <c r="B2912" s="2">
        <v>44014</v>
      </c>
      <c r="C2912" s="1">
        <v>0</v>
      </c>
      <c r="D2912" s="47">
        <v>119</v>
      </c>
      <c r="F2912" s="47">
        <f t="shared" si="183"/>
        <v>0</v>
      </c>
    </row>
    <row r="2913" spans="1:6" x14ac:dyDescent="0.25">
      <c r="A2913" s="5" t="s">
        <v>31</v>
      </c>
      <c r="B2913" s="2">
        <v>44014</v>
      </c>
      <c r="C2913" s="1">
        <v>14</v>
      </c>
      <c r="D2913" s="47">
        <v>307</v>
      </c>
      <c r="F2913" s="47">
        <f t="shared" si="183"/>
        <v>0</v>
      </c>
    </row>
    <row r="2914" spans="1:6" x14ac:dyDescent="0.25">
      <c r="A2914" s="5" t="s">
        <v>41</v>
      </c>
      <c r="B2914" s="2">
        <v>44014</v>
      </c>
      <c r="C2914" s="1">
        <v>1</v>
      </c>
      <c r="D2914" s="47">
        <v>76</v>
      </c>
      <c r="F2914" s="47">
        <f t="shared" ref="F2914:F2925" si="184">E2914+F2889</f>
        <v>0</v>
      </c>
    </row>
    <row r="2915" spans="1:6" x14ac:dyDescent="0.25">
      <c r="A2915" s="5" t="s">
        <v>32</v>
      </c>
      <c r="B2915" s="2">
        <v>44014</v>
      </c>
      <c r="C2915" s="1">
        <v>14</v>
      </c>
      <c r="D2915" s="47">
        <v>127</v>
      </c>
      <c r="F2915" s="47">
        <f t="shared" si="184"/>
        <v>0</v>
      </c>
    </row>
    <row r="2916" spans="1:6" x14ac:dyDescent="0.25">
      <c r="A2916" s="5" t="s">
        <v>33</v>
      </c>
      <c r="B2916" s="2">
        <v>44014</v>
      </c>
      <c r="C2916" s="1">
        <v>0</v>
      </c>
      <c r="D2916" s="47">
        <v>7</v>
      </c>
      <c r="F2916" s="47">
        <f t="shared" si="184"/>
        <v>0</v>
      </c>
    </row>
    <row r="2917" spans="1:6" x14ac:dyDescent="0.25">
      <c r="A2917" s="5" t="s">
        <v>21</v>
      </c>
      <c r="B2917" s="2">
        <v>44014</v>
      </c>
      <c r="C2917" s="1">
        <v>3</v>
      </c>
      <c r="D2917" s="47">
        <v>88</v>
      </c>
      <c r="F2917" s="47">
        <f t="shared" si="184"/>
        <v>0</v>
      </c>
    </row>
    <row r="2918" spans="1:6" x14ac:dyDescent="0.25">
      <c r="A2918" s="5" t="s">
        <v>17</v>
      </c>
      <c r="B2918" s="2">
        <v>44014</v>
      </c>
      <c r="C2918" s="1">
        <v>2</v>
      </c>
      <c r="D2918" s="47">
        <v>177</v>
      </c>
      <c r="F2918" s="47">
        <f t="shared" si="184"/>
        <v>1</v>
      </c>
    </row>
    <row r="2919" spans="1:6" x14ac:dyDescent="0.25">
      <c r="A2919" s="5" t="s">
        <v>23</v>
      </c>
      <c r="B2919" s="2">
        <v>44014</v>
      </c>
      <c r="C2919" s="1">
        <v>0</v>
      </c>
      <c r="D2919" s="47">
        <v>47</v>
      </c>
      <c r="F2919" s="47">
        <f t="shared" si="184"/>
        <v>0</v>
      </c>
    </row>
    <row r="2920" spans="1:6" x14ac:dyDescent="0.25">
      <c r="A2920" s="5" t="s">
        <v>19</v>
      </c>
      <c r="B2920" s="2">
        <v>44014</v>
      </c>
      <c r="C2920" s="1">
        <v>12</v>
      </c>
      <c r="D2920" s="47">
        <v>494</v>
      </c>
      <c r="F2920" s="47">
        <f t="shared" si="184"/>
        <v>0</v>
      </c>
    </row>
    <row r="2921" spans="1:6" x14ac:dyDescent="0.25">
      <c r="A2921" s="5" t="s">
        <v>18</v>
      </c>
      <c r="B2921" s="2">
        <v>44014</v>
      </c>
      <c r="C2921" s="1">
        <v>34</v>
      </c>
      <c r="D2921" s="47">
        <v>911</v>
      </c>
      <c r="F2921" s="47">
        <f t="shared" si="184"/>
        <v>0</v>
      </c>
    </row>
    <row r="2922" spans="1:6" x14ac:dyDescent="0.25">
      <c r="A2922" s="5" t="s">
        <v>34</v>
      </c>
      <c r="B2922" s="2">
        <v>44014</v>
      </c>
      <c r="C2922" s="1">
        <v>0</v>
      </c>
      <c r="D2922" s="47">
        <v>33</v>
      </c>
      <c r="F2922" s="47">
        <f t="shared" si="184"/>
        <v>1</v>
      </c>
    </row>
    <row r="2923" spans="1:6" x14ac:dyDescent="0.25">
      <c r="A2923" s="5" t="s">
        <v>35</v>
      </c>
      <c r="B2923" s="2">
        <v>44014</v>
      </c>
      <c r="C2923" s="1">
        <v>0</v>
      </c>
      <c r="D2923" s="47">
        <v>8</v>
      </c>
      <c r="F2923" s="47">
        <f>E2923+F2899</f>
        <v>0</v>
      </c>
    </row>
    <row r="2924" spans="1:6" x14ac:dyDescent="0.25">
      <c r="A2924" s="5" t="s">
        <v>36</v>
      </c>
      <c r="B2924" s="2">
        <v>44014</v>
      </c>
      <c r="C2924" s="1">
        <v>0</v>
      </c>
      <c r="D2924" s="47">
        <v>11</v>
      </c>
      <c r="F2924" s="47">
        <f t="shared" si="184"/>
        <v>0</v>
      </c>
    </row>
    <row r="2925" spans="1:6" x14ac:dyDescent="0.25">
      <c r="A2925" s="5" t="s">
        <v>37</v>
      </c>
      <c r="B2925" s="2">
        <v>44014</v>
      </c>
      <c r="C2925" s="1">
        <v>0</v>
      </c>
      <c r="D2925" s="47">
        <v>50</v>
      </c>
      <c r="F2925" s="47">
        <f t="shared" si="184"/>
        <v>0</v>
      </c>
    </row>
    <row r="2926" spans="1:6" x14ac:dyDescent="0.25">
      <c r="A2926" s="5" t="s">
        <v>22</v>
      </c>
      <c r="B2926" s="2">
        <v>44014</v>
      </c>
      <c r="C2926" s="1">
        <v>2</v>
      </c>
      <c r="D2926" s="47">
        <v>424</v>
      </c>
      <c r="F2926" s="47">
        <f>E2926+F2902</f>
        <v>4</v>
      </c>
    </row>
    <row r="2927" spans="1:6" x14ac:dyDescent="0.25">
      <c r="A2927" s="5" t="s">
        <v>38</v>
      </c>
      <c r="B2927" s="2">
        <v>44014</v>
      </c>
      <c r="C2927" s="1">
        <v>0</v>
      </c>
      <c r="D2927" s="47">
        <v>25</v>
      </c>
      <c r="F2927" s="47">
        <f>E2927+F2903</f>
        <v>0</v>
      </c>
    </row>
    <row r="2928" spans="1:6" x14ac:dyDescent="0.25">
      <c r="A2928" s="5" t="s">
        <v>39</v>
      </c>
      <c r="B2928" s="2">
        <v>44014</v>
      </c>
      <c r="C2928" s="1">
        <v>0</v>
      </c>
      <c r="D2928" s="47">
        <v>149</v>
      </c>
      <c r="F2928" s="47">
        <f>E2928+F2904</f>
        <v>1</v>
      </c>
    </row>
    <row r="2929" spans="1:6" x14ac:dyDescent="0.25">
      <c r="A2929" s="5" t="s">
        <v>40</v>
      </c>
      <c r="B2929" s="2">
        <v>44014</v>
      </c>
      <c r="C2929" s="1">
        <v>0</v>
      </c>
      <c r="D2929" s="47">
        <v>81</v>
      </c>
      <c r="F2929" s="47">
        <f>E2929+F2905</f>
        <v>4</v>
      </c>
    </row>
    <row r="2930" spans="1:6" x14ac:dyDescent="0.25">
      <c r="A2930" s="34" t="s">
        <v>16</v>
      </c>
      <c r="B2930" s="2">
        <v>44015</v>
      </c>
      <c r="C2930" s="1">
        <v>1849</v>
      </c>
      <c r="D2930" s="47">
        <v>36890</v>
      </c>
      <c r="E2930" s="1">
        <v>26</v>
      </c>
      <c r="F2930" s="47">
        <f>E2930+F2906</f>
        <v>653</v>
      </c>
    </row>
    <row r="2931" spans="1:6" x14ac:dyDescent="0.25">
      <c r="A2931" s="5" t="s">
        <v>28</v>
      </c>
      <c r="B2931" s="2">
        <v>44015</v>
      </c>
      <c r="C2931" s="1">
        <v>1</v>
      </c>
      <c r="D2931" s="47">
        <v>1</v>
      </c>
      <c r="F2931" s="47">
        <f t="shared" ref="F2931:F2937" si="185">E2931+F2907</f>
        <v>0</v>
      </c>
    </row>
    <row r="2932" spans="1:6" x14ac:dyDescent="0.25">
      <c r="A2932" s="5" t="s">
        <v>15</v>
      </c>
      <c r="B2932" s="2">
        <v>44015</v>
      </c>
      <c r="C2932" s="1">
        <v>37</v>
      </c>
      <c r="D2932" s="47">
        <v>2209</v>
      </c>
      <c r="E2932" s="1">
        <v>3</v>
      </c>
      <c r="F2932" s="47">
        <f t="shared" si="185"/>
        <v>103</v>
      </c>
    </row>
    <row r="2933" spans="1:6" x14ac:dyDescent="0.25">
      <c r="A2933" s="5" t="s">
        <v>29</v>
      </c>
      <c r="B2933" s="2">
        <v>44015</v>
      </c>
      <c r="C2933" s="1">
        <v>12</v>
      </c>
      <c r="D2933" s="47">
        <v>148</v>
      </c>
      <c r="F2933" s="47">
        <f t="shared" si="185"/>
        <v>2</v>
      </c>
    </row>
    <row r="2934" spans="1:6" x14ac:dyDescent="0.25">
      <c r="A2934" s="5" t="s">
        <v>43</v>
      </c>
      <c r="B2934" s="2">
        <v>44015</v>
      </c>
      <c r="C2934" s="1">
        <v>835</v>
      </c>
      <c r="D2934" s="47">
        <v>29611</v>
      </c>
      <c r="E2934" s="1">
        <v>22</v>
      </c>
      <c r="F2934" s="47">
        <f t="shared" si="185"/>
        <v>551</v>
      </c>
    </row>
    <row r="2935" spans="1:6" x14ac:dyDescent="0.25">
      <c r="A2935" s="5" t="s">
        <v>20</v>
      </c>
      <c r="B2935" s="2">
        <v>44015</v>
      </c>
      <c r="C2935" s="1">
        <v>8</v>
      </c>
      <c r="D2935" s="47">
        <v>678</v>
      </c>
      <c r="F2935" s="47">
        <f t="shared" si="185"/>
        <v>34</v>
      </c>
    </row>
    <row r="2936" spans="1:6" x14ac:dyDescent="0.25">
      <c r="A2936" s="5" t="s">
        <v>30</v>
      </c>
      <c r="B2936" s="2">
        <v>44015</v>
      </c>
      <c r="C2936" s="1">
        <v>0</v>
      </c>
      <c r="D2936" s="47">
        <v>119</v>
      </c>
      <c r="F2936" s="47">
        <f t="shared" si="185"/>
        <v>0</v>
      </c>
    </row>
    <row r="2937" spans="1:6" x14ac:dyDescent="0.25">
      <c r="A2937" s="5" t="s">
        <v>31</v>
      </c>
      <c r="B2937" s="2">
        <v>44015</v>
      </c>
      <c r="C2937" s="1">
        <v>11</v>
      </c>
      <c r="D2937" s="47">
        <v>318</v>
      </c>
      <c r="F2937" s="47">
        <f t="shared" si="185"/>
        <v>0</v>
      </c>
    </row>
    <row r="2938" spans="1:6" x14ac:dyDescent="0.25">
      <c r="A2938" s="5" t="s">
        <v>41</v>
      </c>
      <c r="B2938" s="2">
        <v>44015</v>
      </c>
      <c r="C2938" s="1">
        <v>0</v>
      </c>
      <c r="D2938" s="47">
        <v>76</v>
      </c>
      <c r="F2938" s="47">
        <f t="shared" ref="F2938:F2949" si="186">E2938+F2913</f>
        <v>0</v>
      </c>
    </row>
    <row r="2939" spans="1:6" x14ac:dyDescent="0.25">
      <c r="A2939" s="5" t="s">
        <v>32</v>
      </c>
      <c r="B2939" s="2">
        <v>44015</v>
      </c>
      <c r="C2939" s="1">
        <v>20</v>
      </c>
      <c r="D2939" s="47">
        <v>147</v>
      </c>
      <c r="F2939" s="47">
        <f t="shared" si="186"/>
        <v>0</v>
      </c>
    </row>
    <row r="2940" spans="1:6" x14ac:dyDescent="0.25">
      <c r="A2940" s="5" t="s">
        <v>33</v>
      </c>
      <c r="B2940" s="2">
        <v>44015</v>
      </c>
      <c r="C2940" s="1">
        <v>0</v>
      </c>
      <c r="D2940" s="47">
        <v>7</v>
      </c>
      <c r="F2940" s="47">
        <f t="shared" si="186"/>
        <v>0</v>
      </c>
    </row>
    <row r="2941" spans="1:6" x14ac:dyDescent="0.25">
      <c r="A2941" s="5" t="s">
        <v>21</v>
      </c>
      <c r="B2941" s="2">
        <v>44015</v>
      </c>
      <c r="C2941" s="1">
        <v>3</v>
      </c>
      <c r="D2941" s="47">
        <v>91</v>
      </c>
      <c r="F2941" s="47">
        <f t="shared" si="186"/>
        <v>0</v>
      </c>
    </row>
    <row r="2942" spans="1:6" x14ac:dyDescent="0.25">
      <c r="A2942" s="5" t="s">
        <v>17</v>
      </c>
      <c r="B2942" s="2">
        <v>44015</v>
      </c>
      <c r="C2942" s="1">
        <v>3</v>
      </c>
      <c r="D2942" s="47">
        <v>180</v>
      </c>
      <c r="F2942" s="47">
        <f t="shared" si="186"/>
        <v>0</v>
      </c>
    </row>
    <row r="2943" spans="1:6" x14ac:dyDescent="0.25">
      <c r="A2943" s="5" t="s">
        <v>23</v>
      </c>
      <c r="B2943" s="2">
        <v>44015</v>
      </c>
      <c r="C2943" s="1">
        <v>0</v>
      </c>
      <c r="D2943" s="47">
        <v>47</v>
      </c>
      <c r="F2943" s="47">
        <f t="shared" si="186"/>
        <v>1</v>
      </c>
    </row>
    <row r="2944" spans="1:6" x14ac:dyDescent="0.25">
      <c r="A2944" s="5" t="s">
        <v>19</v>
      </c>
      <c r="B2944" s="2">
        <v>44015</v>
      </c>
      <c r="C2944" s="1">
        <v>28</v>
      </c>
      <c r="D2944" s="47">
        <v>522</v>
      </c>
      <c r="F2944" s="47">
        <f t="shared" si="186"/>
        <v>0</v>
      </c>
    </row>
    <row r="2945" spans="1:6" x14ac:dyDescent="0.25">
      <c r="A2945" s="5" t="s">
        <v>18</v>
      </c>
      <c r="B2945" s="2">
        <v>44015</v>
      </c>
      <c r="C2945" s="1">
        <v>23</v>
      </c>
      <c r="D2945" s="47">
        <v>934</v>
      </c>
      <c r="F2945" s="47">
        <f t="shared" si="186"/>
        <v>0</v>
      </c>
    </row>
    <row r="2946" spans="1:6" x14ac:dyDescent="0.25">
      <c r="A2946" s="5" t="s">
        <v>34</v>
      </c>
      <c r="B2946" s="2">
        <v>44015</v>
      </c>
      <c r="C2946" s="1">
        <v>8</v>
      </c>
      <c r="D2946" s="47">
        <v>41</v>
      </c>
      <c r="F2946" s="47">
        <f t="shared" si="186"/>
        <v>0</v>
      </c>
    </row>
    <row r="2947" spans="1:6" x14ac:dyDescent="0.25">
      <c r="A2947" s="5" t="s">
        <v>35</v>
      </c>
      <c r="B2947" s="2">
        <v>44015</v>
      </c>
      <c r="C2947" s="1">
        <v>0</v>
      </c>
      <c r="D2947" s="47">
        <v>8</v>
      </c>
      <c r="F2947" s="47">
        <f>E2947+F2923</f>
        <v>0</v>
      </c>
    </row>
    <row r="2948" spans="1:6" x14ac:dyDescent="0.25">
      <c r="A2948" s="5" t="s">
        <v>36</v>
      </c>
      <c r="B2948" s="2">
        <v>44015</v>
      </c>
      <c r="C2948" s="1">
        <v>0</v>
      </c>
      <c r="D2948" s="47">
        <v>11</v>
      </c>
      <c r="F2948" s="47">
        <f t="shared" si="186"/>
        <v>0</v>
      </c>
    </row>
    <row r="2949" spans="1:6" x14ac:dyDescent="0.25">
      <c r="A2949" s="5" t="s">
        <v>37</v>
      </c>
      <c r="B2949" s="2">
        <v>44015</v>
      </c>
      <c r="C2949" s="1">
        <v>0</v>
      </c>
      <c r="D2949" s="47">
        <v>50</v>
      </c>
      <c r="F2949" s="47">
        <f t="shared" si="186"/>
        <v>0</v>
      </c>
    </row>
    <row r="2950" spans="1:6" x14ac:dyDescent="0.25">
      <c r="A2950" s="5" t="s">
        <v>22</v>
      </c>
      <c r="B2950" s="2">
        <v>44015</v>
      </c>
      <c r="C2950" s="1">
        <v>5</v>
      </c>
      <c r="D2950" s="47">
        <v>429</v>
      </c>
      <c r="E2950" s="1">
        <v>1</v>
      </c>
      <c r="F2950" s="47">
        <f>E2950+F2926</f>
        <v>5</v>
      </c>
    </row>
    <row r="2951" spans="1:6" x14ac:dyDescent="0.25">
      <c r="A2951" s="5" t="s">
        <v>38</v>
      </c>
      <c r="B2951" s="2">
        <v>44015</v>
      </c>
      <c r="C2951" s="1">
        <v>0</v>
      </c>
      <c r="D2951" s="47">
        <v>25</v>
      </c>
      <c r="F2951" s="47">
        <f>E2951+F2927</f>
        <v>0</v>
      </c>
    </row>
    <row r="2952" spans="1:6" x14ac:dyDescent="0.25">
      <c r="A2952" s="5" t="s">
        <v>39</v>
      </c>
      <c r="B2952" s="2">
        <v>44015</v>
      </c>
      <c r="C2952" s="1">
        <v>0</v>
      </c>
      <c r="D2952" s="47">
        <v>149</v>
      </c>
      <c r="F2952" s="47">
        <f>E2952+F2928</f>
        <v>1</v>
      </c>
    </row>
    <row r="2953" spans="1:6" x14ac:dyDescent="0.25">
      <c r="A2953" s="5" t="s">
        <v>40</v>
      </c>
      <c r="B2953" s="2">
        <v>44015</v>
      </c>
      <c r="C2953" s="1">
        <v>2</v>
      </c>
      <c r="D2953" s="47">
        <v>83</v>
      </c>
      <c r="F2953" s="47">
        <f>E2953+F2929</f>
        <v>4</v>
      </c>
    </row>
    <row r="2954" spans="1:6" x14ac:dyDescent="0.25">
      <c r="A2954" s="34" t="s">
        <v>16</v>
      </c>
      <c r="B2954" s="2">
        <v>44016</v>
      </c>
      <c r="C2954" s="1">
        <v>1517</v>
      </c>
      <c r="D2954" s="47">
        <v>38407</v>
      </c>
      <c r="E2954" s="1">
        <v>26</v>
      </c>
      <c r="F2954" s="47">
        <f>E2954+F2930</f>
        <v>679</v>
      </c>
    </row>
    <row r="2955" spans="1:6" x14ac:dyDescent="0.25">
      <c r="A2955" s="5" t="s">
        <v>28</v>
      </c>
      <c r="B2955" s="2">
        <v>44016</v>
      </c>
      <c r="C2955" s="1">
        <v>5</v>
      </c>
      <c r="D2955" s="47">
        <v>6</v>
      </c>
      <c r="F2955" s="47">
        <f t="shared" ref="F2955:F2961" si="187">E2955+F2931</f>
        <v>0</v>
      </c>
    </row>
    <row r="2956" spans="1:6" x14ac:dyDescent="0.25">
      <c r="A2956" s="5" t="s">
        <v>15</v>
      </c>
      <c r="B2956" s="2">
        <v>44016</v>
      </c>
      <c r="C2956" s="1">
        <v>53</v>
      </c>
      <c r="D2956" s="47">
        <v>2262</v>
      </c>
      <c r="E2956" s="1">
        <v>3</v>
      </c>
      <c r="F2956" s="47">
        <f t="shared" si="187"/>
        <v>106</v>
      </c>
    </row>
    <row r="2957" spans="1:6" x14ac:dyDescent="0.25">
      <c r="A2957" s="5" t="s">
        <v>29</v>
      </c>
      <c r="B2957" s="2">
        <v>44016</v>
      </c>
      <c r="C2957" s="1">
        <v>0</v>
      </c>
      <c r="D2957" s="47">
        <v>148</v>
      </c>
      <c r="F2957" s="47">
        <f t="shared" si="187"/>
        <v>2</v>
      </c>
    </row>
    <row r="2958" spans="1:6" x14ac:dyDescent="0.25">
      <c r="A2958" s="5" t="s">
        <v>43</v>
      </c>
      <c r="B2958" s="2">
        <v>44016</v>
      </c>
      <c r="C2958" s="1">
        <v>899</v>
      </c>
      <c r="D2958" s="47">
        <v>30510</v>
      </c>
      <c r="E2958" s="1">
        <v>13</v>
      </c>
      <c r="F2958" s="47">
        <f t="shared" si="187"/>
        <v>564</v>
      </c>
    </row>
    <row r="2959" spans="1:6" x14ac:dyDescent="0.25">
      <c r="A2959" s="5" t="s">
        <v>20</v>
      </c>
      <c r="B2959" s="2">
        <v>44016</v>
      </c>
      <c r="C2959" s="1">
        <v>13</v>
      </c>
      <c r="D2959" s="47">
        <v>691</v>
      </c>
      <c r="F2959" s="47">
        <f t="shared" si="187"/>
        <v>34</v>
      </c>
    </row>
    <row r="2960" spans="1:6" x14ac:dyDescent="0.25">
      <c r="A2960" s="5" t="s">
        <v>30</v>
      </c>
      <c r="B2960" s="2">
        <v>44016</v>
      </c>
      <c r="C2960" s="1">
        <v>0</v>
      </c>
      <c r="D2960" s="47">
        <v>119</v>
      </c>
      <c r="F2960" s="47">
        <f t="shared" si="187"/>
        <v>0</v>
      </c>
    </row>
    <row r="2961" spans="1:6" x14ac:dyDescent="0.25">
      <c r="A2961" s="5" t="s">
        <v>31</v>
      </c>
      <c r="B2961" s="2">
        <v>44016</v>
      </c>
      <c r="C2961" s="1">
        <v>5</v>
      </c>
      <c r="D2961" s="47">
        <v>323</v>
      </c>
      <c r="F2961" s="47">
        <f t="shared" si="187"/>
        <v>0</v>
      </c>
    </row>
    <row r="2962" spans="1:6" x14ac:dyDescent="0.25">
      <c r="A2962" s="5" t="s">
        <v>41</v>
      </c>
      <c r="B2962" s="2">
        <v>44016</v>
      </c>
      <c r="C2962" s="1">
        <v>0</v>
      </c>
      <c r="D2962" s="47">
        <v>76</v>
      </c>
      <c r="F2962" s="47">
        <f t="shared" ref="F2962:F2973" si="188">E2962+F2937</f>
        <v>0</v>
      </c>
    </row>
    <row r="2963" spans="1:6" x14ac:dyDescent="0.25">
      <c r="A2963" s="5" t="s">
        <v>32</v>
      </c>
      <c r="B2963" s="2">
        <v>44016</v>
      </c>
      <c r="C2963" s="1">
        <v>14</v>
      </c>
      <c r="D2963" s="47">
        <v>161</v>
      </c>
      <c r="F2963" s="47">
        <f t="shared" si="188"/>
        <v>0</v>
      </c>
    </row>
    <row r="2964" spans="1:6" x14ac:dyDescent="0.25">
      <c r="A2964" s="5" t="s">
        <v>33</v>
      </c>
      <c r="B2964" s="2">
        <v>44016</v>
      </c>
      <c r="C2964" s="1">
        <v>0</v>
      </c>
      <c r="D2964" s="47">
        <v>7</v>
      </c>
      <c r="F2964" s="47">
        <f t="shared" si="188"/>
        <v>0</v>
      </c>
    </row>
    <row r="2965" spans="1:6" x14ac:dyDescent="0.25">
      <c r="A2965" s="5" t="s">
        <v>21</v>
      </c>
      <c r="B2965" s="2">
        <v>44016</v>
      </c>
      <c r="C2965" s="1">
        <v>5</v>
      </c>
      <c r="D2965" s="47">
        <v>96</v>
      </c>
      <c r="F2965" s="47">
        <f t="shared" si="188"/>
        <v>0</v>
      </c>
    </row>
    <row r="2966" spans="1:6" x14ac:dyDescent="0.25">
      <c r="A2966" s="5" t="s">
        <v>17</v>
      </c>
      <c r="B2966" s="2">
        <v>44016</v>
      </c>
      <c r="C2966" s="1">
        <v>4</v>
      </c>
      <c r="D2966" s="47">
        <v>184</v>
      </c>
      <c r="F2966" s="47">
        <f t="shared" si="188"/>
        <v>0</v>
      </c>
    </row>
    <row r="2967" spans="1:6" x14ac:dyDescent="0.25">
      <c r="A2967" s="5" t="s">
        <v>23</v>
      </c>
      <c r="B2967" s="2">
        <v>44016</v>
      </c>
      <c r="C2967" s="1">
        <v>0</v>
      </c>
      <c r="D2967" s="47">
        <v>47</v>
      </c>
      <c r="F2967" s="47">
        <f t="shared" si="188"/>
        <v>0</v>
      </c>
    </row>
    <row r="2968" spans="1:6" x14ac:dyDescent="0.25">
      <c r="A2968" s="5" t="s">
        <v>19</v>
      </c>
      <c r="B2968" s="2">
        <v>44016</v>
      </c>
      <c r="C2968" s="1">
        <v>20</v>
      </c>
      <c r="D2968" s="47">
        <v>542</v>
      </c>
      <c r="E2968" s="1">
        <v>1</v>
      </c>
      <c r="F2968" s="47">
        <f t="shared" si="188"/>
        <v>2</v>
      </c>
    </row>
    <row r="2969" spans="1:6" x14ac:dyDescent="0.25">
      <c r="A2969" s="5" t="s">
        <v>18</v>
      </c>
      <c r="B2969" s="2">
        <v>44016</v>
      </c>
      <c r="C2969" s="1">
        <v>28</v>
      </c>
      <c r="D2969" s="47">
        <v>962</v>
      </c>
      <c r="F2969" s="47">
        <f t="shared" si="188"/>
        <v>0</v>
      </c>
    </row>
    <row r="2970" spans="1:6" x14ac:dyDescent="0.25">
      <c r="A2970" s="5" t="s">
        <v>34</v>
      </c>
      <c r="B2970" s="2">
        <v>44016</v>
      </c>
      <c r="C2970" s="1">
        <v>16</v>
      </c>
      <c r="D2970" s="47">
        <v>57</v>
      </c>
      <c r="F2970" s="47">
        <f t="shared" si="188"/>
        <v>0</v>
      </c>
    </row>
    <row r="2971" spans="1:6" x14ac:dyDescent="0.25">
      <c r="A2971" s="5" t="s">
        <v>35</v>
      </c>
      <c r="B2971" s="2">
        <v>44016</v>
      </c>
      <c r="C2971" s="1">
        <v>0</v>
      </c>
      <c r="D2971" s="47">
        <v>8</v>
      </c>
      <c r="F2971" s="47">
        <f>E2971+F2947</f>
        <v>0</v>
      </c>
    </row>
    <row r="2972" spans="1:6" x14ac:dyDescent="0.25">
      <c r="A2972" s="5" t="s">
        <v>36</v>
      </c>
      <c r="B2972" s="2">
        <v>44016</v>
      </c>
      <c r="C2972" s="1">
        <v>1</v>
      </c>
      <c r="D2972" s="47">
        <v>12</v>
      </c>
      <c r="F2972" s="47">
        <f t="shared" si="188"/>
        <v>0</v>
      </c>
    </row>
    <row r="2973" spans="1:6" x14ac:dyDescent="0.25">
      <c r="A2973" s="5" t="s">
        <v>37</v>
      </c>
      <c r="B2973" s="2">
        <v>44016</v>
      </c>
      <c r="C2973" s="1">
        <v>0</v>
      </c>
      <c r="D2973" s="47">
        <v>50</v>
      </c>
      <c r="F2973" s="47">
        <f t="shared" si="188"/>
        <v>0</v>
      </c>
    </row>
    <row r="2974" spans="1:6" x14ac:dyDescent="0.25">
      <c r="A2974" s="5" t="s">
        <v>22</v>
      </c>
      <c r="B2974" s="2">
        <v>44016</v>
      </c>
      <c r="C2974" s="1">
        <v>5</v>
      </c>
      <c r="D2974" s="47">
        <v>434</v>
      </c>
      <c r="E2974" s="1">
        <v>1</v>
      </c>
      <c r="F2974" s="47">
        <f>E2974+F2950</f>
        <v>6</v>
      </c>
    </row>
    <row r="2975" spans="1:6" x14ac:dyDescent="0.25">
      <c r="A2975" s="5" t="s">
        <v>38</v>
      </c>
      <c r="B2975" s="2">
        <v>44016</v>
      </c>
      <c r="C2975" s="1">
        <v>0</v>
      </c>
      <c r="D2975" s="47">
        <v>25</v>
      </c>
      <c r="F2975" s="47">
        <f>E2975+F2951</f>
        <v>0</v>
      </c>
    </row>
    <row r="2976" spans="1:6" x14ac:dyDescent="0.25">
      <c r="A2976" s="5" t="s">
        <v>39</v>
      </c>
      <c r="B2976" s="2">
        <v>44016</v>
      </c>
      <c r="C2976" s="1">
        <v>4</v>
      </c>
      <c r="D2976" s="47">
        <v>153</v>
      </c>
      <c r="F2976" s="47">
        <f>E2976+F2952</f>
        <v>1</v>
      </c>
    </row>
    <row r="2977" spans="1:6" x14ac:dyDescent="0.25">
      <c r="A2977" s="5" t="s">
        <v>40</v>
      </c>
      <c r="B2977" s="2">
        <v>44016</v>
      </c>
      <c r="C2977" s="1">
        <v>1</v>
      </c>
      <c r="D2977" s="47">
        <v>84</v>
      </c>
      <c r="F2977" s="47">
        <f>E2977+F2953</f>
        <v>4</v>
      </c>
    </row>
    <row r="2978" spans="1:6" x14ac:dyDescent="0.25">
      <c r="A2978" s="34" t="s">
        <v>16</v>
      </c>
      <c r="B2978" s="2">
        <v>44017</v>
      </c>
      <c r="C2978" s="1">
        <v>1564</v>
      </c>
      <c r="D2978" s="47">
        <v>39971</v>
      </c>
      <c r="E2978" s="1">
        <v>12</v>
      </c>
      <c r="F2978" s="47">
        <f>E2978+F2954</f>
        <v>691</v>
      </c>
    </row>
    <row r="2979" spans="1:6" x14ac:dyDescent="0.25">
      <c r="A2979" s="5" t="s">
        <v>28</v>
      </c>
      <c r="B2979" s="2">
        <v>44017</v>
      </c>
      <c r="C2979" s="1">
        <v>0</v>
      </c>
      <c r="D2979" s="47">
        <v>6</v>
      </c>
      <c r="F2979" s="47">
        <f t="shared" ref="F2979:F2985" si="189">E2979+F2955</f>
        <v>0</v>
      </c>
    </row>
    <row r="2980" spans="1:6" x14ac:dyDescent="0.25">
      <c r="A2980" s="5" t="s">
        <v>15</v>
      </c>
      <c r="B2980" s="2">
        <v>44017</v>
      </c>
      <c r="C2980" s="1">
        <v>47</v>
      </c>
      <c r="D2980" s="47">
        <v>2309</v>
      </c>
      <c r="F2980" s="47">
        <f t="shared" si="189"/>
        <v>106</v>
      </c>
    </row>
    <row r="2981" spans="1:6" x14ac:dyDescent="0.25">
      <c r="A2981" s="5" t="s">
        <v>29</v>
      </c>
      <c r="B2981" s="2">
        <v>44017</v>
      </c>
      <c r="C2981" s="1">
        <v>6</v>
      </c>
      <c r="D2981" s="47">
        <v>154</v>
      </c>
      <c r="F2981" s="47">
        <f t="shared" si="189"/>
        <v>2</v>
      </c>
    </row>
    <row r="2982" spans="1:6" x14ac:dyDescent="0.25">
      <c r="A2982" s="5" t="s">
        <v>43</v>
      </c>
      <c r="B2982" s="2">
        <v>44017</v>
      </c>
      <c r="C2982" s="1">
        <v>767</v>
      </c>
      <c r="D2982" s="47">
        <v>31277</v>
      </c>
      <c r="E2982" s="1">
        <v>10</v>
      </c>
      <c r="F2982" s="47">
        <f t="shared" si="189"/>
        <v>574</v>
      </c>
    </row>
    <row r="2983" spans="1:6" x14ac:dyDescent="0.25">
      <c r="A2983" s="5" t="s">
        <v>20</v>
      </c>
      <c r="B2983" s="2">
        <v>44017</v>
      </c>
      <c r="C2983" s="1">
        <v>14</v>
      </c>
      <c r="D2983" s="47">
        <v>705</v>
      </c>
      <c r="F2983" s="47">
        <f t="shared" si="189"/>
        <v>34</v>
      </c>
    </row>
    <row r="2984" spans="1:6" x14ac:dyDescent="0.25">
      <c r="A2984" s="5" t="s">
        <v>30</v>
      </c>
      <c r="B2984" s="2">
        <v>44017</v>
      </c>
      <c r="C2984" s="1">
        <v>1</v>
      </c>
      <c r="D2984" s="47">
        <v>120</v>
      </c>
      <c r="F2984" s="47">
        <f t="shared" si="189"/>
        <v>0</v>
      </c>
    </row>
    <row r="2985" spans="1:6" x14ac:dyDescent="0.25">
      <c r="A2985" s="5" t="s">
        <v>31</v>
      </c>
      <c r="B2985" s="2">
        <v>44017</v>
      </c>
      <c r="C2985" s="1">
        <v>6</v>
      </c>
      <c r="D2985" s="47">
        <v>329</v>
      </c>
      <c r="F2985" s="47">
        <f t="shared" si="189"/>
        <v>0</v>
      </c>
    </row>
    <row r="2986" spans="1:6" x14ac:dyDescent="0.25">
      <c r="A2986" s="5" t="s">
        <v>41</v>
      </c>
      <c r="B2986" s="2">
        <v>44017</v>
      </c>
      <c r="C2986" s="1">
        <v>0</v>
      </c>
      <c r="D2986" s="47">
        <v>76</v>
      </c>
      <c r="F2986" s="47">
        <f t="shared" ref="F2986:F2997" si="190">E2986+F2961</f>
        <v>0</v>
      </c>
    </row>
    <row r="2987" spans="1:6" x14ac:dyDescent="0.25">
      <c r="A2987" s="5" t="s">
        <v>32</v>
      </c>
      <c r="B2987" s="2">
        <v>44017</v>
      </c>
      <c r="C2987" s="1">
        <v>1</v>
      </c>
      <c r="D2987" s="47">
        <v>162</v>
      </c>
      <c r="F2987" s="47">
        <f t="shared" si="190"/>
        <v>0</v>
      </c>
    </row>
    <row r="2988" spans="1:6" x14ac:dyDescent="0.25">
      <c r="A2988" s="5" t="s">
        <v>33</v>
      </c>
      <c r="B2988" s="2">
        <v>44017</v>
      </c>
      <c r="C2988" s="1">
        <v>0</v>
      </c>
      <c r="D2988" s="47">
        <v>7</v>
      </c>
      <c r="F2988" s="47">
        <f t="shared" si="190"/>
        <v>0</v>
      </c>
    </row>
    <row r="2989" spans="1:6" x14ac:dyDescent="0.25">
      <c r="A2989" s="5" t="s">
        <v>21</v>
      </c>
      <c r="B2989" s="2">
        <v>44017</v>
      </c>
      <c r="C2989" s="1">
        <v>6</v>
      </c>
      <c r="D2989" s="47">
        <v>102</v>
      </c>
      <c r="F2989" s="47">
        <f t="shared" si="190"/>
        <v>0</v>
      </c>
    </row>
    <row r="2990" spans="1:6" x14ac:dyDescent="0.25">
      <c r="A2990" s="5" t="s">
        <v>17</v>
      </c>
      <c r="B2990" s="2">
        <v>44017</v>
      </c>
      <c r="C2990" s="1">
        <v>7</v>
      </c>
      <c r="D2990" s="47">
        <v>191</v>
      </c>
      <c r="F2990" s="47">
        <f t="shared" si="190"/>
        <v>0</v>
      </c>
    </row>
    <row r="2991" spans="1:6" x14ac:dyDescent="0.25">
      <c r="A2991" s="5" t="s">
        <v>23</v>
      </c>
      <c r="B2991" s="2">
        <v>44017</v>
      </c>
      <c r="C2991" s="1">
        <v>0</v>
      </c>
      <c r="D2991" s="47">
        <v>47</v>
      </c>
      <c r="F2991" s="47">
        <f t="shared" si="190"/>
        <v>0</v>
      </c>
    </row>
    <row r="2992" spans="1:6" x14ac:dyDescent="0.25">
      <c r="A2992" s="5" t="s">
        <v>19</v>
      </c>
      <c r="B2992" s="2">
        <v>44017</v>
      </c>
      <c r="C2992" s="1">
        <v>9</v>
      </c>
      <c r="D2992" s="47">
        <v>551</v>
      </c>
      <c r="E2992" s="1">
        <v>3</v>
      </c>
      <c r="F2992" s="47">
        <f t="shared" si="190"/>
        <v>3</v>
      </c>
    </row>
    <row r="2993" spans="1:6" x14ac:dyDescent="0.25">
      <c r="A2993" s="5" t="s">
        <v>18</v>
      </c>
      <c r="B2993" s="2">
        <v>44017</v>
      </c>
      <c r="C2993" s="1">
        <v>3</v>
      </c>
      <c r="D2993" s="47">
        <v>965</v>
      </c>
      <c r="E2993" s="1">
        <v>1</v>
      </c>
      <c r="F2993" s="47">
        <f t="shared" si="190"/>
        <v>3</v>
      </c>
    </row>
    <row r="2994" spans="1:6" x14ac:dyDescent="0.25">
      <c r="A2994" s="5" t="s">
        <v>34</v>
      </c>
      <c r="B2994" s="2">
        <v>44017</v>
      </c>
      <c r="C2994" s="1">
        <v>2</v>
      </c>
      <c r="D2994" s="47">
        <v>59</v>
      </c>
      <c r="F2994" s="47">
        <f t="shared" si="190"/>
        <v>0</v>
      </c>
    </row>
    <row r="2995" spans="1:6" x14ac:dyDescent="0.25">
      <c r="A2995" s="5" t="s">
        <v>35</v>
      </c>
      <c r="B2995" s="2">
        <v>44017</v>
      </c>
      <c r="C2995" s="1">
        <v>0</v>
      </c>
      <c r="D2995" s="47">
        <v>8</v>
      </c>
      <c r="F2995" s="47">
        <f>E2995+F2971</f>
        <v>0</v>
      </c>
    </row>
    <row r="2996" spans="1:6" x14ac:dyDescent="0.25">
      <c r="A2996" s="5" t="s">
        <v>36</v>
      </c>
      <c r="B2996" s="2">
        <v>44017</v>
      </c>
      <c r="C2996" s="1">
        <v>0</v>
      </c>
      <c r="D2996" s="47">
        <v>12</v>
      </c>
      <c r="F2996" s="47">
        <f t="shared" si="190"/>
        <v>0</v>
      </c>
    </row>
    <row r="2997" spans="1:6" x14ac:dyDescent="0.25">
      <c r="A2997" s="5" t="s">
        <v>37</v>
      </c>
      <c r="B2997" s="2">
        <v>44017</v>
      </c>
      <c r="C2997" s="1">
        <v>0</v>
      </c>
      <c r="D2997" s="47">
        <v>50</v>
      </c>
      <c r="F2997" s="47">
        <f t="shared" si="190"/>
        <v>0</v>
      </c>
    </row>
    <row r="2998" spans="1:6" x14ac:dyDescent="0.25">
      <c r="A2998" s="5" t="s">
        <v>22</v>
      </c>
      <c r="B2998" s="2">
        <v>44017</v>
      </c>
      <c r="C2998" s="1">
        <v>3</v>
      </c>
      <c r="D2998" s="47">
        <v>437</v>
      </c>
      <c r="F2998" s="47">
        <f>E2998+F2974</f>
        <v>6</v>
      </c>
    </row>
    <row r="2999" spans="1:6" x14ac:dyDescent="0.25">
      <c r="A2999" s="5" t="s">
        <v>38</v>
      </c>
      <c r="B2999" s="2">
        <v>44017</v>
      </c>
      <c r="C2999" s="1">
        <v>0</v>
      </c>
      <c r="D2999" s="47">
        <v>25</v>
      </c>
      <c r="F2999" s="47">
        <f>E2999+F2975</f>
        <v>0</v>
      </c>
    </row>
    <row r="3000" spans="1:6" x14ac:dyDescent="0.25">
      <c r="A3000" s="5" t="s">
        <v>39</v>
      </c>
      <c r="B3000" s="2">
        <v>44017</v>
      </c>
      <c r="C3000" s="1">
        <v>0</v>
      </c>
      <c r="D3000" s="47">
        <v>153</v>
      </c>
      <c r="F3000" s="47">
        <f>E3000+F2976</f>
        <v>1</v>
      </c>
    </row>
    <row r="3001" spans="1:6" x14ac:dyDescent="0.25">
      <c r="A3001" s="5" t="s">
        <v>40</v>
      </c>
      <c r="B3001" s="2">
        <v>44017</v>
      </c>
      <c r="C3001" s="1">
        <v>3</v>
      </c>
      <c r="D3001" s="47">
        <v>87</v>
      </c>
      <c r="F3001" s="47">
        <f>E3001+F2977</f>
        <v>4</v>
      </c>
    </row>
    <row r="3002" spans="1:6" x14ac:dyDescent="0.25">
      <c r="A3002" s="34" t="s">
        <v>16</v>
      </c>
      <c r="B3002" s="2">
        <v>44018</v>
      </c>
      <c r="C3002" s="1">
        <v>1476</v>
      </c>
      <c r="D3002" s="47">
        <v>41447</v>
      </c>
      <c r="E3002" s="1">
        <v>54</v>
      </c>
      <c r="F3002" s="47">
        <f>E3002+F2978</f>
        <v>745</v>
      </c>
    </row>
    <row r="3003" spans="1:6" x14ac:dyDescent="0.25">
      <c r="A3003" s="5" t="s">
        <v>28</v>
      </c>
      <c r="B3003" s="2">
        <v>44018</v>
      </c>
      <c r="C3003" s="1">
        <v>1</v>
      </c>
      <c r="D3003" s="47">
        <v>7</v>
      </c>
      <c r="F3003" s="47">
        <f t="shared" ref="F3003:F3009" si="191">E3003+F2979</f>
        <v>0</v>
      </c>
    </row>
    <row r="3004" spans="1:6" x14ac:dyDescent="0.25">
      <c r="A3004" s="5" t="s">
        <v>15</v>
      </c>
      <c r="B3004" s="2">
        <v>44018</v>
      </c>
      <c r="C3004" s="1">
        <v>26</v>
      </c>
      <c r="D3004" s="47">
        <v>2335</v>
      </c>
      <c r="E3004" s="1">
        <v>2</v>
      </c>
      <c r="F3004" s="47">
        <f t="shared" si="191"/>
        <v>108</v>
      </c>
    </row>
    <row r="3005" spans="1:6" x14ac:dyDescent="0.25">
      <c r="A3005" s="5" t="s">
        <v>29</v>
      </c>
      <c r="B3005" s="2">
        <v>44018</v>
      </c>
      <c r="C3005" s="1">
        <v>6</v>
      </c>
      <c r="D3005" s="47">
        <v>160</v>
      </c>
      <c r="F3005" s="47">
        <f t="shared" si="191"/>
        <v>2</v>
      </c>
    </row>
    <row r="3006" spans="1:6" x14ac:dyDescent="0.25">
      <c r="A3006" s="5" t="s">
        <v>43</v>
      </c>
      <c r="B3006" s="2">
        <v>44018</v>
      </c>
      <c r="C3006" s="1">
        <v>995</v>
      </c>
      <c r="D3006" s="47">
        <v>32272</v>
      </c>
      <c r="E3006" s="1">
        <v>14</v>
      </c>
      <c r="F3006" s="47">
        <f t="shared" si="191"/>
        <v>588</v>
      </c>
    </row>
    <row r="3007" spans="1:6" x14ac:dyDescent="0.25">
      <c r="A3007" s="5" t="s">
        <v>20</v>
      </c>
      <c r="B3007" s="2">
        <v>44018</v>
      </c>
      <c r="C3007" s="1">
        <v>28</v>
      </c>
      <c r="D3007" s="47">
        <v>733</v>
      </c>
      <c r="F3007" s="47">
        <f t="shared" si="191"/>
        <v>34</v>
      </c>
    </row>
    <row r="3008" spans="1:6" x14ac:dyDescent="0.25">
      <c r="A3008" s="5" t="s">
        <v>30</v>
      </c>
      <c r="B3008" s="2">
        <v>44018</v>
      </c>
      <c r="C3008" s="1">
        <v>1</v>
      </c>
      <c r="D3008" s="47">
        <v>121</v>
      </c>
      <c r="F3008" s="47">
        <f t="shared" si="191"/>
        <v>0</v>
      </c>
    </row>
    <row r="3009" spans="1:6" x14ac:dyDescent="0.25">
      <c r="A3009" s="5" t="s">
        <v>31</v>
      </c>
      <c r="B3009" s="2">
        <v>44018</v>
      </c>
      <c r="C3009" s="1">
        <v>5</v>
      </c>
      <c r="D3009" s="47">
        <v>334</v>
      </c>
      <c r="F3009" s="47">
        <f t="shared" si="191"/>
        <v>0</v>
      </c>
    </row>
    <row r="3010" spans="1:6" x14ac:dyDescent="0.25">
      <c r="A3010" s="5" t="s">
        <v>41</v>
      </c>
      <c r="B3010" s="2">
        <v>44018</v>
      </c>
      <c r="C3010" s="1">
        <v>0</v>
      </c>
      <c r="D3010" s="47">
        <v>76</v>
      </c>
      <c r="F3010" s="47">
        <f t="shared" ref="F3010:F3021" si="192">E3010+F2985</f>
        <v>0</v>
      </c>
    </row>
    <row r="3011" spans="1:6" x14ac:dyDescent="0.25">
      <c r="A3011" s="5" t="s">
        <v>32</v>
      </c>
      <c r="B3011" s="2">
        <v>44018</v>
      </c>
      <c r="C3011" s="1">
        <v>29</v>
      </c>
      <c r="D3011" s="47">
        <v>191</v>
      </c>
      <c r="F3011" s="47">
        <f t="shared" si="192"/>
        <v>0</v>
      </c>
    </row>
    <row r="3012" spans="1:6" x14ac:dyDescent="0.25">
      <c r="A3012" s="5" t="s">
        <v>33</v>
      </c>
      <c r="B3012" s="2">
        <v>44018</v>
      </c>
      <c r="C3012" s="1">
        <v>0</v>
      </c>
      <c r="D3012" s="47">
        <v>7</v>
      </c>
      <c r="F3012" s="47">
        <f t="shared" si="192"/>
        <v>0</v>
      </c>
    </row>
    <row r="3013" spans="1:6" x14ac:dyDescent="0.25">
      <c r="A3013" s="5" t="s">
        <v>21</v>
      </c>
      <c r="B3013" s="2">
        <v>44018</v>
      </c>
      <c r="C3013" s="1">
        <v>5</v>
      </c>
      <c r="D3013" s="47">
        <v>107</v>
      </c>
      <c r="F3013" s="47">
        <f t="shared" si="192"/>
        <v>0</v>
      </c>
    </row>
    <row r="3014" spans="1:6" x14ac:dyDescent="0.25">
      <c r="A3014" s="5" t="s">
        <v>17</v>
      </c>
      <c r="B3014" s="2">
        <v>44018</v>
      </c>
      <c r="C3014" s="1">
        <v>4</v>
      </c>
      <c r="D3014" s="47">
        <v>195</v>
      </c>
      <c r="F3014" s="47">
        <f t="shared" si="192"/>
        <v>0</v>
      </c>
    </row>
    <row r="3015" spans="1:6" x14ac:dyDescent="0.25">
      <c r="A3015" s="5" t="s">
        <v>23</v>
      </c>
      <c r="B3015" s="2">
        <v>44018</v>
      </c>
      <c r="C3015" s="1">
        <v>2</v>
      </c>
      <c r="D3015" s="47">
        <v>49</v>
      </c>
      <c r="F3015" s="47">
        <f t="shared" si="192"/>
        <v>0</v>
      </c>
    </row>
    <row r="3016" spans="1:6" x14ac:dyDescent="0.25">
      <c r="A3016" s="5" t="s">
        <v>19</v>
      </c>
      <c r="B3016" s="2">
        <v>44018</v>
      </c>
      <c r="C3016" s="1">
        <v>34</v>
      </c>
      <c r="D3016" s="47">
        <v>585</v>
      </c>
      <c r="E3016" s="1">
        <v>1</v>
      </c>
      <c r="F3016" s="47">
        <f t="shared" si="192"/>
        <v>1</v>
      </c>
    </row>
    <row r="3017" spans="1:6" x14ac:dyDescent="0.25">
      <c r="A3017" s="5" t="s">
        <v>18</v>
      </c>
      <c r="B3017" s="2">
        <v>44018</v>
      </c>
      <c r="C3017" s="1">
        <v>7</v>
      </c>
      <c r="D3017" s="47">
        <v>972</v>
      </c>
      <c r="E3017" s="1">
        <v>3</v>
      </c>
      <c r="F3017" s="47">
        <f t="shared" si="192"/>
        <v>6</v>
      </c>
    </row>
    <row r="3018" spans="1:6" x14ac:dyDescent="0.25">
      <c r="A3018" s="5" t="s">
        <v>34</v>
      </c>
      <c r="B3018" s="2">
        <v>44018</v>
      </c>
      <c r="C3018" s="1">
        <v>2</v>
      </c>
      <c r="D3018" s="47">
        <v>61</v>
      </c>
      <c r="E3018" s="1">
        <v>1</v>
      </c>
      <c r="F3018" s="47">
        <f t="shared" si="192"/>
        <v>4</v>
      </c>
    </row>
    <row r="3019" spans="1:6" x14ac:dyDescent="0.25">
      <c r="A3019" s="5" t="s">
        <v>35</v>
      </c>
      <c r="B3019" s="2">
        <v>44018</v>
      </c>
      <c r="C3019" s="1">
        <v>1</v>
      </c>
      <c r="D3019" s="47">
        <v>9</v>
      </c>
      <c r="F3019" s="47">
        <f>E3019+F2995</f>
        <v>0</v>
      </c>
    </row>
    <row r="3020" spans="1:6" x14ac:dyDescent="0.25">
      <c r="A3020" s="5" t="s">
        <v>36</v>
      </c>
      <c r="B3020" s="2">
        <v>44018</v>
      </c>
      <c r="C3020" s="1">
        <v>0</v>
      </c>
      <c r="D3020" s="47">
        <v>12</v>
      </c>
      <c r="F3020" s="47">
        <f t="shared" si="192"/>
        <v>0</v>
      </c>
    </row>
    <row r="3021" spans="1:6" x14ac:dyDescent="0.25">
      <c r="A3021" s="5" t="s">
        <v>37</v>
      </c>
      <c r="B3021" s="2">
        <v>44018</v>
      </c>
      <c r="C3021" s="1">
        <v>4</v>
      </c>
      <c r="D3021" s="47">
        <v>54</v>
      </c>
      <c r="F3021" s="47">
        <f t="shared" si="192"/>
        <v>0</v>
      </c>
    </row>
    <row r="3022" spans="1:6" x14ac:dyDescent="0.25">
      <c r="A3022" s="5" t="s">
        <v>22</v>
      </c>
      <c r="B3022" s="2">
        <v>44018</v>
      </c>
      <c r="C3022" s="1">
        <v>5</v>
      </c>
      <c r="D3022" s="47">
        <v>442</v>
      </c>
      <c r="F3022" s="47">
        <f>E3022+F2998</f>
        <v>6</v>
      </c>
    </row>
    <row r="3023" spans="1:6" x14ac:dyDescent="0.25">
      <c r="A3023" s="5" t="s">
        <v>38</v>
      </c>
      <c r="B3023" s="2">
        <v>44018</v>
      </c>
      <c r="C3023" s="1">
        <v>1</v>
      </c>
      <c r="D3023" s="47">
        <v>26</v>
      </c>
      <c r="F3023" s="47">
        <f>E3023+F2999</f>
        <v>0</v>
      </c>
    </row>
    <row r="3024" spans="1:6" x14ac:dyDescent="0.25">
      <c r="A3024" s="5" t="s">
        <v>39</v>
      </c>
      <c r="B3024" s="2">
        <v>44018</v>
      </c>
      <c r="C3024" s="1">
        <v>0</v>
      </c>
      <c r="D3024" s="47">
        <v>153</v>
      </c>
      <c r="F3024" s="47">
        <f>E3024+F3000</f>
        <v>1</v>
      </c>
    </row>
    <row r="3025" spans="1:6" x14ac:dyDescent="0.25">
      <c r="A3025" s="5" t="s">
        <v>40</v>
      </c>
      <c r="B3025" s="2">
        <v>44018</v>
      </c>
      <c r="C3025" s="1">
        <v>0</v>
      </c>
      <c r="D3025" s="47">
        <v>87</v>
      </c>
      <c r="F3025" s="47">
        <f>E3025+F3001</f>
        <v>4</v>
      </c>
    </row>
    <row r="3026" spans="1:6" x14ac:dyDescent="0.25">
      <c r="A3026" s="34" t="s">
        <v>16</v>
      </c>
      <c r="B3026" s="2">
        <v>44019</v>
      </c>
      <c r="C3026" s="1">
        <v>1752</v>
      </c>
      <c r="D3026" s="47">
        <v>43199</v>
      </c>
      <c r="E3026" s="1">
        <v>39</v>
      </c>
      <c r="F3026" s="47">
        <f>E3026+F3002</f>
        <v>784</v>
      </c>
    </row>
    <row r="3027" spans="1:6" x14ac:dyDescent="0.25">
      <c r="A3027" s="5" t="s">
        <v>28</v>
      </c>
      <c r="B3027" s="2">
        <v>44019</v>
      </c>
      <c r="C3027" s="1">
        <v>0</v>
      </c>
      <c r="D3027" s="47">
        <v>7</v>
      </c>
      <c r="F3027" s="47">
        <f t="shared" ref="F3027:F3033" si="193">E3027+F3003</f>
        <v>0</v>
      </c>
    </row>
    <row r="3028" spans="1:6" x14ac:dyDescent="0.25">
      <c r="A3028" s="5" t="s">
        <v>15</v>
      </c>
      <c r="B3028" s="2">
        <v>44019</v>
      </c>
      <c r="C3028" s="1">
        <v>22</v>
      </c>
      <c r="D3028" s="47">
        <v>2357</v>
      </c>
      <c r="F3028" s="47">
        <f t="shared" si="193"/>
        <v>108</v>
      </c>
    </row>
    <row r="3029" spans="1:6" x14ac:dyDescent="0.25">
      <c r="A3029" s="5" t="s">
        <v>29</v>
      </c>
      <c r="B3029" s="2">
        <v>44019</v>
      </c>
      <c r="C3029" s="1">
        <v>0</v>
      </c>
      <c r="D3029" s="47">
        <v>160</v>
      </c>
      <c r="F3029" s="47">
        <f t="shared" si="193"/>
        <v>2</v>
      </c>
    </row>
    <row r="3030" spans="1:6" x14ac:dyDescent="0.25">
      <c r="A3030" s="5" t="s">
        <v>43</v>
      </c>
      <c r="B3030" s="2">
        <v>44019</v>
      </c>
      <c r="C3030" s="1">
        <v>1025</v>
      </c>
      <c r="D3030" s="47">
        <v>33297</v>
      </c>
      <c r="E3030" s="1">
        <v>21</v>
      </c>
      <c r="F3030" s="47">
        <f t="shared" si="193"/>
        <v>609</v>
      </c>
    </row>
    <row r="3031" spans="1:6" x14ac:dyDescent="0.25">
      <c r="A3031" s="5" t="s">
        <v>20</v>
      </c>
      <c r="B3031" s="2">
        <v>44019</v>
      </c>
      <c r="C3031" s="1">
        <v>48</v>
      </c>
      <c r="D3031" s="47">
        <v>781</v>
      </c>
      <c r="F3031" s="47">
        <f t="shared" si="193"/>
        <v>34</v>
      </c>
    </row>
    <row r="3032" spans="1:6" x14ac:dyDescent="0.25">
      <c r="A3032" s="5" t="s">
        <v>30</v>
      </c>
      <c r="B3032" s="2">
        <v>44019</v>
      </c>
      <c r="C3032" s="1">
        <v>1</v>
      </c>
      <c r="D3032" s="47">
        <v>122</v>
      </c>
      <c r="F3032" s="47">
        <f t="shared" si="193"/>
        <v>0</v>
      </c>
    </row>
    <row r="3033" spans="1:6" x14ac:dyDescent="0.25">
      <c r="A3033" s="5" t="s">
        <v>31</v>
      </c>
      <c r="B3033" s="2">
        <v>44019</v>
      </c>
      <c r="C3033" s="1">
        <v>10</v>
      </c>
      <c r="D3033" s="47">
        <v>344</v>
      </c>
      <c r="F3033" s="47">
        <f t="shared" si="193"/>
        <v>0</v>
      </c>
    </row>
    <row r="3034" spans="1:6" x14ac:dyDescent="0.25">
      <c r="A3034" s="5" t="s">
        <v>41</v>
      </c>
      <c r="B3034" s="2">
        <v>44019</v>
      </c>
      <c r="C3034" s="1">
        <v>0</v>
      </c>
      <c r="D3034" s="47">
        <v>76</v>
      </c>
      <c r="F3034" s="47">
        <f t="shared" ref="F3034:F3045" si="194">E3034+F3009</f>
        <v>0</v>
      </c>
    </row>
    <row r="3035" spans="1:6" x14ac:dyDescent="0.25">
      <c r="A3035" s="5" t="s">
        <v>32</v>
      </c>
      <c r="B3035" s="2">
        <v>44019</v>
      </c>
      <c r="C3035" s="1">
        <v>30</v>
      </c>
      <c r="D3035" s="47">
        <v>221</v>
      </c>
      <c r="F3035" s="47">
        <f t="shared" si="194"/>
        <v>0</v>
      </c>
    </row>
    <row r="3036" spans="1:6" x14ac:dyDescent="0.25">
      <c r="A3036" s="5" t="s">
        <v>33</v>
      </c>
      <c r="B3036" s="2">
        <v>44019</v>
      </c>
      <c r="C3036" s="1">
        <v>0</v>
      </c>
      <c r="D3036" s="47">
        <v>7</v>
      </c>
      <c r="F3036" s="47">
        <f t="shared" si="194"/>
        <v>0</v>
      </c>
    </row>
    <row r="3037" spans="1:6" x14ac:dyDescent="0.25">
      <c r="A3037" s="5" t="s">
        <v>21</v>
      </c>
      <c r="B3037" s="2">
        <v>44019</v>
      </c>
      <c r="C3037" s="1">
        <v>3</v>
      </c>
      <c r="D3037" s="47">
        <v>110</v>
      </c>
      <c r="F3037" s="47">
        <f t="shared" si="194"/>
        <v>0</v>
      </c>
    </row>
    <row r="3038" spans="1:6" x14ac:dyDescent="0.25">
      <c r="A3038" s="5" t="s">
        <v>17</v>
      </c>
      <c r="B3038" s="2">
        <v>44019</v>
      </c>
      <c r="C3038" s="1">
        <v>23</v>
      </c>
      <c r="D3038" s="47">
        <v>218</v>
      </c>
      <c r="F3038" s="47">
        <f t="shared" si="194"/>
        <v>0</v>
      </c>
    </row>
    <row r="3039" spans="1:6" x14ac:dyDescent="0.25">
      <c r="A3039" s="5" t="s">
        <v>23</v>
      </c>
      <c r="B3039" s="2">
        <v>44019</v>
      </c>
      <c r="C3039" s="1">
        <v>0</v>
      </c>
      <c r="D3039" s="47">
        <v>49</v>
      </c>
      <c r="F3039" s="47">
        <f t="shared" si="194"/>
        <v>0</v>
      </c>
    </row>
    <row r="3040" spans="1:6" x14ac:dyDescent="0.25">
      <c r="A3040" s="5" t="s">
        <v>19</v>
      </c>
      <c r="B3040" s="2">
        <v>44019</v>
      </c>
      <c r="C3040" s="1">
        <v>22</v>
      </c>
      <c r="D3040" s="47">
        <v>607</v>
      </c>
      <c r="F3040" s="47">
        <f t="shared" si="194"/>
        <v>0</v>
      </c>
    </row>
    <row r="3041" spans="1:6" x14ac:dyDescent="0.25">
      <c r="A3041" s="5" t="s">
        <v>18</v>
      </c>
      <c r="B3041" s="2">
        <v>44019</v>
      </c>
      <c r="C3041" s="1">
        <v>25</v>
      </c>
      <c r="D3041" s="47">
        <v>997</v>
      </c>
      <c r="E3041" s="1">
        <v>1</v>
      </c>
      <c r="F3041" s="47">
        <f t="shared" si="194"/>
        <v>2</v>
      </c>
    </row>
    <row r="3042" spans="1:6" x14ac:dyDescent="0.25">
      <c r="A3042" s="5" t="s">
        <v>34</v>
      </c>
      <c r="B3042" s="2">
        <v>44019</v>
      </c>
      <c r="C3042" s="1">
        <v>8</v>
      </c>
      <c r="D3042" s="47">
        <v>69</v>
      </c>
      <c r="E3042" s="1">
        <v>1</v>
      </c>
      <c r="F3042" s="47">
        <f t="shared" si="194"/>
        <v>7</v>
      </c>
    </row>
    <row r="3043" spans="1:6" x14ac:dyDescent="0.25">
      <c r="A3043" s="5" t="s">
        <v>35</v>
      </c>
      <c r="B3043" s="2">
        <v>44019</v>
      </c>
      <c r="C3043" s="1">
        <v>0</v>
      </c>
      <c r="D3043" s="47">
        <v>9</v>
      </c>
      <c r="F3043" s="47">
        <f>E3043+F3019</f>
        <v>0</v>
      </c>
    </row>
    <row r="3044" spans="1:6" x14ac:dyDescent="0.25">
      <c r="A3044" s="5" t="s">
        <v>36</v>
      </c>
      <c r="B3044" s="2">
        <v>44019</v>
      </c>
      <c r="C3044" s="1">
        <v>0</v>
      </c>
      <c r="D3044" s="47">
        <v>12</v>
      </c>
      <c r="F3044" s="47">
        <f t="shared" si="194"/>
        <v>0</v>
      </c>
    </row>
    <row r="3045" spans="1:6" x14ac:dyDescent="0.25">
      <c r="A3045" s="5" t="s">
        <v>37</v>
      </c>
      <c r="B3045" s="2">
        <v>44019</v>
      </c>
      <c r="C3045" s="1">
        <v>0</v>
      </c>
      <c r="D3045" s="47">
        <v>54</v>
      </c>
      <c r="F3045" s="47">
        <f t="shared" si="194"/>
        <v>0</v>
      </c>
    </row>
    <row r="3046" spans="1:6" x14ac:dyDescent="0.25">
      <c r="A3046" s="5" t="s">
        <v>22</v>
      </c>
      <c r="B3046" s="2">
        <v>44019</v>
      </c>
      <c r="C3046" s="1">
        <v>9</v>
      </c>
      <c r="D3046" s="47">
        <v>451</v>
      </c>
      <c r="F3046" s="47">
        <f>E3046+F3022</f>
        <v>6</v>
      </c>
    </row>
    <row r="3047" spans="1:6" x14ac:dyDescent="0.25">
      <c r="A3047" s="5" t="s">
        <v>38</v>
      </c>
      <c r="B3047" s="2">
        <v>44019</v>
      </c>
      <c r="C3047" s="1">
        <v>1</v>
      </c>
      <c r="D3047" s="47">
        <v>27</v>
      </c>
      <c r="F3047" s="47">
        <f>E3047+F3023</f>
        <v>0</v>
      </c>
    </row>
    <row r="3048" spans="1:6" x14ac:dyDescent="0.25">
      <c r="A3048" s="5" t="s">
        <v>39</v>
      </c>
      <c r="B3048" s="2">
        <v>44019</v>
      </c>
      <c r="C3048" s="1">
        <v>1</v>
      </c>
      <c r="D3048" s="47">
        <v>154</v>
      </c>
      <c r="F3048" s="47">
        <f>E3048+F3024</f>
        <v>1</v>
      </c>
    </row>
    <row r="3049" spans="1:6" x14ac:dyDescent="0.25">
      <c r="A3049" s="5" t="s">
        <v>40</v>
      </c>
      <c r="B3049" s="2">
        <v>44019</v>
      </c>
      <c r="C3049" s="1">
        <v>0</v>
      </c>
      <c r="D3049" s="47">
        <v>87</v>
      </c>
      <c r="F3049" s="47">
        <f>E3049+F3025</f>
        <v>4</v>
      </c>
    </row>
    <row r="3050" spans="1:6" x14ac:dyDescent="0.25">
      <c r="A3050" s="34" t="s">
        <v>16</v>
      </c>
      <c r="B3050" s="2">
        <v>44020</v>
      </c>
      <c r="C3050" s="1">
        <v>2222</v>
      </c>
      <c r="D3050" s="47">
        <v>45421</v>
      </c>
      <c r="E3050" s="1">
        <v>35</v>
      </c>
      <c r="F3050" s="47">
        <f>E3050+F3026</f>
        <v>819</v>
      </c>
    </row>
    <row r="3051" spans="1:6" x14ac:dyDescent="0.25">
      <c r="A3051" s="5" t="s">
        <v>28</v>
      </c>
      <c r="B3051" s="2">
        <v>44020</v>
      </c>
      <c r="C3051" s="1">
        <v>21</v>
      </c>
      <c r="D3051" s="47">
        <v>28</v>
      </c>
      <c r="F3051" s="47">
        <f t="shared" ref="F3051:F3057" si="195">E3051+F3027</f>
        <v>0</v>
      </c>
    </row>
    <row r="3052" spans="1:6" x14ac:dyDescent="0.25">
      <c r="A3052" s="5" t="s">
        <v>15</v>
      </c>
      <c r="B3052" s="2">
        <v>44020</v>
      </c>
      <c r="C3052" s="1">
        <v>59</v>
      </c>
      <c r="D3052" s="47">
        <v>2416</v>
      </c>
      <c r="F3052" s="47">
        <f t="shared" si="195"/>
        <v>108</v>
      </c>
    </row>
    <row r="3053" spans="1:6" x14ac:dyDescent="0.25">
      <c r="A3053" s="5" t="s">
        <v>29</v>
      </c>
      <c r="B3053" s="2">
        <v>44020</v>
      </c>
      <c r="C3053" s="1">
        <v>13</v>
      </c>
      <c r="D3053" s="47">
        <v>173</v>
      </c>
      <c r="F3053" s="47">
        <f t="shared" si="195"/>
        <v>2</v>
      </c>
    </row>
    <row r="3054" spans="1:6" x14ac:dyDescent="0.25">
      <c r="A3054" s="5" t="s">
        <v>43</v>
      </c>
      <c r="B3054" s="2">
        <v>44020</v>
      </c>
      <c r="C3054" s="1">
        <v>1116</v>
      </c>
      <c r="D3054" s="47">
        <v>34413</v>
      </c>
      <c r="E3054" s="1">
        <v>16</v>
      </c>
      <c r="F3054" s="47">
        <f t="shared" si="195"/>
        <v>625</v>
      </c>
    </row>
    <row r="3055" spans="1:6" x14ac:dyDescent="0.25">
      <c r="A3055" s="5" t="s">
        <v>20</v>
      </c>
      <c r="B3055" s="2">
        <v>44020</v>
      </c>
      <c r="C3055" s="1">
        <v>21</v>
      </c>
      <c r="D3055" s="47">
        <v>802</v>
      </c>
      <c r="F3055" s="47">
        <f t="shared" si="195"/>
        <v>34</v>
      </c>
    </row>
    <row r="3056" spans="1:6" x14ac:dyDescent="0.25">
      <c r="A3056" s="5" t="s">
        <v>30</v>
      </c>
      <c r="B3056" s="2">
        <v>44020</v>
      </c>
      <c r="C3056" s="1">
        <v>4</v>
      </c>
      <c r="D3056" s="47">
        <v>126</v>
      </c>
      <c r="F3056" s="47">
        <f t="shared" si="195"/>
        <v>0</v>
      </c>
    </row>
    <row r="3057" spans="1:6" x14ac:dyDescent="0.25">
      <c r="A3057" s="5" t="s">
        <v>31</v>
      </c>
      <c r="B3057" s="2">
        <v>44020</v>
      </c>
      <c r="C3057" s="1">
        <v>11</v>
      </c>
      <c r="D3057" s="47">
        <v>355</v>
      </c>
      <c r="F3057" s="47">
        <f t="shared" si="195"/>
        <v>0</v>
      </c>
    </row>
    <row r="3058" spans="1:6" x14ac:dyDescent="0.25">
      <c r="A3058" s="5" t="s">
        <v>41</v>
      </c>
      <c r="B3058" s="2">
        <v>44020</v>
      </c>
      <c r="C3058" s="1">
        <v>0</v>
      </c>
      <c r="D3058" s="47">
        <v>76</v>
      </c>
      <c r="F3058" s="47">
        <f t="shared" ref="F3058:F3069" si="196">E3058+F3033</f>
        <v>0</v>
      </c>
    </row>
    <row r="3059" spans="1:6" x14ac:dyDescent="0.25">
      <c r="A3059" s="5" t="s">
        <v>32</v>
      </c>
      <c r="B3059" s="2">
        <v>44020</v>
      </c>
      <c r="C3059" s="1">
        <v>38</v>
      </c>
      <c r="D3059" s="47">
        <v>259</v>
      </c>
      <c r="F3059" s="47">
        <f t="shared" si="196"/>
        <v>0</v>
      </c>
    </row>
    <row r="3060" spans="1:6" x14ac:dyDescent="0.25">
      <c r="A3060" s="5" t="s">
        <v>33</v>
      </c>
      <c r="B3060" s="2">
        <v>44020</v>
      </c>
      <c r="C3060" s="1">
        <v>0</v>
      </c>
      <c r="D3060" s="47">
        <v>7</v>
      </c>
      <c r="F3060" s="47">
        <f t="shared" si="196"/>
        <v>0</v>
      </c>
    </row>
    <row r="3061" spans="1:6" x14ac:dyDescent="0.25">
      <c r="A3061" s="5" t="s">
        <v>21</v>
      </c>
      <c r="B3061" s="2">
        <v>44020</v>
      </c>
      <c r="C3061" s="1">
        <v>14</v>
      </c>
      <c r="D3061" s="47">
        <v>124</v>
      </c>
      <c r="F3061" s="47">
        <f t="shared" si="196"/>
        <v>0</v>
      </c>
    </row>
    <row r="3062" spans="1:6" x14ac:dyDescent="0.25">
      <c r="A3062" s="5" t="s">
        <v>17</v>
      </c>
      <c r="B3062" s="2">
        <v>44020</v>
      </c>
      <c r="C3062" s="1">
        <v>22</v>
      </c>
      <c r="D3062" s="47">
        <v>240</v>
      </c>
      <c r="F3062" s="47">
        <f t="shared" si="196"/>
        <v>0</v>
      </c>
    </row>
    <row r="3063" spans="1:6" x14ac:dyDescent="0.25">
      <c r="A3063" s="5" t="s">
        <v>23</v>
      </c>
      <c r="B3063" s="2">
        <v>44020</v>
      </c>
      <c r="C3063" s="1">
        <v>0</v>
      </c>
      <c r="D3063" s="47">
        <v>49</v>
      </c>
      <c r="F3063" s="47">
        <f t="shared" si="196"/>
        <v>0</v>
      </c>
    </row>
    <row r="3064" spans="1:6" x14ac:dyDescent="0.25">
      <c r="A3064" s="5" t="s">
        <v>19</v>
      </c>
      <c r="B3064" s="2">
        <v>44020</v>
      </c>
      <c r="C3064" s="1">
        <v>23</v>
      </c>
      <c r="D3064" s="47">
        <v>630</v>
      </c>
      <c r="F3064" s="47">
        <f t="shared" si="196"/>
        <v>0</v>
      </c>
    </row>
    <row r="3065" spans="1:6" x14ac:dyDescent="0.25">
      <c r="A3065" s="5" t="s">
        <v>18</v>
      </c>
      <c r="B3065" s="2">
        <v>44020</v>
      </c>
      <c r="C3065" s="1">
        <v>11</v>
      </c>
      <c r="D3065" s="47">
        <v>1008</v>
      </c>
      <c r="F3065" s="47">
        <f t="shared" si="196"/>
        <v>0</v>
      </c>
    </row>
    <row r="3066" spans="1:6" x14ac:dyDescent="0.25">
      <c r="A3066" s="5" t="s">
        <v>34</v>
      </c>
      <c r="B3066" s="2">
        <v>44020</v>
      </c>
      <c r="C3066" s="1">
        <v>6</v>
      </c>
      <c r="D3066" s="47">
        <v>75</v>
      </c>
      <c r="F3066" s="47">
        <f t="shared" si="196"/>
        <v>2</v>
      </c>
    </row>
    <row r="3067" spans="1:6" x14ac:dyDescent="0.25">
      <c r="A3067" s="5" t="s">
        <v>35</v>
      </c>
      <c r="B3067" s="2">
        <v>44020</v>
      </c>
      <c r="C3067" s="1">
        <v>0</v>
      </c>
      <c r="D3067" s="47">
        <v>9</v>
      </c>
      <c r="F3067" s="47">
        <f>E3067+F3043</f>
        <v>0</v>
      </c>
    </row>
    <row r="3068" spans="1:6" x14ac:dyDescent="0.25">
      <c r="A3068" s="5" t="s">
        <v>36</v>
      </c>
      <c r="B3068" s="2">
        <v>44020</v>
      </c>
      <c r="C3068" s="1">
        <v>0</v>
      </c>
      <c r="D3068" s="47">
        <v>12</v>
      </c>
      <c r="F3068" s="47">
        <f t="shared" si="196"/>
        <v>0</v>
      </c>
    </row>
    <row r="3069" spans="1:6" x14ac:dyDescent="0.25">
      <c r="A3069" s="5" t="s">
        <v>37</v>
      </c>
      <c r="B3069" s="2">
        <v>44020</v>
      </c>
      <c r="C3069" s="1">
        <v>0</v>
      </c>
      <c r="D3069" s="47">
        <v>54</v>
      </c>
      <c r="F3069" s="47">
        <f t="shared" si="196"/>
        <v>0</v>
      </c>
    </row>
    <row r="3070" spans="1:6" x14ac:dyDescent="0.25">
      <c r="A3070" s="5" t="s">
        <v>22</v>
      </c>
      <c r="B3070" s="2">
        <v>44020</v>
      </c>
      <c r="C3070" s="1">
        <v>14</v>
      </c>
      <c r="D3070" s="47">
        <v>465</v>
      </c>
      <c r="F3070" s="47">
        <f>E3070+F3046</f>
        <v>6</v>
      </c>
    </row>
    <row r="3071" spans="1:6" x14ac:dyDescent="0.25">
      <c r="A3071" s="5" t="s">
        <v>38</v>
      </c>
      <c r="B3071" s="2">
        <v>44020</v>
      </c>
      <c r="C3071" s="1">
        <v>8</v>
      </c>
      <c r="D3071" s="47">
        <v>35</v>
      </c>
      <c r="F3071" s="47">
        <f>E3071+F3047</f>
        <v>0</v>
      </c>
    </row>
    <row r="3072" spans="1:6" x14ac:dyDescent="0.25">
      <c r="A3072" s="5" t="s">
        <v>39</v>
      </c>
      <c r="B3072" s="2">
        <v>44020</v>
      </c>
      <c r="C3072" s="1">
        <v>0</v>
      </c>
      <c r="D3072" s="47">
        <v>154</v>
      </c>
      <c r="F3072" s="47">
        <f>E3072+F3048</f>
        <v>1</v>
      </c>
    </row>
    <row r="3073" spans="1:6" x14ac:dyDescent="0.25">
      <c r="A3073" s="5" t="s">
        <v>40</v>
      </c>
      <c r="B3073" s="2">
        <v>44020</v>
      </c>
      <c r="C3073" s="1">
        <v>1</v>
      </c>
      <c r="D3073" s="47">
        <v>88</v>
      </c>
      <c r="F3073" s="47">
        <f>E3073+F3049</f>
        <v>4</v>
      </c>
    </row>
    <row r="3074" spans="1:6" x14ac:dyDescent="0.25">
      <c r="A3074" s="34" t="s">
        <v>16</v>
      </c>
      <c r="B3074" s="2">
        <v>44021</v>
      </c>
      <c r="C3074" s="1">
        <v>2372</v>
      </c>
      <c r="D3074" s="47">
        <v>47793</v>
      </c>
      <c r="E3074" s="1">
        <v>11</v>
      </c>
      <c r="F3074" s="47">
        <f>E3074+F3050</f>
        <v>830</v>
      </c>
    </row>
    <row r="3075" spans="1:6" x14ac:dyDescent="0.25">
      <c r="A3075" s="5" t="s">
        <v>28</v>
      </c>
      <c r="B3075" s="2">
        <v>44021</v>
      </c>
      <c r="C3075" s="1">
        <v>10</v>
      </c>
      <c r="D3075" s="47">
        <v>38</v>
      </c>
      <c r="F3075" s="47">
        <f t="shared" ref="F3075:F3081" si="197">E3075+F3051</f>
        <v>0</v>
      </c>
    </row>
    <row r="3076" spans="1:6" x14ac:dyDescent="0.25">
      <c r="A3076" s="5" t="s">
        <v>15</v>
      </c>
      <c r="B3076" s="2">
        <v>44021</v>
      </c>
      <c r="C3076" s="1">
        <v>30</v>
      </c>
      <c r="D3076" s="47">
        <v>2446</v>
      </c>
      <c r="E3076" s="1">
        <v>4</v>
      </c>
      <c r="F3076" s="47">
        <f t="shared" si="197"/>
        <v>112</v>
      </c>
    </row>
    <row r="3077" spans="1:6" x14ac:dyDescent="0.25">
      <c r="A3077" s="5" t="s">
        <v>29</v>
      </c>
      <c r="B3077" s="2">
        <v>44021</v>
      </c>
      <c r="C3077" s="1">
        <v>19</v>
      </c>
      <c r="D3077" s="47">
        <v>192</v>
      </c>
      <c r="F3077" s="47">
        <f t="shared" si="197"/>
        <v>2</v>
      </c>
    </row>
    <row r="3078" spans="1:6" x14ac:dyDescent="0.25">
      <c r="A3078" s="5" t="s">
        <v>43</v>
      </c>
      <c r="B3078" s="2">
        <v>44021</v>
      </c>
      <c r="C3078" s="1">
        <v>1058</v>
      </c>
      <c r="D3078" s="47">
        <v>35471</v>
      </c>
      <c r="E3078" s="1">
        <v>10</v>
      </c>
      <c r="F3078" s="47">
        <f t="shared" si="197"/>
        <v>635</v>
      </c>
    </row>
    <row r="3079" spans="1:6" x14ac:dyDescent="0.25">
      <c r="A3079" s="5" t="s">
        <v>20</v>
      </c>
      <c r="B3079" s="2">
        <v>44021</v>
      </c>
      <c r="C3079" s="1">
        <v>27</v>
      </c>
      <c r="D3079" s="47">
        <v>829</v>
      </c>
      <c r="F3079" s="47">
        <f t="shared" si="197"/>
        <v>34</v>
      </c>
    </row>
    <row r="3080" spans="1:6" x14ac:dyDescent="0.25">
      <c r="A3080" s="5" t="s">
        <v>30</v>
      </c>
      <c r="B3080" s="2">
        <v>44021</v>
      </c>
      <c r="C3080" s="1">
        <v>0</v>
      </c>
      <c r="D3080" s="47">
        <v>126</v>
      </c>
      <c r="F3080" s="47">
        <f t="shared" si="197"/>
        <v>0</v>
      </c>
    </row>
    <row r="3081" spans="1:6" x14ac:dyDescent="0.25">
      <c r="A3081" s="5" t="s">
        <v>31</v>
      </c>
      <c r="B3081" s="2">
        <v>44021</v>
      </c>
      <c r="C3081" s="1">
        <v>21</v>
      </c>
      <c r="D3081" s="47">
        <v>376</v>
      </c>
      <c r="F3081" s="47">
        <f t="shared" si="197"/>
        <v>0</v>
      </c>
    </row>
    <row r="3082" spans="1:6" x14ac:dyDescent="0.25">
      <c r="A3082" s="5" t="s">
        <v>41</v>
      </c>
      <c r="B3082" s="2">
        <v>44021</v>
      </c>
      <c r="C3082" s="1">
        <v>0</v>
      </c>
      <c r="D3082" s="47">
        <v>76</v>
      </c>
      <c r="F3082" s="47">
        <f t="shared" ref="F3082:F3093" si="198">E3082+F3057</f>
        <v>0</v>
      </c>
    </row>
    <row r="3083" spans="1:6" x14ac:dyDescent="0.25">
      <c r="A3083" s="5" t="s">
        <v>32</v>
      </c>
      <c r="B3083" s="2">
        <v>44021</v>
      </c>
      <c r="C3083" s="1">
        <v>52</v>
      </c>
      <c r="D3083" s="47">
        <v>311</v>
      </c>
      <c r="F3083" s="47">
        <f t="shared" si="198"/>
        <v>0</v>
      </c>
    </row>
    <row r="3084" spans="1:6" x14ac:dyDescent="0.25">
      <c r="A3084" s="5" t="s">
        <v>33</v>
      </c>
      <c r="B3084" s="2">
        <v>44021</v>
      </c>
      <c r="C3084" s="1">
        <v>0</v>
      </c>
      <c r="D3084" s="47">
        <v>7</v>
      </c>
      <c r="F3084" s="47">
        <f t="shared" si="198"/>
        <v>0</v>
      </c>
    </row>
    <row r="3085" spans="1:6" x14ac:dyDescent="0.25">
      <c r="A3085" s="5" t="s">
        <v>21</v>
      </c>
      <c r="B3085" s="2">
        <v>44021</v>
      </c>
      <c r="C3085" s="1">
        <v>1</v>
      </c>
      <c r="D3085" s="47">
        <v>125</v>
      </c>
      <c r="F3085" s="47">
        <f t="shared" si="198"/>
        <v>0</v>
      </c>
    </row>
    <row r="3086" spans="1:6" x14ac:dyDescent="0.25">
      <c r="A3086" s="5" t="s">
        <v>17</v>
      </c>
      <c r="B3086" s="2">
        <v>44021</v>
      </c>
      <c r="C3086" s="1">
        <v>11</v>
      </c>
      <c r="D3086" s="47">
        <v>251</v>
      </c>
      <c r="F3086" s="47">
        <f t="shared" si="198"/>
        <v>0</v>
      </c>
    </row>
    <row r="3087" spans="1:6" x14ac:dyDescent="0.25">
      <c r="A3087" s="5" t="s">
        <v>23</v>
      </c>
      <c r="B3087" s="2">
        <v>44021</v>
      </c>
      <c r="C3087" s="1">
        <v>0</v>
      </c>
      <c r="D3087" s="47">
        <v>49</v>
      </c>
      <c r="F3087" s="47">
        <f t="shared" si="198"/>
        <v>0</v>
      </c>
    </row>
    <row r="3088" spans="1:6" x14ac:dyDescent="0.25">
      <c r="A3088" s="5" t="s">
        <v>19</v>
      </c>
      <c r="B3088" s="2">
        <v>44021</v>
      </c>
      <c r="C3088" s="1">
        <v>10</v>
      </c>
      <c r="D3088" s="47">
        <v>640</v>
      </c>
      <c r="F3088" s="47">
        <f t="shared" si="198"/>
        <v>0</v>
      </c>
    </row>
    <row r="3089" spans="1:6" x14ac:dyDescent="0.25">
      <c r="A3089" s="5" t="s">
        <v>18</v>
      </c>
      <c r="B3089" s="2">
        <v>44021</v>
      </c>
      <c r="C3089" s="1">
        <v>23</v>
      </c>
      <c r="D3089" s="47">
        <v>1031</v>
      </c>
      <c r="F3089" s="47">
        <f t="shared" si="198"/>
        <v>0</v>
      </c>
    </row>
    <row r="3090" spans="1:6" x14ac:dyDescent="0.25">
      <c r="A3090" s="5" t="s">
        <v>34</v>
      </c>
      <c r="B3090" s="2">
        <v>44021</v>
      </c>
      <c r="C3090" s="1">
        <v>9</v>
      </c>
      <c r="D3090" s="47">
        <v>84</v>
      </c>
      <c r="E3090" s="1">
        <v>1</v>
      </c>
      <c r="F3090" s="47">
        <f t="shared" si="198"/>
        <v>1</v>
      </c>
    </row>
    <row r="3091" spans="1:6" x14ac:dyDescent="0.25">
      <c r="A3091" s="5" t="s">
        <v>35</v>
      </c>
      <c r="B3091" s="2">
        <v>44021</v>
      </c>
      <c r="C3091" s="1">
        <v>0</v>
      </c>
      <c r="D3091" s="47">
        <v>9</v>
      </c>
      <c r="F3091" s="47">
        <f>E3091+F3067</f>
        <v>0</v>
      </c>
    </row>
    <row r="3092" spans="1:6" x14ac:dyDescent="0.25">
      <c r="A3092" s="5" t="s">
        <v>36</v>
      </c>
      <c r="B3092" s="2">
        <v>44021</v>
      </c>
      <c r="C3092" s="1">
        <v>0</v>
      </c>
      <c r="D3092" s="47">
        <v>12</v>
      </c>
      <c r="F3092" s="47">
        <f t="shared" si="198"/>
        <v>0</v>
      </c>
    </row>
    <row r="3093" spans="1:6" x14ac:dyDescent="0.25">
      <c r="A3093" s="5" t="s">
        <v>37</v>
      </c>
      <c r="B3093" s="2">
        <v>44021</v>
      </c>
      <c r="C3093" s="1">
        <v>2</v>
      </c>
      <c r="D3093" s="47">
        <v>56</v>
      </c>
      <c r="F3093" s="47">
        <f t="shared" si="198"/>
        <v>0</v>
      </c>
    </row>
    <row r="3094" spans="1:6" x14ac:dyDescent="0.25">
      <c r="A3094" s="5" t="s">
        <v>22</v>
      </c>
      <c r="B3094" s="2">
        <v>44021</v>
      </c>
      <c r="C3094" s="1">
        <v>15</v>
      </c>
      <c r="D3094" s="47">
        <v>480</v>
      </c>
      <c r="F3094" s="47">
        <f>E3094+F3070</f>
        <v>6</v>
      </c>
    </row>
    <row r="3095" spans="1:6" x14ac:dyDescent="0.25">
      <c r="A3095" s="5" t="s">
        <v>38</v>
      </c>
      <c r="B3095" s="2">
        <v>44021</v>
      </c>
      <c r="C3095" s="1">
        <v>1</v>
      </c>
      <c r="D3095" s="47">
        <v>36</v>
      </c>
      <c r="F3095" s="47">
        <f>E3095+F3071</f>
        <v>0</v>
      </c>
    </row>
    <row r="3096" spans="1:6" x14ac:dyDescent="0.25">
      <c r="A3096" s="5" t="s">
        <v>39</v>
      </c>
      <c r="B3096" s="2">
        <v>44021</v>
      </c>
      <c r="C3096" s="1">
        <v>1</v>
      </c>
      <c r="D3096" s="47">
        <v>155</v>
      </c>
      <c r="F3096" s="47">
        <f>E3096+F3072</f>
        <v>1</v>
      </c>
    </row>
    <row r="3097" spans="1:6" x14ac:dyDescent="0.25">
      <c r="A3097" s="5" t="s">
        <v>40</v>
      </c>
      <c r="B3097" s="2">
        <v>44021</v>
      </c>
      <c r="C3097" s="1">
        <v>1</v>
      </c>
      <c r="D3097" s="47">
        <v>89</v>
      </c>
      <c r="F3097" s="47">
        <f>E3097+F3073</f>
        <v>4</v>
      </c>
    </row>
    <row r="3098" spans="1:6" x14ac:dyDescent="0.25">
      <c r="A3098" s="34" t="s">
        <v>16</v>
      </c>
      <c r="B3098" s="2">
        <v>44022</v>
      </c>
      <c r="C3098" s="1">
        <v>2118</v>
      </c>
      <c r="D3098" s="47">
        <v>49911</v>
      </c>
      <c r="E3098" s="1">
        <v>29</v>
      </c>
      <c r="F3098" s="47">
        <f>E3098+F3074</f>
        <v>859</v>
      </c>
    </row>
    <row r="3099" spans="1:6" x14ac:dyDescent="0.25">
      <c r="A3099" s="5" t="s">
        <v>28</v>
      </c>
      <c r="B3099" s="2">
        <v>44022</v>
      </c>
      <c r="C3099" s="1">
        <v>0</v>
      </c>
      <c r="D3099" s="47">
        <v>38</v>
      </c>
      <c r="F3099" s="47">
        <f t="shared" ref="F3099:F3105" si="199">E3099+F3075</f>
        <v>0</v>
      </c>
    </row>
    <row r="3100" spans="1:6" x14ac:dyDescent="0.25">
      <c r="A3100" s="5" t="s">
        <v>15</v>
      </c>
      <c r="B3100" s="2">
        <v>44022</v>
      </c>
      <c r="C3100" s="1">
        <v>50</v>
      </c>
      <c r="D3100" s="47">
        <v>2496</v>
      </c>
      <c r="E3100" s="1">
        <v>1</v>
      </c>
      <c r="F3100" s="47">
        <f t="shared" si="199"/>
        <v>113</v>
      </c>
    </row>
    <row r="3101" spans="1:6" x14ac:dyDescent="0.25">
      <c r="A3101" s="5" t="s">
        <v>29</v>
      </c>
      <c r="B3101" s="2">
        <v>44022</v>
      </c>
      <c r="C3101" s="1">
        <v>4</v>
      </c>
      <c r="D3101" s="47">
        <v>196</v>
      </c>
      <c r="F3101" s="47">
        <f t="shared" si="199"/>
        <v>2</v>
      </c>
    </row>
    <row r="3102" spans="1:6" x14ac:dyDescent="0.25">
      <c r="A3102" s="5" t="s">
        <v>43</v>
      </c>
      <c r="B3102" s="2">
        <v>44022</v>
      </c>
      <c r="C3102" s="1">
        <v>1049</v>
      </c>
      <c r="D3102" s="47">
        <v>36520</v>
      </c>
      <c r="E3102" s="1">
        <v>21</v>
      </c>
      <c r="F3102" s="47">
        <f t="shared" si="199"/>
        <v>656</v>
      </c>
    </row>
    <row r="3103" spans="1:6" x14ac:dyDescent="0.25">
      <c r="A3103" s="5" t="s">
        <v>20</v>
      </c>
      <c r="B3103" s="2">
        <v>44022</v>
      </c>
      <c r="C3103" s="1">
        <v>26</v>
      </c>
      <c r="D3103" s="47">
        <v>855</v>
      </c>
      <c r="F3103" s="47">
        <f t="shared" si="199"/>
        <v>34</v>
      </c>
    </row>
    <row r="3104" spans="1:6" x14ac:dyDescent="0.25">
      <c r="A3104" s="5" t="s">
        <v>30</v>
      </c>
      <c r="B3104" s="2">
        <v>44022</v>
      </c>
      <c r="C3104" s="1">
        <v>0</v>
      </c>
      <c r="D3104" s="47">
        <v>126</v>
      </c>
      <c r="F3104" s="47">
        <f t="shared" si="199"/>
        <v>0</v>
      </c>
    </row>
    <row r="3105" spans="1:6" x14ac:dyDescent="0.25">
      <c r="A3105" s="5" t="s">
        <v>31</v>
      </c>
      <c r="B3105" s="2">
        <v>44022</v>
      </c>
      <c r="C3105" s="1">
        <v>25</v>
      </c>
      <c r="D3105" s="47">
        <v>401</v>
      </c>
      <c r="F3105" s="47">
        <f t="shared" si="199"/>
        <v>0</v>
      </c>
    </row>
    <row r="3106" spans="1:6" x14ac:dyDescent="0.25">
      <c r="A3106" s="5" t="s">
        <v>41</v>
      </c>
      <c r="B3106" s="2">
        <v>44022</v>
      </c>
      <c r="C3106" s="1">
        <v>0</v>
      </c>
      <c r="D3106" s="47">
        <v>76</v>
      </c>
      <c r="F3106" s="47">
        <f t="shared" ref="F3106:F3117" si="200">E3106+F3081</f>
        <v>0</v>
      </c>
    </row>
    <row r="3107" spans="1:6" x14ac:dyDescent="0.25">
      <c r="A3107" s="5" t="s">
        <v>32</v>
      </c>
      <c r="B3107" s="2">
        <v>44022</v>
      </c>
      <c r="C3107" s="1">
        <v>23</v>
      </c>
      <c r="D3107" s="47">
        <v>334</v>
      </c>
      <c r="F3107" s="47">
        <f t="shared" si="200"/>
        <v>0</v>
      </c>
    </row>
    <row r="3108" spans="1:6" x14ac:dyDescent="0.25">
      <c r="A3108" s="5" t="s">
        <v>33</v>
      </c>
      <c r="B3108" s="2">
        <v>44022</v>
      </c>
      <c r="C3108" s="1">
        <v>0</v>
      </c>
      <c r="D3108" s="47">
        <v>7</v>
      </c>
      <c r="F3108" s="47">
        <f t="shared" si="200"/>
        <v>0</v>
      </c>
    </row>
    <row r="3109" spans="1:6" x14ac:dyDescent="0.25">
      <c r="A3109" s="5" t="s">
        <v>21</v>
      </c>
      <c r="B3109" s="2">
        <v>44022</v>
      </c>
      <c r="C3109" s="1">
        <v>6</v>
      </c>
      <c r="D3109" s="47">
        <v>131</v>
      </c>
      <c r="E3109" s="1">
        <v>2</v>
      </c>
      <c r="F3109" s="47">
        <f t="shared" si="200"/>
        <v>2</v>
      </c>
    </row>
    <row r="3110" spans="1:6" x14ac:dyDescent="0.25">
      <c r="A3110" s="5" t="s">
        <v>17</v>
      </c>
      <c r="B3110" s="2">
        <v>44022</v>
      </c>
      <c r="C3110" s="1">
        <v>12</v>
      </c>
      <c r="D3110" s="47">
        <v>263</v>
      </c>
      <c r="F3110" s="47">
        <f t="shared" si="200"/>
        <v>0</v>
      </c>
    </row>
    <row r="3111" spans="1:6" x14ac:dyDescent="0.25">
      <c r="A3111" s="5" t="s">
        <v>23</v>
      </c>
      <c r="B3111" s="2">
        <v>44022</v>
      </c>
      <c r="C3111" s="1">
        <v>0</v>
      </c>
      <c r="D3111" s="47">
        <v>49</v>
      </c>
      <c r="F3111" s="47">
        <f t="shared" si="200"/>
        <v>0</v>
      </c>
    </row>
    <row r="3112" spans="1:6" x14ac:dyDescent="0.25">
      <c r="A3112" s="5" t="s">
        <v>19</v>
      </c>
      <c r="B3112" s="2">
        <v>44022</v>
      </c>
      <c r="C3112" s="1">
        <v>14</v>
      </c>
      <c r="D3112" s="47">
        <v>654</v>
      </c>
      <c r="E3112" s="1">
        <v>1</v>
      </c>
      <c r="F3112" s="47">
        <f t="shared" si="200"/>
        <v>1</v>
      </c>
    </row>
    <row r="3113" spans="1:6" x14ac:dyDescent="0.25">
      <c r="A3113" s="5" t="s">
        <v>18</v>
      </c>
      <c r="B3113" s="2">
        <v>44022</v>
      </c>
      <c r="C3113" s="1">
        <v>26</v>
      </c>
      <c r="D3113" s="47">
        <v>1057</v>
      </c>
      <c r="F3113" s="47">
        <f t="shared" si="200"/>
        <v>0</v>
      </c>
    </row>
    <row r="3114" spans="1:6" x14ac:dyDescent="0.25">
      <c r="A3114" s="5" t="s">
        <v>34</v>
      </c>
      <c r="B3114" s="2">
        <v>44022</v>
      </c>
      <c r="C3114" s="1">
        <v>2</v>
      </c>
      <c r="D3114" s="47">
        <v>86</v>
      </c>
      <c r="F3114" s="47">
        <f t="shared" si="200"/>
        <v>0</v>
      </c>
    </row>
    <row r="3115" spans="1:6" x14ac:dyDescent="0.25">
      <c r="A3115" s="5" t="s">
        <v>35</v>
      </c>
      <c r="B3115" s="2">
        <v>44022</v>
      </c>
      <c r="C3115" s="1">
        <v>0</v>
      </c>
      <c r="D3115" s="47">
        <v>9</v>
      </c>
      <c r="F3115" s="47">
        <f>E3115+F3091</f>
        <v>0</v>
      </c>
    </row>
    <row r="3116" spans="1:6" x14ac:dyDescent="0.25">
      <c r="A3116" s="5" t="s">
        <v>36</v>
      </c>
      <c r="B3116" s="2">
        <v>44022</v>
      </c>
      <c r="C3116" s="1">
        <v>0</v>
      </c>
      <c r="D3116" s="47">
        <v>12</v>
      </c>
      <c r="F3116" s="47">
        <f t="shared" si="200"/>
        <v>0</v>
      </c>
    </row>
    <row r="3117" spans="1:6" x14ac:dyDescent="0.25">
      <c r="A3117" s="5" t="s">
        <v>37</v>
      </c>
      <c r="B3117" s="2">
        <v>44022</v>
      </c>
      <c r="C3117" s="1">
        <v>4</v>
      </c>
      <c r="D3117" s="47">
        <v>60</v>
      </c>
      <c r="F3117" s="47">
        <f t="shared" si="200"/>
        <v>0</v>
      </c>
    </row>
    <row r="3118" spans="1:6" x14ac:dyDescent="0.25">
      <c r="A3118" s="5" t="s">
        <v>22</v>
      </c>
      <c r="B3118" s="2">
        <v>44022</v>
      </c>
      <c r="C3118" s="1">
        <v>6</v>
      </c>
      <c r="D3118" s="47">
        <v>486</v>
      </c>
      <c r="F3118" s="47">
        <f>E3118+F3094</f>
        <v>6</v>
      </c>
    </row>
    <row r="3119" spans="1:6" x14ac:dyDescent="0.25">
      <c r="A3119" s="5" t="s">
        <v>38</v>
      </c>
      <c r="B3119" s="2">
        <v>44022</v>
      </c>
      <c r="C3119" s="1">
        <v>0</v>
      </c>
      <c r="D3119" s="47">
        <v>36</v>
      </c>
      <c r="F3119" s="47">
        <f>E3119+F3095</f>
        <v>0</v>
      </c>
    </row>
    <row r="3120" spans="1:6" x14ac:dyDescent="0.25">
      <c r="A3120" s="5" t="s">
        <v>39</v>
      </c>
      <c r="B3120" s="2">
        <v>44022</v>
      </c>
      <c r="C3120" s="1">
        <v>0</v>
      </c>
      <c r="D3120" s="47">
        <v>155</v>
      </c>
      <c r="F3120" s="47">
        <f>E3120+F3096</f>
        <v>1</v>
      </c>
    </row>
    <row r="3121" spans="1:6" x14ac:dyDescent="0.25">
      <c r="A3121" s="5" t="s">
        <v>40</v>
      </c>
      <c r="B3121" s="2">
        <v>44022</v>
      </c>
      <c r="C3121" s="1">
        <v>2</v>
      </c>
      <c r="D3121" s="47">
        <v>91</v>
      </c>
      <c r="F3121" s="47">
        <f>E3121+F3097</f>
        <v>4</v>
      </c>
    </row>
    <row r="3122" spans="1:6" x14ac:dyDescent="0.25">
      <c r="A3122" s="34" t="s">
        <v>16</v>
      </c>
      <c r="B3122" s="2">
        <v>44023</v>
      </c>
      <c r="C3122" s="1">
        <v>2113</v>
      </c>
      <c r="D3122" s="47">
        <v>52024</v>
      </c>
      <c r="E3122" s="1">
        <v>21</v>
      </c>
      <c r="F3122" s="47">
        <f>E3122+F3098</f>
        <v>880</v>
      </c>
    </row>
    <row r="3123" spans="1:6" x14ac:dyDescent="0.25">
      <c r="A3123" s="5" t="s">
        <v>28</v>
      </c>
      <c r="B3123" s="2">
        <v>44023</v>
      </c>
      <c r="C3123" s="1">
        <v>1</v>
      </c>
      <c r="D3123" s="47">
        <v>39</v>
      </c>
      <c r="F3123" s="47">
        <f t="shared" ref="F3123:F3129" si="201">E3123+F3099</f>
        <v>0</v>
      </c>
    </row>
    <row r="3124" spans="1:6" x14ac:dyDescent="0.25">
      <c r="A3124" s="5" t="s">
        <v>15</v>
      </c>
      <c r="B3124" s="2">
        <v>44023</v>
      </c>
      <c r="C3124" s="1">
        <v>56</v>
      </c>
      <c r="D3124" s="47">
        <v>2552</v>
      </c>
      <c r="E3124" s="1">
        <v>1</v>
      </c>
      <c r="F3124" s="47">
        <f t="shared" si="201"/>
        <v>114</v>
      </c>
    </row>
    <row r="3125" spans="1:6" x14ac:dyDescent="0.25">
      <c r="A3125" s="5" t="s">
        <v>29</v>
      </c>
      <c r="B3125" s="2">
        <v>44023</v>
      </c>
      <c r="C3125" s="1">
        <v>9</v>
      </c>
      <c r="D3125" s="47">
        <v>205</v>
      </c>
      <c r="E3125" s="1">
        <v>1</v>
      </c>
      <c r="F3125" s="47">
        <f t="shared" si="201"/>
        <v>3</v>
      </c>
    </row>
    <row r="3126" spans="1:6" x14ac:dyDescent="0.25">
      <c r="A3126" s="5" t="s">
        <v>43</v>
      </c>
      <c r="B3126" s="2">
        <v>44023</v>
      </c>
      <c r="C3126" s="1">
        <v>1051</v>
      </c>
      <c r="D3126" s="47">
        <v>37571</v>
      </c>
      <c r="E3126" s="1">
        <v>13</v>
      </c>
      <c r="F3126" s="47">
        <f t="shared" si="201"/>
        <v>669</v>
      </c>
    </row>
    <row r="3127" spans="1:6" x14ac:dyDescent="0.25">
      <c r="A3127" s="5" t="s">
        <v>20</v>
      </c>
      <c r="B3127" s="2">
        <v>44023</v>
      </c>
      <c r="C3127" s="1">
        <v>30</v>
      </c>
      <c r="D3127" s="47">
        <v>885</v>
      </c>
      <c r="F3127" s="47">
        <f t="shared" si="201"/>
        <v>34</v>
      </c>
    </row>
    <row r="3128" spans="1:6" x14ac:dyDescent="0.25">
      <c r="A3128" s="5" t="s">
        <v>30</v>
      </c>
      <c r="B3128" s="2">
        <v>44023</v>
      </c>
      <c r="C3128" s="1">
        <v>1</v>
      </c>
      <c r="D3128" s="47">
        <v>127</v>
      </c>
      <c r="F3128" s="47">
        <f t="shared" si="201"/>
        <v>0</v>
      </c>
    </row>
    <row r="3129" spans="1:6" x14ac:dyDescent="0.25">
      <c r="A3129" s="5" t="s">
        <v>31</v>
      </c>
      <c r="B3129" s="2">
        <v>44023</v>
      </c>
      <c r="C3129" s="1">
        <v>31</v>
      </c>
      <c r="D3129" s="47">
        <v>432</v>
      </c>
      <c r="F3129" s="47">
        <f t="shared" si="201"/>
        <v>0</v>
      </c>
    </row>
    <row r="3130" spans="1:6" x14ac:dyDescent="0.25">
      <c r="A3130" s="5" t="s">
        <v>41</v>
      </c>
      <c r="B3130" s="2">
        <v>44023</v>
      </c>
      <c r="C3130" s="1">
        <v>0</v>
      </c>
      <c r="D3130" s="47">
        <v>76</v>
      </c>
      <c r="F3130" s="47">
        <f t="shared" ref="F3130:F3141" si="202">E3130+F3105</f>
        <v>0</v>
      </c>
    </row>
    <row r="3131" spans="1:6" x14ac:dyDescent="0.25">
      <c r="A3131" s="5" t="s">
        <v>32</v>
      </c>
      <c r="B3131" s="2">
        <v>44023</v>
      </c>
      <c r="C3131" s="1">
        <v>59</v>
      </c>
      <c r="D3131" s="47">
        <v>393</v>
      </c>
      <c r="F3131" s="47">
        <f t="shared" si="202"/>
        <v>0</v>
      </c>
    </row>
    <row r="3132" spans="1:6" x14ac:dyDescent="0.25">
      <c r="A3132" s="5" t="s">
        <v>33</v>
      </c>
      <c r="B3132" s="2">
        <v>44023</v>
      </c>
      <c r="C3132" s="1">
        <v>0</v>
      </c>
      <c r="D3132" s="47">
        <v>7</v>
      </c>
      <c r="F3132" s="47">
        <f t="shared" si="202"/>
        <v>0</v>
      </c>
    </row>
    <row r="3133" spans="1:6" x14ac:dyDescent="0.25">
      <c r="A3133" s="5" t="s">
        <v>21</v>
      </c>
      <c r="B3133" s="2">
        <v>44023</v>
      </c>
      <c r="C3133" s="1">
        <v>5</v>
      </c>
      <c r="D3133" s="47">
        <v>136</v>
      </c>
      <c r="F3133" s="47">
        <f t="shared" si="202"/>
        <v>0</v>
      </c>
    </row>
    <row r="3134" spans="1:6" x14ac:dyDescent="0.25">
      <c r="A3134" s="5" t="s">
        <v>17</v>
      </c>
      <c r="B3134" s="2">
        <v>44023</v>
      </c>
      <c r="C3134" s="1">
        <v>14</v>
      </c>
      <c r="D3134" s="47">
        <v>277</v>
      </c>
      <c r="F3134" s="47">
        <f t="shared" si="202"/>
        <v>2</v>
      </c>
    </row>
    <row r="3135" spans="1:6" x14ac:dyDescent="0.25">
      <c r="A3135" s="5" t="s">
        <v>23</v>
      </c>
      <c r="B3135" s="2">
        <v>44023</v>
      </c>
      <c r="C3135" s="1">
        <v>0</v>
      </c>
      <c r="D3135" s="47">
        <v>49</v>
      </c>
      <c r="F3135" s="47">
        <f t="shared" si="202"/>
        <v>0</v>
      </c>
    </row>
    <row r="3136" spans="1:6" x14ac:dyDescent="0.25">
      <c r="A3136" s="5" t="s">
        <v>19</v>
      </c>
      <c r="B3136" s="2">
        <v>44023</v>
      </c>
      <c r="C3136" s="1">
        <v>13</v>
      </c>
      <c r="D3136" s="47">
        <v>667</v>
      </c>
      <c r="F3136" s="47">
        <f t="shared" si="202"/>
        <v>0</v>
      </c>
    </row>
    <row r="3137" spans="1:6" x14ac:dyDescent="0.25">
      <c r="A3137" s="5" t="s">
        <v>18</v>
      </c>
      <c r="B3137" s="2">
        <v>44023</v>
      </c>
      <c r="C3137" s="1">
        <v>25</v>
      </c>
      <c r="D3137" s="47">
        <v>1082</v>
      </c>
      <c r="F3137" s="47">
        <f t="shared" si="202"/>
        <v>1</v>
      </c>
    </row>
    <row r="3138" spans="1:6" x14ac:dyDescent="0.25">
      <c r="A3138" s="5" t="s">
        <v>34</v>
      </c>
      <c r="B3138" s="2">
        <v>44023</v>
      </c>
      <c r="C3138" s="1">
        <v>21</v>
      </c>
      <c r="D3138" s="47">
        <v>107</v>
      </c>
      <c r="F3138" s="47">
        <f t="shared" si="202"/>
        <v>0</v>
      </c>
    </row>
    <row r="3139" spans="1:6" x14ac:dyDescent="0.25">
      <c r="A3139" s="5" t="s">
        <v>35</v>
      </c>
      <c r="B3139" s="2">
        <v>44023</v>
      </c>
      <c r="C3139" s="1">
        <v>0</v>
      </c>
      <c r="D3139" s="47">
        <v>9</v>
      </c>
      <c r="F3139" s="47">
        <f>E3139+F3115</f>
        <v>0</v>
      </c>
    </row>
    <row r="3140" spans="1:6" x14ac:dyDescent="0.25">
      <c r="A3140" s="5" t="s">
        <v>36</v>
      </c>
      <c r="B3140" s="2">
        <v>44023</v>
      </c>
      <c r="C3140" s="1">
        <v>0</v>
      </c>
      <c r="D3140" s="47">
        <v>12</v>
      </c>
      <c r="F3140" s="47">
        <f t="shared" si="202"/>
        <v>0</v>
      </c>
    </row>
    <row r="3141" spans="1:6" x14ac:dyDescent="0.25">
      <c r="A3141" s="5" t="s">
        <v>37</v>
      </c>
      <c r="B3141" s="2">
        <v>44023</v>
      </c>
      <c r="C3141" s="1">
        <v>0</v>
      </c>
      <c r="D3141" s="47">
        <v>60</v>
      </c>
      <c r="F3141" s="47">
        <f t="shared" si="202"/>
        <v>0</v>
      </c>
    </row>
    <row r="3142" spans="1:6" x14ac:dyDescent="0.25">
      <c r="A3142" s="5" t="s">
        <v>22</v>
      </c>
      <c r="B3142" s="2">
        <v>44023</v>
      </c>
      <c r="C3142" s="1">
        <v>19</v>
      </c>
      <c r="D3142" s="47">
        <v>505</v>
      </c>
      <c r="F3142" s="47">
        <f>E3142+F3118</f>
        <v>6</v>
      </c>
    </row>
    <row r="3143" spans="1:6" x14ac:dyDescent="0.25">
      <c r="A3143" s="5" t="s">
        <v>38</v>
      </c>
      <c r="B3143" s="2">
        <v>44023</v>
      </c>
      <c r="C3143" s="1">
        <v>0</v>
      </c>
      <c r="D3143" s="47">
        <v>36</v>
      </c>
      <c r="F3143" s="47">
        <f>E3143+F3119</f>
        <v>0</v>
      </c>
    </row>
    <row r="3144" spans="1:6" x14ac:dyDescent="0.25">
      <c r="A3144" s="5" t="s">
        <v>39</v>
      </c>
      <c r="B3144" s="2">
        <v>44023</v>
      </c>
      <c r="C3144" s="1">
        <v>0</v>
      </c>
      <c r="D3144" s="47">
        <v>155</v>
      </c>
      <c r="F3144" s="47">
        <f>E3144+F3120</f>
        <v>1</v>
      </c>
    </row>
    <row r="3145" spans="1:6" x14ac:dyDescent="0.25">
      <c r="A3145" s="5" t="s">
        <v>40</v>
      </c>
      <c r="B3145" s="2">
        <v>44023</v>
      </c>
      <c r="C3145" s="1">
        <v>0</v>
      </c>
      <c r="D3145" s="47">
        <v>91</v>
      </c>
      <c r="F3145" s="47">
        <f>E3145+F3121</f>
        <v>4</v>
      </c>
    </row>
    <row r="3146" spans="1:6" x14ac:dyDescent="0.25">
      <c r="A3146" s="34" t="s">
        <v>16</v>
      </c>
      <c r="B3146" s="2">
        <v>44024</v>
      </c>
      <c r="C3146" s="1">
        <v>1633</v>
      </c>
      <c r="D3146" s="47">
        <v>53657</v>
      </c>
      <c r="E3146" s="1">
        <v>23</v>
      </c>
      <c r="F3146" s="47">
        <f>E3146+F3122</f>
        <v>903</v>
      </c>
    </row>
    <row r="3147" spans="1:6" x14ac:dyDescent="0.25">
      <c r="A3147" s="5" t="s">
        <v>28</v>
      </c>
      <c r="B3147" s="2">
        <v>44024</v>
      </c>
      <c r="C3147" s="1">
        <v>0</v>
      </c>
      <c r="D3147" s="47">
        <v>39</v>
      </c>
      <c r="F3147" s="47">
        <f t="shared" ref="F3147:F3153" si="203">E3147+F3123</f>
        <v>0</v>
      </c>
    </row>
    <row r="3148" spans="1:6" x14ac:dyDescent="0.25">
      <c r="A3148" s="5" t="s">
        <v>15</v>
      </c>
      <c r="B3148" s="2">
        <v>44024</v>
      </c>
      <c r="C3148" s="1">
        <v>25</v>
      </c>
      <c r="D3148" s="47">
        <v>2577</v>
      </c>
      <c r="F3148" s="47">
        <f t="shared" si="203"/>
        <v>114</v>
      </c>
    </row>
    <row r="3149" spans="1:6" x14ac:dyDescent="0.25">
      <c r="A3149" s="5" t="s">
        <v>29</v>
      </c>
      <c r="B3149" s="2">
        <v>44024</v>
      </c>
      <c r="C3149" s="1">
        <v>1</v>
      </c>
      <c r="D3149" s="47">
        <v>206</v>
      </c>
      <c r="F3149" s="47">
        <f t="shared" si="203"/>
        <v>3</v>
      </c>
    </row>
    <row r="3150" spans="1:6" x14ac:dyDescent="0.25">
      <c r="A3150" s="5" t="s">
        <v>43</v>
      </c>
      <c r="B3150" s="2">
        <v>44024</v>
      </c>
      <c r="C3150" s="1">
        <v>754</v>
      </c>
      <c r="D3150" s="47">
        <v>38325</v>
      </c>
      <c r="E3150" s="1">
        <v>11</v>
      </c>
      <c r="F3150" s="47">
        <f t="shared" si="203"/>
        <v>680</v>
      </c>
    </row>
    <row r="3151" spans="1:6" x14ac:dyDescent="0.25">
      <c r="A3151" s="5" t="s">
        <v>20</v>
      </c>
      <c r="B3151" s="2">
        <v>44024</v>
      </c>
      <c r="C3151" s="1">
        <v>34</v>
      </c>
      <c r="D3151" s="47">
        <v>919</v>
      </c>
      <c r="F3151" s="47">
        <f t="shared" si="203"/>
        <v>34</v>
      </c>
    </row>
    <row r="3152" spans="1:6" x14ac:dyDescent="0.25">
      <c r="A3152" s="5" t="s">
        <v>30</v>
      </c>
      <c r="B3152" s="2">
        <v>44024</v>
      </c>
      <c r="C3152" s="1">
        <v>0</v>
      </c>
      <c r="D3152" s="47">
        <v>127</v>
      </c>
      <c r="F3152" s="47">
        <f t="shared" si="203"/>
        <v>0</v>
      </c>
    </row>
    <row r="3153" spans="1:6" x14ac:dyDescent="0.25">
      <c r="A3153" s="5" t="s">
        <v>31</v>
      </c>
      <c r="B3153" s="2">
        <v>44024</v>
      </c>
      <c r="C3153" s="1">
        <v>60</v>
      </c>
      <c r="D3153" s="47">
        <v>492</v>
      </c>
      <c r="F3153" s="47">
        <f t="shared" si="203"/>
        <v>0</v>
      </c>
    </row>
    <row r="3154" spans="1:6" x14ac:dyDescent="0.25">
      <c r="A3154" s="5" t="s">
        <v>41</v>
      </c>
      <c r="B3154" s="2">
        <v>44024</v>
      </c>
      <c r="C3154" s="1">
        <v>0</v>
      </c>
      <c r="D3154" s="47">
        <v>76</v>
      </c>
      <c r="F3154" s="47">
        <f t="shared" ref="F3154:F3165" si="204">E3154+F3129</f>
        <v>0</v>
      </c>
    </row>
    <row r="3155" spans="1:6" x14ac:dyDescent="0.25">
      <c r="A3155" s="5" t="s">
        <v>32</v>
      </c>
      <c r="B3155" s="2">
        <v>44024</v>
      </c>
      <c r="C3155" s="1">
        <v>68</v>
      </c>
      <c r="D3155" s="47">
        <v>461</v>
      </c>
      <c r="F3155" s="47">
        <f t="shared" si="204"/>
        <v>0</v>
      </c>
    </row>
    <row r="3156" spans="1:6" x14ac:dyDescent="0.25">
      <c r="A3156" s="5" t="s">
        <v>33</v>
      </c>
      <c r="B3156" s="2">
        <v>44024</v>
      </c>
      <c r="C3156" s="1">
        <v>0</v>
      </c>
      <c r="D3156" s="47">
        <v>7</v>
      </c>
      <c r="F3156" s="47">
        <f t="shared" si="204"/>
        <v>0</v>
      </c>
    </row>
    <row r="3157" spans="1:6" x14ac:dyDescent="0.25">
      <c r="A3157" s="5" t="s">
        <v>21</v>
      </c>
      <c r="B3157" s="2">
        <v>44024</v>
      </c>
      <c r="C3157" s="1">
        <v>4</v>
      </c>
      <c r="D3157" s="47">
        <v>140</v>
      </c>
      <c r="F3157" s="47">
        <f t="shared" si="204"/>
        <v>0</v>
      </c>
    </row>
    <row r="3158" spans="1:6" x14ac:dyDescent="0.25">
      <c r="A3158" s="5" t="s">
        <v>17</v>
      </c>
      <c r="B3158" s="2">
        <v>44024</v>
      </c>
      <c r="C3158" s="1">
        <v>14</v>
      </c>
      <c r="D3158" s="47">
        <v>291</v>
      </c>
      <c r="F3158" s="47">
        <f t="shared" si="204"/>
        <v>0</v>
      </c>
    </row>
    <row r="3159" spans="1:6" x14ac:dyDescent="0.25">
      <c r="A3159" s="5" t="s">
        <v>23</v>
      </c>
      <c r="B3159" s="2">
        <v>44024</v>
      </c>
      <c r="C3159" s="1">
        <v>0</v>
      </c>
      <c r="D3159" s="47">
        <v>49</v>
      </c>
      <c r="F3159" s="47">
        <f t="shared" si="204"/>
        <v>2</v>
      </c>
    </row>
    <row r="3160" spans="1:6" x14ac:dyDescent="0.25">
      <c r="A3160" s="5" t="s">
        <v>19</v>
      </c>
      <c r="B3160" s="2">
        <v>44024</v>
      </c>
      <c r="C3160" s="1">
        <v>17</v>
      </c>
      <c r="D3160" s="47">
        <v>684</v>
      </c>
      <c r="F3160" s="47">
        <f t="shared" si="204"/>
        <v>0</v>
      </c>
    </row>
    <row r="3161" spans="1:6" x14ac:dyDescent="0.25">
      <c r="A3161" s="5" t="s">
        <v>18</v>
      </c>
      <c r="B3161" s="2">
        <v>44024</v>
      </c>
      <c r="C3161" s="1">
        <v>14</v>
      </c>
      <c r="D3161" s="47">
        <v>1096</v>
      </c>
      <c r="E3161" s="1">
        <v>1</v>
      </c>
      <c r="F3161" s="47">
        <f t="shared" si="204"/>
        <v>1</v>
      </c>
    </row>
    <row r="3162" spans="1:6" x14ac:dyDescent="0.25">
      <c r="A3162" s="5" t="s">
        <v>34</v>
      </c>
      <c r="B3162" s="2">
        <v>44024</v>
      </c>
      <c r="C3162" s="1">
        <v>2</v>
      </c>
      <c r="D3162" s="47">
        <v>109</v>
      </c>
      <c r="F3162" s="47">
        <f t="shared" si="204"/>
        <v>1</v>
      </c>
    </row>
    <row r="3163" spans="1:6" x14ac:dyDescent="0.25">
      <c r="A3163" s="5" t="s">
        <v>35</v>
      </c>
      <c r="B3163" s="2">
        <v>44024</v>
      </c>
      <c r="C3163" s="1">
        <v>0</v>
      </c>
      <c r="D3163" s="47">
        <v>9</v>
      </c>
      <c r="F3163" s="47">
        <f>E3163+F3139</f>
        <v>0</v>
      </c>
    </row>
    <row r="3164" spans="1:6" x14ac:dyDescent="0.25">
      <c r="A3164" s="5" t="s">
        <v>36</v>
      </c>
      <c r="B3164" s="2">
        <v>44024</v>
      </c>
      <c r="C3164" s="1">
        <v>0</v>
      </c>
      <c r="D3164" s="47">
        <v>12</v>
      </c>
      <c r="F3164" s="47">
        <f t="shared" si="204"/>
        <v>0</v>
      </c>
    </row>
    <row r="3165" spans="1:6" x14ac:dyDescent="0.25">
      <c r="A3165" s="5" t="s">
        <v>37</v>
      </c>
      <c r="B3165" s="2">
        <v>44024</v>
      </c>
      <c r="C3165" s="1">
        <v>1</v>
      </c>
      <c r="D3165" s="47">
        <v>61</v>
      </c>
      <c r="F3165" s="47">
        <f t="shared" si="204"/>
        <v>0</v>
      </c>
    </row>
    <row r="3166" spans="1:6" x14ac:dyDescent="0.25">
      <c r="A3166" s="5" t="s">
        <v>22</v>
      </c>
      <c r="B3166" s="2">
        <v>44024</v>
      </c>
      <c r="C3166" s="1">
        <v>23</v>
      </c>
      <c r="D3166" s="47">
        <v>528</v>
      </c>
      <c r="F3166" s="47">
        <f>E3166+F3142</f>
        <v>6</v>
      </c>
    </row>
    <row r="3167" spans="1:6" x14ac:dyDescent="0.25">
      <c r="A3167" s="5" t="s">
        <v>38</v>
      </c>
      <c r="B3167" s="2">
        <v>44024</v>
      </c>
      <c r="C3167" s="1">
        <v>0</v>
      </c>
      <c r="D3167" s="47">
        <v>36</v>
      </c>
      <c r="F3167" s="47">
        <f>E3167+F3143</f>
        <v>0</v>
      </c>
    </row>
    <row r="3168" spans="1:6" x14ac:dyDescent="0.25">
      <c r="A3168" s="5" t="s">
        <v>39</v>
      </c>
      <c r="B3168" s="2">
        <v>44024</v>
      </c>
      <c r="C3168" s="1">
        <v>6</v>
      </c>
      <c r="D3168" s="47">
        <v>161</v>
      </c>
      <c r="F3168" s="47">
        <f>E3168+F3144</f>
        <v>1</v>
      </c>
    </row>
    <row r="3169" spans="1:6" x14ac:dyDescent="0.25">
      <c r="A3169" s="5" t="s">
        <v>40</v>
      </c>
      <c r="B3169" s="2">
        <v>44024</v>
      </c>
      <c r="C3169" s="1">
        <v>1</v>
      </c>
      <c r="D3169" s="47">
        <v>92</v>
      </c>
      <c r="F3169" s="47">
        <f>E3169+F3145</f>
        <v>4</v>
      </c>
    </row>
    <row r="3170" spans="1:6" x14ac:dyDescent="0.25">
      <c r="A3170" s="34" t="s">
        <v>16</v>
      </c>
      <c r="B3170" s="2">
        <v>44025</v>
      </c>
      <c r="C3170" s="1">
        <v>2002</v>
      </c>
      <c r="D3170" s="47">
        <v>55659</v>
      </c>
      <c r="E3170" s="1">
        <v>27</v>
      </c>
      <c r="F3170" s="47">
        <f>E3170+F3146</f>
        <v>930</v>
      </c>
    </row>
    <row r="3171" spans="1:6" x14ac:dyDescent="0.25">
      <c r="A3171" s="5" t="s">
        <v>28</v>
      </c>
      <c r="B3171" s="2">
        <v>44025</v>
      </c>
      <c r="C3171" s="1">
        <v>0</v>
      </c>
      <c r="D3171" s="47">
        <v>39</v>
      </c>
      <c r="F3171" s="47">
        <f t="shared" ref="F3171:F3177" si="205">E3171+F3147</f>
        <v>0</v>
      </c>
    </row>
    <row r="3172" spans="1:6" x14ac:dyDescent="0.25">
      <c r="A3172" s="5" t="s">
        <v>15</v>
      </c>
      <c r="B3172" s="2">
        <v>44025</v>
      </c>
      <c r="C3172" s="1">
        <v>25</v>
      </c>
      <c r="D3172" s="47">
        <v>2602</v>
      </c>
      <c r="F3172" s="47">
        <f t="shared" si="205"/>
        <v>114</v>
      </c>
    </row>
    <row r="3173" spans="1:6" x14ac:dyDescent="0.25">
      <c r="A3173" s="5" t="s">
        <v>29</v>
      </c>
      <c r="B3173" s="2">
        <v>44025</v>
      </c>
      <c r="C3173" s="1">
        <v>5</v>
      </c>
      <c r="D3173" s="47">
        <v>211</v>
      </c>
      <c r="F3173" s="47">
        <f t="shared" si="205"/>
        <v>3</v>
      </c>
    </row>
    <row r="3174" spans="1:6" x14ac:dyDescent="0.25">
      <c r="A3174" s="5" t="s">
        <v>43</v>
      </c>
      <c r="B3174" s="2">
        <v>44025</v>
      </c>
      <c r="C3174" s="1">
        <v>860</v>
      </c>
      <c r="D3174" s="47">
        <v>39185</v>
      </c>
      <c r="E3174" s="1">
        <v>31</v>
      </c>
      <c r="F3174" s="47">
        <f t="shared" si="205"/>
        <v>711</v>
      </c>
    </row>
    <row r="3175" spans="1:6" x14ac:dyDescent="0.25">
      <c r="A3175" s="5" t="s">
        <v>20</v>
      </c>
      <c r="B3175" s="2">
        <v>44025</v>
      </c>
      <c r="C3175" s="1">
        <v>44</v>
      </c>
      <c r="D3175" s="47">
        <v>963</v>
      </c>
      <c r="F3175" s="47">
        <f t="shared" si="205"/>
        <v>34</v>
      </c>
    </row>
    <row r="3176" spans="1:6" x14ac:dyDescent="0.25">
      <c r="A3176" s="5" t="s">
        <v>30</v>
      </c>
      <c r="B3176" s="2">
        <v>44025</v>
      </c>
      <c r="C3176" s="1">
        <v>0</v>
      </c>
      <c r="D3176" s="47">
        <v>127</v>
      </c>
      <c r="F3176" s="47">
        <f t="shared" si="205"/>
        <v>0</v>
      </c>
    </row>
    <row r="3177" spans="1:6" x14ac:dyDescent="0.25">
      <c r="A3177" s="5" t="s">
        <v>31</v>
      </c>
      <c r="B3177" s="2">
        <v>44025</v>
      </c>
      <c r="C3177" s="1">
        <v>42</v>
      </c>
      <c r="D3177" s="47">
        <v>534</v>
      </c>
      <c r="F3177" s="47">
        <f t="shared" si="205"/>
        <v>0</v>
      </c>
    </row>
    <row r="3178" spans="1:6" x14ac:dyDescent="0.25">
      <c r="A3178" s="5" t="s">
        <v>41</v>
      </c>
      <c r="B3178" s="2">
        <v>44025</v>
      </c>
      <c r="C3178" s="1">
        <v>2</v>
      </c>
      <c r="D3178" s="47">
        <v>78</v>
      </c>
      <c r="F3178" s="47">
        <f t="shared" ref="F3178:F3189" si="206">E3178+F3153</f>
        <v>0</v>
      </c>
    </row>
    <row r="3179" spans="1:6" x14ac:dyDescent="0.25">
      <c r="A3179" s="5" t="s">
        <v>32</v>
      </c>
      <c r="B3179" s="2">
        <v>44025</v>
      </c>
      <c r="C3179" s="1">
        <v>5</v>
      </c>
      <c r="D3179" s="47">
        <v>466</v>
      </c>
      <c r="F3179" s="47">
        <f t="shared" si="206"/>
        <v>0</v>
      </c>
    </row>
    <row r="3180" spans="1:6" x14ac:dyDescent="0.25">
      <c r="A3180" s="5" t="s">
        <v>33</v>
      </c>
      <c r="B3180" s="2">
        <v>44025</v>
      </c>
      <c r="C3180" s="1">
        <v>0</v>
      </c>
      <c r="D3180" s="47">
        <v>7</v>
      </c>
      <c r="F3180" s="47">
        <f t="shared" si="206"/>
        <v>0</v>
      </c>
    </row>
    <row r="3181" spans="1:6" x14ac:dyDescent="0.25">
      <c r="A3181" s="5" t="s">
        <v>21</v>
      </c>
      <c r="B3181" s="2">
        <v>44025</v>
      </c>
      <c r="C3181" s="1">
        <v>6</v>
      </c>
      <c r="D3181" s="47">
        <v>146</v>
      </c>
      <c r="F3181" s="47">
        <f t="shared" si="206"/>
        <v>0</v>
      </c>
    </row>
    <row r="3182" spans="1:6" x14ac:dyDescent="0.25">
      <c r="A3182" s="5" t="s">
        <v>17</v>
      </c>
      <c r="B3182" s="2">
        <v>44025</v>
      </c>
      <c r="C3182" s="1">
        <v>13</v>
      </c>
      <c r="D3182" s="47">
        <v>304</v>
      </c>
      <c r="F3182" s="47">
        <f t="shared" si="206"/>
        <v>0</v>
      </c>
    </row>
    <row r="3183" spans="1:6" x14ac:dyDescent="0.25">
      <c r="A3183" s="5" t="s">
        <v>23</v>
      </c>
      <c r="B3183" s="2">
        <v>44025</v>
      </c>
      <c r="C3183" s="1">
        <v>0</v>
      </c>
      <c r="D3183" s="47">
        <v>49</v>
      </c>
      <c r="F3183" s="47">
        <f t="shared" si="206"/>
        <v>0</v>
      </c>
    </row>
    <row r="3184" spans="1:6" x14ac:dyDescent="0.25">
      <c r="A3184" s="5" t="s">
        <v>19</v>
      </c>
      <c r="B3184" s="2">
        <v>44025</v>
      </c>
      <c r="C3184" s="1">
        <v>47</v>
      </c>
      <c r="D3184" s="47">
        <v>731</v>
      </c>
      <c r="F3184" s="47">
        <f t="shared" si="206"/>
        <v>2</v>
      </c>
    </row>
    <row r="3185" spans="1:6" x14ac:dyDescent="0.25">
      <c r="A3185" s="5" t="s">
        <v>18</v>
      </c>
      <c r="B3185" s="2">
        <v>44025</v>
      </c>
      <c r="C3185" s="1">
        <v>27</v>
      </c>
      <c r="D3185" s="47">
        <v>1123</v>
      </c>
      <c r="F3185" s="47">
        <f t="shared" si="206"/>
        <v>0</v>
      </c>
    </row>
    <row r="3186" spans="1:6" x14ac:dyDescent="0.25">
      <c r="A3186" s="5" t="s">
        <v>34</v>
      </c>
      <c r="B3186" s="2">
        <v>44025</v>
      </c>
      <c r="C3186" s="1">
        <v>8</v>
      </c>
      <c r="D3186" s="47">
        <v>117</v>
      </c>
      <c r="F3186" s="47">
        <f t="shared" si="206"/>
        <v>1</v>
      </c>
    </row>
    <row r="3187" spans="1:6" x14ac:dyDescent="0.25">
      <c r="A3187" s="5" t="s">
        <v>35</v>
      </c>
      <c r="B3187" s="2">
        <v>44025</v>
      </c>
      <c r="C3187" s="1">
        <v>0</v>
      </c>
      <c r="D3187" s="47">
        <v>9</v>
      </c>
      <c r="F3187" s="47">
        <f>E3187+F3163</f>
        <v>0</v>
      </c>
    </row>
    <row r="3188" spans="1:6" x14ac:dyDescent="0.25">
      <c r="A3188" s="5" t="s">
        <v>36</v>
      </c>
      <c r="B3188" s="2">
        <v>44025</v>
      </c>
      <c r="C3188" s="1">
        <v>0</v>
      </c>
      <c r="D3188" s="47">
        <v>12</v>
      </c>
      <c r="F3188" s="47">
        <f t="shared" si="206"/>
        <v>0</v>
      </c>
    </row>
    <row r="3189" spans="1:6" x14ac:dyDescent="0.25">
      <c r="A3189" s="5" t="s">
        <v>37</v>
      </c>
      <c r="B3189" s="2">
        <v>44025</v>
      </c>
      <c r="C3189" s="1">
        <v>0</v>
      </c>
      <c r="D3189" s="47">
        <v>61</v>
      </c>
      <c r="F3189" s="47">
        <f t="shared" si="206"/>
        <v>0</v>
      </c>
    </row>
    <row r="3190" spans="1:6" x14ac:dyDescent="0.25">
      <c r="A3190" s="5" t="s">
        <v>22</v>
      </c>
      <c r="B3190" s="2">
        <v>44025</v>
      </c>
      <c r="C3190" s="1">
        <v>11</v>
      </c>
      <c r="D3190" s="47">
        <v>539</v>
      </c>
      <c r="F3190" s="47">
        <f>E3190+F3166</f>
        <v>6</v>
      </c>
    </row>
    <row r="3191" spans="1:6" x14ac:dyDescent="0.25">
      <c r="A3191" s="5" t="s">
        <v>38</v>
      </c>
      <c r="B3191" s="2">
        <v>44025</v>
      </c>
      <c r="C3191" s="1">
        <v>0</v>
      </c>
      <c r="D3191" s="47">
        <v>36</v>
      </c>
      <c r="F3191" s="47">
        <f>E3191+F3167</f>
        <v>0</v>
      </c>
    </row>
    <row r="3192" spans="1:6" x14ac:dyDescent="0.25">
      <c r="A3192" s="5" t="s">
        <v>39</v>
      </c>
      <c r="B3192" s="2">
        <v>44025</v>
      </c>
      <c r="C3192" s="1">
        <v>0</v>
      </c>
      <c r="D3192" s="47">
        <v>161</v>
      </c>
      <c r="F3192" s="47">
        <f>E3192+F3168</f>
        <v>1</v>
      </c>
    </row>
    <row r="3193" spans="1:6" x14ac:dyDescent="0.25">
      <c r="A3193" s="5" t="s">
        <v>40</v>
      </c>
      <c r="B3193" s="2">
        <v>44025</v>
      </c>
      <c r="C3193" s="1">
        <v>2</v>
      </c>
      <c r="D3193" s="47">
        <v>94</v>
      </c>
      <c r="F3193" s="47">
        <f>E3193+F3169</f>
        <v>4</v>
      </c>
    </row>
    <row r="3194" spans="1:6" x14ac:dyDescent="0.25">
      <c r="A3194" s="34" t="s">
        <v>16</v>
      </c>
      <c r="B3194" s="2">
        <v>44026</v>
      </c>
      <c r="C3194" s="1">
        <v>2262</v>
      </c>
      <c r="D3194" s="47">
        <v>57921</v>
      </c>
      <c r="E3194" s="1">
        <v>35</v>
      </c>
      <c r="F3194" s="47">
        <f>E3194+F3170</f>
        <v>965</v>
      </c>
    </row>
    <row r="3195" spans="1:6" x14ac:dyDescent="0.25">
      <c r="A3195" s="5" t="s">
        <v>28</v>
      </c>
      <c r="B3195" s="2">
        <v>44026</v>
      </c>
      <c r="C3195" s="1">
        <v>0</v>
      </c>
      <c r="D3195" s="47">
        <v>39</v>
      </c>
      <c r="F3195" s="47">
        <f t="shared" ref="F3195:F3201" si="207">E3195+F3171</f>
        <v>0</v>
      </c>
    </row>
    <row r="3196" spans="1:6" x14ac:dyDescent="0.25">
      <c r="A3196" s="5" t="s">
        <v>15</v>
      </c>
      <c r="B3196" s="2">
        <v>44026</v>
      </c>
      <c r="C3196" s="1">
        <v>72</v>
      </c>
      <c r="D3196" s="47">
        <v>2674</v>
      </c>
      <c r="E3196" s="1">
        <v>1</v>
      </c>
      <c r="F3196" s="47">
        <f t="shared" si="207"/>
        <v>115</v>
      </c>
    </row>
    <row r="3197" spans="1:6" x14ac:dyDescent="0.25">
      <c r="A3197" s="5" t="s">
        <v>29</v>
      </c>
      <c r="B3197" s="2">
        <v>44026</v>
      </c>
      <c r="C3197" s="1">
        <v>2</v>
      </c>
      <c r="D3197" s="47">
        <v>213</v>
      </c>
      <c r="F3197" s="47">
        <f t="shared" si="207"/>
        <v>3</v>
      </c>
    </row>
    <row r="3198" spans="1:6" x14ac:dyDescent="0.25">
      <c r="A3198" s="5" t="s">
        <v>43</v>
      </c>
      <c r="B3198" s="2">
        <v>44026</v>
      </c>
      <c r="C3198" s="1">
        <v>1039</v>
      </c>
      <c r="D3198" s="47">
        <v>40224</v>
      </c>
      <c r="E3198" s="1">
        <v>28</v>
      </c>
      <c r="F3198" s="47">
        <f t="shared" si="207"/>
        <v>739</v>
      </c>
    </row>
    <row r="3199" spans="1:6" x14ac:dyDescent="0.25">
      <c r="A3199" s="5" t="s">
        <v>20</v>
      </c>
      <c r="B3199" s="2">
        <v>44026</v>
      </c>
      <c r="C3199" s="1">
        <v>43</v>
      </c>
      <c r="D3199" s="47">
        <v>1006</v>
      </c>
      <c r="F3199" s="47">
        <f t="shared" si="207"/>
        <v>34</v>
      </c>
    </row>
    <row r="3200" spans="1:6" x14ac:dyDescent="0.25">
      <c r="A3200" s="5" t="s">
        <v>30</v>
      </c>
      <c r="B3200" s="2">
        <v>44026</v>
      </c>
      <c r="C3200" s="1">
        <v>1</v>
      </c>
      <c r="D3200" s="47">
        <v>128</v>
      </c>
      <c r="F3200" s="47">
        <f t="shared" si="207"/>
        <v>0</v>
      </c>
    </row>
    <row r="3201" spans="1:6" x14ac:dyDescent="0.25">
      <c r="A3201" s="5" t="s">
        <v>31</v>
      </c>
      <c r="B3201" s="2">
        <v>44026</v>
      </c>
      <c r="C3201" s="1">
        <v>22</v>
      </c>
      <c r="D3201" s="47">
        <v>556</v>
      </c>
      <c r="F3201" s="47">
        <f t="shared" si="207"/>
        <v>0</v>
      </c>
    </row>
    <row r="3202" spans="1:6" x14ac:dyDescent="0.25">
      <c r="A3202" s="5" t="s">
        <v>41</v>
      </c>
      <c r="B3202" s="2">
        <v>44026</v>
      </c>
      <c r="C3202" s="1">
        <v>0</v>
      </c>
      <c r="D3202" s="47">
        <v>78</v>
      </c>
      <c r="F3202" s="47">
        <f t="shared" ref="F3202:F3213" si="208">E3202+F3177</f>
        <v>0</v>
      </c>
    </row>
    <row r="3203" spans="1:6" x14ac:dyDescent="0.25">
      <c r="A3203" s="5" t="s">
        <v>32</v>
      </c>
      <c r="B3203" s="2">
        <v>44026</v>
      </c>
      <c r="C3203" s="1">
        <v>16</v>
      </c>
      <c r="D3203" s="47">
        <v>482</v>
      </c>
      <c r="F3203" s="47">
        <f t="shared" si="208"/>
        <v>0</v>
      </c>
    </row>
    <row r="3204" spans="1:6" x14ac:dyDescent="0.25">
      <c r="A3204" s="5" t="s">
        <v>33</v>
      </c>
      <c r="B3204" s="2">
        <v>44026</v>
      </c>
      <c r="C3204" s="1">
        <v>0</v>
      </c>
      <c r="D3204" s="47">
        <v>7</v>
      </c>
      <c r="F3204" s="47">
        <f t="shared" si="208"/>
        <v>0</v>
      </c>
    </row>
    <row r="3205" spans="1:6" x14ac:dyDescent="0.25">
      <c r="A3205" s="5" t="s">
        <v>21</v>
      </c>
      <c r="B3205" s="2">
        <v>44026</v>
      </c>
      <c r="C3205" s="1">
        <v>8</v>
      </c>
      <c r="D3205" s="47">
        <v>154</v>
      </c>
      <c r="F3205" s="47">
        <f t="shared" si="208"/>
        <v>0</v>
      </c>
    </row>
    <row r="3206" spans="1:6" x14ac:dyDescent="0.25">
      <c r="A3206" s="5" t="s">
        <v>17</v>
      </c>
      <c r="B3206" s="2">
        <v>44026</v>
      </c>
      <c r="C3206" s="1">
        <v>27</v>
      </c>
      <c r="D3206" s="47">
        <v>331</v>
      </c>
      <c r="F3206" s="47">
        <f t="shared" si="208"/>
        <v>0</v>
      </c>
    </row>
    <row r="3207" spans="1:6" x14ac:dyDescent="0.25">
      <c r="A3207" s="5" t="s">
        <v>23</v>
      </c>
      <c r="B3207" s="2">
        <v>44026</v>
      </c>
      <c r="C3207" s="1">
        <v>0</v>
      </c>
      <c r="D3207" s="47">
        <v>49</v>
      </c>
      <c r="F3207" s="47">
        <f t="shared" si="208"/>
        <v>0</v>
      </c>
    </row>
    <row r="3208" spans="1:6" x14ac:dyDescent="0.25">
      <c r="A3208" s="5" t="s">
        <v>19</v>
      </c>
      <c r="B3208" s="2">
        <v>44026</v>
      </c>
      <c r="C3208" s="1">
        <v>21</v>
      </c>
      <c r="D3208" s="47">
        <v>752</v>
      </c>
      <c r="F3208" s="47">
        <f t="shared" si="208"/>
        <v>0</v>
      </c>
    </row>
    <row r="3209" spans="1:6" x14ac:dyDescent="0.25">
      <c r="A3209" s="5" t="s">
        <v>18</v>
      </c>
      <c r="B3209" s="2">
        <v>44026</v>
      </c>
      <c r="C3209" s="1">
        <v>43</v>
      </c>
      <c r="D3209" s="47">
        <v>1166</v>
      </c>
      <c r="E3209" s="1">
        <v>1</v>
      </c>
      <c r="F3209" s="47">
        <f t="shared" si="208"/>
        <v>3</v>
      </c>
    </row>
    <row r="3210" spans="1:6" x14ac:dyDescent="0.25">
      <c r="A3210" s="5" t="s">
        <v>34</v>
      </c>
      <c r="B3210" s="2">
        <v>44026</v>
      </c>
      <c r="C3210" s="1">
        <v>9</v>
      </c>
      <c r="D3210" s="47">
        <v>126</v>
      </c>
      <c r="F3210" s="47">
        <f t="shared" si="208"/>
        <v>0</v>
      </c>
    </row>
    <row r="3211" spans="1:6" x14ac:dyDescent="0.25">
      <c r="A3211" s="5" t="s">
        <v>35</v>
      </c>
      <c r="B3211" s="2">
        <v>44026</v>
      </c>
      <c r="C3211" s="1">
        <v>0</v>
      </c>
      <c r="D3211" s="47">
        <v>9</v>
      </c>
      <c r="F3211" s="47">
        <f>E3211+F3187</f>
        <v>0</v>
      </c>
    </row>
    <row r="3212" spans="1:6" x14ac:dyDescent="0.25">
      <c r="A3212" s="5" t="s">
        <v>36</v>
      </c>
      <c r="B3212" s="2">
        <v>44026</v>
      </c>
      <c r="C3212" s="1">
        <v>1</v>
      </c>
      <c r="D3212" s="47">
        <v>13</v>
      </c>
      <c r="F3212" s="47">
        <f t="shared" si="208"/>
        <v>0</v>
      </c>
    </row>
    <row r="3213" spans="1:6" x14ac:dyDescent="0.25">
      <c r="A3213" s="5" t="s">
        <v>37</v>
      </c>
      <c r="B3213" s="2">
        <v>44026</v>
      </c>
      <c r="C3213" s="1">
        <v>0</v>
      </c>
      <c r="D3213" s="47">
        <v>61</v>
      </c>
      <c r="F3213" s="47">
        <f t="shared" si="208"/>
        <v>0</v>
      </c>
    </row>
    <row r="3214" spans="1:6" x14ac:dyDescent="0.25">
      <c r="A3214" s="5" t="s">
        <v>22</v>
      </c>
      <c r="B3214" s="2">
        <v>44026</v>
      </c>
      <c r="C3214" s="1">
        <v>29</v>
      </c>
      <c r="D3214" s="47">
        <v>568</v>
      </c>
      <c r="F3214" s="47">
        <f>E3214+F3190</f>
        <v>6</v>
      </c>
    </row>
    <row r="3215" spans="1:6" x14ac:dyDescent="0.25">
      <c r="A3215" s="5" t="s">
        <v>38</v>
      </c>
      <c r="B3215" s="2">
        <v>44026</v>
      </c>
      <c r="C3215" s="1">
        <v>1</v>
      </c>
      <c r="D3215" s="47">
        <v>37</v>
      </c>
      <c r="F3215" s="47">
        <f>E3215+F3191</f>
        <v>0</v>
      </c>
    </row>
    <row r="3216" spans="1:6" x14ac:dyDescent="0.25">
      <c r="A3216" s="5" t="s">
        <v>39</v>
      </c>
      <c r="B3216" s="2">
        <v>44026</v>
      </c>
      <c r="C3216" s="1">
        <v>47</v>
      </c>
      <c r="D3216" s="47">
        <v>208</v>
      </c>
      <c r="F3216" s="47">
        <f>E3216+F3192</f>
        <v>1</v>
      </c>
    </row>
    <row r="3217" spans="1:6" x14ac:dyDescent="0.25">
      <c r="A3217" s="5" t="s">
        <v>40</v>
      </c>
      <c r="B3217" s="2">
        <v>44026</v>
      </c>
      <c r="C3217" s="1">
        <v>0</v>
      </c>
      <c r="D3217" s="47">
        <v>94</v>
      </c>
      <c r="F3217" s="47">
        <f>E3217+F3193</f>
        <v>4</v>
      </c>
    </row>
    <row r="3218" spans="1:6" x14ac:dyDescent="0.25">
      <c r="A3218" s="34" t="s">
        <v>16</v>
      </c>
      <c r="B3218" s="2">
        <v>44027</v>
      </c>
      <c r="C3218" s="1">
        <v>2735</v>
      </c>
      <c r="D3218" s="47">
        <v>60656</v>
      </c>
      <c r="E3218" s="1">
        <v>42</v>
      </c>
      <c r="F3218" s="47">
        <f>E3218+F3194</f>
        <v>1007</v>
      </c>
    </row>
    <row r="3219" spans="1:6" x14ac:dyDescent="0.25">
      <c r="A3219" s="5" t="s">
        <v>28</v>
      </c>
      <c r="B3219" s="2">
        <v>44027</v>
      </c>
      <c r="C3219" s="1">
        <v>2</v>
      </c>
      <c r="D3219" s="47">
        <v>41</v>
      </c>
      <c r="F3219" s="47">
        <f t="shared" ref="F3219:F3225" si="209">E3219+F3195</f>
        <v>0</v>
      </c>
    </row>
    <row r="3220" spans="1:6" x14ac:dyDescent="0.25">
      <c r="A3220" s="5" t="s">
        <v>15</v>
      </c>
      <c r="B3220" s="2">
        <v>44027</v>
      </c>
      <c r="C3220" s="1">
        <v>77</v>
      </c>
      <c r="D3220" s="47">
        <v>2751</v>
      </c>
      <c r="F3220" s="47">
        <f t="shared" si="209"/>
        <v>115</v>
      </c>
    </row>
    <row r="3221" spans="1:6" x14ac:dyDescent="0.25">
      <c r="A3221" s="5" t="s">
        <v>29</v>
      </c>
      <c r="B3221" s="2">
        <v>44027</v>
      </c>
      <c r="C3221" s="1">
        <v>5</v>
      </c>
      <c r="D3221" s="47">
        <v>218</v>
      </c>
      <c r="F3221" s="47">
        <f t="shared" si="209"/>
        <v>3</v>
      </c>
    </row>
    <row r="3222" spans="1:6" x14ac:dyDescent="0.25">
      <c r="A3222" s="5" t="s">
        <v>43</v>
      </c>
      <c r="B3222" s="2">
        <v>44027</v>
      </c>
      <c r="C3222" s="1">
        <v>1220</v>
      </c>
      <c r="D3222" s="47">
        <v>41444</v>
      </c>
      <c r="E3222" s="1">
        <v>28</v>
      </c>
      <c r="F3222" s="47">
        <f t="shared" si="209"/>
        <v>767</v>
      </c>
    </row>
    <row r="3223" spans="1:6" x14ac:dyDescent="0.25">
      <c r="A3223" s="5" t="s">
        <v>20</v>
      </c>
      <c r="B3223" s="2">
        <v>44027</v>
      </c>
      <c r="C3223" s="1">
        <v>17</v>
      </c>
      <c r="D3223" s="47">
        <v>1023</v>
      </c>
      <c r="F3223" s="47">
        <f t="shared" si="209"/>
        <v>34</v>
      </c>
    </row>
    <row r="3224" spans="1:6" x14ac:dyDescent="0.25">
      <c r="A3224" s="5" t="s">
        <v>30</v>
      </c>
      <c r="B3224" s="2">
        <v>44027</v>
      </c>
      <c r="C3224" s="1">
        <v>0</v>
      </c>
      <c r="D3224" s="47">
        <v>128</v>
      </c>
      <c r="F3224" s="47">
        <f t="shared" si="209"/>
        <v>0</v>
      </c>
    </row>
    <row r="3225" spans="1:6" x14ac:dyDescent="0.25">
      <c r="A3225" s="5" t="s">
        <v>31</v>
      </c>
      <c r="B3225" s="2">
        <v>44027</v>
      </c>
      <c r="C3225" s="1">
        <v>9</v>
      </c>
      <c r="D3225" s="47">
        <v>565</v>
      </c>
      <c r="E3225" s="1">
        <v>4</v>
      </c>
      <c r="F3225" s="47">
        <f t="shared" si="209"/>
        <v>4</v>
      </c>
    </row>
    <row r="3226" spans="1:6" x14ac:dyDescent="0.25">
      <c r="A3226" s="5" t="s">
        <v>41</v>
      </c>
      <c r="B3226" s="2">
        <v>44027</v>
      </c>
      <c r="C3226" s="1">
        <v>0</v>
      </c>
      <c r="D3226" s="47">
        <v>78</v>
      </c>
      <c r="F3226" s="47">
        <f t="shared" ref="F3226:F3237" si="210">E3226+F3201</f>
        <v>0</v>
      </c>
    </row>
    <row r="3227" spans="1:6" x14ac:dyDescent="0.25">
      <c r="A3227" s="5" t="s">
        <v>32</v>
      </c>
      <c r="B3227" s="2">
        <v>44027</v>
      </c>
      <c r="C3227" s="1">
        <v>50</v>
      </c>
      <c r="D3227" s="47">
        <v>532</v>
      </c>
      <c r="F3227" s="47">
        <f t="shared" si="210"/>
        <v>0</v>
      </c>
    </row>
    <row r="3228" spans="1:6" x14ac:dyDescent="0.25">
      <c r="A3228" s="5" t="s">
        <v>33</v>
      </c>
      <c r="B3228" s="2">
        <v>44027</v>
      </c>
      <c r="C3228" s="1">
        <v>1</v>
      </c>
      <c r="D3228" s="47">
        <v>8</v>
      </c>
      <c r="F3228" s="47">
        <f t="shared" si="210"/>
        <v>0</v>
      </c>
    </row>
    <row r="3229" spans="1:6" x14ac:dyDescent="0.25">
      <c r="A3229" s="5" t="s">
        <v>21</v>
      </c>
      <c r="B3229" s="2">
        <v>44027</v>
      </c>
      <c r="C3229" s="1">
        <v>3</v>
      </c>
      <c r="D3229" s="47">
        <v>157</v>
      </c>
      <c r="F3229" s="47">
        <f t="shared" si="210"/>
        <v>0</v>
      </c>
    </row>
    <row r="3230" spans="1:6" x14ac:dyDescent="0.25">
      <c r="A3230" s="5" t="s">
        <v>17</v>
      </c>
      <c r="B3230" s="2">
        <v>44027</v>
      </c>
      <c r="C3230" s="1">
        <v>29</v>
      </c>
      <c r="D3230" s="47">
        <v>360</v>
      </c>
      <c r="F3230" s="47">
        <f t="shared" si="210"/>
        <v>0</v>
      </c>
    </row>
    <row r="3231" spans="1:6" x14ac:dyDescent="0.25">
      <c r="A3231" s="5" t="s">
        <v>23</v>
      </c>
      <c r="B3231" s="2">
        <v>44027</v>
      </c>
      <c r="C3231" s="1">
        <v>0</v>
      </c>
      <c r="D3231" s="47">
        <v>49</v>
      </c>
      <c r="F3231" s="47">
        <f t="shared" si="210"/>
        <v>0</v>
      </c>
    </row>
    <row r="3232" spans="1:6" x14ac:dyDescent="0.25">
      <c r="A3232" s="5" t="s">
        <v>19</v>
      </c>
      <c r="B3232" s="2">
        <v>44027</v>
      </c>
      <c r="C3232" s="1">
        <v>35</v>
      </c>
      <c r="D3232" s="47">
        <v>787</v>
      </c>
      <c r="E3232" s="1">
        <v>1</v>
      </c>
      <c r="F3232" s="47">
        <f t="shared" si="210"/>
        <v>1</v>
      </c>
    </row>
    <row r="3233" spans="1:6" x14ac:dyDescent="0.25">
      <c r="A3233" s="5" t="s">
        <v>18</v>
      </c>
      <c r="B3233" s="2">
        <v>44027</v>
      </c>
      <c r="C3233" s="1">
        <v>28</v>
      </c>
      <c r="D3233" s="47">
        <v>1194</v>
      </c>
      <c r="E3233" s="1">
        <v>5</v>
      </c>
      <c r="F3233" s="47">
        <f t="shared" si="210"/>
        <v>5</v>
      </c>
    </row>
    <row r="3234" spans="1:6" x14ac:dyDescent="0.25">
      <c r="A3234" s="5" t="s">
        <v>34</v>
      </c>
      <c r="B3234" s="2">
        <v>44027</v>
      </c>
      <c r="C3234" s="1">
        <v>2</v>
      </c>
      <c r="D3234" s="47">
        <v>128</v>
      </c>
      <c r="F3234" s="47">
        <f t="shared" si="210"/>
        <v>3</v>
      </c>
    </row>
    <row r="3235" spans="1:6" x14ac:dyDescent="0.25">
      <c r="A3235" s="5" t="s">
        <v>35</v>
      </c>
      <c r="B3235" s="2">
        <v>44027</v>
      </c>
      <c r="C3235" s="1">
        <v>5</v>
      </c>
      <c r="D3235" s="47">
        <v>14</v>
      </c>
      <c r="F3235" s="47">
        <f>E3235+F3211</f>
        <v>0</v>
      </c>
    </row>
    <row r="3236" spans="1:6" x14ac:dyDescent="0.25">
      <c r="A3236" s="5" t="s">
        <v>36</v>
      </c>
      <c r="B3236" s="2">
        <v>44027</v>
      </c>
      <c r="C3236" s="1">
        <v>0</v>
      </c>
      <c r="D3236" s="47">
        <v>13</v>
      </c>
      <c r="F3236" s="47">
        <f t="shared" si="210"/>
        <v>0</v>
      </c>
    </row>
    <row r="3237" spans="1:6" x14ac:dyDescent="0.25">
      <c r="A3237" s="5" t="s">
        <v>37</v>
      </c>
      <c r="B3237" s="2">
        <v>44027</v>
      </c>
      <c r="C3237" s="1">
        <v>9</v>
      </c>
      <c r="D3237" s="47">
        <v>70</v>
      </c>
      <c r="F3237" s="47">
        <f t="shared" si="210"/>
        <v>0</v>
      </c>
    </row>
    <row r="3238" spans="1:6" x14ac:dyDescent="0.25">
      <c r="A3238" s="5" t="s">
        <v>22</v>
      </c>
      <c r="B3238" s="2">
        <v>44027</v>
      </c>
      <c r="C3238" s="1">
        <v>23</v>
      </c>
      <c r="D3238" s="47">
        <v>591</v>
      </c>
      <c r="E3238" s="1">
        <v>2</v>
      </c>
      <c r="F3238" s="47">
        <f>E3238+F3214</f>
        <v>8</v>
      </c>
    </row>
    <row r="3239" spans="1:6" x14ac:dyDescent="0.25">
      <c r="A3239" s="5" t="s">
        <v>38</v>
      </c>
      <c r="B3239" s="2">
        <v>44027</v>
      </c>
      <c r="C3239" s="1">
        <v>0</v>
      </c>
      <c r="D3239" s="47">
        <v>37</v>
      </c>
      <c r="F3239" s="47">
        <f>E3239+F3215</f>
        <v>0</v>
      </c>
    </row>
    <row r="3240" spans="1:6" x14ac:dyDescent="0.25">
      <c r="A3240" s="5" t="s">
        <v>39</v>
      </c>
      <c r="B3240" s="2">
        <v>44027</v>
      </c>
      <c r="C3240" s="1">
        <v>0</v>
      </c>
      <c r="D3240" s="47">
        <v>208</v>
      </c>
      <c r="F3240" s="47">
        <f>E3240+F3216</f>
        <v>1</v>
      </c>
    </row>
    <row r="3241" spans="1:6" x14ac:dyDescent="0.25">
      <c r="A3241" s="5" t="s">
        <v>40</v>
      </c>
      <c r="B3241" s="2">
        <v>44027</v>
      </c>
      <c r="C3241" s="1">
        <v>1</v>
      </c>
      <c r="D3241" s="47">
        <v>95</v>
      </c>
      <c r="F3241" s="47">
        <f>E3241+F3217</f>
        <v>4</v>
      </c>
    </row>
    <row r="3242" spans="1:6" x14ac:dyDescent="0.25">
      <c r="A3242" s="34" t="s">
        <v>16</v>
      </c>
      <c r="B3242" s="2">
        <v>44028</v>
      </c>
      <c r="C3242" s="1">
        <v>2546</v>
      </c>
      <c r="D3242" s="47">
        <v>63202</v>
      </c>
      <c r="E3242" s="1">
        <v>42</v>
      </c>
      <c r="F3242" s="47">
        <f>E3242+F3218</f>
        <v>1049</v>
      </c>
    </row>
    <row r="3243" spans="1:6" x14ac:dyDescent="0.25">
      <c r="A3243" s="5" t="s">
        <v>28</v>
      </c>
      <c r="B3243" s="2">
        <v>44028</v>
      </c>
      <c r="C3243" s="1">
        <v>0</v>
      </c>
      <c r="D3243" s="47">
        <v>41</v>
      </c>
      <c r="F3243" s="47">
        <f t="shared" ref="F3243:F3249" si="211">E3243+F3219</f>
        <v>0</v>
      </c>
    </row>
    <row r="3244" spans="1:6" x14ac:dyDescent="0.25">
      <c r="A3244" s="5" t="s">
        <v>15</v>
      </c>
      <c r="B3244" s="2">
        <v>44028</v>
      </c>
      <c r="C3244" s="1">
        <v>42</v>
      </c>
      <c r="D3244" s="47">
        <v>2793</v>
      </c>
      <c r="E3244" s="1">
        <v>2</v>
      </c>
      <c r="F3244" s="47">
        <f t="shared" si="211"/>
        <v>117</v>
      </c>
    </row>
    <row r="3245" spans="1:6" x14ac:dyDescent="0.25">
      <c r="A3245" s="5" t="s">
        <v>29</v>
      </c>
      <c r="B3245" s="2">
        <v>44028</v>
      </c>
      <c r="C3245" s="1">
        <v>0</v>
      </c>
      <c r="D3245" s="47">
        <v>218</v>
      </c>
      <c r="F3245" s="47">
        <f t="shared" si="211"/>
        <v>3</v>
      </c>
    </row>
    <row r="3246" spans="1:6" x14ac:dyDescent="0.25">
      <c r="A3246" s="5" t="s">
        <v>43</v>
      </c>
      <c r="B3246" s="2">
        <v>44028</v>
      </c>
      <c r="C3246" s="1">
        <v>854</v>
      </c>
      <c r="D3246" s="47">
        <v>42298</v>
      </c>
      <c r="E3246" s="1">
        <v>15</v>
      </c>
      <c r="F3246" s="47">
        <f t="shared" si="211"/>
        <v>782</v>
      </c>
    </row>
    <row r="3247" spans="1:6" x14ac:dyDescent="0.25">
      <c r="A3247" s="5" t="s">
        <v>20</v>
      </c>
      <c r="B3247" s="2">
        <v>44028</v>
      </c>
      <c r="C3247" s="1">
        <v>40</v>
      </c>
      <c r="D3247" s="47">
        <v>1063</v>
      </c>
      <c r="F3247" s="47">
        <f t="shared" si="211"/>
        <v>34</v>
      </c>
    </row>
    <row r="3248" spans="1:6" x14ac:dyDescent="0.25">
      <c r="A3248" s="5" t="s">
        <v>30</v>
      </c>
      <c r="B3248" s="2">
        <v>44028</v>
      </c>
      <c r="C3248" s="1">
        <v>1</v>
      </c>
      <c r="D3248" s="47">
        <v>129</v>
      </c>
      <c r="F3248" s="47">
        <f t="shared" si="211"/>
        <v>0</v>
      </c>
    </row>
    <row r="3249" spans="1:6" x14ac:dyDescent="0.25">
      <c r="A3249" s="5" t="s">
        <v>31</v>
      </c>
      <c r="B3249" s="2">
        <v>44028</v>
      </c>
      <c r="C3249" s="1">
        <v>10</v>
      </c>
      <c r="D3249" s="47">
        <v>575</v>
      </c>
      <c r="F3249" s="47">
        <f t="shared" si="211"/>
        <v>4</v>
      </c>
    </row>
    <row r="3250" spans="1:6" x14ac:dyDescent="0.25">
      <c r="A3250" s="5" t="s">
        <v>41</v>
      </c>
      <c r="B3250" s="2">
        <v>44028</v>
      </c>
      <c r="C3250" s="1">
        <v>0</v>
      </c>
      <c r="D3250" s="47">
        <v>78</v>
      </c>
      <c r="F3250" s="47">
        <f>E3250+F3226</f>
        <v>0</v>
      </c>
    </row>
    <row r="3251" spans="1:6" x14ac:dyDescent="0.25">
      <c r="A3251" s="5" t="s">
        <v>32</v>
      </c>
      <c r="B3251" s="2">
        <v>44028</v>
      </c>
      <c r="C3251" s="1">
        <v>22</v>
      </c>
      <c r="D3251" s="47">
        <v>554</v>
      </c>
      <c r="F3251" s="47">
        <f t="shared" ref="F3251:F3261" si="212">E3251+F3226</f>
        <v>0</v>
      </c>
    </row>
    <row r="3252" spans="1:6" x14ac:dyDescent="0.25">
      <c r="A3252" s="5" t="s">
        <v>33</v>
      </c>
      <c r="B3252" s="2">
        <v>44028</v>
      </c>
      <c r="C3252" s="1">
        <v>0</v>
      </c>
      <c r="D3252" s="47">
        <v>8</v>
      </c>
      <c r="F3252" s="47">
        <f t="shared" si="212"/>
        <v>0</v>
      </c>
    </row>
    <row r="3253" spans="1:6" x14ac:dyDescent="0.25">
      <c r="A3253" s="5" t="s">
        <v>21</v>
      </c>
      <c r="B3253" s="2">
        <v>44028</v>
      </c>
      <c r="C3253" s="1">
        <v>4</v>
      </c>
      <c r="D3253" s="47">
        <v>161</v>
      </c>
      <c r="E3253" s="1">
        <v>2</v>
      </c>
      <c r="F3253" s="47">
        <f t="shared" si="212"/>
        <v>2</v>
      </c>
    </row>
    <row r="3254" spans="1:6" x14ac:dyDescent="0.25">
      <c r="A3254" s="5" t="s">
        <v>17</v>
      </c>
      <c r="B3254" s="2">
        <v>44028</v>
      </c>
      <c r="C3254" s="1">
        <v>22</v>
      </c>
      <c r="D3254" s="47">
        <v>382</v>
      </c>
      <c r="E3254" s="1">
        <v>1</v>
      </c>
      <c r="F3254" s="47">
        <f t="shared" si="212"/>
        <v>1</v>
      </c>
    </row>
    <row r="3255" spans="1:6" x14ac:dyDescent="0.25">
      <c r="A3255" s="5" t="s">
        <v>23</v>
      </c>
      <c r="B3255" s="2">
        <v>44028</v>
      </c>
      <c r="C3255" s="1">
        <v>0</v>
      </c>
      <c r="D3255" s="47">
        <v>49</v>
      </c>
      <c r="F3255" s="47">
        <f t="shared" si="212"/>
        <v>0</v>
      </c>
    </row>
    <row r="3256" spans="1:6" x14ac:dyDescent="0.25">
      <c r="A3256" s="5" t="s">
        <v>19</v>
      </c>
      <c r="B3256" s="2">
        <v>44028</v>
      </c>
      <c r="C3256" s="1">
        <v>15</v>
      </c>
      <c r="D3256" s="47">
        <v>802</v>
      </c>
      <c r="F3256" s="47">
        <f t="shared" si="212"/>
        <v>0</v>
      </c>
    </row>
    <row r="3257" spans="1:6" x14ac:dyDescent="0.25">
      <c r="A3257" s="5" t="s">
        <v>18</v>
      </c>
      <c r="B3257" s="2">
        <v>44028</v>
      </c>
      <c r="C3257" s="1">
        <v>21</v>
      </c>
      <c r="D3257" s="47">
        <v>1215</v>
      </c>
      <c r="F3257" s="47">
        <f t="shared" si="212"/>
        <v>1</v>
      </c>
    </row>
    <row r="3258" spans="1:6" x14ac:dyDescent="0.25">
      <c r="A3258" s="5" t="s">
        <v>34</v>
      </c>
      <c r="B3258" s="2">
        <v>44028</v>
      </c>
      <c r="C3258" s="1">
        <v>17</v>
      </c>
      <c r="D3258" s="47">
        <v>145</v>
      </c>
      <c r="F3258" s="47">
        <f t="shared" si="212"/>
        <v>5</v>
      </c>
    </row>
    <row r="3259" spans="1:6" x14ac:dyDescent="0.25">
      <c r="A3259" s="5" t="s">
        <v>35</v>
      </c>
      <c r="B3259" s="2">
        <v>44028</v>
      </c>
      <c r="C3259" s="1">
        <v>0</v>
      </c>
      <c r="D3259" s="47">
        <v>14</v>
      </c>
      <c r="F3259" s="47">
        <f>E3259+F3235</f>
        <v>0</v>
      </c>
    </row>
    <row r="3260" spans="1:6" x14ac:dyDescent="0.25">
      <c r="A3260" s="5" t="s">
        <v>36</v>
      </c>
      <c r="B3260" s="2">
        <v>44028</v>
      </c>
      <c r="C3260" s="1">
        <v>0</v>
      </c>
      <c r="D3260" s="47">
        <v>13</v>
      </c>
      <c r="F3260" s="47">
        <f t="shared" si="212"/>
        <v>0</v>
      </c>
    </row>
    <row r="3261" spans="1:6" x14ac:dyDescent="0.25">
      <c r="A3261" s="5" t="s">
        <v>37</v>
      </c>
      <c r="B3261" s="2">
        <v>44028</v>
      </c>
      <c r="C3261" s="1">
        <v>13</v>
      </c>
      <c r="D3261" s="47">
        <v>83</v>
      </c>
      <c r="F3261" s="47">
        <f t="shared" si="212"/>
        <v>0</v>
      </c>
    </row>
    <row r="3262" spans="1:6" x14ac:dyDescent="0.25">
      <c r="A3262" s="5" t="s">
        <v>22</v>
      </c>
      <c r="B3262" s="2">
        <v>44028</v>
      </c>
      <c r="C3262" s="1">
        <v>15</v>
      </c>
      <c r="D3262" s="47">
        <v>606</v>
      </c>
      <c r="F3262" s="47">
        <f>E3262+F3238</f>
        <v>8</v>
      </c>
    </row>
    <row r="3263" spans="1:6" x14ac:dyDescent="0.25">
      <c r="A3263" s="5" t="s">
        <v>38</v>
      </c>
      <c r="B3263" s="2">
        <v>44028</v>
      </c>
      <c r="C3263" s="1">
        <v>0</v>
      </c>
      <c r="D3263" s="47">
        <v>37</v>
      </c>
      <c r="F3263" s="47">
        <f>E3263+F3239</f>
        <v>0</v>
      </c>
    </row>
    <row r="3264" spans="1:6" x14ac:dyDescent="0.25">
      <c r="A3264" s="5" t="s">
        <v>39</v>
      </c>
      <c r="B3264" s="2">
        <v>44028</v>
      </c>
      <c r="C3264" s="1">
        <v>1</v>
      </c>
      <c r="D3264" s="47">
        <v>209</v>
      </c>
      <c r="F3264" s="47">
        <f>E3264+F3240</f>
        <v>1</v>
      </c>
    </row>
    <row r="3265" spans="1:6" x14ac:dyDescent="0.25">
      <c r="A3265" s="5" t="s">
        <v>40</v>
      </c>
      <c r="B3265" s="2">
        <v>44028</v>
      </c>
      <c r="C3265" s="1">
        <v>1</v>
      </c>
      <c r="D3265" s="47">
        <v>96</v>
      </c>
      <c r="F3265" s="47">
        <f>E3265+F3241</f>
        <v>4</v>
      </c>
    </row>
    <row r="3266" spans="1:6" x14ac:dyDescent="0.25">
      <c r="A3266" s="34" t="s">
        <v>16</v>
      </c>
      <c r="B3266" s="2">
        <v>44029</v>
      </c>
      <c r="C3266" s="1">
        <v>3002</v>
      </c>
      <c r="D3266" s="47">
        <v>66204</v>
      </c>
      <c r="E3266" s="1">
        <v>28</v>
      </c>
      <c r="F3266" s="47">
        <f>E3266+F3242</f>
        <v>1077</v>
      </c>
    </row>
    <row r="3267" spans="1:6" x14ac:dyDescent="0.25">
      <c r="A3267" s="5" t="s">
        <v>28</v>
      </c>
      <c r="B3267" s="2">
        <v>44029</v>
      </c>
      <c r="C3267" s="1">
        <v>14</v>
      </c>
      <c r="D3267" s="47">
        <v>55</v>
      </c>
      <c r="F3267" s="47">
        <f t="shared" ref="F3267:F3273" si="213">E3267+F3243</f>
        <v>0</v>
      </c>
    </row>
    <row r="3268" spans="1:6" x14ac:dyDescent="0.25">
      <c r="A3268" s="5" t="s">
        <v>15</v>
      </c>
      <c r="B3268" s="2">
        <v>44029</v>
      </c>
      <c r="C3268" s="1">
        <v>65</v>
      </c>
      <c r="D3268" s="47">
        <v>2858</v>
      </c>
      <c r="F3268" s="47">
        <f t="shared" si="213"/>
        <v>117</v>
      </c>
    </row>
    <row r="3269" spans="1:6" x14ac:dyDescent="0.25">
      <c r="A3269" s="5" t="s">
        <v>29</v>
      </c>
      <c r="B3269" s="2">
        <v>44029</v>
      </c>
      <c r="C3269" s="1">
        <v>9</v>
      </c>
      <c r="D3269" s="47">
        <v>227</v>
      </c>
      <c r="F3269" s="47">
        <f t="shared" si="213"/>
        <v>3</v>
      </c>
    </row>
    <row r="3270" spans="1:6" x14ac:dyDescent="0.25">
      <c r="A3270" s="5" t="s">
        <v>43</v>
      </c>
      <c r="B3270" s="2">
        <v>44029</v>
      </c>
      <c r="C3270" s="1">
        <v>1081</v>
      </c>
      <c r="D3270" s="47">
        <v>43379</v>
      </c>
      <c r="E3270" s="1">
        <v>28</v>
      </c>
      <c r="F3270" s="47">
        <f t="shared" si="213"/>
        <v>810</v>
      </c>
    </row>
    <row r="3271" spans="1:6" x14ac:dyDescent="0.25">
      <c r="A3271" s="5" t="s">
        <v>20</v>
      </c>
      <c r="B3271" s="2">
        <v>44029</v>
      </c>
      <c r="C3271" s="1">
        <v>49</v>
      </c>
      <c r="D3271" s="47">
        <v>1112</v>
      </c>
      <c r="E3271" s="1">
        <v>1</v>
      </c>
      <c r="F3271" s="47">
        <f t="shared" si="213"/>
        <v>35</v>
      </c>
    </row>
    <row r="3272" spans="1:6" x14ac:dyDescent="0.25">
      <c r="A3272" s="5" t="s">
        <v>30</v>
      </c>
      <c r="B3272" s="2">
        <v>44029</v>
      </c>
      <c r="C3272" s="1">
        <v>0</v>
      </c>
      <c r="D3272" s="47">
        <v>129</v>
      </c>
      <c r="F3272" s="47">
        <f t="shared" si="213"/>
        <v>0</v>
      </c>
    </row>
    <row r="3273" spans="1:6" x14ac:dyDescent="0.25">
      <c r="A3273" s="5" t="s">
        <v>31</v>
      </c>
      <c r="B3273" s="2">
        <v>44029</v>
      </c>
      <c r="C3273" s="1">
        <v>24</v>
      </c>
      <c r="D3273" s="47">
        <v>599</v>
      </c>
      <c r="E3273" s="1">
        <v>1</v>
      </c>
      <c r="F3273" s="47">
        <f t="shared" si="213"/>
        <v>5</v>
      </c>
    </row>
    <row r="3274" spans="1:6" x14ac:dyDescent="0.25">
      <c r="A3274" s="5" t="s">
        <v>41</v>
      </c>
      <c r="B3274" s="2">
        <v>44029</v>
      </c>
      <c r="C3274" s="1">
        <v>0</v>
      </c>
      <c r="D3274" s="47">
        <v>78</v>
      </c>
      <c r="F3274" s="47">
        <f>E3274+F3250</f>
        <v>0</v>
      </c>
    </row>
    <row r="3275" spans="1:6" x14ac:dyDescent="0.25">
      <c r="A3275" s="5" t="s">
        <v>32</v>
      </c>
      <c r="B3275" s="2">
        <v>44029</v>
      </c>
      <c r="C3275" s="1">
        <v>107</v>
      </c>
      <c r="D3275" s="47">
        <v>661</v>
      </c>
      <c r="F3275" s="47">
        <f t="shared" ref="F3275:F3285" si="214">E3275+F3250</f>
        <v>0</v>
      </c>
    </row>
    <row r="3276" spans="1:6" x14ac:dyDescent="0.25">
      <c r="A3276" s="5" t="s">
        <v>33</v>
      </c>
      <c r="B3276" s="2">
        <v>44029</v>
      </c>
      <c r="C3276" s="1">
        <v>0</v>
      </c>
      <c r="D3276" s="47">
        <v>8</v>
      </c>
      <c r="F3276" s="47">
        <f t="shared" si="214"/>
        <v>0</v>
      </c>
    </row>
    <row r="3277" spans="1:6" x14ac:dyDescent="0.25">
      <c r="A3277" s="5" t="s">
        <v>21</v>
      </c>
      <c r="B3277" s="2">
        <v>44029</v>
      </c>
      <c r="C3277" s="1">
        <v>2</v>
      </c>
      <c r="D3277" s="47">
        <v>163</v>
      </c>
      <c r="E3277" s="1">
        <v>2</v>
      </c>
      <c r="F3277" s="47">
        <f t="shared" si="214"/>
        <v>2</v>
      </c>
    </row>
    <row r="3278" spans="1:6" x14ac:dyDescent="0.25">
      <c r="A3278" s="5" t="s">
        <v>17</v>
      </c>
      <c r="B3278" s="2">
        <v>44029</v>
      </c>
      <c r="C3278" s="1">
        <v>21</v>
      </c>
      <c r="D3278" s="47">
        <v>403</v>
      </c>
      <c r="E3278" s="1">
        <v>3</v>
      </c>
      <c r="F3278" s="47">
        <f t="shared" si="214"/>
        <v>5</v>
      </c>
    </row>
    <row r="3279" spans="1:6" x14ac:dyDescent="0.25">
      <c r="A3279" s="5" t="s">
        <v>23</v>
      </c>
      <c r="B3279" s="2">
        <v>44029</v>
      </c>
      <c r="C3279" s="1">
        <v>0</v>
      </c>
      <c r="D3279" s="47">
        <v>49</v>
      </c>
      <c r="F3279" s="47">
        <f t="shared" si="214"/>
        <v>1</v>
      </c>
    </row>
    <row r="3280" spans="1:6" x14ac:dyDescent="0.25">
      <c r="A3280" s="5" t="s">
        <v>19</v>
      </c>
      <c r="B3280" s="2">
        <v>44029</v>
      </c>
      <c r="C3280" s="1">
        <v>29</v>
      </c>
      <c r="D3280" s="47">
        <v>831</v>
      </c>
      <c r="E3280" s="1">
        <v>2</v>
      </c>
      <c r="F3280" s="47">
        <f t="shared" si="214"/>
        <v>2</v>
      </c>
    </row>
    <row r="3281" spans="1:6" x14ac:dyDescent="0.25">
      <c r="A3281" s="5" t="s">
        <v>18</v>
      </c>
      <c r="B3281" s="2">
        <v>44029</v>
      </c>
      <c r="C3281" s="1">
        <v>57</v>
      </c>
      <c r="D3281" s="47">
        <v>1272</v>
      </c>
      <c r="E3281" s="1">
        <v>1</v>
      </c>
      <c r="F3281" s="47">
        <f t="shared" si="214"/>
        <v>1</v>
      </c>
    </row>
    <row r="3282" spans="1:6" x14ac:dyDescent="0.25">
      <c r="A3282" s="5" t="s">
        <v>34</v>
      </c>
      <c r="B3282" s="2">
        <v>44029</v>
      </c>
      <c r="C3282" s="1">
        <v>0</v>
      </c>
      <c r="D3282" s="47">
        <v>145</v>
      </c>
      <c r="F3282" s="47">
        <f t="shared" si="214"/>
        <v>1</v>
      </c>
    </row>
    <row r="3283" spans="1:6" x14ac:dyDescent="0.25">
      <c r="A3283" s="5" t="s">
        <v>35</v>
      </c>
      <c r="B3283" s="2">
        <v>44029</v>
      </c>
      <c r="C3283" s="1">
        <v>0</v>
      </c>
      <c r="D3283" s="47">
        <v>14</v>
      </c>
      <c r="F3283" s="47">
        <f>E3283+F3259</f>
        <v>0</v>
      </c>
    </row>
    <row r="3284" spans="1:6" x14ac:dyDescent="0.25">
      <c r="A3284" s="5" t="s">
        <v>36</v>
      </c>
      <c r="B3284" s="2">
        <v>44029</v>
      </c>
      <c r="C3284" s="1">
        <v>1</v>
      </c>
      <c r="D3284" s="47">
        <v>14</v>
      </c>
      <c r="F3284" s="47">
        <f t="shared" si="214"/>
        <v>0</v>
      </c>
    </row>
    <row r="3285" spans="1:6" x14ac:dyDescent="0.25">
      <c r="A3285" s="5" t="s">
        <v>37</v>
      </c>
      <c r="B3285" s="2">
        <v>44029</v>
      </c>
      <c r="C3285" s="1">
        <v>20</v>
      </c>
      <c r="D3285" s="47">
        <v>103</v>
      </c>
      <c r="F3285" s="47">
        <f t="shared" si="214"/>
        <v>0</v>
      </c>
    </row>
    <row r="3286" spans="1:6" x14ac:dyDescent="0.25">
      <c r="A3286" s="5" t="s">
        <v>22</v>
      </c>
      <c r="B3286" s="2">
        <v>44029</v>
      </c>
      <c r="C3286" s="1">
        <v>26</v>
      </c>
      <c r="D3286" s="47">
        <v>632</v>
      </c>
      <c r="F3286" s="47">
        <f>E3286+F3262</f>
        <v>8</v>
      </c>
    </row>
    <row r="3287" spans="1:6" x14ac:dyDescent="0.25">
      <c r="A3287" s="5" t="s">
        <v>38</v>
      </c>
      <c r="B3287" s="2">
        <v>44029</v>
      </c>
      <c r="C3287" s="1">
        <v>0</v>
      </c>
      <c r="D3287" s="47">
        <v>37</v>
      </c>
      <c r="F3287" s="47">
        <f>E3287+F3263</f>
        <v>0</v>
      </c>
    </row>
    <row r="3288" spans="1:6" x14ac:dyDescent="0.25">
      <c r="A3288" s="5" t="s">
        <v>39</v>
      </c>
      <c r="B3288" s="2">
        <v>44029</v>
      </c>
      <c r="C3288" s="1">
        <v>4</v>
      </c>
      <c r="D3288" s="47">
        <v>213</v>
      </c>
      <c r="F3288" s="47">
        <f>E3288+F3264</f>
        <v>1</v>
      </c>
    </row>
    <row r="3289" spans="1:6" x14ac:dyDescent="0.25">
      <c r="A3289" s="5" t="s">
        <v>40</v>
      </c>
      <c r="B3289" s="2">
        <v>44029</v>
      </c>
      <c r="C3289" s="1">
        <v>7</v>
      </c>
      <c r="D3289" s="47">
        <v>103</v>
      </c>
      <c r="F3289" s="47">
        <f>E3289+F3265</f>
        <v>4</v>
      </c>
    </row>
    <row r="3290" spans="1:6" x14ac:dyDescent="0.25">
      <c r="A3290" s="34" t="s">
        <v>16</v>
      </c>
      <c r="B3290" s="2">
        <v>44030</v>
      </c>
      <c r="C3290" s="1">
        <v>1817</v>
      </c>
      <c r="D3290" s="47">
        <v>68021</v>
      </c>
      <c r="E3290" s="1">
        <v>21</v>
      </c>
      <c r="F3290" s="47">
        <f>E3290+F3266</f>
        <v>1098</v>
      </c>
    </row>
    <row r="3291" spans="1:6" x14ac:dyDescent="0.25">
      <c r="A3291" s="5" t="s">
        <v>28</v>
      </c>
      <c r="B3291" s="2">
        <v>44030</v>
      </c>
      <c r="C3291" s="1">
        <v>0</v>
      </c>
      <c r="D3291" s="47">
        <v>55</v>
      </c>
      <c r="F3291" s="47">
        <f t="shared" ref="F3291:F3297" si="215">E3291+F3267</f>
        <v>0</v>
      </c>
    </row>
    <row r="3292" spans="1:6" x14ac:dyDescent="0.25">
      <c r="A3292" s="5" t="s">
        <v>15</v>
      </c>
      <c r="B3292" s="2">
        <v>44030</v>
      </c>
      <c r="C3292" s="1">
        <v>60</v>
      </c>
      <c r="D3292" s="47">
        <v>2918</v>
      </c>
      <c r="E3292" s="1">
        <v>3</v>
      </c>
      <c r="F3292" s="47">
        <f t="shared" si="215"/>
        <v>120</v>
      </c>
    </row>
    <row r="3293" spans="1:6" x14ac:dyDescent="0.25">
      <c r="A3293" s="5" t="s">
        <v>29</v>
      </c>
      <c r="B3293" s="2">
        <v>44030</v>
      </c>
      <c r="C3293" s="1">
        <v>8</v>
      </c>
      <c r="D3293" s="47">
        <v>235</v>
      </c>
      <c r="F3293" s="47">
        <f t="shared" si="215"/>
        <v>3</v>
      </c>
    </row>
    <row r="3294" spans="1:6" x14ac:dyDescent="0.25">
      <c r="A3294" s="5" t="s">
        <v>43</v>
      </c>
      <c r="B3294" s="2">
        <v>44030</v>
      </c>
      <c r="C3294" s="1">
        <v>1106</v>
      </c>
      <c r="D3294" s="47">
        <v>44485</v>
      </c>
      <c r="E3294" s="1">
        <v>16</v>
      </c>
      <c r="F3294" s="47">
        <f t="shared" si="215"/>
        <v>826</v>
      </c>
    </row>
    <row r="3295" spans="1:6" x14ac:dyDescent="0.25">
      <c r="A3295" s="5" t="s">
        <v>20</v>
      </c>
      <c r="B3295" s="2">
        <v>44030</v>
      </c>
      <c r="C3295" s="1">
        <v>104</v>
      </c>
      <c r="D3295" s="47">
        <v>1216</v>
      </c>
      <c r="F3295" s="47">
        <f t="shared" si="215"/>
        <v>35</v>
      </c>
    </row>
    <row r="3296" spans="1:6" x14ac:dyDescent="0.25">
      <c r="A3296" s="5" t="s">
        <v>30</v>
      </c>
      <c r="B3296" s="2">
        <v>44030</v>
      </c>
      <c r="C3296" s="1">
        <v>1</v>
      </c>
      <c r="D3296" s="47">
        <v>130</v>
      </c>
      <c r="F3296" s="47">
        <f t="shared" si="215"/>
        <v>0</v>
      </c>
    </row>
    <row r="3297" spans="1:6" x14ac:dyDescent="0.25">
      <c r="A3297" s="5" t="s">
        <v>31</v>
      </c>
      <c r="B3297" s="2">
        <v>44030</v>
      </c>
      <c r="C3297" s="1">
        <v>15</v>
      </c>
      <c r="D3297" s="47">
        <v>614</v>
      </c>
      <c r="F3297" s="47">
        <f t="shared" si="215"/>
        <v>5</v>
      </c>
    </row>
    <row r="3298" spans="1:6" x14ac:dyDescent="0.25">
      <c r="A3298" s="5" t="s">
        <v>41</v>
      </c>
      <c r="B3298" s="2">
        <v>44030</v>
      </c>
      <c r="C3298" s="1">
        <v>0</v>
      </c>
      <c r="D3298" s="47">
        <v>78</v>
      </c>
      <c r="F3298" s="47">
        <f>E3298+F3274</f>
        <v>0</v>
      </c>
    </row>
    <row r="3299" spans="1:6" x14ac:dyDescent="0.25">
      <c r="A3299" s="5" t="s">
        <v>32</v>
      </c>
      <c r="B3299" s="2">
        <v>44030</v>
      </c>
      <c r="C3299" s="1">
        <v>7</v>
      </c>
      <c r="D3299" s="47">
        <v>668</v>
      </c>
      <c r="F3299" s="47">
        <f t="shared" ref="F3299:F3309" si="216">E3299+F3274</f>
        <v>0</v>
      </c>
    </row>
    <row r="3300" spans="1:6" x14ac:dyDescent="0.25">
      <c r="A3300" s="5" t="s">
        <v>33</v>
      </c>
      <c r="B3300" s="2">
        <v>44030</v>
      </c>
      <c r="C3300" s="1">
        <v>0</v>
      </c>
      <c r="D3300" s="47">
        <v>8</v>
      </c>
      <c r="F3300" s="47">
        <f t="shared" si="216"/>
        <v>0</v>
      </c>
    </row>
    <row r="3301" spans="1:6" x14ac:dyDescent="0.25">
      <c r="A3301" s="5" t="s">
        <v>21</v>
      </c>
      <c r="B3301" s="2">
        <v>44030</v>
      </c>
      <c r="C3301" s="1">
        <v>17</v>
      </c>
      <c r="D3301" s="47">
        <v>180</v>
      </c>
      <c r="F3301" s="47">
        <f t="shared" si="216"/>
        <v>0</v>
      </c>
    </row>
    <row r="3302" spans="1:6" x14ac:dyDescent="0.25">
      <c r="A3302" s="5" t="s">
        <v>17</v>
      </c>
      <c r="B3302" s="2">
        <v>44030</v>
      </c>
      <c r="C3302" s="1">
        <v>44</v>
      </c>
      <c r="D3302" s="47">
        <v>447</v>
      </c>
      <c r="F3302" s="47">
        <f t="shared" si="216"/>
        <v>2</v>
      </c>
    </row>
    <row r="3303" spans="1:6" x14ac:dyDescent="0.25">
      <c r="A3303" s="5" t="s">
        <v>23</v>
      </c>
      <c r="B3303" s="2">
        <v>44030</v>
      </c>
      <c r="C3303" s="1">
        <v>0</v>
      </c>
      <c r="D3303" s="47">
        <v>49</v>
      </c>
      <c r="F3303" s="47">
        <f t="shared" si="216"/>
        <v>5</v>
      </c>
    </row>
    <row r="3304" spans="1:6" x14ac:dyDescent="0.25">
      <c r="A3304" s="5" t="s">
        <v>19</v>
      </c>
      <c r="B3304" s="2">
        <v>44030</v>
      </c>
      <c r="C3304" s="1">
        <v>16</v>
      </c>
      <c r="D3304" s="47">
        <v>847</v>
      </c>
      <c r="F3304" s="47">
        <f t="shared" si="216"/>
        <v>1</v>
      </c>
    </row>
    <row r="3305" spans="1:6" x14ac:dyDescent="0.25">
      <c r="A3305" s="5" t="s">
        <v>18</v>
      </c>
      <c r="B3305" s="2">
        <v>44030</v>
      </c>
      <c r="C3305" s="1">
        <v>25</v>
      </c>
      <c r="D3305" s="47">
        <v>1297</v>
      </c>
      <c r="E3305" s="1">
        <v>2</v>
      </c>
      <c r="F3305" s="47">
        <f t="shared" si="216"/>
        <v>4</v>
      </c>
    </row>
    <row r="3306" spans="1:6" x14ac:dyDescent="0.25">
      <c r="A3306" s="5" t="s">
        <v>34</v>
      </c>
      <c r="B3306" s="2">
        <v>44030</v>
      </c>
      <c r="C3306" s="1">
        <v>7</v>
      </c>
      <c r="D3306" s="47">
        <v>152</v>
      </c>
      <c r="F3306" s="47">
        <f t="shared" si="216"/>
        <v>1</v>
      </c>
    </row>
    <row r="3307" spans="1:6" x14ac:dyDescent="0.25">
      <c r="A3307" s="5" t="s">
        <v>35</v>
      </c>
      <c r="B3307" s="2">
        <v>44030</v>
      </c>
      <c r="C3307" s="1">
        <v>0</v>
      </c>
      <c r="D3307" s="47">
        <v>14</v>
      </c>
      <c r="F3307" s="47">
        <f>E3307+F3283</f>
        <v>0</v>
      </c>
    </row>
    <row r="3308" spans="1:6" x14ac:dyDescent="0.25">
      <c r="A3308" s="5" t="s">
        <v>36</v>
      </c>
      <c r="B3308" s="2">
        <v>44030</v>
      </c>
      <c r="C3308" s="1">
        <v>0</v>
      </c>
      <c r="D3308" s="47">
        <v>14</v>
      </c>
      <c r="F3308" s="47">
        <f t="shared" si="216"/>
        <v>0</v>
      </c>
    </row>
    <row r="3309" spans="1:6" x14ac:dyDescent="0.25">
      <c r="A3309" s="5" t="s">
        <v>37</v>
      </c>
      <c r="B3309" s="2">
        <v>44030</v>
      </c>
      <c r="C3309" s="1">
        <v>20</v>
      </c>
      <c r="D3309" s="47">
        <v>123</v>
      </c>
      <c r="F3309" s="47">
        <f t="shared" si="216"/>
        <v>0</v>
      </c>
    </row>
    <row r="3310" spans="1:6" x14ac:dyDescent="0.25">
      <c r="A3310" s="5" t="s">
        <v>22</v>
      </c>
      <c r="B3310" s="2">
        <v>44030</v>
      </c>
      <c r="C3310" s="1">
        <v>36</v>
      </c>
      <c r="D3310" s="47">
        <v>668</v>
      </c>
      <c r="F3310" s="47">
        <f>E3310+F3286</f>
        <v>8</v>
      </c>
    </row>
    <row r="3311" spans="1:6" x14ac:dyDescent="0.25">
      <c r="A3311" s="5" t="s">
        <v>38</v>
      </c>
      <c r="B3311" s="2">
        <v>44030</v>
      </c>
      <c r="C3311" s="1">
        <v>0</v>
      </c>
      <c r="D3311" s="47">
        <v>37</v>
      </c>
      <c r="F3311" s="47">
        <f>E3311+F3287</f>
        <v>0</v>
      </c>
    </row>
    <row r="3312" spans="1:6" x14ac:dyDescent="0.25">
      <c r="A3312" s="5" t="s">
        <v>39</v>
      </c>
      <c r="B3312" s="2">
        <v>44030</v>
      </c>
      <c r="C3312" s="1">
        <v>22</v>
      </c>
      <c r="D3312" s="47">
        <v>235</v>
      </c>
      <c r="F3312" s="47">
        <f>E3312+F3288</f>
        <v>1</v>
      </c>
    </row>
    <row r="3313" spans="1:6" x14ac:dyDescent="0.25">
      <c r="A3313" s="5" t="s">
        <v>40</v>
      </c>
      <c r="B3313" s="2">
        <v>44030</v>
      </c>
      <c r="C3313" s="1">
        <v>0</v>
      </c>
      <c r="D3313" s="47">
        <v>103</v>
      </c>
      <c r="F3313" s="47">
        <f>E3313+F3289</f>
        <v>4</v>
      </c>
    </row>
    <row r="3314" spans="1:6" x14ac:dyDescent="0.25">
      <c r="A3314" s="34" t="s">
        <v>16</v>
      </c>
      <c r="B3314" s="2">
        <v>44031</v>
      </c>
      <c r="C3314" s="1">
        <v>2761</v>
      </c>
      <c r="D3314" s="47">
        <v>70782</v>
      </c>
      <c r="E3314" s="1">
        <v>21</v>
      </c>
      <c r="F3314" s="47">
        <f>E3314+F3290</f>
        <v>1119</v>
      </c>
    </row>
    <row r="3315" spans="1:6" x14ac:dyDescent="0.25">
      <c r="A3315" s="5" t="s">
        <v>28</v>
      </c>
      <c r="B3315" s="2">
        <v>44031</v>
      </c>
      <c r="C3315" s="1">
        <v>3</v>
      </c>
      <c r="D3315" s="47">
        <v>58</v>
      </c>
      <c r="F3315" s="47">
        <f t="shared" ref="F3315:F3321" si="217">E3315+F3291</f>
        <v>0</v>
      </c>
    </row>
    <row r="3316" spans="1:6" x14ac:dyDescent="0.25">
      <c r="A3316" s="5" t="s">
        <v>15</v>
      </c>
      <c r="B3316" s="2">
        <v>44031</v>
      </c>
      <c r="C3316" s="1">
        <v>48</v>
      </c>
      <c r="D3316" s="47">
        <v>2966</v>
      </c>
      <c r="E3316" s="1">
        <v>1</v>
      </c>
      <c r="F3316" s="47">
        <f t="shared" si="217"/>
        <v>121</v>
      </c>
    </row>
    <row r="3317" spans="1:6" x14ac:dyDescent="0.25">
      <c r="A3317" s="5" t="s">
        <v>29</v>
      </c>
      <c r="B3317" s="2">
        <v>44031</v>
      </c>
      <c r="C3317" s="1">
        <v>3</v>
      </c>
      <c r="D3317" s="47">
        <v>238</v>
      </c>
      <c r="F3317" s="47">
        <f t="shared" si="217"/>
        <v>3</v>
      </c>
    </row>
    <row r="3318" spans="1:6" x14ac:dyDescent="0.25">
      <c r="A3318" s="5" t="s">
        <v>43</v>
      </c>
      <c r="B3318" s="2">
        <v>44031</v>
      </c>
      <c r="C3318" s="1">
        <v>1116</v>
      </c>
      <c r="D3318" s="47">
        <v>45601</v>
      </c>
      <c r="E3318" s="1">
        <v>14</v>
      </c>
      <c r="F3318" s="47">
        <f t="shared" si="217"/>
        <v>840</v>
      </c>
    </row>
    <row r="3319" spans="1:6" x14ac:dyDescent="0.25">
      <c r="A3319" s="5" t="s">
        <v>20</v>
      </c>
      <c r="B3319" s="2">
        <v>44031</v>
      </c>
      <c r="C3319" s="1">
        <v>67</v>
      </c>
      <c r="D3319" s="47">
        <v>1283</v>
      </c>
      <c r="E3319" s="1">
        <v>1</v>
      </c>
      <c r="F3319" s="47">
        <f t="shared" si="217"/>
        <v>36</v>
      </c>
    </row>
    <row r="3320" spans="1:6" x14ac:dyDescent="0.25">
      <c r="A3320" s="5" t="s">
        <v>30</v>
      </c>
      <c r="B3320" s="2">
        <v>44031</v>
      </c>
      <c r="C3320" s="1">
        <v>0</v>
      </c>
      <c r="D3320" s="47">
        <v>130</v>
      </c>
      <c r="E3320" s="1">
        <v>1</v>
      </c>
      <c r="F3320" s="47">
        <f t="shared" si="217"/>
        <v>1</v>
      </c>
    </row>
    <row r="3321" spans="1:6" x14ac:dyDescent="0.25">
      <c r="A3321" s="5" t="s">
        <v>31</v>
      </c>
      <c r="B3321" s="2">
        <v>44031</v>
      </c>
      <c r="C3321" s="1">
        <v>16</v>
      </c>
      <c r="D3321" s="47">
        <v>630</v>
      </c>
      <c r="F3321" s="47">
        <f t="shared" si="217"/>
        <v>5</v>
      </c>
    </row>
    <row r="3322" spans="1:6" x14ac:dyDescent="0.25">
      <c r="A3322" s="5" t="s">
        <v>41</v>
      </c>
      <c r="B3322" s="2">
        <v>44031</v>
      </c>
      <c r="C3322" s="1">
        <v>0</v>
      </c>
      <c r="D3322" s="47">
        <v>78</v>
      </c>
      <c r="F3322" s="47">
        <f>E3322+F3298</f>
        <v>0</v>
      </c>
    </row>
    <row r="3323" spans="1:6" x14ac:dyDescent="0.25">
      <c r="A3323" s="5" t="s">
        <v>32</v>
      </c>
      <c r="B3323" s="2">
        <v>44031</v>
      </c>
      <c r="C3323" s="1">
        <v>6</v>
      </c>
      <c r="D3323" s="47">
        <v>674</v>
      </c>
      <c r="F3323" s="47">
        <f t="shared" ref="F3323:F3333" si="218">E3323+F3298</f>
        <v>0</v>
      </c>
    </row>
    <row r="3324" spans="1:6" x14ac:dyDescent="0.25">
      <c r="A3324" s="5" t="s">
        <v>33</v>
      </c>
      <c r="B3324" s="2">
        <v>44031</v>
      </c>
      <c r="C3324" s="1">
        <v>0</v>
      </c>
      <c r="D3324" s="47">
        <v>8</v>
      </c>
      <c r="F3324" s="47">
        <f t="shared" si="218"/>
        <v>0</v>
      </c>
    </row>
    <row r="3325" spans="1:6" x14ac:dyDescent="0.25">
      <c r="A3325" s="5" t="s">
        <v>21</v>
      </c>
      <c r="B3325" s="2">
        <v>44031</v>
      </c>
      <c r="C3325" s="1">
        <v>4</v>
      </c>
      <c r="D3325" s="47">
        <v>184</v>
      </c>
      <c r="F3325" s="47">
        <f t="shared" si="218"/>
        <v>0</v>
      </c>
    </row>
    <row r="3326" spans="1:6" x14ac:dyDescent="0.25">
      <c r="A3326" s="5" t="s">
        <v>17</v>
      </c>
      <c r="B3326" s="2">
        <v>44031</v>
      </c>
      <c r="C3326" s="1">
        <v>41</v>
      </c>
      <c r="D3326" s="47">
        <v>488</v>
      </c>
      <c r="E3326" s="1">
        <v>1</v>
      </c>
      <c r="F3326" s="47">
        <f t="shared" si="218"/>
        <v>1</v>
      </c>
    </row>
    <row r="3327" spans="1:6" x14ac:dyDescent="0.25">
      <c r="A3327" s="5" t="s">
        <v>23</v>
      </c>
      <c r="B3327" s="2">
        <v>44031</v>
      </c>
      <c r="C3327" s="1">
        <v>0</v>
      </c>
      <c r="D3327" s="47">
        <v>49</v>
      </c>
      <c r="F3327" s="47">
        <f t="shared" si="218"/>
        <v>2</v>
      </c>
    </row>
    <row r="3328" spans="1:6" x14ac:dyDescent="0.25">
      <c r="A3328" s="5" t="s">
        <v>19</v>
      </c>
      <c r="B3328" s="2">
        <v>44031</v>
      </c>
      <c r="C3328" s="1">
        <v>33</v>
      </c>
      <c r="D3328" s="47">
        <v>880</v>
      </c>
      <c r="F3328" s="47">
        <f t="shared" si="218"/>
        <v>5</v>
      </c>
    </row>
    <row r="3329" spans="1:6" x14ac:dyDescent="0.25">
      <c r="A3329" s="5" t="s">
        <v>18</v>
      </c>
      <c r="B3329" s="2">
        <v>44031</v>
      </c>
      <c r="C3329" s="1">
        <v>23</v>
      </c>
      <c r="D3329" s="47">
        <v>1320</v>
      </c>
      <c r="F3329" s="47">
        <f t="shared" si="218"/>
        <v>1</v>
      </c>
    </row>
    <row r="3330" spans="1:6" x14ac:dyDescent="0.25">
      <c r="A3330" s="5" t="s">
        <v>34</v>
      </c>
      <c r="B3330" s="2">
        <v>44031</v>
      </c>
      <c r="C3330" s="1">
        <v>23</v>
      </c>
      <c r="D3330" s="47">
        <v>175</v>
      </c>
      <c r="F3330" s="47">
        <f t="shared" si="218"/>
        <v>4</v>
      </c>
    </row>
    <row r="3331" spans="1:6" x14ac:dyDescent="0.25">
      <c r="A3331" s="5" t="s">
        <v>35</v>
      </c>
      <c r="B3331" s="2">
        <v>44031</v>
      </c>
      <c r="C3331" s="1">
        <v>0</v>
      </c>
      <c r="D3331" s="47">
        <v>14</v>
      </c>
      <c r="F3331" s="47">
        <f>E3331+F3307</f>
        <v>0</v>
      </c>
    </row>
    <row r="3332" spans="1:6" x14ac:dyDescent="0.25">
      <c r="A3332" s="5" t="s">
        <v>36</v>
      </c>
      <c r="B3332" s="2">
        <v>44031</v>
      </c>
      <c r="C3332" s="1">
        <v>0</v>
      </c>
      <c r="D3332" s="47">
        <v>14</v>
      </c>
      <c r="F3332" s="47">
        <f t="shared" si="218"/>
        <v>0</v>
      </c>
    </row>
    <row r="3333" spans="1:6" x14ac:dyDescent="0.25">
      <c r="A3333" s="5" t="s">
        <v>37</v>
      </c>
      <c r="B3333" s="2">
        <v>44031</v>
      </c>
      <c r="C3333" s="1">
        <v>59</v>
      </c>
      <c r="D3333" s="47">
        <v>182</v>
      </c>
      <c r="F3333" s="47">
        <f t="shared" si="218"/>
        <v>0</v>
      </c>
    </row>
    <row r="3334" spans="1:6" x14ac:dyDescent="0.25">
      <c r="A3334" s="5" t="s">
        <v>22</v>
      </c>
      <c r="B3334" s="2">
        <v>44031</v>
      </c>
      <c r="C3334" s="1">
        <v>23</v>
      </c>
      <c r="D3334" s="47">
        <v>691</v>
      </c>
      <c r="E3334" s="1">
        <v>1</v>
      </c>
      <c r="F3334" s="47">
        <f>E3334+F3310</f>
        <v>9</v>
      </c>
    </row>
    <row r="3335" spans="1:6" x14ac:dyDescent="0.25">
      <c r="A3335" s="5" t="s">
        <v>38</v>
      </c>
      <c r="B3335" s="2">
        <v>44031</v>
      </c>
      <c r="C3335" s="1">
        <v>1</v>
      </c>
      <c r="D3335" s="47">
        <v>38</v>
      </c>
      <c r="F3335" s="47">
        <f>E3335+F3311</f>
        <v>0</v>
      </c>
    </row>
    <row r="3336" spans="1:6" x14ac:dyDescent="0.25">
      <c r="A3336" s="5" t="s">
        <v>39</v>
      </c>
      <c r="B3336" s="2">
        <v>44031</v>
      </c>
      <c r="C3336" s="1">
        <v>5</v>
      </c>
      <c r="D3336" s="47">
        <v>240</v>
      </c>
      <c r="F3336" s="47">
        <f>E3336+F3312</f>
        <v>1</v>
      </c>
    </row>
    <row r="3337" spans="1:6" x14ac:dyDescent="0.25">
      <c r="A3337" s="5" t="s">
        <v>40</v>
      </c>
      <c r="B3337" s="2">
        <v>44031</v>
      </c>
      <c r="C3337" s="1">
        <v>0</v>
      </c>
      <c r="D3337" s="47">
        <v>103</v>
      </c>
      <c r="F3337" s="47">
        <f>E3337+F3313</f>
        <v>4</v>
      </c>
    </row>
    <row r="3338" spans="1:6" x14ac:dyDescent="0.25">
      <c r="A3338" s="34" t="s">
        <v>16</v>
      </c>
      <c r="B3338" s="2">
        <v>44032</v>
      </c>
      <c r="C3338" s="1">
        <v>2556</v>
      </c>
      <c r="D3338" s="47">
        <v>73338</v>
      </c>
      <c r="E3338" s="1">
        <v>57</v>
      </c>
      <c r="F3338" s="47">
        <f>E3338+F3314</f>
        <v>1176</v>
      </c>
    </row>
    <row r="3339" spans="1:6" x14ac:dyDescent="0.25">
      <c r="A3339" s="5" t="s">
        <v>28</v>
      </c>
      <c r="B3339" s="2">
        <v>44032</v>
      </c>
      <c r="C3339" s="1">
        <v>0</v>
      </c>
      <c r="D3339" s="47">
        <v>58</v>
      </c>
      <c r="F3339" s="47">
        <f t="shared" ref="F3339:F3345" si="219">E3339+F3315</f>
        <v>0</v>
      </c>
    </row>
    <row r="3340" spans="1:6" x14ac:dyDescent="0.25">
      <c r="A3340" s="5" t="s">
        <v>15</v>
      </c>
      <c r="B3340" s="2">
        <v>44032</v>
      </c>
      <c r="C3340" s="1">
        <v>30</v>
      </c>
      <c r="D3340" s="47">
        <v>2996</v>
      </c>
      <c r="E3340" s="1">
        <v>1</v>
      </c>
      <c r="F3340" s="47">
        <f t="shared" si="219"/>
        <v>122</v>
      </c>
    </row>
    <row r="3341" spans="1:6" x14ac:dyDescent="0.25">
      <c r="A3341" s="5" t="s">
        <v>29</v>
      </c>
      <c r="B3341" s="2">
        <v>44032</v>
      </c>
      <c r="C3341" s="1">
        <v>4</v>
      </c>
      <c r="D3341" s="47">
        <v>242</v>
      </c>
      <c r="F3341" s="47">
        <f t="shared" si="219"/>
        <v>3</v>
      </c>
    </row>
    <row r="3342" spans="1:6" x14ac:dyDescent="0.25">
      <c r="A3342" s="5" t="s">
        <v>43</v>
      </c>
      <c r="B3342" s="2">
        <v>44032</v>
      </c>
      <c r="C3342" s="1">
        <v>1090</v>
      </c>
      <c r="D3342" s="47">
        <v>46691</v>
      </c>
      <c r="E3342" s="1">
        <v>50</v>
      </c>
      <c r="F3342" s="47">
        <f t="shared" si="219"/>
        <v>890</v>
      </c>
    </row>
    <row r="3343" spans="1:6" x14ac:dyDescent="0.25">
      <c r="A3343" s="5" t="s">
        <v>20</v>
      </c>
      <c r="B3343" s="2">
        <v>44032</v>
      </c>
      <c r="C3343" s="1">
        <v>39</v>
      </c>
      <c r="D3343" s="47">
        <v>1322</v>
      </c>
      <c r="F3343" s="47">
        <f t="shared" si="219"/>
        <v>36</v>
      </c>
    </row>
    <row r="3344" spans="1:6" x14ac:dyDescent="0.25">
      <c r="A3344" s="5" t="s">
        <v>30</v>
      </c>
      <c r="B3344" s="2">
        <v>44032</v>
      </c>
      <c r="C3344" s="1">
        <v>0</v>
      </c>
      <c r="D3344" s="47">
        <v>130</v>
      </c>
      <c r="F3344" s="47">
        <f t="shared" si="219"/>
        <v>1</v>
      </c>
    </row>
    <row r="3345" spans="1:6" x14ac:dyDescent="0.25">
      <c r="A3345" s="5" t="s">
        <v>31</v>
      </c>
      <c r="B3345" s="2">
        <v>44032</v>
      </c>
      <c r="C3345" s="1">
        <v>18</v>
      </c>
      <c r="D3345" s="47">
        <v>648</v>
      </c>
      <c r="F3345" s="47">
        <f t="shared" si="219"/>
        <v>5</v>
      </c>
    </row>
    <row r="3346" spans="1:6" x14ac:dyDescent="0.25">
      <c r="A3346" s="5" t="s">
        <v>41</v>
      </c>
      <c r="B3346" s="2">
        <v>44032</v>
      </c>
      <c r="C3346" s="1">
        <v>0</v>
      </c>
      <c r="D3346" s="47">
        <v>78</v>
      </c>
      <c r="F3346" s="47">
        <f>E3346+F3322</f>
        <v>0</v>
      </c>
    </row>
    <row r="3347" spans="1:6" x14ac:dyDescent="0.25">
      <c r="A3347" s="5" t="s">
        <v>32</v>
      </c>
      <c r="B3347" s="2">
        <v>44032</v>
      </c>
      <c r="C3347" s="1">
        <v>84</v>
      </c>
      <c r="D3347" s="47">
        <v>758</v>
      </c>
      <c r="F3347" s="47">
        <f t="shared" ref="F3347:F3357" si="220">E3347+F3322</f>
        <v>0</v>
      </c>
    </row>
    <row r="3348" spans="1:6" x14ac:dyDescent="0.25">
      <c r="A3348" s="5" t="s">
        <v>33</v>
      </c>
      <c r="B3348" s="2">
        <v>44032</v>
      </c>
      <c r="C3348" s="1">
        <v>0</v>
      </c>
      <c r="D3348" s="47">
        <v>8</v>
      </c>
      <c r="F3348" s="47">
        <f t="shared" si="220"/>
        <v>0</v>
      </c>
    </row>
    <row r="3349" spans="1:6" x14ac:dyDescent="0.25">
      <c r="A3349" s="5" t="s">
        <v>21</v>
      </c>
      <c r="B3349" s="2">
        <v>44032</v>
      </c>
      <c r="C3349" s="1">
        <v>0</v>
      </c>
      <c r="D3349" s="47">
        <v>184</v>
      </c>
      <c r="F3349" s="47">
        <f t="shared" si="220"/>
        <v>0</v>
      </c>
    </row>
    <row r="3350" spans="1:6" x14ac:dyDescent="0.25">
      <c r="A3350" s="5" t="s">
        <v>17</v>
      </c>
      <c r="B3350" s="2">
        <v>44032</v>
      </c>
      <c r="C3350" s="1">
        <v>25</v>
      </c>
      <c r="D3350" s="47">
        <v>513</v>
      </c>
      <c r="E3350" s="1">
        <v>1</v>
      </c>
      <c r="F3350" s="47">
        <f t="shared" si="220"/>
        <v>1</v>
      </c>
    </row>
    <row r="3351" spans="1:6" x14ac:dyDescent="0.25">
      <c r="A3351" s="5" t="s">
        <v>23</v>
      </c>
      <c r="B3351" s="2">
        <v>44032</v>
      </c>
      <c r="C3351" s="1">
        <v>0</v>
      </c>
      <c r="D3351" s="47">
        <v>49</v>
      </c>
      <c r="F3351" s="47">
        <f t="shared" si="220"/>
        <v>1</v>
      </c>
    </row>
    <row r="3352" spans="1:6" x14ac:dyDescent="0.25">
      <c r="A3352" s="5" t="s">
        <v>19</v>
      </c>
      <c r="B3352" s="2">
        <v>44032</v>
      </c>
      <c r="C3352" s="1">
        <v>17</v>
      </c>
      <c r="D3352" s="47">
        <v>897</v>
      </c>
      <c r="F3352" s="47">
        <f t="shared" si="220"/>
        <v>2</v>
      </c>
    </row>
    <row r="3353" spans="1:6" x14ac:dyDescent="0.25">
      <c r="A3353" s="5" t="s">
        <v>18</v>
      </c>
      <c r="B3353" s="2">
        <v>44032</v>
      </c>
      <c r="C3353" s="1">
        <v>21</v>
      </c>
      <c r="D3353" s="47">
        <v>1341</v>
      </c>
      <c r="E3353" s="1">
        <v>4</v>
      </c>
      <c r="F3353" s="47">
        <f t="shared" si="220"/>
        <v>9</v>
      </c>
    </row>
    <row r="3354" spans="1:6" x14ac:dyDescent="0.25">
      <c r="A3354" s="5" t="s">
        <v>34</v>
      </c>
      <c r="B3354" s="2">
        <v>44032</v>
      </c>
      <c r="C3354" s="1">
        <v>1</v>
      </c>
      <c r="D3354" s="47">
        <v>176</v>
      </c>
      <c r="F3354" s="47">
        <f t="shared" si="220"/>
        <v>1</v>
      </c>
    </row>
    <row r="3355" spans="1:6" x14ac:dyDescent="0.25">
      <c r="A3355" s="5" t="s">
        <v>35</v>
      </c>
      <c r="B3355" s="2">
        <v>44032</v>
      </c>
      <c r="C3355" s="1">
        <v>0</v>
      </c>
      <c r="D3355" s="47">
        <v>14</v>
      </c>
      <c r="F3355" s="47">
        <f>E3355+F3331</f>
        <v>0</v>
      </c>
    </row>
    <row r="3356" spans="1:6" x14ac:dyDescent="0.25">
      <c r="A3356" s="5" t="s">
        <v>36</v>
      </c>
      <c r="B3356" s="2">
        <v>44032</v>
      </c>
      <c r="C3356" s="1">
        <v>1</v>
      </c>
      <c r="D3356" s="47">
        <v>15</v>
      </c>
      <c r="F3356" s="47">
        <f t="shared" si="220"/>
        <v>0</v>
      </c>
    </row>
    <row r="3357" spans="1:6" x14ac:dyDescent="0.25">
      <c r="A3357" s="5" t="s">
        <v>37</v>
      </c>
      <c r="B3357" s="2">
        <v>44032</v>
      </c>
      <c r="C3357" s="1">
        <v>24</v>
      </c>
      <c r="D3357" s="47">
        <v>206</v>
      </c>
      <c r="F3357" s="47">
        <f t="shared" si="220"/>
        <v>0</v>
      </c>
    </row>
    <row r="3358" spans="1:6" x14ac:dyDescent="0.25">
      <c r="A3358" s="5" t="s">
        <v>22</v>
      </c>
      <c r="B3358" s="2">
        <v>44032</v>
      </c>
      <c r="C3358" s="1">
        <v>27</v>
      </c>
      <c r="D3358" s="47">
        <v>718</v>
      </c>
      <c r="F3358" s="47">
        <f>E3358+F3334</f>
        <v>9</v>
      </c>
    </row>
    <row r="3359" spans="1:6" x14ac:dyDescent="0.25">
      <c r="A3359" s="5" t="s">
        <v>38</v>
      </c>
      <c r="B3359" s="2">
        <v>44032</v>
      </c>
      <c r="C3359" s="1">
        <v>0</v>
      </c>
      <c r="D3359" s="47">
        <v>38</v>
      </c>
      <c r="F3359" s="47">
        <f>E3359+F3335</f>
        <v>0</v>
      </c>
    </row>
    <row r="3360" spans="1:6" x14ac:dyDescent="0.25">
      <c r="A3360" s="5" t="s">
        <v>39</v>
      </c>
      <c r="B3360" s="2">
        <v>44032</v>
      </c>
      <c r="C3360" s="1">
        <v>0</v>
      </c>
      <c r="D3360" s="47">
        <v>240</v>
      </c>
      <c r="F3360" s="47">
        <f>E3360+F3336</f>
        <v>1</v>
      </c>
    </row>
    <row r="3361" spans="1:6" x14ac:dyDescent="0.25">
      <c r="A3361" s="5" t="s">
        <v>40</v>
      </c>
      <c r="B3361" s="2">
        <v>44032</v>
      </c>
      <c r="C3361" s="1">
        <v>0</v>
      </c>
      <c r="D3361" s="47">
        <v>103</v>
      </c>
      <c r="F3361" s="47">
        <f>E3361+F3337</f>
        <v>4</v>
      </c>
    </row>
    <row r="3362" spans="1:6" x14ac:dyDescent="0.25">
      <c r="A3362" s="34" t="s">
        <v>16</v>
      </c>
      <c r="B3362" s="2">
        <v>44033</v>
      </c>
      <c r="C3362" s="1">
        <v>3477</v>
      </c>
      <c r="D3362" s="47">
        <v>76815</v>
      </c>
      <c r="E3362" s="1">
        <f>15+16+18</f>
        <v>49</v>
      </c>
      <c r="F3362" s="47">
        <f>E3362+F3338</f>
        <v>1225</v>
      </c>
    </row>
    <row r="3363" spans="1:6" x14ac:dyDescent="0.25">
      <c r="A3363" s="5" t="s">
        <v>28</v>
      </c>
      <c r="B3363" s="2">
        <v>44033</v>
      </c>
      <c r="C3363" s="1">
        <v>2</v>
      </c>
      <c r="D3363" s="47">
        <v>60</v>
      </c>
      <c r="F3363" s="47">
        <f t="shared" ref="F3363:F3369" si="221">E3363+F3339</f>
        <v>0</v>
      </c>
    </row>
    <row r="3364" spans="1:6" x14ac:dyDescent="0.25">
      <c r="A3364" s="5" t="s">
        <v>15</v>
      </c>
      <c r="B3364" s="2">
        <v>44033</v>
      </c>
      <c r="C3364" s="1">
        <v>35</v>
      </c>
      <c r="D3364" s="47">
        <v>3031</v>
      </c>
      <c r="F3364" s="47">
        <f t="shared" si="221"/>
        <v>122</v>
      </c>
    </row>
    <row r="3365" spans="1:6" x14ac:dyDescent="0.25">
      <c r="A3365" s="5" t="s">
        <v>29</v>
      </c>
      <c r="B3365" s="2">
        <v>44033</v>
      </c>
      <c r="C3365" s="1">
        <v>12</v>
      </c>
      <c r="D3365" s="47">
        <v>254</v>
      </c>
      <c r="F3365" s="47">
        <f t="shared" si="221"/>
        <v>3</v>
      </c>
    </row>
    <row r="3366" spans="1:6" x14ac:dyDescent="0.25">
      <c r="A3366" s="5" t="s">
        <v>43</v>
      </c>
      <c r="B3366" s="2">
        <v>44033</v>
      </c>
      <c r="C3366" s="1">
        <v>1452</v>
      </c>
      <c r="D3366" s="47">
        <v>48143</v>
      </c>
      <c r="E3366" s="1">
        <f>14+8+10</f>
        <v>32</v>
      </c>
      <c r="F3366" s="47">
        <f t="shared" si="221"/>
        <v>922</v>
      </c>
    </row>
    <row r="3367" spans="1:6" x14ac:dyDescent="0.25">
      <c r="A3367" s="5" t="s">
        <v>20</v>
      </c>
      <c r="B3367" s="2">
        <v>44033</v>
      </c>
      <c r="C3367" s="1">
        <v>58</v>
      </c>
      <c r="D3367" s="47">
        <v>1380</v>
      </c>
      <c r="E3367" s="1">
        <v>2</v>
      </c>
      <c r="F3367" s="47">
        <f t="shared" si="221"/>
        <v>38</v>
      </c>
    </row>
    <row r="3368" spans="1:6" x14ac:dyDescent="0.25">
      <c r="A3368" s="5" t="s">
        <v>30</v>
      </c>
      <c r="B3368" s="2">
        <v>44033</v>
      </c>
      <c r="C3368" s="1">
        <v>1</v>
      </c>
      <c r="D3368" s="47">
        <v>131</v>
      </c>
      <c r="F3368" s="47">
        <f t="shared" si="221"/>
        <v>1</v>
      </c>
    </row>
    <row r="3369" spans="1:6" x14ac:dyDescent="0.25">
      <c r="A3369" s="5" t="s">
        <v>31</v>
      </c>
      <c r="B3369" s="2">
        <v>44033</v>
      </c>
      <c r="C3369" s="1">
        <v>7</v>
      </c>
      <c r="D3369" s="47">
        <v>655</v>
      </c>
      <c r="E3369" s="1">
        <v>1</v>
      </c>
      <c r="F3369" s="47">
        <f t="shared" si="221"/>
        <v>6</v>
      </c>
    </row>
    <row r="3370" spans="1:6" x14ac:dyDescent="0.25">
      <c r="A3370" s="5" t="s">
        <v>41</v>
      </c>
      <c r="B3370" s="2">
        <v>44033</v>
      </c>
      <c r="C3370" s="1">
        <v>0</v>
      </c>
      <c r="D3370" s="47">
        <v>78</v>
      </c>
      <c r="F3370" s="47">
        <f>E3370+F3346</f>
        <v>0</v>
      </c>
    </row>
    <row r="3371" spans="1:6" x14ac:dyDescent="0.25">
      <c r="A3371" s="5" t="s">
        <v>32</v>
      </c>
      <c r="B3371" s="2">
        <v>44033</v>
      </c>
      <c r="C3371" s="1">
        <v>120</v>
      </c>
      <c r="D3371" s="47">
        <v>878</v>
      </c>
      <c r="E3371" s="1">
        <v>30</v>
      </c>
      <c r="F3371" s="47">
        <f t="shared" ref="F3371:F3381" si="222">E3371+F3346</f>
        <v>30</v>
      </c>
    </row>
    <row r="3372" spans="1:6" x14ac:dyDescent="0.25">
      <c r="A3372" s="5" t="s">
        <v>33</v>
      </c>
      <c r="B3372" s="2">
        <v>44033</v>
      </c>
      <c r="C3372" s="1">
        <v>0</v>
      </c>
      <c r="D3372" s="47">
        <v>8</v>
      </c>
      <c r="F3372" s="47">
        <f t="shared" si="222"/>
        <v>0</v>
      </c>
    </row>
    <row r="3373" spans="1:6" x14ac:dyDescent="0.25">
      <c r="A3373" s="5" t="s">
        <v>21</v>
      </c>
      <c r="B3373" s="2">
        <v>44033</v>
      </c>
      <c r="C3373" s="1">
        <v>2</v>
      </c>
      <c r="D3373" s="47">
        <v>186</v>
      </c>
      <c r="F3373" s="47">
        <f t="shared" si="222"/>
        <v>0</v>
      </c>
    </row>
    <row r="3374" spans="1:6" x14ac:dyDescent="0.25">
      <c r="A3374" s="5" t="s">
        <v>17</v>
      </c>
      <c r="B3374" s="2">
        <v>44033</v>
      </c>
      <c r="C3374" s="1">
        <v>49</v>
      </c>
      <c r="D3374" s="47">
        <v>562</v>
      </c>
      <c r="F3374" s="47">
        <f t="shared" si="222"/>
        <v>0</v>
      </c>
    </row>
    <row r="3375" spans="1:6" x14ac:dyDescent="0.25">
      <c r="A3375" s="5" t="s">
        <v>23</v>
      </c>
      <c r="B3375" s="2">
        <v>44033</v>
      </c>
      <c r="C3375" s="1">
        <v>0</v>
      </c>
      <c r="D3375" s="47">
        <v>49</v>
      </c>
      <c r="F3375" s="47">
        <f t="shared" si="222"/>
        <v>1</v>
      </c>
    </row>
    <row r="3376" spans="1:6" x14ac:dyDescent="0.25">
      <c r="A3376" s="5" t="s">
        <v>19</v>
      </c>
      <c r="B3376" s="2">
        <v>44033</v>
      </c>
      <c r="C3376" s="1">
        <v>26</v>
      </c>
      <c r="D3376" s="47">
        <v>923</v>
      </c>
      <c r="F3376" s="47">
        <f t="shared" si="222"/>
        <v>1</v>
      </c>
    </row>
    <row r="3377" spans="1:6" x14ac:dyDescent="0.25">
      <c r="A3377" s="5" t="s">
        <v>18</v>
      </c>
      <c r="B3377" s="2">
        <v>44033</v>
      </c>
      <c r="C3377" s="1">
        <v>34</v>
      </c>
      <c r="D3377" s="47">
        <v>1375</v>
      </c>
      <c r="E3377" s="1">
        <v>2</v>
      </c>
      <c r="F3377" s="47">
        <f t="shared" si="222"/>
        <v>4</v>
      </c>
    </row>
    <row r="3378" spans="1:6" x14ac:dyDescent="0.25">
      <c r="A3378" s="5" t="s">
        <v>34</v>
      </c>
      <c r="B3378" s="2">
        <v>44033</v>
      </c>
      <c r="C3378" s="1">
        <v>5</v>
      </c>
      <c r="D3378" s="47">
        <v>181</v>
      </c>
      <c r="F3378" s="47">
        <f t="shared" si="222"/>
        <v>9</v>
      </c>
    </row>
    <row r="3379" spans="1:6" x14ac:dyDescent="0.25">
      <c r="A3379" s="5" t="s">
        <v>35</v>
      </c>
      <c r="B3379" s="2">
        <v>44033</v>
      </c>
      <c r="C3379" s="1">
        <v>2</v>
      </c>
      <c r="D3379" s="47">
        <v>16</v>
      </c>
      <c r="F3379" s="47">
        <f>E3379+F3355</f>
        <v>0</v>
      </c>
    </row>
    <row r="3380" spans="1:6" x14ac:dyDescent="0.25">
      <c r="A3380" s="5" t="s">
        <v>36</v>
      </c>
      <c r="B3380" s="2">
        <v>44033</v>
      </c>
      <c r="C3380" s="1">
        <v>0</v>
      </c>
      <c r="D3380" s="47">
        <v>15</v>
      </c>
      <c r="F3380" s="47">
        <f t="shared" si="222"/>
        <v>0</v>
      </c>
    </row>
    <row r="3381" spans="1:6" x14ac:dyDescent="0.25">
      <c r="A3381" s="5" t="s">
        <v>37</v>
      </c>
      <c r="B3381" s="2">
        <v>44033</v>
      </c>
      <c r="C3381" s="1">
        <v>16</v>
      </c>
      <c r="D3381" s="47">
        <v>222</v>
      </c>
      <c r="F3381" s="47">
        <f t="shared" si="222"/>
        <v>0</v>
      </c>
    </row>
    <row r="3382" spans="1:6" x14ac:dyDescent="0.25">
      <c r="A3382" s="5" t="s">
        <v>22</v>
      </c>
      <c r="B3382" s="2">
        <v>44033</v>
      </c>
      <c r="C3382" s="1">
        <v>35</v>
      </c>
      <c r="D3382" s="47">
        <v>753</v>
      </c>
      <c r="F3382" s="47">
        <f>E3382+F3358</f>
        <v>9</v>
      </c>
    </row>
    <row r="3383" spans="1:6" x14ac:dyDescent="0.25">
      <c r="A3383" s="5" t="s">
        <v>38</v>
      </c>
      <c r="B3383" s="2">
        <v>44033</v>
      </c>
      <c r="C3383" s="1">
        <v>1</v>
      </c>
      <c r="D3383" s="47">
        <v>39</v>
      </c>
      <c r="E3383" s="1">
        <v>1</v>
      </c>
      <c r="F3383" s="47">
        <f>E3383+F3359</f>
        <v>1</v>
      </c>
    </row>
    <row r="3384" spans="1:6" x14ac:dyDescent="0.25">
      <c r="A3384" s="5" t="s">
        <v>39</v>
      </c>
      <c r="B3384" s="2">
        <v>44033</v>
      </c>
      <c r="C3384" s="1">
        <v>9</v>
      </c>
      <c r="D3384" s="47">
        <v>249</v>
      </c>
      <c r="F3384" s="47">
        <f>E3384+F3360</f>
        <v>1</v>
      </c>
    </row>
    <row r="3385" spans="1:6" x14ac:dyDescent="0.25">
      <c r="A3385" s="5" t="s">
        <v>40</v>
      </c>
      <c r="B3385" s="2">
        <v>44033</v>
      </c>
      <c r="C3385" s="1">
        <v>1</v>
      </c>
      <c r="D3385" s="47">
        <v>104</v>
      </c>
      <c r="F3385" s="47">
        <f>E3385+F3361</f>
        <v>4</v>
      </c>
    </row>
    <row r="3386" spans="1:6" x14ac:dyDescent="0.25">
      <c r="A3386" s="34" t="s">
        <v>16</v>
      </c>
      <c r="B3386" s="2">
        <v>44034</v>
      </c>
      <c r="C3386" s="1">
        <v>3801</v>
      </c>
      <c r="D3386" s="47">
        <v>80616</v>
      </c>
      <c r="E3386" s="1">
        <f>9+27+16</f>
        <v>52</v>
      </c>
      <c r="F3386" s="47">
        <f>E3386+F3362</f>
        <v>1277</v>
      </c>
    </row>
    <row r="3387" spans="1:6" x14ac:dyDescent="0.25">
      <c r="A3387" s="5" t="s">
        <v>28</v>
      </c>
      <c r="B3387" s="2">
        <v>44034</v>
      </c>
      <c r="C3387" s="1">
        <v>0</v>
      </c>
      <c r="D3387" s="47">
        <v>60</v>
      </c>
      <c r="F3387" s="47">
        <f t="shared" ref="F3387:F3393" si="223">E3387+F3363</f>
        <v>0</v>
      </c>
    </row>
    <row r="3388" spans="1:6" x14ac:dyDescent="0.25">
      <c r="A3388" s="5" t="s">
        <v>15</v>
      </c>
      <c r="B3388" s="2">
        <v>44034</v>
      </c>
      <c r="C3388" s="1">
        <v>73</v>
      </c>
      <c r="D3388" s="47">
        <v>3104</v>
      </c>
      <c r="E3388" s="1">
        <v>3</v>
      </c>
      <c r="F3388" s="47">
        <f t="shared" si="223"/>
        <v>125</v>
      </c>
    </row>
    <row r="3389" spans="1:6" x14ac:dyDescent="0.25">
      <c r="A3389" s="5" t="s">
        <v>29</v>
      </c>
      <c r="B3389" s="2">
        <v>44034</v>
      </c>
      <c r="C3389" s="1">
        <v>0</v>
      </c>
      <c r="D3389" s="47">
        <v>254</v>
      </c>
      <c r="F3389" s="47">
        <f t="shared" si="223"/>
        <v>3</v>
      </c>
    </row>
    <row r="3390" spans="1:6" x14ac:dyDescent="0.25">
      <c r="A3390" s="5" t="s">
        <v>43</v>
      </c>
      <c r="B3390" s="2">
        <v>44034</v>
      </c>
      <c r="C3390" s="1">
        <v>1390</v>
      </c>
      <c r="D3390" s="47">
        <v>49533</v>
      </c>
      <c r="E3390" s="1">
        <f>7+18+17</f>
        <v>42</v>
      </c>
      <c r="F3390" s="47">
        <f t="shared" si="223"/>
        <v>964</v>
      </c>
    </row>
    <row r="3391" spans="1:6" x14ac:dyDescent="0.25">
      <c r="A3391" s="5" t="s">
        <v>20</v>
      </c>
      <c r="B3391" s="2">
        <v>44034</v>
      </c>
      <c r="C3391" s="1">
        <v>87</v>
      </c>
      <c r="D3391" s="47">
        <v>1467</v>
      </c>
      <c r="F3391" s="47">
        <f t="shared" si="223"/>
        <v>38</v>
      </c>
    </row>
    <row r="3392" spans="1:6" x14ac:dyDescent="0.25">
      <c r="A3392" s="5" t="s">
        <v>30</v>
      </c>
      <c r="B3392" s="2">
        <v>44034</v>
      </c>
      <c r="C3392" s="1">
        <v>0</v>
      </c>
      <c r="D3392" s="47">
        <v>131</v>
      </c>
      <c r="F3392" s="47">
        <f t="shared" si="223"/>
        <v>1</v>
      </c>
    </row>
    <row r="3393" spans="1:6" x14ac:dyDescent="0.25">
      <c r="A3393" s="5" t="s">
        <v>31</v>
      </c>
      <c r="B3393" s="2">
        <v>44034</v>
      </c>
      <c r="C3393" s="1">
        <v>24</v>
      </c>
      <c r="D3393" s="47">
        <v>679</v>
      </c>
      <c r="F3393" s="47">
        <f t="shared" si="223"/>
        <v>6</v>
      </c>
    </row>
    <row r="3394" spans="1:6" x14ac:dyDescent="0.25">
      <c r="A3394" s="5" t="s">
        <v>41</v>
      </c>
      <c r="B3394" s="2">
        <v>44034</v>
      </c>
      <c r="C3394" s="1">
        <v>1</v>
      </c>
      <c r="D3394" s="47">
        <v>79</v>
      </c>
      <c r="F3394" s="47">
        <f>E3394+F3370</f>
        <v>0</v>
      </c>
    </row>
    <row r="3395" spans="1:6" x14ac:dyDescent="0.25">
      <c r="A3395" s="5" t="s">
        <v>32</v>
      </c>
      <c r="B3395" s="2">
        <v>44034</v>
      </c>
      <c r="C3395" s="1">
        <v>155</v>
      </c>
      <c r="D3395" s="47">
        <v>1033</v>
      </c>
      <c r="F3395" s="47">
        <f t="shared" ref="F3395:F3405" si="224">E3395+F3370</f>
        <v>0</v>
      </c>
    </row>
    <row r="3396" spans="1:6" x14ac:dyDescent="0.25">
      <c r="A3396" s="5" t="s">
        <v>33</v>
      </c>
      <c r="B3396" s="2">
        <v>44034</v>
      </c>
      <c r="C3396" s="1">
        <v>0</v>
      </c>
      <c r="D3396" s="47">
        <v>8</v>
      </c>
      <c r="F3396" s="47">
        <f t="shared" si="224"/>
        <v>30</v>
      </c>
    </row>
    <row r="3397" spans="1:6" x14ac:dyDescent="0.25">
      <c r="A3397" s="5" t="s">
        <v>21</v>
      </c>
      <c r="B3397" s="2">
        <v>44034</v>
      </c>
      <c r="C3397" s="1">
        <v>10</v>
      </c>
      <c r="D3397" s="47">
        <v>196</v>
      </c>
      <c r="F3397" s="47">
        <f t="shared" si="224"/>
        <v>0</v>
      </c>
    </row>
    <row r="3398" spans="1:6" x14ac:dyDescent="0.25">
      <c r="A3398" s="5" t="s">
        <v>17</v>
      </c>
      <c r="B3398" s="2">
        <v>44034</v>
      </c>
      <c r="C3398" s="1">
        <v>56</v>
      </c>
      <c r="D3398" s="47">
        <v>618</v>
      </c>
      <c r="E3398" s="1">
        <v>1</v>
      </c>
      <c r="F3398" s="47">
        <f t="shared" si="224"/>
        <v>1</v>
      </c>
    </row>
    <row r="3399" spans="1:6" x14ac:dyDescent="0.25">
      <c r="A3399" s="5" t="s">
        <v>23</v>
      </c>
      <c r="B3399" s="2">
        <v>44034</v>
      </c>
      <c r="C3399" s="1">
        <v>0</v>
      </c>
      <c r="D3399" s="47">
        <v>49</v>
      </c>
      <c r="F3399" s="47">
        <f t="shared" si="224"/>
        <v>0</v>
      </c>
    </row>
    <row r="3400" spans="1:6" x14ac:dyDescent="0.25">
      <c r="A3400" s="5" t="s">
        <v>19</v>
      </c>
      <c r="B3400" s="2">
        <v>44034</v>
      </c>
      <c r="C3400" s="1">
        <v>26</v>
      </c>
      <c r="D3400" s="47">
        <v>949</v>
      </c>
      <c r="F3400" s="47">
        <f t="shared" si="224"/>
        <v>1</v>
      </c>
    </row>
    <row r="3401" spans="1:6" x14ac:dyDescent="0.25">
      <c r="A3401" s="5" t="s">
        <v>18</v>
      </c>
      <c r="B3401" s="2">
        <v>44034</v>
      </c>
      <c r="C3401" s="1">
        <v>57</v>
      </c>
      <c r="D3401" s="47">
        <v>1432</v>
      </c>
      <c r="F3401" s="47">
        <f t="shared" si="224"/>
        <v>1</v>
      </c>
    </row>
    <row r="3402" spans="1:6" x14ac:dyDescent="0.25">
      <c r="A3402" s="5" t="s">
        <v>34</v>
      </c>
      <c r="B3402" s="2">
        <v>44034</v>
      </c>
      <c r="C3402" s="1">
        <v>19</v>
      </c>
      <c r="D3402" s="47">
        <v>200</v>
      </c>
      <c r="F3402" s="47">
        <f t="shared" si="224"/>
        <v>4</v>
      </c>
    </row>
    <row r="3403" spans="1:6" x14ac:dyDescent="0.25">
      <c r="A3403" s="5" t="s">
        <v>35</v>
      </c>
      <c r="B3403" s="2">
        <v>44034</v>
      </c>
      <c r="C3403" s="1">
        <v>1</v>
      </c>
      <c r="D3403" s="47">
        <v>17</v>
      </c>
      <c r="F3403" s="47">
        <f>E3403+F3379</f>
        <v>0</v>
      </c>
    </row>
    <row r="3404" spans="1:6" x14ac:dyDescent="0.25">
      <c r="A3404" s="5" t="s">
        <v>36</v>
      </c>
      <c r="B3404" s="2">
        <v>44034</v>
      </c>
      <c r="C3404" s="1">
        <v>2</v>
      </c>
      <c r="D3404" s="47">
        <v>17</v>
      </c>
      <c r="F3404" s="47">
        <f t="shared" si="224"/>
        <v>0</v>
      </c>
    </row>
    <row r="3405" spans="1:6" x14ac:dyDescent="0.25">
      <c r="A3405" s="5" t="s">
        <v>37</v>
      </c>
      <c r="B3405" s="2">
        <v>44034</v>
      </c>
      <c r="C3405" s="1">
        <v>17</v>
      </c>
      <c r="D3405" s="47">
        <v>239</v>
      </c>
      <c r="F3405" s="47">
        <f t="shared" si="224"/>
        <v>0</v>
      </c>
    </row>
    <row r="3406" spans="1:6" x14ac:dyDescent="0.25">
      <c r="A3406" s="5" t="s">
        <v>22</v>
      </c>
      <c r="B3406" s="2">
        <v>44034</v>
      </c>
      <c r="C3406" s="1">
        <v>49</v>
      </c>
      <c r="D3406" s="47">
        <v>802</v>
      </c>
      <c r="F3406" s="47">
        <f>E3406+F3382</f>
        <v>9</v>
      </c>
    </row>
    <row r="3407" spans="1:6" x14ac:dyDescent="0.25">
      <c r="A3407" s="5" t="s">
        <v>38</v>
      </c>
      <c r="B3407" s="2">
        <v>44034</v>
      </c>
      <c r="C3407" s="1">
        <v>1</v>
      </c>
      <c r="D3407" s="47">
        <v>40</v>
      </c>
      <c r="F3407" s="47">
        <f>E3407+F3383</f>
        <v>1</v>
      </c>
    </row>
    <row r="3408" spans="1:6" x14ac:dyDescent="0.25">
      <c r="A3408" s="5" t="s">
        <v>39</v>
      </c>
      <c r="B3408" s="2">
        <v>44034</v>
      </c>
      <c r="C3408" s="1">
        <v>10</v>
      </c>
      <c r="D3408" s="47">
        <v>259</v>
      </c>
      <c r="F3408" s="47">
        <f>E3408+F3384</f>
        <v>1</v>
      </c>
    </row>
    <row r="3409" spans="1:6" x14ac:dyDescent="0.25">
      <c r="A3409" s="5" t="s">
        <v>40</v>
      </c>
      <c r="B3409" s="2">
        <v>44034</v>
      </c>
      <c r="C3409" s="1">
        <v>2</v>
      </c>
      <c r="D3409" s="47">
        <v>106</v>
      </c>
      <c r="F3409" s="47">
        <f>E3409+F3385</f>
        <v>4</v>
      </c>
    </row>
    <row r="3410" spans="1:6" x14ac:dyDescent="0.25">
      <c r="A3410" s="34" t="s">
        <v>16</v>
      </c>
      <c r="B3410" s="2">
        <v>44035</v>
      </c>
      <c r="C3410" s="1">
        <v>4300</v>
      </c>
      <c r="D3410" s="47">
        <v>84916</v>
      </c>
      <c r="E3410" s="1">
        <f>4+6+30+29</f>
        <v>69</v>
      </c>
      <c r="F3410" s="47">
        <f>E3410+F3386</f>
        <v>1346</v>
      </c>
    </row>
    <row r="3411" spans="1:6" x14ac:dyDescent="0.25">
      <c r="A3411" s="5" t="s">
        <v>28</v>
      </c>
      <c r="B3411" s="2">
        <v>44035</v>
      </c>
      <c r="C3411" s="1">
        <v>0</v>
      </c>
      <c r="D3411" s="47">
        <v>60</v>
      </c>
      <c r="F3411" s="47">
        <f t="shared" ref="F3411:F3417" si="225">E3411+F3387</f>
        <v>0</v>
      </c>
    </row>
    <row r="3412" spans="1:6" x14ac:dyDescent="0.25">
      <c r="A3412" s="5" t="s">
        <v>15</v>
      </c>
      <c r="B3412" s="2">
        <v>44035</v>
      </c>
      <c r="C3412" s="1">
        <v>51</v>
      </c>
      <c r="D3412" s="47">
        <v>3155</v>
      </c>
      <c r="E3412" s="1">
        <v>3</v>
      </c>
      <c r="F3412" s="47">
        <f t="shared" si="225"/>
        <v>128</v>
      </c>
    </row>
    <row r="3413" spans="1:6" x14ac:dyDescent="0.25">
      <c r="A3413" s="5" t="s">
        <v>29</v>
      </c>
      <c r="B3413" s="2">
        <v>44035</v>
      </c>
      <c r="C3413" s="1">
        <v>1</v>
      </c>
      <c r="D3413" s="47">
        <v>255</v>
      </c>
      <c r="F3413" s="47">
        <f t="shared" si="225"/>
        <v>3</v>
      </c>
    </row>
    <row r="3414" spans="1:6" x14ac:dyDescent="0.25">
      <c r="A3414" s="5" t="s">
        <v>43</v>
      </c>
      <c r="B3414" s="2">
        <v>44035</v>
      </c>
      <c r="C3414" s="1">
        <v>1267</v>
      </c>
      <c r="D3414" s="47">
        <v>50800</v>
      </c>
      <c r="E3414" s="1">
        <f>9+8+9+13</f>
        <v>39</v>
      </c>
      <c r="F3414" s="47">
        <f t="shared" si="225"/>
        <v>1003</v>
      </c>
    </row>
    <row r="3415" spans="1:6" x14ac:dyDescent="0.25">
      <c r="A3415" s="5" t="s">
        <v>20</v>
      </c>
      <c r="B3415" s="2">
        <v>44035</v>
      </c>
      <c r="C3415" s="1">
        <v>102</v>
      </c>
      <c r="D3415" s="47">
        <v>1569</v>
      </c>
      <c r="F3415" s="47">
        <f t="shared" si="225"/>
        <v>38</v>
      </c>
    </row>
    <row r="3416" spans="1:6" x14ac:dyDescent="0.25">
      <c r="A3416" s="5" t="s">
        <v>30</v>
      </c>
      <c r="B3416" s="2">
        <v>44035</v>
      </c>
      <c r="C3416" s="1">
        <v>1</v>
      </c>
      <c r="D3416" s="47">
        <v>132</v>
      </c>
      <c r="F3416" s="47">
        <f t="shared" si="225"/>
        <v>1</v>
      </c>
    </row>
    <row r="3417" spans="1:6" x14ac:dyDescent="0.25">
      <c r="A3417" s="5" t="s">
        <v>31</v>
      </c>
      <c r="B3417" s="2">
        <v>44035</v>
      </c>
      <c r="C3417" s="1">
        <v>31</v>
      </c>
      <c r="D3417" s="47">
        <v>710</v>
      </c>
      <c r="F3417" s="47">
        <f t="shared" si="225"/>
        <v>6</v>
      </c>
    </row>
    <row r="3418" spans="1:6" x14ac:dyDescent="0.25">
      <c r="A3418" s="5" t="s">
        <v>41</v>
      </c>
      <c r="B3418" s="2">
        <v>44035</v>
      </c>
      <c r="C3418" s="1">
        <v>1</v>
      </c>
      <c r="D3418" s="47">
        <v>80</v>
      </c>
      <c r="F3418" s="47">
        <f>E3418+F3394</f>
        <v>0</v>
      </c>
    </row>
    <row r="3419" spans="1:6" x14ac:dyDescent="0.25">
      <c r="A3419" s="5" t="s">
        <v>32</v>
      </c>
      <c r="B3419" s="2">
        <v>44035</v>
      </c>
      <c r="C3419" s="1">
        <v>158</v>
      </c>
      <c r="D3419" s="47">
        <v>1191</v>
      </c>
      <c r="F3419" s="47">
        <f t="shared" ref="F3419:F3429" si="226">E3419+F3394</f>
        <v>0</v>
      </c>
    </row>
    <row r="3420" spans="1:6" x14ac:dyDescent="0.25">
      <c r="A3420" s="5" t="s">
        <v>33</v>
      </c>
      <c r="B3420" s="2">
        <v>44035</v>
      </c>
      <c r="C3420" s="1">
        <v>0</v>
      </c>
      <c r="D3420" s="47">
        <v>8</v>
      </c>
      <c r="F3420" s="47">
        <f t="shared" si="226"/>
        <v>0</v>
      </c>
    </row>
    <row r="3421" spans="1:6" x14ac:dyDescent="0.25">
      <c r="A3421" s="5" t="s">
        <v>21</v>
      </c>
      <c r="B3421" s="2">
        <v>44035</v>
      </c>
      <c r="C3421" s="1">
        <v>9</v>
      </c>
      <c r="D3421" s="47">
        <v>205</v>
      </c>
      <c r="F3421" s="47">
        <f t="shared" si="226"/>
        <v>30</v>
      </c>
    </row>
    <row r="3422" spans="1:6" x14ac:dyDescent="0.25">
      <c r="A3422" s="5" t="s">
        <v>17</v>
      </c>
      <c r="B3422" s="2">
        <v>44035</v>
      </c>
      <c r="C3422" s="1">
        <v>52</v>
      </c>
      <c r="D3422" s="47">
        <v>670</v>
      </c>
      <c r="E3422" s="1">
        <v>3</v>
      </c>
      <c r="F3422" s="47">
        <f t="shared" si="226"/>
        <v>3</v>
      </c>
    </row>
    <row r="3423" spans="1:6" x14ac:dyDescent="0.25">
      <c r="A3423" s="5" t="s">
        <v>23</v>
      </c>
      <c r="B3423" s="2">
        <v>44035</v>
      </c>
      <c r="C3423" s="1">
        <v>2</v>
      </c>
      <c r="D3423" s="47">
        <v>51</v>
      </c>
      <c r="F3423" s="47">
        <f t="shared" si="226"/>
        <v>1</v>
      </c>
    </row>
    <row r="3424" spans="1:6" x14ac:dyDescent="0.25">
      <c r="A3424" s="5" t="s">
        <v>19</v>
      </c>
      <c r="B3424" s="2">
        <v>44035</v>
      </c>
      <c r="C3424" s="1">
        <v>25</v>
      </c>
      <c r="D3424" s="47">
        <v>974</v>
      </c>
      <c r="F3424" s="47">
        <f t="shared" si="226"/>
        <v>0</v>
      </c>
    </row>
    <row r="3425" spans="1:6" x14ac:dyDescent="0.25">
      <c r="A3425" s="5" t="s">
        <v>18</v>
      </c>
      <c r="B3425" s="2">
        <v>44035</v>
      </c>
      <c r="C3425" s="1">
        <v>54</v>
      </c>
      <c r="D3425" s="47">
        <v>1486</v>
      </c>
      <c r="F3425" s="47">
        <f t="shared" si="226"/>
        <v>1</v>
      </c>
    </row>
    <row r="3426" spans="1:6" x14ac:dyDescent="0.25">
      <c r="A3426" s="5" t="s">
        <v>34</v>
      </c>
      <c r="B3426" s="2">
        <v>44035</v>
      </c>
      <c r="C3426" s="1">
        <v>1</v>
      </c>
      <c r="D3426" s="47">
        <v>201</v>
      </c>
      <c r="F3426" s="47">
        <f t="shared" si="226"/>
        <v>1</v>
      </c>
    </row>
    <row r="3427" spans="1:6" x14ac:dyDescent="0.25">
      <c r="A3427" s="5" t="s">
        <v>35</v>
      </c>
      <c r="B3427" s="2">
        <v>44035</v>
      </c>
      <c r="C3427" s="1">
        <v>2</v>
      </c>
      <c r="D3427" s="47">
        <v>19</v>
      </c>
      <c r="F3427" s="47">
        <f>E3427+F3403</f>
        <v>0</v>
      </c>
    </row>
    <row r="3428" spans="1:6" x14ac:dyDescent="0.25">
      <c r="A3428" s="5" t="s">
        <v>36</v>
      </c>
      <c r="B3428" s="2">
        <v>44035</v>
      </c>
      <c r="C3428" s="1">
        <v>1</v>
      </c>
      <c r="D3428" s="47">
        <v>18</v>
      </c>
      <c r="F3428" s="47">
        <f t="shared" si="226"/>
        <v>0</v>
      </c>
    </row>
    <row r="3429" spans="1:6" x14ac:dyDescent="0.25">
      <c r="A3429" s="5" t="s">
        <v>37</v>
      </c>
      <c r="B3429" s="2">
        <v>44035</v>
      </c>
      <c r="C3429" s="1">
        <v>24</v>
      </c>
      <c r="D3429" s="47">
        <v>263</v>
      </c>
      <c r="F3429" s="47">
        <f t="shared" si="226"/>
        <v>0</v>
      </c>
    </row>
    <row r="3430" spans="1:6" x14ac:dyDescent="0.25">
      <c r="A3430" s="5" t="s">
        <v>22</v>
      </c>
      <c r="B3430" s="2">
        <v>44035</v>
      </c>
      <c r="C3430" s="1">
        <v>34</v>
      </c>
      <c r="D3430" s="47">
        <v>836</v>
      </c>
      <c r="F3430" s="47">
        <f>E3430+F3406</f>
        <v>9</v>
      </c>
    </row>
    <row r="3431" spans="1:6" x14ac:dyDescent="0.25">
      <c r="A3431" s="5" t="s">
        <v>38</v>
      </c>
      <c r="B3431" s="2">
        <v>44035</v>
      </c>
      <c r="C3431" s="1">
        <v>4</v>
      </c>
      <c r="D3431" s="47">
        <v>44</v>
      </c>
      <c r="F3431" s="47">
        <f>E3431+F3407</f>
        <v>1</v>
      </c>
    </row>
    <row r="3432" spans="1:6" x14ac:dyDescent="0.25">
      <c r="A3432" s="5" t="s">
        <v>39</v>
      </c>
      <c r="B3432" s="2">
        <v>44035</v>
      </c>
      <c r="C3432" s="1">
        <v>4</v>
      </c>
      <c r="D3432" s="47">
        <v>263</v>
      </c>
      <c r="F3432" s="47">
        <f>E3432+F3408</f>
        <v>1</v>
      </c>
    </row>
    <row r="3433" spans="1:6" x14ac:dyDescent="0.25">
      <c r="A3433" s="5" t="s">
        <v>40</v>
      </c>
      <c r="B3433" s="2">
        <v>44035</v>
      </c>
      <c r="C3433" s="1">
        <v>0</v>
      </c>
      <c r="D3433" s="47">
        <v>106</v>
      </c>
      <c r="F3433" s="47">
        <f>E3433+F3409</f>
        <v>4</v>
      </c>
    </row>
    <row r="3434" spans="1:6" x14ac:dyDescent="0.25">
      <c r="A3434" s="34" t="s">
        <v>16</v>
      </c>
      <c r="B3434" s="2">
        <v>44036</v>
      </c>
      <c r="C3434" s="1">
        <v>3790</v>
      </c>
      <c r="D3434" s="47">
        <v>88706</v>
      </c>
      <c r="E3434" s="1">
        <f>12+32+36</f>
        <v>80</v>
      </c>
      <c r="F3434" s="47">
        <f>E3434+F3410</f>
        <v>1426</v>
      </c>
    </row>
    <row r="3435" spans="1:6" x14ac:dyDescent="0.25">
      <c r="A3435" s="5" t="s">
        <v>28</v>
      </c>
      <c r="B3435" s="2">
        <v>44036</v>
      </c>
      <c r="C3435" s="1">
        <v>0</v>
      </c>
      <c r="D3435" s="47">
        <v>60</v>
      </c>
      <c r="F3435" s="47">
        <f t="shared" ref="F3435:F3441" si="227">E3435+F3411</f>
        <v>0</v>
      </c>
    </row>
    <row r="3436" spans="1:6" x14ac:dyDescent="0.25">
      <c r="A3436" s="5" t="s">
        <v>15</v>
      </c>
      <c r="B3436" s="2">
        <v>44036</v>
      </c>
      <c r="C3436" s="1">
        <v>63</v>
      </c>
      <c r="D3436" s="47">
        <v>3218</v>
      </c>
      <c r="E3436" s="1">
        <v>3</v>
      </c>
      <c r="F3436" s="47">
        <f>E3436+F3412</f>
        <v>131</v>
      </c>
    </row>
    <row r="3437" spans="1:6" x14ac:dyDescent="0.25">
      <c r="A3437" s="5" t="s">
        <v>29</v>
      </c>
      <c r="B3437" s="2">
        <v>44036</v>
      </c>
      <c r="C3437" s="1">
        <v>6</v>
      </c>
      <c r="D3437" s="47">
        <v>261</v>
      </c>
      <c r="F3437" s="47">
        <f t="shared" si="227"/>
        <v>3</v>
      </c>
    </row>
    <row r="3438" spans="1:6" x14ac:dyDescent="0.25">
      <c r="A3438" s="5" t="s">
        <v>43</v>
      </c>
      <c r="B3438" s="2">
        <v>44036</v>
      </c>
      <c r="C3438" s="1">
        <v>1157</v>
      </c>
      <c r="D3438" s="47">
        <v>51957</v>
      </c>
      <c r="E3438" s="1">
        <f>4+8+7</f>
        <v>19</v>
      </c>
      <c r="F3438" s="47">
        <f t="shared" si="227"/>
        <v>1022</v>
      </c>
    </row>
    <row r="3439" spans="1:6" x14ac:dyDescent="0.25">
      <c r="A3439" s="5" t="s">
        <v>20</v>
      </c>
      <c r="B3439" s="2">
        <v>44036</v>
      </c>
      <c r="C3439" s="1">
        <v>56</v>
      </c>
      <c r="D3439" s="47">
        <v>1625</v>
      </c>
      <c r="E3439" s="1">
        <v>1</v>
      </c>
      <c r="F3439" s="47">
        <f t="shared" si="227"/>
        <v>39</v>
      </c>
    </row>
    <row r="3440" spans="1:6" x14ac:dyDescent="0.25">
      <c r="A3440" s="5" t="s">
        <v>30</v>
      </c>
      <c r="B3440" s="2">
        <v>44036</v>
      </c>
      <c r="C3440" s="1">
        <v>0</v>
      </c>
      <c r="D3440" s="47">
        <v>132</v>
      </c>
      <c r="F3440" s="47">
        <f t="shared" si="227"/>
        <v>1</v>
      </c>
    </row>
    <row r="3441" spans="1:6" x14ac:dyDescent="0.25">
      <c r="A3441" s="5" t="s">
        <v>31</v>
      </c>
      <c r="B3441" s="2">
        <v>44036</v>
      </c>
      <c r="C3441" s="1">
        <v>11</v>
      </c>
      <c r="D3441" s="47">
        <v>721</v>
      </c>
      <c r="F3441" s="47">
        <f t="shared" si="227"/>
        <v>6</v>
      </c>
    </row>
    <row r="3442" spans="1:6" x14ac:dyDescent="0.25">
      <c r="A3442" s="5" t="s">
        <v>41</v>
      </c>
      <c r="B3442" s="2">
        <v>44036</v>
      </c>
      <c r="C3442" s="1">
        <v>1</v>
      </c>
      <c r="D3442" s="47">
        <v>81</v>
      </c>
      <c r="F3442" s="47">
        <f>E3442+F3418</f>
        <v>0</v>
      </c>
    </row>
    <row r="3443" spans="1:6" x14ac:dyDescent="0.25">
      <c r="A3443" s="5" t="s">
        <v>32</v>
      </c>
      <c r="B3443" s="2">
        <v>44036</v>
      </c>
      <c r="C3443" s="1">
        <v>155</v>
      </c>
      <c r="D3443" s="47">
        <v>1346</v>
      </c>
      <c r="F3443" s="47">
        <f t="shared" ref="F3443:F3453" si="228">E3443+F3418</f>
        <v>0</v>
      </c>
    </row>
    <row r="3444" spans="1:6" x14ac:dyDescent="0.25">
      <c r="A3444" s="5" t="s">
        <v>33</v>
      </c>
      <c r="B3444" s="2">
        <v>44036</v>
      </c>
      <c r="C3444" s="1">
        <v>0</v>
      </c>
      <c r="D3444" s="47">
        <v>8</v>
      </c>
      <c r="F3444" s="47">
        <f t="shared" si="228"/>
        <v>0</v>
      </c>
    </row>
    <row r="3445" spans="1:6" x14ac:dyDescent="0.25">
      <c r="A3445" s="5" t="s">
        <v>21</v>
      </c>
      <c r="B3445" s="2">
        <v>44036</v>
      </c>
      <c r="C3445" s="1">
        <v>10</v>
      </c>
      <c r="D3445" s="47">
        <v>215</v>
      </c>
      <c r="F3445" s="47">
        <f t="shared" si="228"/>
        <v>0</v>
      </c>
    </row>
    <row r="3446" spans="1:6" x14ac:dyDescent="0.25">
      <c r="A3446" s="5" t="s">
        <v>17</v>
      </c>
      <c r="B3446" s="2">
        <v>44036</v>
      </c>
      <c r="C3446" s="1">
        <v>56</v>
      </c>
      <c r="D3446" s="47">
        <v>726</v>
      </c>
      <c r="E3446" s="1">
        <v>1</v>
      </c>
      <c r="F3446" s="47">
        <f t="shared" si="228"/>
        <v>31</v>
      </c>
    </row>
    <row r="3447" spans="1:6" x14ac:dyDescent="0.25">
      <c r="A3447" s="5" t="s">
        <v>23</v>
      </c>
      <c r="B3447" s="2">
        <v>44036</v>
      </c>
      <c r="C3447" s="1">
        <v>1</v>
      </c>
      <c r="D3447" s="47">
        <v>52</v>
      </c>
      <c r="F3447" s="47">
        <f t="shared" si="228"/>
        <v>3</v>
      </c>
    </row>
    <row r="3448" spans="1:6" x14ac:dyDescent="0.25">
      <c r="A3448" s="5" t="s">
        <v>19</v>
      </c>
      <c r="B3448" s="2">
        <v>44036</v>
      </c>
      <c r="C3448" s="1">
        <v>18</v>
      </c>
      <c r="D3448" s="47">
        <v>992</v>
      </c>
      <c r="F3448" s="47">
        <f t="shared" si="228"/>
        <v>1</v>
      </c>
    </row>
    <row r="3449" spans="1:6" x14ac:dyDescent="0.25">
      <c r="A3449" s="5" t="s">
        <v>18</v>
      </c>
      <c r="B3449" s="2">
        <v>44036</v>
      </c>
      <c r="C3449" s="1">
        <v>40</v>
      </c>
      <c r="D3449" s="47">
        <v>1526</v>
      </c>
      <c r="E3449" s="1">
        <v>1</v>
      </c>
      <c r="F3449" s="47">
        <f t="shared" si="228"/>
        <v>1</v>
      </c>
    </row>
    <row r="3450" spans="1:6" x14ac:dyDescent="0.25">
      <c r="A3450" s="5" t="s">
        <v>34</v>
      </c>
      <c r="B3450" s="2">
        <v>44036</v>
      </c>
      <c r="C3450" s="1">
        <v>13</v>
      </c>
      <c r="D3450" s="47">
        <v>214</v>
      </c>
      <c r="F3450" s="47">
        <f t="shared" si="228"/>
        <v>1</v>
      </c>
    </row>
    <row r="3451" spans="1:6" x14ac:dyDescent="0.25">
      <c r="A3451" s="5" t="s">
        <v>35</v>
      </c>
      <c r="B3451" s="2">
        <v>44036</v>
      </c>
      <c r="C3451" s="1">
        <v>0</v>
      </c>
      <c r="D3451" s="47">
        <v>19</v>
      </c>
      <c r="F3451" s="47">
        <f>E3451+F3427</f>
        <v>0</v>
      </c>
    </row>
    <row r="3452" spans="1:6" x14ac:dyDescent="0.25">
      <c r="A3452" s="5" t="s">
        <v>36</v>
      </c>
      <c r="B3452" s="2">
        <v>44036</v>
      </c>
      <c r="C3452" s="1">
        <v>1</v>
      </c>
      <c r="D3452" s="47">
        <v>19</v>
      </c>
      <c r="F3452" s="47">
        <f t="shared" si="228"/>
        <v>0</v>
      </c>
    </row>
    <row r="3453" spans="1:6" x14ac:dyDescent="0.25">
      <c r="A3453" s="5" t="s">
        <v>37</v>
      </c>
      <c r="B3453" s="2">
        <v>44036</v>
      </c>
      <c r="C3453" s="1">
        <v>38</v>
      </c>
      <c r="D3453" s="47">
        <v>301</v>
      </c>
      <c r="F3453" s="47">
        <f t="shared" si="228"/>
        <v>0</v>
      </c>
    </row>
    <row r="3454" spans="1:6" x14ac:dyDescent="0.25">
      <c r="A3454" s="5" t="s">
        <v>22</v>
      </c>
      <c r="B3454" s="2">
        <v>44036</v>
      </c>
      <c r="C3454" s="1">
        <v>32</v>
      </c>
      <c r="D3454" s="47">
        <v>868</v>
      </c>
      <c r="F3454" s="47">
        <f>E3454+F3430</f>
        <v>9</v>
      </c>
    </row>
    <row r="3455" spans="1:6" x14ac:dyDescent="0.25">
      <c r="A3455" s="5" t="s">
        <v>38</v>
      </c>
      <c r="B3455" s="2">
        <v>44036</v>
      </c>
      <c r="C3455" s="1">
        <v>2</v>
      </c>
      <c r="D3455" s="47">
        <v>46</v>
      </c>
      <c r="F3455" s="47">
        <f>E3455+F3431</f>
        <v>1</v>
      </c>
    </row>
    <row r="3456" spans="1:6" x14ac:dyDescent="0.25">
      <c r="A3456" s="5" t="s">
        <v>39</v>
      </c>
      <c r="B3456" s="2">
        <v>44036</v>
      </c>
      <c r="C3456" s="1">
        <v>37</v>
      </c>
      <c r="D3456" s="47">
        <v>300</v>
      </c>
      <c r="F3456" s="47">
        <f>E3456+F3432</f>
        <v>1</v>
      </c>
    </row>
    <row r="3457" spans="1:6" x14ac:dyDescent="0.25">
      <c r="A3457" s="5" t="s">
        <v>40</v>
      </c>
      <c r="B3457" s="2">
        <v>44036</v>
      </c>
      <c r="C3457" s="1">
        <v>4</v>
      </c>
      <c r="D3457" s="47">
        <v>110</v>
      </c>
      <c r="F3457" s="47">
        <f>E3457+F3433</f>
        <v>4</v>
      </c>
    </row>
    <row r="3458" spans="1:6" x14ac:dyDescent="0.25">
      <c r="A3458" s="34" t="s">
        <v>16</v>
      </c>
      <c r="B3458" s="2">
        <v>44037</v>
      </c>
      <c r="C3458" s="1">
        <v>3250</v>
      </c>
      <c r="D3458" s="47">
        <v>91956</v>
      </c>
      <c r="E3458" s="1">
        <f>34+18+22</f>
        <v>74</v>
      </c>
      <c r="F3458" s="47">
        <f>E3458+F3434</f>
        <v>1500</v>
      </c>
    </row>
    <row r="3459" spans="1:6" x14ac:dyDescent="0.25">
      <c r="A3459" s="5" t="s">
        <v>28</v>
      </c>
      <c r="B3459" s="2">
        <v>44037</v>
      </c>
      <c r="C3459" s="1">
        <v>0</v>
      </c>
      <c r="D3459" s="47">
        <v>60</v>
      </c>
      <c r="F3459" s="47">
        <f t="shared" ref="F3459:F3465" si="229">E3459+F3435</f>
        <v>0</v>
      </c>
    </row>
    <row r="3460" spans="1:6" x14ac:dyDescent="0.25">
      <c r="A3460" s="5" t="s">
        <v>15</v>
      </c>
      <c r="B3460" s="2">
        <v>44037</v>
      </c>
      <c r="C3460" s="1">
        <v>42</v>
      </c>
      <c r="D3460" s="47">
        <v>3260</v>
      </c>
      <c r="E3460" s="1">
        <v>2</v>
      </c>
      <c r="F3460" s="47">
        <f t="shared" si="229"/>
        <v>133</v>
      </c>
    </row>
    <row r="3461" spans="1:6" x14ac:dyDescent="0.25">
      <c r="A3461" s="5" t="s">
        <v>29</v>
      </c>
      <c r="B3461" s="2">
        <v>44037</v>
      </c>
      <c r="C3461" s="1">
        <v>2</v>
      </c>
      <c r="D3461" s="47">
        <v>263</v>
      </c>
      <c r="F3461" s="47">
        <f t="shared" si="229"/>
        <v>3</v>
      </c>
    </row>
    <row r="3462" spans="1:6" x14ac:dyDescent="0.25">
      <c r="A3462" s="5" t="s">
        <v>43</v>
      </c>
      <c r="B3462" s="2">
        <v>44037</v>
      </c>
      <c r="C3462" s="1">
        <v>1121</v>
      </c>
      <c r="D3462" s="47">
        <v>53078</v>
      </c>
      <c r="E3462" s="1">
        <v>8</v>
      </c>
      <c r="F3462" s="47">
        <f t="shared" si="229"/>
        <v>1030</v>
      </c>
    </row>
    <row r="3463" spans="1:6" x14ac:dyDescent="0.25">
      <c r="A3463" s="5" t="s">
        <v>20</v>
      </c>
      <c r="B3463" s="2">
        <v>44037</v>
      </c>
      <c r="C3463" s="1">
        <v>70</v>
      </c>
      <c r="D3463" s="47">
        <v>1695</v>
      </c>
      <c r="F3463" s="47">
        <f t="shared" si="229"/>
        <v>39</v>
      </c>
    </row>
    <row r="3464" spans="1:6" x14ac:dyDescent="0.25">
      <c r="A3464" s="5" t="s">
        <v>30</v>
      </c>
      <c r="B3464" s="2">
        <v>44037</v>
      </c>
      <c r="C3464" s="1">
        <v>5</v>
      </c>
      <c r="D3464" s="47">
        <v>137</v>
      </c>
      <c r="F3464" s="47">
        <f t="shared" si="229"/>
        <v>1</v>
      </c>
    </row>
    <row r="3465" spans="1:6" x14ac:dyDescent="0.25">
      <c r="A3465" s="5" t="s">
        <v>31</v>
      </c>
      <c r="B3465" s="2">
        <v>44037</v>
      </c>
      <c r="C3465" s="1">
        <v>18</v>
      </c>
      <c r="D3465" s="47">
        <v>739</v>
      </c>
      <c r="F3465" s="47">
        <f t="shared" si="229"/>
        <v>6</v>
      </c>
    </row>
    <row r="3466" spans="1:6" x14ac:dyDescent="0.25">
      <c r="A3466" s="5" t="s">
        <v>41</v>
      </c>
      <c r="B3466" s="2">
        <v>44037</v>
      </c>
      <c r="C3466" s="1">
        <v>0</v>
      </c>
      <c r="D3466" s="47">
        <v>81</v>
      </c>
      <c r="F3466" s="47">
        <f>E3466+F3442</f>
        <v>0</v>
      </c>
    </row>
    <row r="3467" spans="1:6" x14ac:dyDescent="0.25">
      <c r="A3467" s="5" t="s">
        <v>32</v>
      </c>
      <c r="B3467" s="2">
        <v>44037</v>
      </c>
      <c r="C3467" s="1">
        <v>36</v>
      </c>
      <c r="D3467" s="47">
        <v>1382</v>
      </c>
      <c r="F3467" s="47">
        <f t="shared" ref="F3467:F3477" si="230">E3467+F3442</f>
        <v>0</v>
      </c>
    </row>
    <row r="3468" spans="1:6" x14ac:dyDescent="0.25">
      <c r="A3468" s="5" t="s">
        <v>33</v>
      </c>
      <c r="B3468" s="2">
        <v>44037</v>
      </c>
      <c r="C3468" s="1">
        <v>25</v>
      </c>
      <c r="D3468" s="47">
        <v>33</v>
      </c>
      <c r="F3468" s="47">
        <f t="shared" si="230"/>
        <v>0</v>
      </c>
    </row>
    <row r="3469" spans="1:6" x14ac:dyDescent="0.25">
      <c r="A3469" s="5" t="s">
        <v>21</v>
      </c>
      <c r="B3469" s="2">
        <v>44037</v>
      </c>
      <c r="C3469" s="1">
        <v>15</v>
      </c>
      <c r="D3469" s="47">
        <v>230</v>
      </c>
      <c r="F3469" s="47">
        <f t="shared" si="230"/>
        <v>0</v>
      </c>
    </row>
    <row r="3470" spans="1:6" x14ac:dyDescent="0.25">
      <c r="A3470" s="5" t="s">
        <v>17</v>
      </c>
      <c r="B3470" s="2">
        <v>44037</v>
      </c>
      <c r="C3470" s="1">
        <v>60</v>
      </c>
      <c r="D3470" s="47">
        <v>786</v>
      </c>
      <c r="F3470" s="47">
        <f t="shared" si="230"/>
        <v>0</v>
      </c>
    </row>
    <row r="3471" spans="1:6" x14ac:dyDescent="0.25">
      <c r="A3471" s="5" t="s">
        <v>23</v>
      </c>
      <c r="B3471" s="2">
        <v>44037</v>
      </c>
      <c r="C3471" s="1">
        <v>3</v>
      </c>
      <c r="D3471" s="47">
        <v>55</v>
      </c>
      <c r="F3471" s="47">
        <f t="shared" si="230"/>
        <v>31</v>
      </c>
    </row>
    <row r="3472" spans="1:6" x14ac:dyDescent="0.25">
      <c r="A3472" s="5" t="s">
        <v>19</v>
      </c>
      <c r="B3472" s="2">
        <v>44037</v>
      </c>
      <c r="C3472" s="1">
        <v>25</v>
      </c>
      <c r="D3472" s="47">
        <v>1017</v>
      </c>
      <c r="E3472" s="1">
        <v>1</v>
      </c>
      <c r="F3472" s="47">
        <f t="shared" si="230"/>
        <v>4</v>
      </c>
    </row>
    <row r="3473" spans="1:6" x14ac:dyDescent="0.25">
      <c r="A3473" s="5" t="s">
        <v>18</v>
      </c>
      <c r="B3473" s="2">
        <v>44037</v>
      </c>
      <c r="C3473" s="1">
        <v>28</v>
      </c>
      <c r="D3473" s="47">
        <v>1554</v>
      </c>
      <c r="F3473" s="47">
        <f t="shared" si="230"/>
        <v>1</v>
      </c>
    </row>
    <row r="3474" spans="1:6" x14ac:dyDescent="0.25">
      <c r="A3474" s="5" t="s">
        <v>34</v>
      </c>
      <c r="B3474" s="2">
        <v>44037</v>
      </c>
      <c r="C3474" s="1">
        <v>29</v>
      </c>
      <c r="D3474" s="47">
        <v>243</v>
      </c>
      <c r="F3474" s="47">
        <f t="shared" si="230"/>
        <v>1</v>
      </c>
    </row>
    <row r="3475" spans="1:6" x14ac:dyDescent="0.25">
      <c r="A3475" s="5" t="s">
        <v>35</v>
      </c>
      <c r="B3475" s="2">
        <v>44037</v>
      </c>
      <c r="C3475" s="1">
        <v>0</v>
      </c>
      <c r="D3475" s="47">
        <v>19</v>
      </c>
      <c r="F3475" s="47">
        <f>E3475+F3451</f>
        <v>0</v>
      </c>
    </row>
    <row r="3476" spans="1:6" x14ac:dyDescent="0.25">
      <c r="A3476" s="5" t="s">
        <v>36</v>
      </c>
      <c r="B3476" s="2">
        <v>44037</v>
      </c>
      <c r="C3476" s="1">
        <v>0</v>
      </c>
      <c r="D3476" s="47">
        <v>19</v>
      </c>
      <c r="F3476" s="47">
        <f t="shared" si="230"/>
        <v>0</v>
      </c>
    </row>
    <row r="3477" spans="1:6" x14ac:dyDescent="0.25">
      <c r="A3477" s="5" t="s">
        <v>37</v>
      </c>
      <c r="B3477" s="2">
        <v>44037</v>
      </c>
      <c r="C3477" s="1">
        <v>8</v>
      </c>
      <c r="D3477" s="47">
        <v>309</v>
      </c>
      <c r="E3477" s="1">
        <v>1</v>
      </c>
      <c r="F3477" s="47">
        <f t="shared" si="230"/>
        <v>1</v>
      </c>
    </row>
    <row r="3478" spans="1:6" x14ac:dyDescent="0.25">
      <c r="A3478" s="5" t="s">
        <v>22</v>
      </c>
      <c r="B3478" s="2">
        <v>44037</v>
      </c>
      <c r="C3478" s="1">
        <v>30</v>
      </c>
      <c r="D3478" s="47">
        <v>898</v>
      </c>
      <c r="F3478" s="47">
        <f>E3478+F3454</f>
        <v>9</v>
      </c>
    </row>
    <row r="3479" spans="1:6" x14ac:dyDescent="0.25">
      <c r="A3479" s="5" t="s">
        <v>38</v>
      </c>
      <c r="B3479" s="2">
        <v>44037</v>
      </c>
      <c r="C3479" s="1">
        <v>3</v>
      </c>
      <c r="D3479" s="47">
        <v>49</v>
      </c>
      <c r="F3479" s="47">
        <f>E3479+F3455</f>
        <v>1</v>
      </c>
    </row>
    <row r="3480" spans="1:6" x14ac:dyDescent="0.25">
      <c r="A3480" s="5" t="s">
        <v>39</v>
      </c>
      <c r="B3480" s="2">
        <v>44037</v>
      </c>
      <c r="C3480" s="1">
        <v>36</v>
      </c>
      <c r="D3480" s="47">
        <v>336</v>
      </c>
      <c r="F3480" s="47">
        <f>E3480+F3456</f>
        <v>1</v>
      </c>
    </row>
    <row r="3481" spans="1:6" x14ac:dyDescent="0.25">
      <c r="A3481" s="5" t="s">
        <v>40</v>
      </c>
      <c r="B3481" s="2">
        <v>44037</v>
      </c>
      <c r="C3481" s="1">
        <v>8</v>
      </c>
      <c r="D3481" s="47">
        <v>118</v>
      </c>
      <c r="F3481" s="47">
        <f>E3481+F3457</f>
        <v>4</v>
      </c>
    </row>
    <row r="3482" spans="1:6" x14ac:dyDescent="0.25">
      <c r="A3482" s="34" t="s">
        <v>16</v>
      </c>
      <c r="B3482" s="2">
        <v>44038</v>
      </c>
      <c r="C3482" s="1">
        <v>2917</v>
      </c>
      <c r="D3482" s="47">
        <v>94873</v>
      </c>
      <c r="E3482" s="1">
        <v>29</v>
      </c>
      <c r="F3482" s="47">
        <f>E3482+F3458</f>
        <v>1529</v>
      </c>
    </row>
    <row r="3483" spans="1:6" x14ac:dyDescent="0.25">
      <c r="A3483" s="5" t="s">
        <v>28</v>
      </c>
      <c r="B3483" s="2">
        <v>44038</v>
      </c>
      <c r="C3483" s="1">
        <v>0</v>
      </c>
      <c r="D3483" s="47">
        <v>60</v>
      </c>
      <c r="F3483" s="47">
        <f t="shared" ref="F3483:F3489" si="231">E3483+F3459</f>
        <v>0</v>
      </c>
    </row>
    <row r="3484" spans="1:6" x14ac:dyDescent="0.25">
      <c r="A3484" s="5" t="s">
        <v>15</v>
      </c>
      <c r="B3484" s="2">
        <v>44038</v>
      </c>
      <c r="C3484" s="1">
        <v>66</v>
      </c>
      <c r="D3484" s="47">
        <v>3326</v>
      </c>
      <c r="F3484" s="47">
        <f t="shared" si="231"/>
        <v>133</v>
      </c>
    </row>
    <row r="3485" spans="1:6" x14ac:dyDescent="0.25">
      <c r="A3485" s="5" t="s">
        <v>29</v>
      </c>
      <c r="B3485" s="2">
        <v>44038</v>
      </c>
      <c r="C3485" s="1">
        <v>2</v>
      </c>
      <c r="D3485" s="47">
        <v>265</v>
      </c>
      <c r="F3485" s="47">
        <f t="shared" si="231"/>
        <v>3</v>
      </c>
    </row>
    <row r="3486" spans="1:6" x14ac:dyDescent="0.25">
      <c r="A3486" s="5" t="s">
        <v>43</v>
      </c>
      <c r="B3486" s="2">
        <v>44038</v>
      </c>
      <c r="C3486" s="1">
        <v>888</v>
      </c>
      <c r="D3486" s="47">
        <v>53966</v>
      </c>
      <c r="E3486" s="1">
        <v>12</v>
      </c>
      <c r="F3486" s="47">
        <f t="shared" si="231"/>
        <v>1042</v>
      </c>
    </row>
    <row r="3487" spans="1:6" x14ac:dyDescent="0.25">
      <c r="A3487" s="5" t="s">
        <v>20</v>
      </c>
      <c r="B3487" s="2">
        <v>44038</v>
      </c>
      <c r="C3487" s="1">
        <v>80</v>
      </c>
      <c r="D3487" s="47">
        <v>1775</v>
      </c>
      <c r="E3487" s="1">
        <v>1</v>
      </c>
      <c r="F3487" s="47">
        <f t="shared" si="231"/>
        <v>40</v>
      </c>
    </row>
    <row r="3488" spans="1:6" x14ac:dyDescent="0.25">
      <c r="A3488" s="5" t="s">
        <v>30</v>
      </c>
      <c r="B3488" s="2">
        <v>44038</v>
      </c>
      <c r="C3488" s="1">
        <v>2</v>
      </c>
      <c r="D3488" s="47">
        <v>139</v>
      </c>
      <c r="F3488" s="47">
        <f t="shared" si="231"/>
        <v>1</v>
      </c>
    </row>
    <row r="3489" spans="1:6" x14ac:dyDescent="0.25">
      <c r="A3489" s="5" t="s">
        <v>31</v>
      </c>
      <c r="B3489" s="2">
        <v>44038</v>
      </c>
      <c r="C3489" s="1">
        <v>21</v>
      </c>
      <c r="D3489" s="47">
        <v>760</v>
      </c>
      <c r="F3489" s="47">
        <f t="shared" si="231"/>
        <v>6</v>
      </c>
    </row>
    <row r="3490" spans="1:6" x14ac:dyDescent="0.25">
      <c r="A3490" s="5" t="s">
        <v>41</v>
      </c>
      <c r="B3490" s="2">
        <v>44038</v>
      </c>
      <c r="C3490" s="1">
        <v>0</v>
      </c>
      <c r="D3490" s="47">
        <v>81</v>
      </c>
      <c r="F3490" s="47">
        <f>E3490+F3466</f>
        <v>0</v>
      </c>
    </row>
    <row r="3491" spans="1:6" x14ac:dyDescent="0.25">
      <c r="A3491" s="5" t="s">
        <v>32</v>
      </c>
      <c r="B3491" s="2">
        <v>44038</v>
      </c>
      <c r="C3491" s="1">
        <v>46</v>
      </c>
      <c r="D3491" s="47">
        <v>1428</v>
      </c>
      <c r="F3491" s="47">
        <f t="shared" ref="F3491:F3501" si="232">E3491+F3466</f>
        <v>0</v>
      </c>
    </row>
    <row r="3492" spans="1:6" x14ac:dyDescent="0.25">
      <c r="A3492" s="5" t="s">
        <v>33</v>
      </c>
      <c r="B3492" s="2">
        <v>44038</v>
      </c>
      <c r="C3492" s="1">
        <v>7</v>
      </c>
      <c r="D3492" s="47">
        <v>40</v>
      </c>
      <c r="F3492" s="47">
        <f t="shared" si="232"/>
        <v>0</v>
      </c>
    </row>
    <row r="3493" spans="1:6" x14ac:dyDescent="0.25">
      <c r="A3493" s="5" t="s">
        <v>21</v>
      </c>
      <c r="B3493" s="2">
        <v>44038</v>
      </c>
      <c r="C3493" s="1">
        <v>9</v>
      </c>
      <c r="D3493" s="47">
        <v>239</v>
      </c>
      <c r="F3493" s="47">
        <f t="shared" si="232"/>
        <v>0</v>
      </c>
    </row>
    <row r="3494" spans="1:6" x14ac:dyDescent="0.25">
      <c r="A3494" s="5" t="s">
        <v>17</v>
      </c>
      <c r="B3494" s="2">
        <v>44038</v>
      </c>
      <c r="C3494" s="1">
        <v>31</v>
      </c>
      <c r="D3494" s="47">
        <v>817</v>
      </c>
      <c r="E3494" s="1">
        <v>3</v>
      </c>
      <c r="F3494" s="47">
        <f t="shared" si="232"/>
        <v>3</v>
      </c>
    </row>
    <row r="3495" spans="1:6" x14ac:dyDescent="0.25">
      <c r="A3495" s="5" t="s">
        <v>23</v>
      </c>
      <c r="B3495" s="2">
        <v>44038</v>
      </c>
      <c r="C3495" s="1">
        <v>2</v>
      </c>
      <c r="D3495" s="47">
        <v>57</v>
      </c>
      <c r="F3495" s="47">
        <f t="shared" si="232"/>
        <v>0</v>
      </c>
    </row>
    <row r="3496" spans="1:6" x14ac:dyDescent="0.25">
      <c r="A3496" s="5" t="s">
        <v>19</v>
      </c>
      <c r="B3496" s="2">
        <v>44038</v>
      </c>
      <c r="C3496" s="1">
        <v>25</v>
      </c>
      <c r="D3496" s="47">
        <v>1042</v>
      </c>
      <c r="F3496" s="47">
        <f t="shared" si="232"/>
        <v>31</v>
      </c>
    </row>
    <row r="3497" spans="1:6" x14ac:dyDescent="0.25">
      <c r="A3497" s="5" t="s">
        <v>18</v>
      </c>
      <c r="B3497" s="2">
        <v>44038</v>
      </c>
      <c r="C3497" s="1">
        <v>18</v>
      </c>
      <c r="D3497" s="47">
        <v>1572</v>
      </c>
      <c r="E3497" s="1">
        <v>0</v>
      </c>
      <c r="F3497" s="47">
        <f t="shared" si="232"/>
        <v>4</v>
      </c>
    </row>
    <row r="3498" spans="1:6" x14ac:dyDescent="0.25">
      <c r="A3498" s="5" t="s">
        <v>34</v>
      </c>
      <c r="B3498" s="2">
        <v>44038</v>
      </c>
      <c r="C3498" s="1">
        <v>0</v>
      </c>
      <c r="D3498" s="47">
        <v>243</v>
      </c>
      <c r="F3498" s="47">
        <f t="shared" si="232"/>
        <v>1</v>
      </c>
    </row>
    <row r="3499" spans="1:6" x14ac:dyDescent="0.25">
      <c r="A3499" s="5" t="s">
        <v>35</v>
      </c>
      <c r="B3499" s="2">
        <v>44038</v>
      </c>
      <c r="C3499" s="1">
        <v>2</v>
      </c>
      <c r="D3499" s="47">
        <v>21</v>
      </c>
      <c r="F3499" s="47">
        <f>E3499+F3475</f>
        <v>0</v>
      </c>
    </row>
    <row r="3500" spans="1:6" x14ac:dyDescent="0.25">
      <c r="A3500" s="5" t="s">
        <v>36</v>
      </c>
      <c r="B3500" s="2">
        <v>44038</v>
      </c>
      <c r="C3500" s="1">
        <v>0</v>
      </c>
      <c r="D3500" s="47">
        <v>19</v>
      </c>
      <c r="F3500" s="47">
        <f t="shared" si="232"/>
        <v>0</v>
      </c>
    </row>
    <row r="3501" spans="1:6" x14ac:dyDescent="0.25">
      <c r="A3501" s="5" t="s">
        <v>37</v>
      </c>
      <c r="B3501" s="2">
        <v>44038</v>
      </c>
      <c r="C3501" s="1">
        <v>20</v>
      </c>
      <c r="D3501" s="47">
        <v>329</v>
      </c>
      <c r="F3501" s="47">
        <f t="shared" si="232"/>
        <v>0</v>
      </c>
    </row>
    <row r="3502" spans="1:6" x14ac:dyDescent="0.25">
      <c r="A3502" s="5" t="s">
        <v>22</v>
      </c>
      <c r="B3502" s="2">
        <v>44038</v>
      </c>
      <c r="C3502" s="1">
        <v>41</v>
      </c>
      <c r="D3502" s="47">
        <v>939</v>
      </c>
      <c r="F3502" s="47">
        <f>E3502+F3478</f>
        <v>9</v>
      </c>
    </row>
    <row r="3503" spans="1:6" x14ac:dyDescent="0.25">
      <c r="A3503" s="5" t="s">
        <v>38</v>
      </c>
      <c r="B3503" s="2">
        <v>44038</v>
      </c>
      <c r="C3503" s="1">
        <v>1</v>
      </c>
      <c r="D3503" s="47">
        <v>50</v>
      </c>
      <c r="F3503" s="47">
        <f>E3503+F3479</f>
        <v>1</v>
      </c>
    </row>
    <row r="3504" spans="1:6" x14ac:dyDescent="0.25">
      <c r="A3504" s="5" t="s">
        <v>39</v>
      </c>
      <c r="B3504" s="2">
        <v>44038</v>
      </c>
      <c r="C3504" s="1">
        <v>6</v>
      </c>
      <c r="D3504" s="47">
        <v>342</v>
      </c>
      <c r="F3504" s="47">
        <f>E3504+F3480</f>
        <v>1</v>
      </c>
    </row>
    <row r="3505" spans="1:6" x14ac:dyDescent="0.25">
      <c r="A3505" s="5" t="s">
        <v>40</v>
      </c>
      <c r="B3505" s="2">
        <v>44038</v>
      </c>
      <c r="C3505" s="1">
        <v>8</v>
      </c>
      <c r="D3505" s="47">
        <v>126</v>
      </c>
      <c r="F3505" s="47">
        <f>E3505+F3481</f>
        <v>4</v>
      </c>
    </row>
    <row r="3506" spans="1:6" x14ac:dyDescent="0.25">
      <c r="A3506" s="34" t="s">
        <v>16</v>
      </c>
      <c r="B3506" s="2">
        <v>44039</v>
      </c>
      <c r="C3506" s="1">
        <v>3351</v>
      </c>
      <c r="D3506" s="47">
        <v>98224</v>
      </c>
      <c r="E3506" s="1">
        <f>4+3+26+26</f>
        <v>59</v>
      </c>
      <c r="F3506" s="47">
        <f>E3506+F3482</f>
        <v>1588</v>
      </c>
    </row>
    <row r="3507" spans="1:6" x14ac:dyDescent="0.25">
      <c r="A3507" s="5" t="s">
        <v>28</v>
      </c>
      <c r="B3507" s="2">
        <v>44039</v>
      </c>
      <c r="C3507" s="1">
        <v>0</v>
      </c>
      <c r="D3507" s="47">
        <v>60</v>
      </c>
      <c r="F3507" s="47">
        <f t="shared" ref="F3507:F3513" si="233">E3507+F3483</f>
        <v>0</v>
      </c>
    </row>
    <row r="3508" spans="1:6" x14ac:dyDescent="0.25">
      <c r="A3508" s="5" t="s">
        <v>15</v>
      </c>
      <c r="B3508" s="2">
        <v>44039</v>
      </c>
      <c r="C3508" s="1">
        <v>32</v>
      </c>
      <c r="D3508" s="47">
        <v>3358</v>
      </c>
      <c r="E3508" s="1">
        <v>3</v>
      </c>
      <c r="F3508" s="47">
        <f t="shared" si="233"/>
        <v>136</v>
      </c>
    </row>
    <row r="3509" spans="1:6" x14ac:dyDescent="0.25">
      <c r="A3509" s="5" t="s">
        <v>29</v>
      </c>
      <c r="B3509" s="2">
        <v>44039</v>
      </c>
      <c r="C3509" s="1">
        <v>-1</v>
      </c>
      <c r="D3509" s="47">
        <v>264</v>
      </c>
      <c r="F3509" s="47">
        <f t="shared" si="233"/>
        <v>3</v>
      </c>
    </row>
    <row r="3510" spans="1:6" x14ac:dyDescent="0.25">
      <c r="A3510" s="5" t="s">
        <v>43</v>
      </c>
      <c r="B3510" s="2">
        <v>44039</v>
      </c>
      <c r="C3510" s="1">
        <v>1059</v>
      </c>
      <c r="D3510" s="47">
        <v>55025</v>
      </c>
      <c r="E3510" s="1">
        <v>54</v>
      </c>
      <c r="F3510" s="47">
        <f>E3510+F3486</f>
        <v>1096</v>
      </c>
    </row>
    <row r="3511" spans="1:6" x14ac:dyDescent="0.25">
      <c r="A3511" s="5" t="s">
        <v>20</v>
      </c>
      <c r="B3511" s="2">
        <v>44039</v>
      </c>
      <c r="C3511" s="1">
        <v>99</v>
      </c>
      <c r="D3511" s="47">
        <v>1874</v>
      </c>
      <c r="F3511" s="47">
        <f t="shared" si="233"/>
        <v>40</v>
      </c>
    </row>
    <row r="3512" spans="1:6" x14ac:dyDescent="0.25">
      <c r="A3512" s="5" t="s">
        <v>30</v>
      </c>
      <c r="B3512" s="2">
        <v>44039</v>
      </c>
      <c r="C3512" s="1">
        <v>14</v>
      </c>
      <c r="D3512" s="47">
        <v>153</v>
      </c>
      <c r="F3512" s="47">
        <f t="shared" si="233"/>
        <v>1</v>
      </c>
    </row>
    <row r="3513" spans="1:6" x14ac:dyDescent="0.25">
      <c r="A3513" s="5" t="s">
        <v>31</v>
      </c>
      <c r="B3513" s="2">
        <v>44039</v>
      </c>
      <c r="C3513" s="1">
        <v>4</v>
      </c>
      <c r="D3513" s="47">
        <v>764</v>
      </c>
      <c r="E3513" s="1">
        <v>1</v>
      </c>
      <c r="F3513" s="47">
        <f t="shared" si="233"/>
        <v>7</v>
      </c>
    </row>
    <row r="3514" spans="1:6" x14ac:dyDescent="0.25">
      <c r="A3514" s="5" t="s">
        <v>41</v>
      </c>
      <c r="B3514" s="2">
        <v>44039</v>
      </c>
      <c r="C3514" s="1">
        <v>0</v>
      </c>
      <c r="D3514" s="47">
        <v>81</v>
      </c>
      <c r="F3514" s="47">
        <f>E3514+F3490</f>
        <v>0</v>
      </c>
    </row>
    <row r="3515" spans="1:6" x14ac:dyDescent="0.25">
      <c r="A3515" s="5" t="s">
        <v>32</v>
      </c>
      <c r="B3515" s="2">
        <v>44039</v>
      </c>
      <c r="C3515" s="1">
        <v>92</v>
      </c>
      <c r="D3515" s="47">
        <v>1520</v>
      </c>
      <c r="F3515" s="47">
        <f t="shared" ref="F3515:F3525" si="234">E3515+F3490</f>
        <v>0</v>
      </c>
    </row>
    <row r="3516" spans="1:6" x14ac:dyDescent="0.25">
      <c r="A3516" s="5" t="s">
        <v>33</v>
      </c>
      <c r="B3516" s="2">
        <v>44039</v>
      </c>
      <c r="C3516" s="1">
        <v>10</v>
      </c>
      <c r="D3516" s="47">
        <v>50</v>
      </c>
      <c r="F3516" s="47">
        <f t="shared" si="234"/>
        <v>0</v>
      </c>
    </row>
    <row r="3517" spans="1:6" x14ac:dyDescent="0.25">
      <c r="A3517" s="5" t="s">
        <v>21</v>
      </c>
      <c r="B3517" s="2">
        <v>44039</v>
      </c>
      <c r="C3517" s="1">
        <v>10</v>
      </c>
      <c r="D3517" s="47">
        <v>249</v>
      </c>
      <c r="E3517" s="1">
        <v>1</v>
      </c>
      <c r="F3517" s="47">
        <f t="shared" si="234"/>
        <v>1</v>
      </c>
    </row>
    <row r="3518" spans="1:6" x14ac:dyDescent="0.25">
      <c r="A3518" s="5" t="s">
        <v>17</v>
      </c>
      <c r="B3518" s="2">
        <v>44039</v>
      </c>
      <c r="C3518" s="1">
        <v>61</v>
      </c>
      <c r="D3518" s="47">
        <v>878</v>
      </c>
      <c r="F3518" s="47">
        <f t="shared" si="234"/>
        <v>0</v>
      </c>
    </row>
    <row r="3519" spans="1:6" x14ac:dyDescent="0.25">
      <c r="A3519" s="5" t="s">
        <v>23</v>
      </c>
      <c r="B3519" s="2">
        <v>44039</v>
      </c>
      <c r="C3519" s="1">
        <v>-1</v>
      </c>
      <c r="D3519" s="47">
        <v>56</v>
      </c>
      <c r="F3519" s="47">
        <f t="shared" si="234"/>
        <v>3</v>
      </c>
    </row>
    <row r="3520" spans="1:6" x14ac:dyDescent="0.25">
      <c r="A3520" s="5" t="s">
        <v>19</v>
      </c>
      <c r="B3520" s="2">
        <v>44039</v>
      </c>
      <c r="C3520" s="1">
        <v>23</v>
      </c>
      <c r="D3520" s="47">
        <v>1065</v>
      </c>
      <c r="F3520" s="47">
        <f t="shared" si="234"/>
        <v>0</v>
      </c>
    </row>
    <row r="3521" spans="1:6" x14ac:dyDescent="0.25">
      <c r="A3521" s="5" t="s">
        <v>18</v>
      </c>
      <c r="B3521" s="2">
        <v>44039</v>
      </c>
      <c r="C3521" s="1">
        <v>62</v>
      </c>
      <c r="D3521" s="47">
        <v>1634</v>
      </c>
      <c r="E3521" s="1">
        <v>1</v>
      </c>
      <c r="F3521" s="47">
        <f t="shared" si="234"/>
        <v>32</v>
      </c>
    </row>
    <row r="3522" spans="1:6" x14ac:dyDescent="0.25">
      <c r="A3522" s="5" t="s">
        <v>34</v>
      </c>
      <c r="B3522" s="2">
        <v>44039</v>
      </c>
      <c r="C3522" s="1">
        <v>-15</v>
      </c>
      <c r="D3522" s="47">
        <v>228</v>
      </c>
      <c r="F3522" s="47">
        <f t="shared" si="234"/>
        <v>4</v>
      </c>
    </row>
    <row r="3523" spans="1:6" x14ac:dyDescent="0.25">
      <c r="A3523" s="5" t="s">
        <v>35</v>
      </c>
      <c r="B3523" s="2">
        <v>44039</v>
      </c>
      <c r="C3523" s="1">
        <v>1</v>
      </c>
      <c r="D3523" s="47">
        <v>22</v>
      </c>
      <c r="F3523" s="47">
        <f>E3523+F3499</f>
        <v>0</v>
      </c>
    </row>
    <row r="3524" spans="1:6" x14ac:dyDescent="0.25">
      <c r="A3524" s="5" t="s">
        <v>36</v>
      </c>
      <c r="B3524" s="2">
        <v>44039</v>
      </c>
      <c r="C3524" s="1">
        <v>1</v>
      </c>
      <c r="D3524" s="47">
        <v>20</v>
      </c>
      <c r="F3524" s="47">
        <f t="shared" si="234"/>
        <v>0</v>
      </c>
    </row>
    <row r="3525" spans="1:6" x14ac:dyDescent="0.25">
      <c r="A3525" s="5" t="s">
        <v>37</v>
      </c>
      <c r="B3525" s="2">
        <v>44039</v>
      </c>
      <c r="C3525" s="1">
        <v>15</v>
      </c>
      <c r="D3525" s="47">
        <v>344</v>
      </c>
      <c r="F3525" s="47">
        <f t="shared" si="234"/>
        <v>0</v>
      </c>
    </row>
    <row r="3526" spans="1:6" x14ac:dyDescent="0.25">
      <c r="A3526" s="5" t="s">
        <v>22</v>
      </c>
      <c r="B3526" s="2">
        <v>44039</v>
      </c>
      <c r="C3526" s="1">
        <v>33</v>
      </c>
      <c r="D3526" s="47">
        <v>972</v>
      </c>
      <c r="E3526" s="1">
        <v>2</v>
      </c>
      <c r="F3526" s="47">
        <f>E3526+F3502</f>
        <v>11</v>
      </c>
    </row>
    <row r="3527" spans="1:6" x14ac:dyDescent="0.25">
      <c r="A3527" s="5" t="s">
        <v>38</v>
      </c>
      <c r="B3527" s="2">
        <v>44039</v>
      </c>
      <c r="C3527" s="1">
        <v>-5</v>
      </c>
      <c r="D3527" s="47">
        <v>45</v>
      </c>
      <c r="F3527" s="47">
        <f>E3527+F3503</f>
        <v>1</v>
      </c>
    </row>
    <row r="3528" spans="1:6" x14ac:dyDescent="0.25">
      <c r="A3528" s="5" t="s">
        <v>39</v>
      </c>
      <c r="B3528" s="2">
        <v>44039</v>
      </c>
      <c r="C3528" s="1">
        <v>32</v>
      </c>
      <c r="D3528" s="47">
        <v>374</v>
      </c>
      <c r="F3528" s="47">
        <f>E3528+F3504</f>
        <v>1</v>
      </c>
    </row>
    <row r="3529" spans="1:6" x14ac:dyDescent="0.25">
      <c r="A3529" s="5" t="s">
        <v>40</v>
      </c>
      <c r="B3529" s="2">
        <v>44039</v>
      </c>
      <c r="C3529" s="1">
        <v>13</v>
      </c>
      <c r="D3529" s="47">
        <v>139</v>
      </c>
      <c r="F3529" s="47">
        <f>E3529+F3505</f>
        <v>4</v>
      </c>
    </row>
    <row r="3530" spans="1:6" x14ac:dyDescent="0.25">
      <c r="A3530" s="34" t="s">
        <v>16</v>
      </c>
      <c r="B3530" s="2">
        <v>44040</v>
      </c>
      <c r="C3530" s="1">
        <v>4167</v>
      </c>
      <c r="D3530" s="47">
        <v>102391</v>
      </c>
      <c r="E3530" s="1">
        <f>8+7+34+20</f>
        <v>69</v>
      </c>
      <c r="F3530" s="47">
        <f>E3530+F3506</f>
        <v>1657</v>
      </c>
    </row>
    <row r="3531" spans="1:6" x14ac:dyDescent="0.25">
      <c r="A3531" s="5" t="s">
        <v>28</v>
      </c>
      <c r="B3531" s="2">
        <v>44040</v>
      </c>
      <c r="C3531" s="1">
        <v>0</v>
      </c>
      <c r="D3531" s="47">
        <v>60</v>
      </c>
      <c r="F3531" s="47">
        <f t="shared" ref="F3531:F3537" si="235">E3531+F3507</f>
        <v>0</v>
      </c>
    </row>
    <row r="3532" spans="1:6" x14ac:dyDescent="0.25">
      <c r="A3532" s="5" t="s">
        <v>15</v>
      </c>
      <c r="B3532" s="2">
        <v>44040</v>
      </c>
      <c r="C3532" s="1">
        <v>18</v>
      </c>
      <c r="D3532" s="47">
        <v>3376</v>
      </c>
      <c r="F3532" s="47">
        <f t="shared" si="235"/>
        <v>136</v>
      </c>
    </row>
    <row r="3533" spans="1:6" x14ac:dyDescent="0.25">
      <c r="A3533" s="5" t="s">
        <v>29</v>
      </c>
      <c r="B3533" s="2">
        <v>44040</v>
      </c>
      <c r="C3533" s="1">
        <v>3</v>
      </c>
      <c r="D3533" s="47">
        <v>267</v>
      </c>
      <c r="F3533" s="47">
        <f t="shared" si="235"/>
        <v>3</v>
      </c>
    </row>
    <row r="3534" spans="1:6" x14ac:dyDescent="0.25">
      <c r="A3534" s="5" t="s">
        <v>43</v>
      </c>
      <c r="B3534" s="2">
        <v>44040</v>
      </c>
      <c r="C3534" s="1">
        <v>1202</v>
      </c>
      <c r="D3534" s="47">
        <v>56227</v>
      </c>
      <c r="E3534" s="1">
        <f>3+4+17+21</f>
        <v>45</v>
      </c>
      <c r="F3534" s="47">
        <f t="shared" si="235"/>
        <v>1141</v>
      </c>
    </row>
    <row r="3535" spans="1:6" x14ac:dyDescent="0.25">
      <c r="A3535" s="5" t="s">
        <v>20</v>
      </c>
      <c r="B3535" s="2">
        <v>44040</v>
      </c>
      <c r="C3535" s="1">
        <v>75</v>
      </c>
      <c r="D3535" s="47">
        <v>1949</v>
      </c>
      <c r="E3535" s="1">
        <v>2</v>
      </c>
      <c r="F3535" s="47">
        <f t="shared" si="235"/>
        <v>42</v>
      </c>
    </row>
    <row r="3536" spans="1:6" x14ac:dyDescent="0.25">
      <c r="A3536" s="5" t="s">
        <v>30</v>
      </c>
      <c r="B3536" s="2">
        <v>44040</v>
      </c>
      <c r="C3536" s="1">
        <v>-6</v>
      </c>
      <c r="D3536" s="47">
        <v>147</v>
      </c>
      <c r="F3536" s="47">
        <f t="shared" si="235"/>
        <v>1</v>
      </c>
    </row>
    <row r="3537" spans="1:6" x14ac:dyDescent="0.25">
      <c r="A3537" s="5" t="s">
        <v>31</v>
      </c>
      <c r="B3537" s="2">
        <v>44040</v>
      </c>
      <c r="C3537" s="1">
        <v>4</v>
      </c>
      <c r="D3537" s="47">
        <v>768</v>
      </c>
      <c r="F3537" s="47">
        <f t="shared" si="235"/>
        <v>7</v>
      </c>
    </row>
    <row r="3538" spans="1:6" x14ac:dyDescent="0.25">
      <c r="A3538" s="5" t="s">
        <v>41</v>
      </c>
      <c r="B3538" s="2">
        <v>44040</v>
      </c>
      <c r="C3538" s="1">
        <v>0</v>
      </c>
      <c r="D3538" s="47">
        <v>81</v>
      </c>
      <c r="F3538" s="47">
        <f>E3538+F3514</f>
        <v>0</v>
      </c>
    </row>
    <row r="3539" spans="1:6" x14ac:dyDescent="0.25">
      <c r="A3539" s="5" t="s">
        <v>32</v>
      </c>
      <c r="B3539" s="2">
        <v>44040</v>
      </c>
      <c r="C3539" s="1">
        <v>158</v>
      </c>
      <c r="D3539" s="47">
        <v>1678</v>
      </c>
      <c r="F3539" s="47">
        <f t="shared" ref="F3539:F3549" si="236">E3539+F3514</f>
        <v>0</v>
      </c>
    </row>
    <row r="3540" spans="1:6" x14ac:dyDescent="0.25">
      <c r="A3540" s="5" t="s">
        <v>33</v>
      </c>
      <c r="B3540" s="2">
        <v>44040</v>
      </c>
      <c r="C3540" s="1">
        <v>9</v>
      </c>
      <c r="D3540" s="47">
        <v>59</v>
      </c>
      <c r="F3540" s="47">
        <f t="shared" si="236"/>
        <v>0</v>
      </c>
    </row>
    <row r="3541" spans="1:6" x14ac:dyDescent="0.25">
      <c r="A3541" s="5" t="s">
        <v>21</v>
      </c>
      <c r="B3541" s="2">
        <v>44040</v>
      </c>
      <c r="C3541" s="1">
        <v>10</v>
      </c>
      <c r="D3541" s="47">
        <v>259</v>
      </c>
      <c r="F3541" s="47">
        <f t="shared" si="236"/>
        <v>0</v>
      </c>
    </row>
    <row r="3542" spans="1:6" x14ac:dyDescent="0.25">
      <c r="A3542" s="5" t="s">
        <v>17</v>
      </c>
      <c r="B3542" s="2">
        <v>44040</v>
      </c>
      <c r="C3542" s="1">
        <v>67</v>
      </c>
      <c r="D3542" s="47">
        <v>945</v>
      </c>
      <c r="E3542" s="1">
        <v>2</v>
      </c>
      <c r="F3542" s="47">
        <f t="shared" si="236"/>
        <v>3</v>
      </c>
    </row>
    <row r="3543" spans="1:6" x14ac:dyDescent="0.25">
      <c r="A3543" s="5" t="s">
        <v>23</v>
      </c>
      <c r="B3543" s="2">
        <v>44040</v>
      </c>
      <c r="C3543" s="1">
        <v>-4</v>
      </c>
      <c r="D3543" s="47">
        <v>52</v>
      </c>
      <c r="F3543" s="47">
        <f t="shared" si="236"/>
        <v>0</v>
      </c>
    </row>
    <row r="3544" spans="1:6" x14ac:dyDescent="0.25">
      <c r="A3544" s="5" t="s">
        <v>19</v>
      </c>
      <c r="B3544" s="2">
        <v>44040</v>
      </c>
      <c r="C3544" s="1">
        <v>21</v>
      </c>
      <c r="D3544" s="47">
        <v>1086</v>
      </c>
      <c r="F3544" s="47">
        <f t="shared" si="236"/>
        <v>3</v>
      </c>
    </row>
    <row r="3545" spans="1:6" x14ac:dyDescent="0.25">
      <c r="A3545" s="5" t="s">
        <v>18</v>
      </c>
      <c r="B3545" s="2">
        <v>44040</v>
      </c>
      <c r="C3545" s="1">
        <v>73</v>
      </c>
      <c r="D3545" s="47">
        <v>1707</v>
      </c>
      <c r="E3545" s="1">
        <v>2</v>
      </c>
      <c r="F3545" s="47">
        <f t="shared" si="236"/>
        <v>2</v>
      </c>
    </row>
    <row r="3546" spans="1:6" x14ac:dyDescent="0.25">
      <c r="A3546" s="5" t="s">
        <v>34</v>
      </c>
      <c r="B3546" s="2">
        <v>44040</v>
      </c>
      <c r="C3546" s="1">
        <v>8</v>
      </c>
      <c r="D3546" s="47">
        <v>236</v>
      </c>
      <c r="F3546" s="47">
        <f t="shared" si="236"/>
        <v>32</v>
      </c>
    </row>
    <row r="3547" spans="1:6" x14ac:dyDescent="0.25">
      <c r="A3547" s="5" t="s">
        <v>35</v>
      </c>
      <c r="B3547" s="2">
        <v>44040</v>
      </c>
      <c r="C3547" s="1">
        <v>-2</v>
      </c>
      <c r="D3547" s="47">
        <v>20</v>
      </c>
      <c r="F3547" s="47">
        <f>E3547+F3523</f>
        <v>0</v>
      </c>
    </row>
    <row r="3548" spans="1:6" x14ac:dyDescent="0.25">
      <c r="A3548" s="5" t="s">
        <v>36</v>
      </c>
      <c r="B3548" s="2">
        <v>44040</v>
      </c>
      <c r="C3548" s="1">
        <v>2</v>
      </c>
      <c r="D3548" s="47">
        <v>22</v>
      </c>
      <c r="F3548" s="47">
        <f t="shared" si="236"/>
        <v>0</v>
      </c>
    </row>
    <row r="3549" spans="1:6" x14ac:dyDescent="0.25">
      <c r="A3549" s="5" t="s">
        <v>37</v>
      </c>
      <c r="B3549" s="2">
        <v>44040</v>
      </c>
      <c r="C3549" s="1">
        <v>32</v>
      </c>
      <c r="D3549" s="47">
        <v>376</v>
      </c>
      <c r="F3549" s="47">
        <f t="shared" si="236"/>
        <v>0</v>
      </c>
    </row>
    <row r="3550" spans="1:6" x14ac:dyDescent="0.25">
      <c r="A3550" s="5" t="s">
        <v>22</v>
      </c>
      <c r="B3550" s="2">
        <v>44040</v>
      </c>
      <c r="C3550" s="1">
        <v>63</v>
      </c>
      <c r="D3550" s="47">
        <v>1035</v>
      </c>
      <c r="F3550" s="47">
        <f>E3550+F3526</f>
        <v>11</v>
      </c>
    </row>
    <row r="3551" spans="1:6" x14ac:dyDescent="0.25">
      <c r="A3551" s="5" t="s">
        <v>38</v>
      </c>
      <c r="B3551" s="2">
        <v>44040</v>
      </c>
      <c r="C3551" s="1">
        <v>-3</v>
      </c>
      <c r="D3551" s="47">
        <v>42</v>
      </c>
      <c r="F3551" s="47">
        <f>E3551+F3527</f>
        <v>1</v>
      </c>
    </row>
    <row r="3552" spans="1:6" x14ac:dyDescent="0.25">
      <c r="A3552" s="5" t="s">
        <v>39</v>
      </c>
      <c r="B3552" s="2">
        <v>44040</v>
      </c>
      <c r="C3552" s="1">
        <v>25</v>
      </c>
      <c r="D3552" s="47">
        <v>399</v>
      </c>
      <c r="F3552" s="47">
        <f>E3552+F3528</f>
        <v>1</v>
      </c>
    </row>
    <row r="3553" spans="1:6" x14ac:dyDescent="0.25">
      <c r="A3553" s="5" t="s">
        <v>40</v>
      </c>
      <c r="B3553" s="2">
        <v>44040</v>
      </c>
      <c r="C3553" s="1">
        <v>17</v>
      </c>
      <c r="D3553" s="47">
        <v>156</v>
      </c>
      <c r="F3553" s="47">
        <f>E3553+F3529</f>
        <v>4</v>
      </c>
    </row>
    <row r="3554" spans="1:6" x14ac:dyDescent="0.25">
      <c r="A3554" s="34" t="s">
        <v>16</v>
      </c>
      <c r="B3554" s="2">
        <v>44041</v>
      </c>
      <c r="C3554" s="1">
        <v>3852</v>
      </c>
      <c r="D3554" s="47">
        <v>106243</v>
      </c>
      <c r="E3554" s="1">
        <f>6+6+35+24</f>
        <v>71</v>
      </c>
      <c r="F3554" s="47">
        <f>E3554+F3530</f>
        <v>1728</v>
      </c>
    </row>
    <row r="3555" spans="1:6" x14ac:dyDescent="0.25">
      <c r="A3555" s="5" t="s">
        <v>28</v>
      </c>
      <c r="B3555" s="2">
        <v>44041</v>
      </c>
      <c r="C3555" s="1">
        <v>0</v>
      </c>
      <c r="D3555" s="47">
        <v>60</v>
      </c>
      <c r="F3555" s="47">
        <f t="shared" ref="F3555:F3561" si="237">E3555+F3531</f>
        <v>0</v>
      </c>
    </row>
    <row r="3556" spans="1:6" x14ac:dyDescent="0.25">
      <c r="A3556" s="5" t="s">
        <v>15</v>
      </c>
      <c r="B3556" s="2">
        <v>44041</v>
      </c>
      <c r="C3556" s="1">
        <v>52</v>
      </c>
      <c r="D3556" s="47">
        <v>3428</v>
      </c>
      <c r="E3556" s="1">
        <f>2+1</f>
        <v>3</v>
      </c>
      <c r="F3556" s="47">
        <f t="shared" si="237"/>
        <v>139</v>
      </c>
    </row>
    <row r="3557" spans="1:6" x14ac:dyDescent="0.25">
      <c r="A3557" s="5" t="s">
        <v>29</v>
      </c>
      <c r="B3557" s="2">
        <v>44041</v>
      </c>
      <c r="C3557" s="1">
        <v>3</v>
      </c>
      <c r="D3557" s="47">
        <v>270</v>
      </c>
      <c r="F3557" s="47">
        <f t="shared" si="237"/>
        <v>3</v>
      </c>
    </row>
    <row r="3558" spans="1:6" x14ac:dyDescent="0.25">
      <c r="A3558" s="5" t="s">
        <v>43</v>
      </c>
      <c r="B3558" s="2">
        <v>44041</v>
      </c>
      <c r="C3558" s="1">
        <v>1079</v>
      </c>
      <c r="D3558" s="47">
        <v>57306</v>
      </c>
      <c r="E3558" s="1">
        <v>29</v>
      </c>
      <c r="F3558" s="47">
        <f t="shared" si="237"/>
        <v>1170</v>
      </c>
    </row>
    <row r="3559" spans="1:6" x14ac:dyDescent="0.25">
      <c r="A3559" s="5" t="s">
        <v>20</v>
      </c>
      <c r="B3559" s="2">
        <v>44041</v>
      </c>
      <c r="C3559" s="1">
        <v>111</v>
      </c>
      <c r="D3559" s="47">
        <v>2060</v>
      </c>
      <c r="F3559" s="47">
        <f t="shared" si="237"/>
        <v>42</v>
      </c>
    </row>
    <row r="3560" spans="1:6" x14ac:dyDescent="0.25">
      <c r="A3560" s="5" t="s">
        <v>30</v>
      </c>
      <c r="B3560" s="2">
        <v>44041</v>
      </c>
      <c r="C3560" s="1">
        <v>16</v>
      </c>
      <c r="D3560" s="47">
        <v>163</v>
      </c>
      <c r="F3560" s="47">
        <f t="shared" si="237"/>
        <v>1</v>
      </c>
    </row>
    <row r="3561" spans="1:6" x14ac:dyDescent="0.25">
      <c r="A3561" s="5" t="s">
        <v>31</v>
      </c>
      <c r="B3561" s="2">
        <v>44041</v>
      </c>
      <c r="C3561" s="1">
        <v>15</v>
      </c>
      <c r="D3561" s="47">
        <v>783</v>
      </c>
      <c r="F3561" s="47">
        <f t="shared" si="237"/>
        <v>7</v>
      </c>
    </row>
    <row r="3562" spans="1:6" x14ac:dyDescent="0.25">
      <c r="A3562" s="5" t="s">
        <v>41</v>
      </c>
      <c r="B3562" s="2">
        <v>44041</v>
      </c>
      <c r="C3562" s="1">
        <v>1</v>
      </c>
      <c r="D3562" s="47">
        <v>82</v>
      </c>
      <c r="F3562" s="47">
        <f>E3562+F3538</f>
        <v>0</v>
      </c>
    </row>
    <row r="3563" spans="1:6" x14ac:dyDescent="0.25">
      <c r="A3563" s="5" t="s">
        <v>32</v>
      </c>
      <c r="B3563" s="2">
        <v>44041</v>
      </c>
      <c r="C3563" s="1">
        <v>172</v>
      </c>
      <c r="D3563" s="47">
        <v>1850</v>
      </c>
      <c r="F3563" s="47">
        <f t="shared" ref="F3563:F3573" si="238">E3563+F3538</f>
        <v>0</v>
      </c>
    </row>
    <row r="3564" spans="1:6" x14ac:dyDescent="0.25">
      <c r="A3564" s="5" t="s">
        <v>33</v>
      </c>
      <c r="B3564" s="2">
        <v>44041</v>
      </c>
      <c r="C3564" s="1">
        <v>10</v>
      </c>
      <c r="D3564" s="47">
        <v>69</v>
      </c>
      <c r="F3564" s="47">
        <f t="shared" si="238"/>
        <v>0</v>
      </c>
    </row>
    <row r="3565" spans="1:6" x14ac:dyDescent="0.25">
      <c r="A3565" s="5" t="s">
        <v>21</v>
      </c>
      <c r="B3565" s="2">
        <v>44041</v>
      </c>
      <c r="C3565" s="1">
        <v>31</v>
      </c>
      <c r="D3565" s="47">
        <v>290</v>
      </c>
      <c r="F3565" s="47">
        <f t="shared" si="238"/>
        <v>0</v>
      </c>
    </row>
    <row r="3566" spans="1:6" x14ac:dyDescent="0.25">
      <c r="A3566" s="5" t="s">
        <v>17</v>
      </c>
      <c r="B3566" s="2">
        <v>44041</v>
      </c>
      <c r="C3566" s="1">
        <v>65</v>
      </c>
      <c r="D3566" s="47">
        <v>1010</v>
      </c>
      <c r="E3566" s="1">
        <v>4</v>
      </c>
      <c r="F3566" s="47">
        <f t="shared" si="238"/>
        <v>4</v>
      </c>
    </row>
    <row r="3567" spans="1:6" x14ac:dyDescent="0.25">
      <c r="A3567" s="5" t="s">
        <v>23</v>
      </c>
      <c r="B3567" s="2">
        <v>44041</v>
      </c>
      <c r="C3567" s="1">
        <v>0</v>
      </c>
      <c r="D3567" s="47">
        <v>52</v>
      </c>
      <c r="F3567" s="47">
        <f t="shared" si="238"/>
        <v>3</v>
      </c>
    </row>
    <row r="3568" spans="1:6" x14ac:dyDescent="0.25">
      <c r="A3568" s="5" t="s">
        <v>19</v>
      </c>
      <c r="B3568" s="2">
        <v>44041</v>
      </c>
      <c r="C3568" s="1">
        <v>30</v>
      </c>
      <c r="D3568" s="47">
        <v>1116</v>
      </c>
      <c r="F3568" s="47">
        <f t="shared" si="238"/>
        <v>0</v>
      </c>
    </row>
    <row r="3569" spans="1:6" x14ac:dyDescent="0.25">
      <c r="A3569" s="5" t="s">
        <v>18</v>
      </c>
      <c r="B3569" s="2">
        <v>44041</v>
      </c>
      <c r="C3569" s="1">
        <v>55</v>
      </c>
      <c r="D3569" s="47">
        <v>1762</v>
      </c>
      <c r="E3569" s="1">
        <f>1</f>
        <v>1</v>
      </c>
      <c r="F3569" s="47">
        <f t="shared" si="238"/>
        <v>4</v>
      </c>
    </row>
    <row r="3570" spans="1:6" x14ac:dyDescent="0.25">
      <c r="A3570" s="5" t="s">
        <v>34</v>
      </c>
      <c r="B3570" s="2">
        <v>44041</v>
      </c>
      <c r="C3570" s="1">
        <v>9</v>
      </c>
      <c r="D3570" s="47">
        <v>245</v>
      </c>
      <c r="F3570" s="47">
        <f t="shared" si="238"/>
        <v>2</v>
      </c>
    </row>
    <row r="3571" spans="1:6" x14ac:dyDescent="0.25">
      <c r="A3571" s="5" t="s">
        <v>35</v>
      </c>
      <c r="B3571" s="2">
        <v>44041</v>
      </c>
      <c r="C3571" s="1">
        <v>0</v>
      </c>
      <c r="D3571" s="47">
        <v>20</v>
      </c>
      <c r="F3571" s="47">
        <f>E3571+F3547</f>
        <v>0</v>
      </c>
    </row>
    <row r="3572" spans="1:6" x14ac:dyDescent="0.25">
      <c r="A3572" s="5" t="s">
        <v>36</v>
      </c>
      <c r="B3572" s="2">
        <v>44041</v>
      </c>
      <c r="C3572" s="1">
        <v>2</v>
      </c>
      <c r="D3572" s="47">
        <v>24</v>
      </c>
      <c r="F3572" s="47">
        <f t="shared" si="238"/>
        <v>0</v>
      </c>
    </row>
    <row r="3573" spans="1:6" x14ac:dyDescent="0.25">
      <c r="A3573" s="5" t="s">
        <v>37</v>
      </c>
      <c r="B3573" s="2">
        <v>44041</v>
      </c>
      <c r="C3573" s="1">
        <v>44</v>
      </c>
      <c r="D3573" s="47">
        <v>420</v>
      </c>
      <c r="F3573" s="47">
        <f t="shared" si="238"/>
        <v>0</v>
      </c>
    </row>
    <row r="3574" spans="1:6" x14ac:dyDescent="0.25">
      <c r="A3574" s="5" t="s">
        <v>22</v>
      </c>
      <c r="B3574" s="2">
        <v>44041</v>
      </c>
      <c r="C3574" s="1">
        <v>68</v>
      </c>
      <c r="D3574" s="47">
        <v>1103</v>
      </c>
      <c r="E3574" s="1">
        <v>1</v>
      </c>
      <c r="F3574" s="47">
        <f>E3574+F3550</f>
        <v>12</v>
      </c>
    </row>
    <row r="3575" spans="1:6" x14ac:dyDescent="0.25">
      <c r="A3575" s="5" t="s">
        <v>38</v>
      </c>
      <c r="B3575" s="2">
        <v>44041</v>
      </c>
      <c r="C3575" s="1">
        <v>2</v>
      </c>
      <c r="D3575" s="47">
        <v>44</v>
      </c>
      <c r="F3575" s="47">
        <f>E3575+F3551</f>
        <v>1</v>
      </c>
    </row>
    <row r="3576" spans="1:6" x14ac:dyDescent="0.25">
      <c r="A3576" s="5" t="s">
        <v>39</v>
      </c>
      <c r="B3576" s="2">
        <v>44041</v>
      </c>
      <c r="C3576" s="1">
        <v>14</v>
      </c>
      <c r="D3576" s="47">
        <v>413</v>
      </c>
      <c r="F3576" s="47">
        <f>E3576+F3552</f>
        <v>1</v>
      </c>
    </row>
    <row r="3577" spans="1:6" x14ac:dyDescent="0.25">
      <c r="A3577" s="5" t="s">
        <v>40</v>
      </c>
      <c r="B3577" s="2">
        <v>44041</v>
      </c>
      <c r="C3577" s="1">
        <v>10</v>
      </c>
      <c r="D3577" s="47">
        <v>166</v>
      </c>
      <c r="F3577" s="47">
        <f>E3577+F3553</f>
        <v>4</v>
      </c>
    </row>
    <row r="3578" spans="1:6" x14ac:dyDescent="0.25">
      <c r="A3578" s="34" t="s">
        <v>16</v>
      </c>
      <c r="B3578" s="2">
        <v>44042</v>
      </c>
      <c r="C3578" s="1">
        <v>4415</v>
      </c>
      <c r="D3578" s="47">
        <v>110658</v>
      </c>
      <c r="E3578" s="1">
        <f>5+8+49+54</f>
        <v>116</v>
      </c>
      <c r="F3578" s="47">
        <f>E3578+F3554</f>
        <v>1844</v>
      </c>
    </row>
    <row r="3579" spans="1:6" x14ac:dyDescent="0.25">
      <c r="A3579" s="5" t="s">
        <v>28</v>
      </c>
      <c r="B3579" s="2">
        <v>44042</v>
      </c>
      <c r="C3579" s="1">
        <v>1</v>
      </c>
      <c r="D3579" s="47">
        <v>61</v>
      </c>
      <c r="F3579" s="47">
        <f t="shared" ref="F3579:F3585" si="239">E3579+F3555</f>
        <v>0</v>
      </c>
    </row>
    <row r="3580" spans="1:6" x14ac:dyDescent="0.25">
      <c r="A3580" s="5" t="s">
        <v>15</v>
      </c>
      <c r="B3580" s="2">
        <v>44042</v>
      </c>
      <c r="C3580" s="1">
        <v>93</v>
      </c>
      <c r="D3580" s="47">
        <v>3521</v>
      </c>
      <c r="F3580" s="47">
        <f t="shared" si="239"/>
        <v>139</v>
      </c>
    </row>
    <row r="3581" spans="1:6" x14ac:dyDescent="0.25">
      <c r="A3581" s="5" t="s">
        <v>29</v>
      </c>
      <c r="B3581" s="2">
        <v>44042</v>
      </c>
      <c r="C3581" s="1">
        <v>5</v>
      </c>
      <c r="D3581" s="47">
        <v>275</v>
      </c>
      <c r="F3581" s="47">
        <f t="shared" si="239"/>
        <v>3</v>
      </c>
    </row>
    <row r="3582" spans="1:6" x14ac:dyDescent="0.25">
      <c r="A3582" s="5" t="s">
        <v>43</v>
      </c>
      <c r="B3582" s="2">
        <v>44042</v>
      </c>
      <c r="C3582" s="1">
        <v>1239</v>
      </c>
      <c r="D3582" s="47">
        <v>58545</v>
      </c>
      <c r="E3582" s="1">
        <f>4+2+18+8</f>
        <v>32</v>
      </c>
      <c r="F3582" s="47">
        <f t="shared" si="239"/>
        <v>1202</v>
      </c>
    </row>
    <row r="3583" spans="1:6" x14ac:dyDescent="0.25">
      <c r="A3583" s="5" t="s">
        <v>20</v>
      </c>
      <c r="B3583" s="2">
        <v>44042</v>
      </c>
      <c r="C3583" s="1">
        <v>91</v>
      </c>
      <c r="D3583" s="47">
        <v>2151</v>
      </c>
      <c r="E3583" s="1">
        <v>1</v>
      </c>
      <c r="F3583" s="47">
        <f t="shared" si="239"/>
        <v>43</v>
      </c>
    </row>
    <row r="3584" spans="1:6" x14ac:dyDescent="0.25">
      <c r="A3584" s="5" t="s">
        <v>30</v>
      </c>
      <c r="B3584" s="2">
        <v>44042</v>
      </c>
      <c r="C3584" s="1">
        <v>3</v>
      </c>
      <c r="D3584" s="47">
        <v>166</v>
      </c>
      <c r="F3584" s="47">
        <f t="shared" si="239"/>
        <v>1</v>
      </c>
    </row>
    <row r="3585" spans="1:6" x14ac:dyDescent="0.25">
      <c r="A3585" s="5" t="s">
        <v>31</v>
      </c>
      <c r="B3585" s="2">
        <v>44042</v>
      </c>
      <c r="C3585" s="1">
        <v>20</v>
      </c>
      <c r="D3585" s="47">
        <v>803</v>
      </c>
      <c r="F3585" s="47">
        <f t="shared" si="239"/>
        <v>7</v>
      </c>
    </row>
    <row r="3586" spans="1:6" x14ac:dyDescent="0.25">
      <c r="A3586" s="5" t="s">
        <v>41</v>
      </c>
      <c r="B3586" s="2">
        <v>44042</v>
      </c>
      <c r="C3586" s="1">
        <v>0</v>
      </c>
      <c r="D3586" s="47">
        <v>82</v>
      </c>
      <c r="F3586" s="47">
        <f>E3586+F3562</f>
        <v>0</v>
      </c>
    </row>
    <row r="3587" spans="1:6" x14ac:dyDescent="0.25">
      <c r="A3587" s="5" t="s">
        <v>32</v>
      </c>
      <c r="B3587" s="2">
        <v>44042</v>
      </c>
      <c r="C3587" s="1">
        <v>161</v>
      </c>
      <c r="D3587" s="47">
        <v>2011</v>
      </c>
      <c r="F3587" s="47">
        <f t="shared" ref="F3587:F3596" si="240">E3587+F3562</f>
        <v>0</v>
      </c>
    </row>
    <row r="3588" spans="1:6" x14ac:dyDescent="0.25">
      <c r="A3588" s="5" t="s">
        <v>33</v>
      </c>
      <c r="B3588" s="2">
        <v>44042</v>
      </c>
      <c r="C3588" s="1">
        <v>6</v>
      </c>
      <c r="D3588" s="47">
        <v>75</v>
      </c>
      <c r="F3588" s="47">
        <f t="shared" si="240"/>
        <v>0</v>
      </c>
    </row>
    <row r="3589" spans="1:6" x14ac:dyDescent="0.25">
      <c r="A3589" s="5" t="s">
        <v>21</v>
      </c>
      <c r="B3589" s="2">
        <v>44042</v>
      </c>
      <c r="C3589" s="1">
        <v>11</v>
      </c>
      <c r="D3589" s="47">
        <v>301</v>
      </c>
      <c r="F3589" s="47">
        <f t="shared" si="240"/>
        <v>0</v>
      </c>
    </row>
    <row r="3590" spans="1:6" x14ac:dyDescent="0.25">
      <c r="A3590" s="5" t="s">
        <v>17</v>
      </c>
      <c r="B3590" s="2">
        <v>44042</v>
      </c>
      <c r="C3590" s="1">
        <v>77</v>
      </c>
      <c r="D3590" s="47">
        <v>1087</v>
      </c>
      <c r="E3590" s="1">
        <v>1</v>
      </c>
      <c r="F3590" s="47">
        <f t="shared" si="240"/>
        <v>1</v>
      </c>
    </row>
    <row r="3591" spans="1:6" x14ac:dyDescent="0.25">
      <c r="A3591" s="5" t="s">
        <v>23</v>
      </c>
      <c r="B3591" s="2">
        <v>44042</v>
      </c>
      <c r="C3591" s="1">
        <v>1</v>
      </c>
      <c r="D3591" s="47">
        <v>53</v>
      </c>
      <c r="F3591" s="47">
        <f t="shared" si="240"/>
        <v>4</v>
      </c>
    </row>
    <row r="3592" spans="1:6" x14ac:dyDescent="0.25">
      <c r="A3592" s="5" t="s">
        <v>19</v>
      </c>
      <c r="B3592" s="2">
        <v>44042</v>
      </c>
      <c r="C3592" s="1">
        <v>27</v>
      </c>
      <c r="D3592" s="47">
        <v>1143</v>
      </c>
      <c r="F3592" s="47">
        <f t="shared" si="240"/>
        <v>3</v>
      </c>
    </row>
    <row r="3593" spans="1:6" x14ac:dyDescent="0.25">
      <c r="A3593" s="5" t="s">
        <v>18</v>
      </c>
      <c r="B3593" s="2">
        <v>44042</v>
      </c>
      <c r="C3593" s="1">
        <v>81</v>
      </c>
      <c r="D3593" s="47">
        <v>1843</v>
      </c>
      <c r="E3593" s="1">
        <v>2</v>
      </c>
      <c r="F3593" s="47">
        <f t="shared" si="240"/>
        <v>2</v>
      </c>
    </row>
    <row r="3594" spans="1:6" x14ac:dyDescent="0.25">
      <c r="A3594" s="5" t="s">
        <v>34</v>
      </c>
      <c r="B3594" s="2">
        <v>44042</v>
      </c>
      <c r="C3594" s="1">
        <v>11</v>
      </c>
      <c r="D3594" s="47">
        <v>256</v>
      </c>
      <c r="F3594" s="47">
        <f t="shared" si="240"/>
        <v>4</v>
      </c>
    </row>
    <row r="3595" spans="1:6" x14ac:dyDescent="0.25">
      <c r="A3595" s="5" t="s">
        <v>35</v>
      </c>
      <c r="B3595" s="2">
        <v>44042</v>
      </c>
      <c r="C3595" s="1">
        <v>1</v>
      </c>
      <c r="D3595" s="47">
        <v>21</v>
      </c>
      <c r="F3595" s="47">
        <f>E3595+F3571</f>
        <v>0</v>
      </c>
    </row>
    <row r="3596" spans="1:6" x14ac:dyDescent="0.25">
      <c r="A3596" s="5" t="s">
        <v>36</v>
      </c>
      <c r="B3596" s="2">
        <v>44042</v>
      </c>
      <c r="C3596" s="1">
        <v>3</v>
      </c>
      <c r="D3596" s="47">
        <v>27</v>
      </c>
      <c r="F3596" s="47">
        <f t="shared" si="240"/>
        <v>0</v>
      </c>
    </row>
    <row r="3597" spans="1:6" x14ac:dyDescent="0.25">
      <c r="A3597" s="5" t="s">
        <v>37</v>
      </c>
      <c r="B3597" s="2">
        <v>44042</v>
      </c>
      <c r="C3597" s="1">
        <v>9</v>
      </c>
      <c r="D3597" s="47">
        <v>429</v>
      </c>
      <c r="E3597" s="1">
        <v>1</v>
      </c>
      <c r="F3597" s="47">
        <f t="shared" ref="F3597:F3602" si="241">E3597+F3573</f>
        <v>1</v>
      </c>
    </row>
    <row r="3598" spans="1:6" x14ac:dyDescent="0.25">
      <c r="A3598" s="5" t="s">
        <v>22</v>
      </c>
      <c r="B3598" s="2">
        <v>44042</v>
      </c>
      <c r="C3598" s="1">
        <v>50</v>
      </c>
      <c r="D3598" s="47">
        <v>1153</v>
      </c>
      <c r="F3598" s="47">
        <f t="shared" si="241"/>
        <v>12</v>
      </c>
    </row>
    <row r="3599" spans="1:6" x14ac:dyDescent="0.25">
      <c r="A3599" s="5" t="s">
        <v>38</v>
      </c>
      <c r="B3599" s="2">
        <v>44042</v>
      </c>
      <c r="C3599" s="1">
        <v>2</v>
      </c>
      <c r="D3599" s="47">
        <v>46</v>
      </c>
      <c r="F3599" s="47">
        <f t="shared" si="241"/>
        <v>1</v>
      </c>
    </row>
    <row r="3600" spans="1:6" x14ac:dyDescent="0.25">
      <c r="A3600" s="5" t="s">
        <v>39</v>
      </c>
      <c r="B3600" s="2">
        <v>44042</v>
      </c>
      <c r="C3600" s="1">
        <v>33</v>
      </c>
      <c r="D3600" s="47">
        <v>446</v>
      </c>
      <c r="F3600" s="47">
        <f t="shared" si="241"/>
        <v>1</v>
      </c>
    </row>
    <row r="3601" spans="1:6" x14ac:dyDescent="0.25">
      <c r="A3601" s="5" t="s">
        <v>40</v>
      </c>
      <c r="B3601" s="2">
        <v>44042</v>
      </c>
      <c r="C3601" s="1">
        <v>37</v>
      </c>
      <c r="D3601" s="47">
        <v>203</v>
      </c>
      <c r="F3601" s="47">
        <f t="shared" si="241"/>
        <v>4</v>
      </c>
    </row>
    <row r="3602" spans="1:6" x14ac:dyDescent="0.25">
      <c r="A3602" s="34" t="s">
        <v>16</v>
      </c>
      <c r="B3602" s="2">
        <v>44043</v>
      </c>
      <c r="C3602" s="1">
        <v>3911</v>
      </c>
      <c r="D3602" s="47">
        <v>114569</v>
      </c>
      <c r="E3602" s="1">
        <v>67</v>
      </c>
      <c r="F3602" s="47">
        <f t="shared" si="241"/>
        <v>1911</v>
      </c>
    </row>
    <row r="3603" spans="1:6" x14ac:dyDescent="0.25">
      <c r="A3603" s="5" t="s">
        <v>28</v>
      </c>
      <c r="B3603" s="2">
        <v>44043</v>
      </c>
      <c r="C3603" s="1">
        <v>0</v>
      </c>
      <c r="D3603" s="47">
        <v>61</v>
      </c>
      <c r="F3603" s="47">
        <f t="shared" ref="F3603:F3609" si="242">E3603+F3579</f>
        <v>0</v>
      </c>
    </row>
    <row r="3604" spans="1:6" x14ac:dyDescent="0.25">
      <c r="A3604" s="5" t="s">
        <v>15</v>
      </c>
      <c r="B3604" s="2">
        <v>44043</v>
      </c>
      <c r="C3604" s="1">
        <v>58</v>
      </c>
      <c r="D3604" s="47">
        <v>3579</v>
      </c>
      <c r="E3604" s="1">
        <v>2</v>
      </c>
      <c r="F3604" s="47">
        <f t="shared" si="242"/>
        <v>141</v>
      </c>
    </row>
    <row r="3605" spans="1:6" x14ac:dyDescent="0.25">
      <c r="A3605" s="5" t="s">
        <v>29</v>
      </c>
      <c r="B3605" s="2">
        <v>44043</v>
      </c>
      <c r="C3605" s="1">
        <v>1</v>
      </c>
      <c r="D3605" s="47">
        <v>276</v>
      </c>
      <c r="E3605" s="1">
        <v>1</v>
      </c>
      <c r="F3605" s="47">
        <f t="shared" si="242"/>
        <v>4</v>
      </c>
    </row>
    <row r="3606" spans="1:6" x14ac:dyDescent="0.25">
      <c r="A3606" s="5" t="s">
        <v>43</v>
      </c>
      <c r="B3606" s="2">
        <v>44043</v>
      </c>
      <c r="C3606" s="1">
        <v>1142</v>
      </c>
      <c r="D3606" s="47">
        <v>59687</v>
      </c>
      <c r="E3606" s="1">
        <f>7+6+9+4</f>
        <v>26</v>
      </c>
      <c r="F3606" s="47">
        <f t="shared" si="242"/>
        <v>1228</v>
      </c>
    </row>
    <row r="3607" spans="1:6" x14ac:dyDescent="0.25">
      <c r="A3607" s="5" t="s">
        <v>20</v>
      </c>
      <c r="B3607" s="2">
        <v>44043</v>
      </c>
      <c r="C3607" s="1">
        <v>108</v>
      </c>
      <c r="D3607" s="47">
        <v>2259</v>
      </c>
      <c r="F3607" s="47">
        <f t="shared" si="242"/>
        <v>43</v>
      </c>
    </row>
    <row r="3608" spans="1:6" x14ac:dyDescent="0.25">
      <c r="A3608" s="5" t="s">
        <v>30</v>
      </c>
      <c r="B3608" s="2">
        <v>44043</v>
      </c>
      <c r="C3608" s="1">
        <v>3</v>
      </c>
      <c r="D3608" s="47">
        <v>169</v>
      </c>
      <c r="F3608" s="47">
        <f t="shared" si="242"/>
        <v>1</v>
      </c>
    </row>
    <row r="3609" spans="1:6" x14ac:dyDescent="0.25">
      <c r="A3609" s="5" t="s">
        <v>31</v>
      </c>
      <c r="B3609" s="2">
        <v>44043</v>
      </c>
      <c r="C3609" s="1">
        <v>9</v>
      </c>
      <c r="D3609" s="47">
        <v>812</v>
      </c>
      <c r="E3609" s="1">
        <v>1</v>
      </c>
      <c r="F3609" s="47">
        <f t="shared" si="242"/>
        <v>8</v>
      </c>
    </row>
    <row r="3610" spans="1:6" x14ac:dyDescent="0.25">
      <c r="A3610" s="5" t="s">
        <v>41</v>
      </c>
      <c r="B3610" s="2">
        <v>44043</v>
      </c>
      <c r="C3610" s="1">
        <v>0</v>
      </c>
      <c r="D3610" s="47">
        <v>82</v>
      </c>
      <c r="F3610" s="47">
        <f>E3610+F3586</f>
        <v>0</v>
      </c>
    </row>
    <row r="3611" spans="1:6" x14ac:dyDescent="0.25">
      <c r="A3611" s="5" t="s">
        <v>32</v>
      </c>
      <c r="B3611" s="2">
        <v>44043</v>
      </c>
      <c r="C3611" s="1">
        <v>238</v>
      </c>
      <c r="D3611" s="47">
        <v>2249</v>
      </c>
      <c r="F3611" s="47">
        <f t="shared" ref="F3611:F3620" si="243">E3611+F3586</f>
        <v>0</v>
      </c>
    </row>
    <row r="3612" spans="1:6" x14ac:dyDescent="0.25">
      <c r="A3612" s="5" t="s">
        <v>33</v>
      </c>
      <c r="B3612" s="2">
        <v>44043</v>
      </c>
      <c r="C3612" s="1">
        <v>42</v>
      </c>
      <c r="D3612" s="47">
        <v>117</v>
      </c>
      <c r="F3612" s="47">
        <f t="shared" si="243"/>
        <v>0</v>
      </c>
    </row>
    <row r="3613" spans="1:6" x14ac:dyDescent="0.25">
      <c r="A3613" s="5" t="s">
        <v>21</v>
      </c>
      <c r="B3613" s="2">
        <v>44043</v>
      </c>
      <c r="C3613" s="1">
        <v>36</v>
      </c>
      <c r="D3613" s="47">
        <v>337</v>
      </c>
      <c r="F3613" s="47">
        <f t="shared" si="243"/>
        <v>0</v>
      </c>
    </row>
    <row r="3614" spans="1:6" x14ac:dyDescent="0.25">
      <c r="A3614" s="5" t="s">
        <v>17</v>
      </c>
      <c r="B3614" s="2">
        <v>44043</v>
      </c>
      <c r="C3614" s="1">
        <v>124</v>
      </c>
      <c r="D3614" s="47">
        <v>1211</v>
      </c>
      <c r="E3614" s="1">
        <v>1</v>
      </c>
      <c r="F3614" s="47">
        <f t="shared" si="243"/>
        <v>1</v>
      </c>
    </row>
    <row r="3615" spans="1:6" x14ac:dyDescent="0.25">
      <c r="A3615" s="5" t="s">
        <v>23</v>
      </c>
      <c r="B3615" s="2">
        <v>44043</v>
      </c>
      <c r="C3615" s="1">
        <v>6</v>
      </c>
      <c r="D3615" s="47">
        <v>59</v>
      </c>
      <c r="F3615" s="47">
        <f t="shared" si="243"/>
        <v>1</v>
      </c>
    </row>
    <row r="3616" spans="1:6" x14ac:dyDescent="0.25">
      <c r="A3616" s="5" t="s">
        <v>19</v>
      </c>
      <c r="B3616" s="2">
        <v>44043</v>
      </c>
      <c r="C3616" s="1">
        <v>35</v>
      </c>
      <c r="D3616" s="47">
        <v>1178</v>
      </c>
      <c r="F3616" s="47">
        <f t="shared" si="243"/>
        <v>4</v>
      </c>
    </row>
    <row r="3617" spans="1:6" x14ac:dyDescent="0.25">
      <c r="A3617" s="5" t="s">
        <v>18</v>
      </c>
      <c r="B3617" s="2">
        <v>44043</v>
      </c>
      <c r="C3617" s="1">
        <v>104</v>
      </c>
      <c r="D3617" s="47">
        <v>1947</v>
      </c>
      <c r="E3617" s="1">
        <v>2</v>
      </c>
      <c r="F3617" s="47">
        <f t="shared" si="243"/>
        <v>5</v>
      </c>
    </row>
    <row r="3618" spans="1:6" x14ac:dyDescent="0.25">
      <c r="A3618" s="5" t="s">
        <v>34</v>
      </c>
      <c r="B3618" s="2">
        <v>44043</v>
      </c>
      <c r="C3618" s="1">
        <v>7</v>
      </c>
      <c r="D3618" s="47">
        <v>263</v>
      </c>
      <c r="F3618" s="47">
        <f t="shared" si="243"/>
        <v>2</v>
      </c>
    </row>
    <row r="3619" spans="1:6" x14ac:dyDescent="0.25">
      <c r="A3619" s="5" t="s">
        <v>35</v>
      </c>
      <c r="B3619" s="2">
        <v>44043</v>
      </c>
      <c r="C3619" s="1">
        <v>-1</v>
      </c>
      <c r="D3619" s="47">
        <v>20</v>
      </c>
      <c r="F3619" s="47">
        <f>E3619+F3595</f>
        <v>0</v>
      </c>
    </row>
    <row r="3620" spans="1:6" x14ac:dyDescent="0.25">
      <c r="A3620" s="5" t="s">
        <v>36</v>
      </c>
      <c r="B3620" s="2">
        <v>44043</v>
      </c>
      <c r="C3620" s="1">
        <v>-1</v>
      </c>
      <c r="D3620" s="47">
        <v>26</v>
      </c>
      <c r="F3620" s="47">
        <f t="shared" si="243"/>
        <v>0</v>
      </c>
    </row>
    <row r="3621" spans="1:6" x14ac:dyDescent="0.25">
      <c r="A3621" s="5" t="s">
        <v>37</v>
      </c>
      <c r="B3621" s="2">
        <v>44043</v>
      </c>
      <c r="C3621" s="1">
        <v>25</v>
      </c>
      <c r="D3621" s="47">
        <v>454</v>
      </c>
      <c r="E3621" s="1">
        <v>1</v>
      </c>
      <c r="F3621" s="47">
        <f t="shared" ref="F3621:F3626" si="244">E3621+F3597</f>
        <v>2</v>
      </c>
    </row>
    <row r="3622" spans="1:6" x14ac:dyDescent="0.25">
      <c r="A3622" s="5" t="s">
        <v>22</v>
      </c>
      <c r="B3622" s="2">
        <v>44043</v>
      </c>
      <c r="C3622" s="1">
        <v>63</v>
      </c>
      <c r="D3622" s="47">
        <v>1216</v>
      </c>
      <c r="E3622" s="1">
        <v>1</v>
      </c>
      <c r="F3622" s="47">
        <f t="shared" si="244"/>
        <v>13</v>
      </c>
    </row>
    <row r="3623" spans="1:6" x14ac:dyDescent="0.25">
      <c r="A3623" s="5" t="s">
        <v>38</v>
      </c>
      <c r="B3623" s="2">
        <v>44043</v>
      </c>
      <c r="C3623" s="1">
        <v>-1</v>
      </c>
      <c r="D3623" s="47">
        <v>45</v>
      </c>
      <c r="F3623" s="47">
        <f t="shared" si="244"/>
        <v>1</v>
      </c>
    </row>
    <row r="3624" spans="1:6" x14ac:dyDescent="0.25">
      <c r="A3624" s="5" t="s">
        <v>39</v>
      </c>
      <c r="B3624" s="2">
        <v>44043</v>
      </c>
      <c r="C3624" s="1">
        <v>12</v>
      </c>
      <c r="D3624" s="47">
        <v>458</v>
      </c>
      <c r="F3624" s="47">
        <f t="shared" si="244"/>
        <v>1</v>
      </c>
    </row>
    <row r="3625" spans="1:6" x14ac:dyDescent="0.25">
      <c r="A3625" s="5" t="s">
        <v>40</v>
      </c>
      <c r="B3625" s="2">
        <v>44043</v>
      </c>
      <c r="C3625" s="1">
        <v>8</v>
      </c>
      <c r="D3625" s="47">
        <v>211</v>
      </c>
      <c r="F3625" s="47">
        <f t="shared" si="244"/>
        <v>4</v>
      </c>
    </row>
    <row r="3626" spans="1:6" x14ac:dyDescent="0.25">
      <c r="A3626" s="34" t="s">
        <v>16</v>
      </c>
      <c r="B3626" s="2">
        <v>44044</v>
      </c>
      <c r="C3626" s="1">
        <v>3586</v>
      </c>
      <c r="D3626" s="47">
        <v>118155</v>
      </c>
      <c r="E3626" s="1">
        <v>35</v>
      </c>
      <c r="F3626" s="47">
        <f t="shared" si="244"/>
        <v>1946</v>
      </c>
    </row>
    <row r="3627" spans="1:6" x14ac:dyDescent="0.25">
      <c r="A3627" s="5" t="s">
        <v>28</v>
      </c>
      <c r="B3627" s="2">
        <v>44044</v>
      </c>
      <c r="C3627" s="1">
        <v>0</v>
      </c>
      <c r="D3627" s="47">
        <v>61</v>
      </c>
      <c r="F3627" s="47">
        <f t="shared" ref="F3627:F3633" si="245">E3627+F3603</f>
        <v>0</v>
      </c>
    </row>
    <row r="3628" spans="1:6" x14ac:dyDescent="0.25">
      <c r="A3628" s="5" t="s">
        <v>15</v>
      </c>
      <c r="B3628" s="2">
        <v>44044</v>
      </c>
      <c r="C3628" s="1">
        <v>59</v>
      </c>
      <c r="D3628" s="47">
        <v>3638</v>
      </c>
      <c r="F3628" s="47">
        <f t="shared" si="245"/>
        <v>141</v>
      </c>
    </row>
    <row r="3629" spans="1:6" x14ac:dyDescent="0.25">
      <c r="A3629" s="5" t="s">
        <v>29</v>
      </c>
      <c r="B3629" s="2">
        <v>44044</v>
      </c>
      <c r="C3629" s="1">
        <v>10</v>
      </c>
      <c r="D3629" s="47">
        <v>286</v>
      </c>
      <c r="F3629" s="47">
        <f t="shared" si="245"/>
        <v>4</v>
      </c>
    </row>
    <row r="3630" spans="1:6" x14ac:dyDescent="0.25">
      <c r="A3630" s="5" t="s">
        <v>43</v>
      </c>
      <c r="B3630" s="2">
        <v>44044</v>
      </c>
      <c r="C3630" s="1">
        <v>968</v>
      </c>
      <c r="D3630" s="47">
        <v>60655</v>
      </c>
      <c r="E3630" s="1">
        <v>13</v>
      </c>
      <c r="F3630" s="47">
        <f t="shared" si="245"/>
        <v>1241</v>
      </c>
    </row>
    <row r="3631" spans="1:6" x14ac:dyDescent="0.25">
      <c r="A3631" s="5" t="s">
        <v>20</v>
      </c>
      <c r="B3631" s="2">
        <v>44044</v>
      </c>
      <c r="C3631" s="1">
        <v>91</v>
      </c>
      <c r="D3631" s="47">
        <v>2350</v>
      </c>
      <c r="E3631" s="1">
        <v>2</v>
      </c>
      <c r="F3631" s="47">
        <f t="shared" si="245"/>
        <v>45</v>
      </c>
    </row>
    <row r="3632" spans="1:6" x14ac:dyDescent="0.25">
      <c r="A3632" s="5" t="s">
        <v>30</v>
      </c>
      <c r="B3632" s="2">
        <v>44044</v>
      </c>
      <c r="C3632" s="1">
        <v>25</v>
      </c>
      <c r="D3632" s="47">
        <v>194</v>
      </c>
      <c r="F3632" s="47">
        <f t="shared" si="245"/>
        <v>1</v>
      </c>
    </row>
    <row r="3633" spans="1:6" x14ac:dyDescent="0.25">
      <c r="A3633" s="5" t="s">
        <v>31</v>
      </c>
      <c r="B3633" s="2">
        <v>44044</v>
      </c>
      <c r="C3633" s="1">
        <v>14</v>
      </c>
      <c r="D3633" s="47">
        <v>826</v>
      </c>
      <c r="F3633" s="47">
        <f t="shared" si="245"/>
        <v>8</v>
      </c>
    </row>
    <row r="3634" spans="1:6" x14ac:dyDescent="0.25">
      <c r="A3634" s="5" t="s">
        <v>41</v>
      </c>
      <c r="B3634" s="2">
        <v>44044</v>
      </c>
      <c r="C3634" s="1">
        <v>0</v>
      </c>
      <c r="D3634" s="47">
        <v>82</v>
      </c>
      <c r="F3634" s="47">
        <f>E3634+F3610</f>
        <v>0</v>
      </c>
    </row>
    <row r="3635" spans="1:6" x14ac:dyDescent="0.25">
      <c r="A3635" s="5" t="s">
        <v>32</v>
      </c>
      <c r="B3635" s="2">
        <v>44044</v>
      </c>
      <c r="C3635" s="1">
        <v>85</v>
      </c>
      <c r="D3635" s="47">
        <v>2334</v>
      </c>
      <c r="F3635" s="47">
        <f t="shared" ref="F3635:F3644" si="246">E3635+F3610</f>
        <v>0</v>
      </c>
    </row>
    <row r="3636" spans="1:6" x14ac:dyDescent="0.25">
      <c r="A3636" s="5" t="s">
        <v>33</v>
      </c>
      <c r="B3636" s="2">
        <v>44044</v>
      </c>
      <c r="C3636" s="1">
        <v>29</v>
      </c>
      <c r="D3636" s="47">
        <v>146</v>
      </c>
      <c r="F3636" s="47">
        <f t="shared" si="246"/>
        <v>0</v>
      </c>
    </row>
    <row r="3637" spans="1:6" x14ac:dyDescent="0.25">
      <c r="A3637" s="5" t="s">
        <v>21</v>
      </c>
      <c r="B3637" s="2">
        <v>44044</v>
      </c>
      <c r="C3637" s="1">
        <v>3</v>
      </c>
      <c r="D3637" s="47">
        <v>340</v>
      </c>
      <c r="E3637" s="1">
        <v>2</v>
      </c>
      <c r="F3637" s="47">
        <f t="shared" si="246"/>
        <v>2</v>
      </c>
    </row>
    <row r="3638" spans="1:6" x14ac:dyDescent="0.25">
      <c r="A3638" s="5" t="s">
        <v>17</v>
      </c>
      <c r="B3638" s="2">
        <v>44044</v>
      </c>
      <c r="C3638" s="1">
        <v>84</v>
      </c>
      <c r="D3638" s="47">
        <v>1295</v>
      </c>
      <c r="E3638" s="1">
        <v>1</v>
      </c>
      <c r="F3638" s="47">
        <f t="shared" si="246"/>
        <v>1</v>
      </c>
    </row>
    <row r="3639" spans="1:6" x14ac:dyDescent="0.25">
      <c r="A3639" s="5" t="s">
        <v>23</v>
      </c>
      <c r="B3639" s="2">
        <v>44044</v>
      </c>
      <c r="C3639" s="1">
        <v>-1</v>
      </c>
      <c r="D3639" s="47">
        <v>58</v>
      </c>
      <c r="F3639" s="47">
        <f t="shared" si="246"/>
        <v>1</v>
      </c>
    </row>
    <row r="3640" spans="1:6" x14ac:dyDescent="0.25">
      <c r="A3640" s="5" t="s">
        <v>19</v>
      </c>
      <c r="B3640" s="2">
        <v>44044</v>
      </c>
      <c r="C3640" s="1">
        <v>8</v>
      </c>
      <c r="D3640" s="47">
        <v>1186</v>
      </c>
      <c r="F3640" s="47">
        <f t="shared" si="246"/>
        <v>1</v>
      </c>
    </row>
    <row r="3641" spans="1:6" x14ac:dyDescent="0.25">
      <c r="A3641" s="5" t="s">
        <v>18</v>
      </c>
      <c r="B3641" s="2">
        <v>44044</v>
      </c>
      <c r="C3641" s="1">
        <v>60</v>
      </c>
      <c r="D3641" s="47">
        <v>2007</v>
      </c>
      <c r="F3641" s="47">
        <f t="shared" si="246"/>
        <v>4</v>
      </c>
    </row>
    <row r="3642" spans="1:6" x14ac:dyDescent="0.25">
      <c r="A3642" s="5" t="s">
        <v>34</v>
      </c>
      <c r="B3642" s="2">
        <v>44044</v>
      </c>
      <c r="C3642" s="1">
        <v>22</v>
      </c>
      <c r="D3642" s="47">
        <v>285</v>
      </c>
      <c r="F3642" s="47">
        <f t="shared" si="246"/>
        <v>5</v>
      </c>
    </row>
    <row r="3643" spans="1:6" x14ac:dyDescent="0.25">
      <c r="A3643" s="5" t="s">
        <v>35</v>
      </c>
      <c r="B3643" s="2">
        <v>44044</v>
      </c>
      <c r="C3643" s="1">
        <v>0</v>
      </c>
      <c r="D3643" s="47">
        <v>20</v>
      </c>
      <c r="F3643" s="47">
        <f>E3643+F3619</f>
        <v>0</v>
      </c>
    </row>
    <row r="3644" spans="1:6" x14ac:dyDescent="0.25">
      <c r="A3644" s="5" t="s">
        <v>36</v>
      </c>
      <c r="B3644" s="2">
        <v>44044</v>
      </c>
      <c r="C3644" s="1">
        <v>2</v>
      </c>
      <c r="D3644" s="47">
        <v>28</v>
      </c>
      <c r="F3644" s="47">
        <f t="shared" si="246"/>
        <v>0</v>
      </c>
    </row>
    <row r="3645" spans="1:6" x14ac:dyDescent="0.25">
      <c r="A3645" s="5" t="s">
        <v>37</v>
      </c>
      <c r="B3645" s="2">
        <v>44044</v>
      </c>
      <c r="C3645" s="1">
        <v>49</v>
      </c>
      <c r="D3645" s="47">
        <v>503</v>
      </c>
      <c r="F3645" s="47">
        <f t="shared" ref="F3645:F3650" si="247">E3645+F3621</f>
        <v>2</v>
      </c>
    </row>
    <row r="3646" spans="1:6" x14ac:dyDescent="0.25">
      <c r="A3646" s="5" t="s">
        <v>22</v>
      </c>
      <c r="B3646" s="2">
        <v>44044</v>
      </c>
      <c r="C3646" s="1">
        <v>78</v>
      </c>
      <c r="D3646" s="47">
        <v>1294</v>
      </c>
      <c r="F3646" s="47">
        <f t="shared" si="247"/>
        <v>13</v>
      </c>
    </row>
    <row r="3647" spans="1:6" x14ac:dyDescent="0.25">
      <c r="A3647" s="5" t="s">
        <v>38</v>
      </c>
      <c r="B3647" s="2">
        <v>44044</v>
      </c>
      <c r="C3647" s="1">
        <v>2</v>
      </c>
      <c r="D3647" s="47">
        <v>47</v>
      </c>
      <c r="F3647" s="47">
        <f t="shared" si="247"/>
        <v>1</v>
      </c>
    </row>
    <row r="3648" spans="1:6" x14ac:dyDescent="0.25">
      <c r="A3648" s="5" t="s">
        <v>39</v>
      </c>
      <c r="B3648" s="2">
        <v>44044</v>
      </c>
      <c r="C3648" s="1">
        <v>47</v>
      </c>
      <c r="D3648" s="47">
        <v>505</v>
      </c>
      <c r="F3648" s="47">
        <f t="shared" si="247"/>
        <v>1</v>
      </c>
    </row>
    <row r="3649" spans="1:6" x14ac:dyDescent="0.25">
      <c r="A3649" s="5" t="s">
        <v>40</v>
      </c>
      <c r="B3649" s="2">
        <v>44044</v>
      </c>
      <c r="C3649" s="1">
        <v>20</v>
      </c>
      <c r="D3649" s="47">
        <v>231</v>
      </c>
      <c r="F3649" s="47">
        <f t="shared" si="247"/>
        <v>4</v>
      </c>
    </row>
    <row r="3650" spans="1:6" x14ac:dyDescent="0.25">
      <c r="A3650" s="34" t="s">
        <v>16</v>
      </c>
      <c r="B3650" s="2">
        <v>44045</v>
      </c>
      <c r="C3650" s="1">
        <v>3797</v>
      </c>
      <c r="D3650" s="47">
        <v>121952</v>
      </c>
      <c r="E3650" s="1">
        <v>35</v>
      </c>
      <c r="F3650" s="47">
        <f t="shared" si="247"/>
        <v>1981</v>
      </c>
    </row>
    <row r="3651" spans="1:6" x14ac:dyDescent="0.25">
      <c r="A3651" s="5" t="s">
        <v>28</v>
      </c>
      <c r="B3651" s="2">
        <v>44045</v>
      </c>
      <c r="C3651" s="1">
        <v>2</v>
      </c>
      <c r="D3651" s="47">
        <v>63</v>
      </c>
      <c r="F3651" s="47">
        <f t="shared" ref="F3651:F3657" si="248">E3651+F3627</f>
        <v>0</v>
      </c>
    </row>
    <row r="3652" spans="1:6" x14ac:dyDescent="0.25">
      <c r="A3652" s="5" t="s">
        <v>15</v>
      </c>
      <c r="B3652" s="2">
        <v>44045</v>
      </c>
      <c r="C3652" s="1">
        <v>33</v>
      </c>
      <c r="D3652" s="47">
        <v>3671</v>
      </c>
      <c r="E3652" s="1">
        <v>1</v>
      </c>
      <c r="F3652" s="47">
        <f t="shared" si="248"/>
        <v>142</v>
      </c>
    </row>
    <row r="3653" spans="1:6" x14ac:dyDescent="0.25">
      <c r="A3653" s="5" t="s">
        <v>29</v>
      </c>
      <c r="B3653" s="2">
        <v>44045</v>
      </c>
      <c r="C3653" s="1">
        <v>2</v>
      </c>
      <c r="D3653" s="47">
        <v>288</v>
      </c>
      <c r="F3653" s="47">
        <f t="shared" si="248"/>
        <v>4</v>
      </c>
    </row>
    <row r="3654" spans="1:6" x14ac:dyDescent="0.25">
      <c r="A3654" s="5" t="s">
        <v>43</v>
      </c>
      <c r="B3654" s="2">
        <v>44045</v>
      </c>
      <c r="C3654" s="1">
        <v>971</v>
      </c>
      <c r="D3654" s="47">
        <v>61626</v>
      </c>
      <c r="E3654" s="1">
        <v>6</v>
      </c>
      <c r="F3654" s="47">
        <f t="shared" si="248"/>
        <v>1247</v>
      </c>
    </row>
    <row r="3655" spans="1:6" x14ac:dyDescent="0.25">
      <c r="A3655" s="5" t="s">
        <v>20</v>
      </c>
      <c r="B3655" s="2">
        <v>44045</v>
      </c>
      <c r="C3655" s="1">
        <v>87</v>
      </c>
      <c r="D3655" s="47">
        <v>2437</v>
      </c>
      <c r="E3655" s="1">
        <v>1</v>
      </c>
      <c r="F3655" s="47">
        <f t="shared" si="248"/>
        <v>46</v>
      </c>
    </row>
    <row r="3656" spans="1:6" x14ac:dyDescent="0.25">
      <c r="A3656" s="5" t="s">
        <v>30</v>
      </c>
      <c r="B3656" s="2">
        <v>44045</v>
      </c>
      <c r="C3656" s="1">
        <v>4</v>
      </c>
      <c r="D3656" s="47">
        <v>198</v>
      </c>
      <c r="F3656" s="47">
        <f t="shared" si="248"/>
        <v>1</v>
      </c>
    </row>
    <row r="3657" spans="1:6" x14ac:dyDescent="0.25">
      <c r="A3657" s="5" t="s">
        <v>31</v>
      </c>
      <c r="B3657" s="2">
        <v>44045</v>
      </c>
      <c r="C3657" s="1">
        <v>20</v>
      </c>
      <c r="D3657" s="47">
        <v>846</v>
      </c>
      <c r="F3657" s="47">
        <f t="shared" si="248"/>
        <v>8</v>
      </c>
    </row>
    <row r="3658" spans="1:6" x14ac:dyDescent="0.25">
      <c r="A3658" s="5" t="s">
        <v>41</v>
      </c>
      <c r="B3658" s="2">
        <v>44045</v>
      </c>
      <c r="C3658" s="1">
        <v>0</v>
      </c>
      <c r="D3658" s="47">
        <v>82</v>
      </c>
      <c r="F3658" s="47">
        <f>E3658+F3634</f>
        <v>0</v>
      </c>
    </row>
    <row r="3659" spans="1:6" x14ac:dyDescent="0.25">
      <c r="A3659" s="5" t="s">
        <v>32</v>
      </c>
      <c r="B3659" s="2">
        <v>44045</v>
      </c>
      <c r="C3659" s="1">
        <v>38</v>
      </c>
      <c r="D3659" s="47">
        <v>2372</v>
      </c>
      <c r="F3659" s="47">
        <f t="shared" ref="F3659:F3668" si="249">E3659+F3634</f>
        <v>0</v>
      </c>
    </row>
    <row r="3660" spans="1:6" x14ac:dyDescent="0.25">
      <c r="A3660" s="5" t="s">
        <v>33</v>
      </c>
      <c r="B3660" s="2">
        <v>44045</v>
      </c>
      <c r="C3660" s="1">
        <v>7</v>
      </c>
      <c r="D3660" s="47">
        <v>153</v>
      </c>
      <c r="F3660" s="47">
        <f t="shared" si="249"/>
        <v>0</v>
      </c>
    </row>
    <row r="3661" spans="1:6" x14ac:dyDescent="0.25">
      <c r="A3661" s="5" t="s">
        <v>21</v>
      </c>
      <c r="B3661" s="2">
        <v>44045</v>
      </c>
      <c r="C3661" s="1">
        <v>7</v>
      </c>
      <c r="D3661" s="47">
        <v>347</v>
      </c>
      <c r="F3661" s="47">
        <f t="shared" si="249"/>
        <v>0</v>
      </c>
    </row>
    <row r="3662" spans="1:6" x14ac:dyDescent="0.25">
      <c r="A3662" s="5" t="s">
        <v>17</v>
      </c>
      <c r="B3662" s="2">
        <v>44045</v>
      </c>
      <c r="C3662" s="1">
        <v>95</v>
      </c>
      <c r="D3662" s="47">
        <v>1390</v>
      </c>
      <c r="E3662" s="1">
        <v>4</v>
      </c>
      <c r="F3662" s="47">
        <f t="shared" si="249"/>
        <v>6</v>
      </c>
    </row>
    <row r="3663" spans="1:6" x14ac:dyDescent="0.25">
      <c r="A3663" s="5" t="s">
        <v>23</v>
      </c>
      <c r="B3663" s="2">
        <v>44045</v>
      </c>
      <c r="C3663" s="1">
        <v>6</v>
      </c>
      <c r="D3663" s="47">
        <v>64</v>
      </c>
      <c r="F3663" s="47">
        <f t="shared" si="249"/>
        <v>1</v>
      </c>
    </row>
    <row r="3664" spans="1:6" x14ac:dyDescent="0.25">
      <c r="A3664" s="5" t="s">
        <v>19</v>
      </c>
      <c r="B3664" s="2">
        <v>44045</v>
      </c>
      <c r="C3664" s="1">
        <v>8</v>
      </c>
      <c r="D3664" s="47">
        <v>1194</v>
      </c>
      <c r="F3664" s="47">
        <f t="shared" si="249"/>
        <v>1</v>
      </c>
    </row>
    <row r="3665" spans="1:6" x14ac:dyDescent="0.25">
      <c r="A3665" s="5" t="s">
        <v>18</v>
      </c>
      <c r="B3665" s="2">
        <v>44045</v>
      </c>
      <c r="C3665" s="1">
        <v>56</v>
      </c>
      <c r="D3665" s="47">
        <v>2063</v>
      </c>
      <c r="F3665" s="47">
        <f t="shared" si="249"/>
        <v>1</v>
      </c>
    </row>
    <row r="3666" spans="1:6" x14ac:dyDescent="0.25">
      <c r="A3666" s="5" t="s">
        <v>34</v>
      </c>
      <c r="B3666" s="2">
        <v>44045</v>
      </c>
      <c r="C3666" s="1">
        <v>17</v>
      </c>
      <c r="D3666" s="47">
        <v>302</v>
      </c>
      <c r="F3666" s="47">
        <f t="shared" si="249"/>
        <v>4</v>
      </c>
    </row>
    <row r="3667" spans="1:6" x14ac:dyDescent="0.25">
      <c r="A3667" s="5" t="s">
        <v>35</v>
      </c>
      <c r="B3667" s="2">
        <v>44045</v>
      </c>
      <c r="C3667" s="1">
        <v>0</v>
      </c>
      <c r="D3667" s="47">
        <v>20</v>
      </c>
      <c r="F3667" s="47">
        <f>E3667+F3643</f>
        <v>0</v>
      </c>
    </row>
    <row r="3668" spans="1:6" x14ac:dyDescent="0.25">
      <c r="A3668" s="5" t="s">
        <v>36</v>
      </c>
      <c r="B3668" s="2">
        <v>44045</v>
      </c>
      <c r="C3668" s="1">
        <v>0</v>
      </c>
      <c r="D3668" s="47">
        <v>28</v>
      </c>
      <c r="F3668" s="47">
        <f t="shared" si="249"/>
        <v>0</v>
      </c>
    </row>
    <row r="3669" spans="1:6" x14ac:dyDescent="0.25">
      <c r="A3669" s="5" t="s">
        <v>37</v>
      </c>
      <c r="B3669" s="2">
        <v>44045</v>
      </c>
      <c r="C3669" s="1">
        <v>18</v>
      </c>
      <c r="D3669" s="47">
        <v>521</v>
      </c>
      <c r="F3669" s="47">
        <f t="shared" ref="F3669:F3674" si="250">E3669+F3645</f>
        <v>2</v>
      </c>
    </row>
    <row r="3670" spans="1:6" x14ac:dyDescent="0.25">
      <c r="A3670" s="5" t="s">
        <v>22</v>
      </c>
      <c r="B3670" s="2">
        <v>44045</v>
      </c>
      <c r="C3670" s="1">
        <v>78</v>
      </c>
      <c r="D3670" s="47">
        <v>1372</v>
      </c>
      <c r="E3670" s="1">
        <v>2</v>
      </c>
      <c r="F3670" s="47">
        <f t="shared" si="250"/>
        <v>15</v>
      </c>
    </row>
    <row r="3671" spans="1:6" x14ac:dyDescent="0.25">
      <c r="A3671" s="5" t="s">
        <v>38</v>
      </c>
      <c r="B3671" s="2">
        <v>44045</v>
      </c>
      <c r="C3671" s="1">
        <v>0</v>
      </c>
      <c r="D3671" s="47">
        <v>47</v>
      </c>
      <c r="F3671" s="47">
        <f t="shared" si="250"/>
        <v>1</v>
      </c>
    </row>
    <row r="3672" spans="1:6" x14ac:dyDescent="0.25">
      <c r="A3672" s="5" t="s">
        <v>39</v>
      </c>
      <c r="B3672" s="2">
        <v>44045</v>
      </c>
      <c r="C3672" s="1">
        <v>96</v>
      </c>
      <c r="D3672" s="47">
        <v>601</v>
      </c>
      <c r="F3672" s="47">
        <f t="shared" si="250"/>
        <v>1</v>
      </c>
    </row>
    <row r="3673" spans="1:6" x14ac:dyDescent="0.25">
      <c r="A3673" s="5" t="s">
        <v>40</v>
      </c>
      <c r="B3673" s="2">
        <v>44045</v>
      </c>
      <c r="C3673" s="1">
        <v>34</v>
      </c>
      <c r="D3673" s="47">
        <v>265</v>
      </c>
      <c r="F3673" s="47">
        <f t="shared" si="250"/>
        <v>4</v>
      </c>
    </row>
    <row r="3674" spans="1:6" x14ac:dyDescent="0.25">
      <c r="A3674" s="34" t="s">
        <v>16</v>
      </c>
      <c r="B3674" s="2">
        <v>44046</v>
      </c>
      <c r="C3674" s="1">
        <v>3158</v>
      </c>
      <c r="D3674" s="47">
        <v>125110</v>
      </c>
      <c r="E3674" s="1">
        <v>93</v>
      </c>
      <c r="F3674" s="47">
        <f t="shared" si="250"/>
        <v>2074</v>
      </c>
    </row>
    <row r="3675" spans="1:6" x14ac:dyDescent="0.25">
      <c r="A3675" s="5" t="s">
        <v>28</v>
      </c>
      <c r="B3675" s="2">
        <v>44046</v>
      </c>
      <c r="C3675" s="1">
        <v>2</v>
      </c>
      <c r="D3675" s="47">
        <v>65</v>
      </c>
      <c r="F3675" s="47">
        <f t="shared" ref="F3675:F3681" si="251">E3675+F3651</f>
        <v>0</v>
      </c>
    </row>
    <row r="3676" spans="1:6" x14ac:dyDescent="0.25">
      <c r="A3676" s="5" t="s">
        <v>15</v>
      </c>
      <c r="B3676" s="2">
        <v>44046</v>
      </c>
      <c r="C3676" s="1">
        <v>31</v>
      </c>
      <c r="D3676" s="47">
        <v>3702</v>
      </c>
      <c r="E3676" s="1">
        <f>1+2+3</f>
        <v>6</v>
      </c>
      <c r="F3676" s="47">
        <f t="shared" si="251"/>
        <v>148</v>
      </c>
    </row>
    <row r="3677" spans="1:6" x14ac:dyDescent="0.25">
      <c r="A3677" s="5" t="s">
        <v>29</v>
      </c>
      <c r="B3677" s="2">
        <v>44046</v>
      </c>
      <c r="C3677" s="1">
        <v>5</v>
      </c>
      <c r="D3677" s="47">
        <v>293</v>
      </c>
      <c r="F3677" s="47">
        <f t="shared" si="251"/>
        <v>4</v>
      </c>
    </row>
    <row r="3678" spans="1:6" x14ac:dyDescent="0.25">
      <c r="A3678" s="5" t="s">
        <v>43</v>
      </c>
      <c r="B3678" s="2">
        <v>44046</v>
      </c>
      <c r="C3678" s="1">
        <v>1051</v>
      </c>
      <c r="D3678" s="47">
        <v>62677</v>
      </c>
      <c r="E3678" s="1">
        <v>50</v>
      </c>
      <c r="F3678" s="47">
        <f t="shared" si="251"/>
        <v>1297</v>
      </c>
    </row>
    <row r="3679" spans="1:6" x14ac:dyDescent="0.25">
      <c r="A3679" s="5" t="s">
        <v>20</v>
      </c>
      <c r="B3679" s="2">
        <v>44046</v>
      </c>
      <c r="C3679" s="1">
        <v>133</v>
      </c>
      <c r="D3679" s="47">
        <v>2570</v>
      </c>
      <c r="F3679" s="47">
        <f t="shared" si="251"/>
        <v>46</v>
      </c>
    </row>
    <row r="3680" spans="1:6" x14ac:dyDescent="0.25">
      <c r="A3680" s="5" t="s">
        <v>30</v>
      </c>
      <c r="B3680" s="2">
        <v>44046</v>
      </c>
      <c r="C3680" s="1">
        <v>-2</v>
      </c>
      <c r="D3680" s="47">
        <v>196</v>
      </c>
      <c r="F3680" s="47">
        <f t="shared" si="251"/>
        <v>1</v>
      </c>
    </row>
    <row r="3681" spans="1:6" x14ac:dyDescent="0.25">
      <c r="A3681" s="5" t="s">
        <v>31</v>
      </c>
      <c r="B3681" s="2">
        <v>44046</v>
      </c>
      <c r="C3681" s="1">
        <v>29</v>
      </c>
      <c r="D3681" s="47">
        <v>875</v>
      </c>
      <c r="E3681" s="1">
        <v>2</v>
      </c>
      <c r="F3681" s="47">
        <f t="shared" si="251"/>
        <v>10</v>
      </c>
    </row>
    <row r="3682" spans="1:6" x14ac:dyDescent="0.25">
      <c r="A3682" s="5" t="s">
        <v>41</v>
      </c>
      <c r="B3682" s="2">
        <v>44046</v>
      </c>
      <c r="C3682" s="1">
        <v>2</v>
      </c>
      <c r="D3682" s="47">
        <v>84</v>
      </c>
      <c r="F3682" s="47">
        <f>E3682+F3658</f>
        <v>0</v>
      </c>
    </row>
    <row r="3683" spans="1:6" x14ac:dyDescent="0.25">
      <c r="A3683" s="5" t="s">
        <v>32</v>
      </c>
      <c r="B3683" s="2">
        <v>44046</v>
      </c>
      <c r="C3683" s="1">
        <v>102</v>
      </c>
      <c r="D3683" s="47">
        <v>2474</v>
      </c>
      <c r="F3683" s="47">
        <f t="shared" ref="F3683:F3692" si="252">E3683+F3658</f>
        <v>0</v>
      </c>
    </row>
    <row r="3684" spans="1:6" x14ac:dyDescent="0.25">
      <c r="A3684" s="5" t="s">
        <v>33</v>
      </c>
      <c r="B3684" s="2">
        <v>44046</v>
      </c>
      <c r="C3684" s="1">
        <v>5</v>
      </c>
      <c r="D3684" s="47">
        <v>158</v>
      </c>
      <c r="F3684" s="47">
        <f t="shared" si="252"/>
        <v>0</v>
      </c>
    </row>
    <row r="3685" spans="1:6" x14ac:dyDescent="0.25">
      <c r="A3685" s="5" t="s">
        <v>21</v>
      </c>
      <c r="B3685" s="2">
        <v>44046</v>
      </c>
      <c r="C3685" s="1">
        <v>5</v>
      </c>
      <c r="D3685" s="47">
        <v>352</v>
      </c>
      <c r="F3685" s="47">
        <f t="shared" si="252"/>
        <v>0</v>
      </c>
    </row>
    <row r="3686" spans="1:6" x14ac:dyDescent="0.25">
      <c r="A3686" s="5" t="s">
        <v>17</v>
      </c>
      <c r="B3686" s="2">
        <v>44046</v>
      </c>
      <c r="C3686" s="1">
        <v>79</v>
      </c>
      <c r="D3686" s="47">
        <v>1469</v>
      </c>
      <c r="E3686" s="1">
        <f>3+3</f>
        <v>6</v>
      </c>
      <c r="F3686" s="47">
        <f t="shared" si="252"/>
        <v>6</v>
      </c>
    </row>
    <row r="3687" spans="1:6" x14ac:dyDescent="0.25">
      <c r="A3687" s="5" t="s">
        <v>23</v>
      </c>
      <c r="B3687" s="2">
        <v>44046</v>
      </c>
      <c r="C3687" s="1">
        <v>-4</v>
      </c>
      <c r="D3687" s="47">
        <v>60</v>
      </c>
      <c r="F3687" s="47">
        <f t="shared" si="252"/>
        <v>6</v>
      </c>
    </row>
    <row r="3688" spans="1:6" x14ac:dyDescent="0.25">
      <c r="A3688" s="5" t="s">
        <v>19</v>
      </c>
      <c r="B3688" s="2">
        <v>44046</v>
      </c>
      <c r="C3688" s="1">
        <v>21</v>
      </c>
      <c r="D3688" s="47">
        <v>1215</v>
      </c>
      <c r="E3688" s="1">
        <f>2</f>
        <v>2</v>
      </c>
      <c r="F3688" s="47">
        <f t="shared" si="252"/>
        <v>3</v>
      </c>
    </row>
    <row r="3689" spans="1:6" x14ac:dyDescent="0.25">
      <c r="A3689" s="5" t="s">
        <v>18</v>
      </c>
      <c r="B3689" s="2">
        <v>44046</v>
      </c>
      <c r="C3689" s="1">
        <v>63</v>
      </c>
      <c r="D3689" s="47">
        <v>2126</v>
      </c>
      <c r="E3689" s="1">
        <v>3</v>
      </c>
      <c r="F3689" s="47">
        <f t="shared" si="252"/>
        <v>4</v>
      </c>
    </row>
    <row r="3690" spans="1:6" x14ac:dyDescent="0.25">
      <c r="A3690" s="5" t="s">
        <v>34</v>
      </c>
      <c r="B3690" s="2">
        <v>44046</v>
      </c>
      <c r="C3690" s="1">
        <v>1</v>
      </c>
      <c r="D3690" s="47">
        <v>303</v>
      </c>
      <c r="F3690" s="47">
        <f t="shared" si="252"/>
        <v>1</v>
      </c>
    </row>
    <row r="3691" spans="1:6" x14ac:dyDescent="0.25">
      <c r="A3691" s="5" t="s">
        <v>35</v>
      </c>
      <c r="B3691" s="2">
        <v>44046</v>
      </c>
      <c r="C3691" s="1">
        <v>2</v>
      </c>
      <c r="D3691" s="47">
        <v>22</v>
      </c>
      <c r="F3691" s="47">
        <f>E3691+F3667</f>
        <v>0</v>
      </c>
    </row>
    <row r="3692" spans="1:6" x14ac:dyDescent="0.25">
      <c r="A3692" s="5" t="s">
        <v>36</v>
      </c>
      <c r="B3692" s="2">
        <v>44046</v>
      </c>
      <c r="C3692" s="1">
        <v>-2</v>
      </c>
      <c r="D3692" s="47">
        <v>26</v>
      </c>
      <c r="F3692" s="47">
        <f t="shared" si="252"/>
        <v>0</v>
      </c>
    </row>
    <row r="3693" spans="1:6" x14ac:dyDescent="0.25">
      <c r="A3693" s="5" t="s">
        <v>37</v>
      </c>
      <c r="B3693" s="2">
        <v>44046</v>
      </c>
      <c r="C3693" s="1">
        <v>27</v>
      </c>
      <c r="D3693" s="47">
        <v>548</v>
      </c>
      <c r="F3693" s="47">
        <f t="shared" ref="F3693:F3698" si="253">E3693+F3669</f>
        <v>2</v>
      </c>
    </row>
    <row r="3694" spans="1:6" x14ac:dyDescent="0.25">
      <c r="A3694" s="5" t="s">
        <v>22</v>
      </c>
      <c r="B3694" s="2">
        <v>44046</v>
      </c>
      <c r="C3694" s="1">
        <v>63</v>
      </c>
      <c r="D3694" s="47">
        <v>1435</v>
      </c>
      <c r="E3694" s="1">
        <v>1</v>
      </c>
      <c r="F3694" s="47">
        <f t="shared" si="253"/>
        <v>16</v>
      </c>
    </row>
    <row r="3695" spans="1:6" x14ac:dyDescent="0.25">
      <c r="A3695" s="5" t="s">
        <v>38</v>
      </c>
      <c r="B3695" s="2">
        <v>44046</v>
      </c>
      <c r="C3695" s="1">
        <v>1</v>
      </c>
      <c r="D3695" s="47">
        <v>48</v>
      </c>
      <c r="F3695" s="47">
        <f t="shared" si="253"/>
        <v>1</v>
      </c>
    </row>
    <row r="3696" spans="1:6" x14ac:dyDescent="0.25">
      <c r="A3696" s="5" t="s">
        <v>39</v>
      </c>
      <c r="B3696" s="2">
        <v>44046</v>
      </c>
      <c r="C3696" s="1">
        <v>44</v>
      </c>
      <c r="D3696" s="47">
        <v>645</v>
      </c>
      <c r="F3696" s="47">
        <f t="shared" si="253"/>
        <v>1</v>
      </c>
    </row>
    <row r="3697" spans="1:6" x14ac:dyDescent="0.25">
      <c r="A3697" s="5" t="s">
        <v>40</v>
      </c>
      <c r="B3697" s="2">
        <v>44046</v>
      </c>
      <c r="C3697" s="1">
        <v>8</v>
      </c>
      <c r="D3697" s="47">
        <v>273</v>
      </c>
      <c r="F3697" s="47">
        <f t="shared" si="253"/>
        <v>4</v>
      </c>
    </row>
    <row r="3698" spans="1:6" x14ac:dyDescent="0.25">
      <c r="A3698" s="34" t="s">
        <v>16</v>
      </c>
      <c r="B3698" s="2">
        <v>44047</v>
      </c>
      <c r="C3698" s="1">
        <v>4337</v>
      </c>
      <c r="D3698" s="47">
        <v>129447</v>
      </c>
      <c r="E3698" s="1">
        <v>114</v>
      </c>
      <c r="F3698" s="47">
        <f t="shared" si="253"/>
        <v>2188</v>
      </c>
    </row>
    <row r="3699" spans="1:6" x14ac:dyDescent="0.25">
      <c r="A3699" s="5" t="s">
        <v>28</v>
      </c>
      <c r="B3699" s="2">
        <v>44047</v>
      </c>
      <c r="C3699" s="1">
        <v>-2</v>
      </c>
      <c r="D3699" s="47">
        <v>63</v>
      </c>
      <c r="F3699" s="47">
        <f t="shared" ref="F3699:F3705" si="254">E3699+F3675</f>
        <v>0</v>
      </c>
    </row>
    <row r="3700" spans="1:6" x14ac:dyDescent="0.25">
      <c r="A3700" s="5" t="s">
        <v>15</v>
      </c>
      <c r="B3700" s="2">
        <v>44047</v>
      </c>
      <c r="C3700" s="1">
        <v>53</v>
      </c>
      <c r="D3700" s="47">
        <v>3755</v>
      </c>
      <c r="E3700" s="1">
        <v>3</v>
      </c>
      <c r="F3700" s="47">
        <f t="shared" si="254"/>
        <v>151</v>
      </c>
    </row>
    <row r="3701" spans="1:6" x14ac:dyDescent="0.25">
      <c r="A3701" s="5" t="s">
        <v>29</v>
      </c>
      <c r="B3701" s="2">
        <v>44047</v>
      </c>
      <c r="C3701" s="1">
        <v>1</v>
      </c>
      <c r="D3701" s="47">
        <v>294</v>
      </c>
      <c r="F3701" s="47">
        <f t="shared" si="254"/>
        <v>4</v>
      </c>
    </row>
    <row r="3702" spans="1:6" x14ac:dyDescent="0.25">
      <c r="A3702" s="5" t="s">
        <v>43</v>
      </c>
      <c r="B3702" s="2">
        <v>44047</v>
      </c>
      <c r="C3702" s="1">
        <v>1371</v>
      </c>
      <c r="D3702" s="47">
        <v>64048</v>
      </c>
      <c r="E3702" s="1">
        <f>18+13+7+7</f>
        <v>45</v>
      </c>
      <c r="F3702" s="47">
        <f t="shared" si="254"/>
        <v>1342</v>
      </c>
    </row>
    <row r="3703" spans="1:6" x14ac:dyDescent="0.25">
      <c r="A3703" s="5" t="s">
        <v>20</v>
      </c>
      <c r="B3703" s="2">
        <v>44047</v>
      </c>
      <c r="C3703" s="1">
        <v>147</v>
      </c>
      <c r="D3703" s="47">
        <v>2717</v>
      </c>
      <c r="E3703" s="1">
        <v>1</v>
      </c>
      <c r="F3703" s="47">
        <f t="shared" si="254"/>
        <v>47</v>
      </c>
    </row>
    <row r="3704" spans="1:6" x14ac:dyDescent="0.25">
      <c r="A3704" s="5" t="s">
        <v>30</v>
      </c>
      <c r="B3704" s="2">
        <v>44047</v>
      </c>
      <c r="C3704" s="1">
        <v>-4</v>
      </c>
      <c r="D3704" s="47">
        <v>192</v>
      </c>
      <c r="E3704" s="1">
        <v>1</v>
      </c>
      <c r="F3704" s="47">
        <f>E3704+F3680</f>
        <v>2</v>
      </c>
    </row>
    <row r="3705" spans="1:6" x14ac:dyDescent="0.25">
      <c r="A3705" s="5" t="s">
        <v>31</v>
      </c>
      <c r="B3705" s="2">
        <v>44047</v>
      </c>
      <c r="C3705" s="1">
        <v>22</v>
      </c>
      <c r="D3705" s="47">
        <v>897</v>
      </c>
      <c r="F3705" s="47">
        <f t="shared" si="254"/>
        <v>10</v>
      </c>
    </row>
    <row r="3706" spans="1:6" x14ac:dyDescent="0.25">
      <c r="A3706" s="5" t="s">
        <v>41</v>
      </c>
      <c r="B3706" s="2">
        <v>44047</v>
      </c>
      <c r="C3706" s="1">
        <v>1</v>
      </c>
      <c r="D3706" s="47">
        <v>85</v>
      </c>
      <c r="F3706" s="47">
        <f>E3706+F3682</f>
        <v>0</v>
      </c>
    </row>
    <row r="3707" spans="1:6" x14ac:dyDescent="0.25">
      <c r="A3707" s="5" t="s">
        <v>32</v>
      </c>
      <c r="B3707" s="2">
        <v>44047</v>
      </c>
      <c r="C3707" s="1">
        <v>269</v>
      </c>
      <c r="D3707" s="47">
        <v>2743</v>
      </c>
      <c r="F3707" s="47">
        <f t="shared" ref="F3707:F3716" si="255">E3707+F3682</f>
        <v>0</v>
      </c>
    </row>
    <row r="3708" spans="1:6" x14ac:dyDescent="0.25">
      <c r="A3708" s="5" t="s">
        <v>33</v>
      </c>
      <c r="B3708" s="2">
        <v>44047</v>
      </c>
      <c r="C3708" s="1">
        <v>29</v>
      </c>
      <c r="D3708" s="47">
        <v>187</v>
      </c>
      <c r="F3708" s="47">
        <f t="shared" si="255"/>
        <v>0</v>
      </c>
    </row>
    <row r="3709" spans="1:6" x14ac:dyDescent="0.25">
      <c r="A3709" s="5" t="s">
        <v>21</v>
      </c>
      <c r="B3709" s="2">
        <v>44047</v>
      </c>
      <c r="C3709" s="1">
        <v>29</v>
      </c>
      <c r="D3709" s="47">
        <v>381</v>
      </c>
      <c r="F3709" s="47">
        <f t="shared" si="255"/>
        <v>0</v>
      </c>
    </row>
    <row r="3710" spans="1:6" x14ac:dyDescent="0.25">
      <c r="A3710" s="5" t="s">
        <v>17</v>
      </c>
      <c r="B3710" s="2">
        <v>44047</v>
      </c>
      <c r="C3710" s="1">
        <v>106</v>
      </c>
      <c r="D3710" s="47">
        <v>1575</v>
      </c>
      <c r="E3710" s="1">
        <v>2</v>
      </c>
      <c r="F3710" s="47">
        <f t="shared" si="255"/>
        <v>2</v>
      </c>
    </row>
    <row r="3711" spans="1:6" x14ac:dyDescent="0.25">
      <c r="A3711" s="5" t="s">
        <v>23</v>
      </c>
      <c r="B3711" s="2">
        <v>44047</v>
      </c>
      <c r="C3711" s="1">
        <v>-1</v>
      </c>
      <c r="D3711" s="47">
        <v>59</v>
      </c>
      <c r="F3711" s="47">
        <f t="shared" si="255"/>
        <v>6</v>
      </c>
    </row>
    <row r="3712" spans="1:6" x14ac:dyDescent="0.25">
      <c r="A3712" s="5" t="s">
        <v>19</v>
      </c>
      <c r="B3712" s="2">
        <v>44047</v>
      </c>
      <c r="C3712" s="1">
        <v>18</v>
      </c>
      <c r="D3712" s="47">
        <v>1233</v>
      </c>
      <c r="F3712" s="47">
        <f t="shared" si="255"/>
        <v>6</v>
      </c>
    </row>
    <row r="3713" spans="1:6" x14ac:dyDescent="0.25">
      <c r="A3713" s="5" t="s">
        <v>18</v>
      </c>
      <c r="B3713" s="2">
        <v>44047</v>
      </c>
      <c r="C3713" s="1">
        <v>197</v>
      </c>
      <c r="D3713" s="47">
        <v>2323</v>
      </c>
      <c r="E3713" s="1">
        <v>2</v>
      </c>
      <c r="F3713" s="47">
        <f t="shared" si="255"/>
        <v>5</v>
      </c>
    </row>
    <row r="3714" spans="1:6" x14ac:dyDescent="0.25">
      <c r="A3714" s="5" t="s">
        <v>34</v>
      </c>
      <c r="B3714" s="2">
        <v>44047</v>
      </c>
      <c r="C3714" s="1">
        <v>42</v>
      </c>
      <c r="D3714" s="47">
        <v>345</v>
      </c>
      <c r="F3714" s="47">
        <f t="shared" si="255"/>
        <v>4</v>
      </c>
    </row>
    <row r="3715" spans="1:6" x14ac:dyDescent="0.25">
      <c r="A3715" s="5" t="s">
        <v>35</v>
      </c>
      <c r="B3715" s="2">
        <v>44047</v>
      </c>
      <c r="C3715" s="1">
        <v>0</v>
      </c>
      <c r="D3715" s="47">
        <v>22</v>
      </c>
      <c r="F3715" s="47">
        <f>E3715+F3691</f>
        <v>0</v>
      </c>
    </row>
    <row r="3716" spans="1:6" x14ac:dyDescent="0.25">
      <c r="A3716" s="5" t="s">
        <v>36</v>
      </c>
      <c r="B3716" s="2">
        <v>44047</v>
      </c>
      <c r="C3716" s="1">
        <v>5</v>
      </c>
      <c r="D3716" s="47">
        <v>31</v>
      </c>
      <c r="F3716" s="47">
        <f t="shared" si="255"/>
        <v>0</v>
      </c>
    </row>
    <row r="3717" spans="1:6" x14ac:dyDescent="0.25">
      <c r="A3717" s="5" t="s">
        <v>37</v>
      </c>
      <c r="B3717" s="2">
        <v>44047</v>
      </c>
      <c r="C3717" s="1">
        <v>16</v>
      </c>
      <c r="D3717" s="47">
        <v>564</v>
      </c>
      <c r="F3717" s="47">
        <f t="shared" ref="F3717:F3722" si="256">E3717+F3693</f>
        <v>2</v>
      </c>
    </row>
    <row r="3718" spans="1:6" x14ac:dyDescent="0.25">
      <c r="A3718" s="5" t="s">
        <v>22</v>
      </c>
      <c r="B3718" s="2">
        <v>44047</v>
      </c>
      <c r="C3718" s="1">
        <v>101</v>
      </c>
      <c r="D3718" s="47">
        <v>1536</v>
      </c>
      <c r="F3718" s="47">
        <f t="shared" si="256"/>
        <v>16</v>
      </c>
    </row>
    <row r="3719" spans="1:6" x14ac:dyDescent="0.25">
      <c r="A3719" s="5" t="s">
        <v>38</v>
      </c>
      <c r="B3719" s="2">
        <v>44047</v>
      </c>
      <c r="C3719" s="1">
        <v>1</v>
      </c>
      <c r="D3719" s="47">
        <v>49</v>
      </c>
      <c r="F3719" s="47">
        <f t="shared" si="256"/>
        <v>1</v>
      </c>
    </row>
    <row r="3720" spans="1:6" x14ac:dyDescent="0.25">
      <c r="A3720" s="5" t="s">
        <v>39</v>
      </c>
      <c r="B3720" s="2">
        <v>44047</v>
      </c>
      <c r="C3720" s="1">
        <v>58</v>
      </c>
      <c r="D3720" s="47">
        <v>703</v>
      </c>
      <c r="F3720" s="47">
        <f t="shared" si="256"/>
        <v>1</v>
      </c>
    </row>
    <row r="3721" spans="1:6" x14ac:dyDescent="0.25">
      <c r="A3721" s="5" t="s">
        <v>40</v>
      </c>
      <c r="B3721" s="2">
        <v>44047</v>
      </c>
      <c r="C3721" s="1">
        <v>24</v>
      </c>
      <c r="D3721" s="47">
        <v>297</v>
      </c>
      <c r="F3721" s="47">
        <f t="shared" si="256"/>
        <v>4</v>
      </c>
    </row>
    <row r="3722" spans="1:6" x14ac:dyDescent="0.25">
      <c r="A3722" s="34" t="s">
        <v>16</v>
      </c>
      <c r="B3722" s="2">
        <v>44048</v>
      </c>
      <c r="C3722" s="1">
        <v>4676</v>
      </c>
      <c r="D3722" s="47">
        <v>134123</v>
      </c>
      <c r="E3722" s="1">
        <f>12+12+34+26</f>
        <v>84</v>
      </c>
      <c r="F3722" s="47">
        <f t="shared" si="256"/>
        <v>2272</v>
      </c>
    </row>
    <row r="3723" spans="1:6" x14ac:dyDescent="0.25">
      <c r="A3723" s="5" t="s">
        <v>28</v>
      </c>
      <c r="B3723" s="2">
        <v>44048</v>
      </c>
      <c r="C3723" s="1">
        <v>-2</v>
      </c>
      <c r="D3723" s="47">
        <v>61</v>
      </c>
      <c r="F3723" s="47">
        <f t="shared" ref="F3723:F3729" si="257">E3723+F3699</f>
        <v>0</v>
      </c>
    </row>
    <row r="3724" spans="1:6" x14ac:dyDescent="0.25">
      <c r="A3724" s="5" t="s">
        <v>15</v>
      </c>
      <c r="B3724" s="2">
        <v>44048</v>
      </c>
      <c r="C3724" s="1">
        <v>70</v>
      </c>
      <c r="D3724" s="47">
        <v>3825</v>
      </c>
      <c r="E3724" s="1">
        <v>2</v>
      </c>
      <c r="F3724" s="47">
        <f t="shared" si="257"/>
        <v>153</v>
      </c>
    </row>
    <row r="3725" spans="1:6" x14ac:dyDescent="0.25">
      <c r="A3725" s="5" t="s">
        <v>29</v>
      </c>
      <c r="B3725" s="2">
        <v>44048</v>
      </c>
      <c r="C3725" s="1">
        <v>9</v>
      </c>
      <c r="D3725" s="47">
        <v>303</v>
      </c>
      <c r="F3725" s="47">
        <f t="shared" si="257"/>
        <v>4</v>
      </c>
    </row>
    <row r="3726" spans="1:6" x14ac:dyDescent="0.25">
      <c r="A3726" s="5" t="s">
        <v>43</v>
      </c>
      <c r="B3726" s="2">
        <v>44048</v>
      </c>
      <c r="C3726" s="1">
        <v>1467</v>
      </c>
      <c r="D3726" s="47">
        <v>65515</v>
      </c>
      <c r="E3726" s="1">
        <f>1+1+16+14</f>
        <v>32</v>
      </c>
      <c r="F3726" s="47">
        <f t="shared" si="257"/>
        <v>1374</v>
      </c>
    </row>
    <row r="3727" spans="1:6" x14ac:dyDescent="0.25">
      <c r="A3727" s="5" t="s">
        <v>20</v>
      </c>
      <c r="B3727" s="2">
        <v>44048</v>
      </c>
      <c r="C3727" s="1">
        <v>137</v>
      </c>
      <c r="D3727" s="47">
        <v>2854</v>
      </c>
      <c r="E3727" s="1">
        <v>2</v>
      </c>
      <c r="F3727" s="47">
        <f t="shared" si="257"/>
        <v>49</v>
      </c>
    </row>
    <row r="3728" spans="1:6" x14ac:dyDescent="0.25">
      <c r="A3728" s="5" t="s">
        <v>30</v>
      </c>
      <c r="B3728" s="2">
        <v>44048</v>
      </c>
      <c r="C3728" s="1">
        <v>5</v>
      </c>
      <c r="D3728" s="47">
        <v>197</v>
      </c>
      <c r="F3728" s="47">
        <f t="shared" si="257"/>
        <v>2</v>
      </c>
    </row>
    <row r="3729" spans="1:6" x14ac:dyDescent="0.25">
      <c r="A3729" s="5" t="s">
        <v>31</v>
      </c>
      <c r="B3729" s="2">
        <v>44048</v>
      </c>
      <c r="C3729" s="1">
        <v>42</v>
      </c>
      <c r="D3729" s="47">
        <v>939</v>
      </c>
      <c r="E3729" s="1">
        <v>2</v>
      </c>
      <c r="F3729" s="47">
        <f t="shared" si="257"/>
        <v>12</v>
      </c>
    </row>
    <row r="3730" spans="1:6" x14ac:dyDescent="0.25">
      <c r="A3730" s="5" t="s">
        <v>41</v>
      </c>
      <c r="B3730" s="2">
        <v>44048</v>
      </c>
      <c r="C3730" s="1">
        <v>-2</v>
      </c>
      <c r="D3730" s="47">
        <v>83</v>
      </c>
      <c r="F3730" s="47">
        <f>E3730+F3706</f>
        <v>0</v>
      </c>
    </row>
    <row r="3731" spans="1:6" x14ac:dyDescent="0.25">
      <c r="A3731" s="5" t="s">
        <v>32</v>
      </c>
      <c r="B3731" s="2">
        <v>44048</v>
      </c>
      <c r="C3731" s="1">
        <v>135</v>
      </c>
      <c r="D3731" s="47">
        <v>2878</v>
      </c>
      <c r="F3731" s="47">
        <f t="shared" ref="F3731:F3740" si="258">E3731+F3706</f>
        <v>0</v>
      </c>
    </row>
    <row r="3732" spans="1:6" x14ac:dyDescent="0.25">
      <c r="A3732" s="5" t="s">
        <v>33</v>
      </c>
      <c r="B3732" s="2">
        <v>44048</v>
      </c>
      <c r="C3732" s="1">
        <v>6</v>
      </c>
      <c r="D3732" s="47">
        <v>193</v>
      </c>
      <c r="F3732" s="47">
        <f t="shared" si="258"/>
        <v>0</v>
      </c>
    </row>
    <row r="3733" spans="1:6" x14ac:dyDescent="0.25">
      <c r="A3733" s="5" t="s">
        <v>21</v>
      </c>
      <c r="B3733" s="2">
        <v>44048</v>
      </c>
      <c r="C3733" s="1">
        <v>27</v>
      </c>
      <c r="D3733" s="47">
        <v>408</v>
      </c>
      <c r="F3733" s="47">
        <f t="shared" si="258"/>
        <v>0</v>
      </c>
    </row>
    <row r="3734" spans="1:6" x14ac:dyDescent="0.25">
      <c r="A3734" s="5" t="s">
        <v>17</v>
      </c>
      <c r="B3734" s="2">
        <v>44048</v>
      </c>
      <c r="C3734" s="1">
        <v>98</v>
      </c>
      <c r="D3734" s="47">
        <v>1673</v>
      </c>
      <c r="E3734" s="1">
        <v>1</v>
      </c>
      <c r="F3734" s="47">
        <f t="shared" si="258"/>
        <v>1</v>
      </c>
    </row>
    <row r="3735" spans="1:6" x14ac:dyDescent="0.25">
      <c r="A3735" s="5" t="s">
        <v>23</v>
      </c>
      <c r="B3735" s="2">
        <v>44048</v>
      </c>
      <c r="C3735" s="1">
        <v>0</v>
      </c>
      <c r="D3735" s="47">
        <v>59</v>
      </c>
      <c r="F3735" s="47">
        <f t="shared" si="258"/>
        <v>2</v>
      </c>
    </row>
    <row r="3736" spans="1:6" x14ac:dyDescent="0.25">
      <c r="A3736" s="5" t="s">
        <v>19</v>
      </c>
      <c r="B3736" s="2">
        <v>44048</v>
      </c>
      <c r="C3736" s="1">
        <v>81</v>
      </c>
      <c r="D3736" s="47">
        <v>1314</v>
      </c>
      <c r="E3736" s="1">
        <f>1+1</f>
        <v>2</v>
      </c>
      <c r="F3736" s="47">
        <f t="shared" si="258"/>
        <v>8</v>
      </c>
    </row>
    <row r="3737" spans="1:6" x14ac:dyDescent="0.25">
      <c r="A3737" s="5" t="s">
        <v>18</v>
      </c>
      <c r="B3737" s="2">
        <v>44048</v>
      </c>
      <c r="C3737" s="1">
        <v>121</v>
      </c>
      <c r="D3737" s="47">
        <v>2444</v>
      </c>
      <c r="F3737" s="47">
        <f t="shared" si="258"/>
        <v>6</v>
      </c>
    </row>
    <row r="3738" spans="1:6" x14ac:dyDescent="0.25">
      <c r="A3738" s="5" t="s">
        <v>34</v>
      </c>
      <c r="B3738" s="2">
        <v>44048</v>
      </c>
      <c r="C3738" s="1">
        <v>34</v>
      </c>
      <c r="D3738" s="47">
        <v>379</v>
      </c>
      <c r="F3738" s="47">
        <f t="shared" si="258"/>
        <v>5</v>
      </c>
    </row>
    <row r="3739" spans="1:6" x14ac:dyDescent="0.25">
      <c r="A3739" s="5" t="s">
        <v>35</v>
      </c>
      <c r="B3739" s="2">
        <v>44048</v>
      </c>
      <c r="C3739" s="1">
        <v>1</v>
      </c>
      <c r="D3739" s="47">
        <v>23</v>
      </c>
      <c r="F3739" s="47">
        <f>E3739+F3715</f>
        <v>0</v>
      </c>
    </row>
    <row r="3740" spans="1:6" x14ac:dyDescent="0.25">
      <c r="A3740" s="5" t="s">
        <v>36</v>
      </c>
      <c r="B3740" s="2">
        <v>44048</v>
      </c>
      <c r="C3740" s="1">
        <v>2</v>
      </c>
      <c r="D3740" s="47">
        <v>33</v>
      </c>
      <c r="F3740" s="47">
        <f t="shared" si="258"/>
        <v>0</v>
      </c>
    </row>
    <row r="3741" spans="1:6" x14ac:dyDescent="0.25">
      <c r="A3741" s="5" t="s">
        <v>37</v>
      </c>
      <c r="B3741" s="2">
        <v>44048</v>
      </c>
      <c r="C3741" s="1">
        <v>50</v>
      </c>
      <c r="D3741" s="47">
        <v>614</v>
      </c>
      <c r="F3741" s="47">
        <f t="shared" ref="F3741:F3746" si="259">E3741+F3717</f>
        <v>2</v>
      </c>
    </row>
    <row r="3742" spans="1:6" x14ac:dyDescent="0.25">
      <c r="A3742" s="5" t="s">
        <v>22</v>
      </c>
      <c r="B3742" s="2">
        <v>44048</v>
      </c>
      <c r="C3742" s="1">
        <v>101</v>
      </c>
      <c r="D3742" s="47">
        <v>1637</v>
      </c>
      <c r="E3742" s="1">
        <f>1+1</f>
        <v>2</v>
      </c>
      <c r="F3742" s="47">
        <f t="shared" si="259"/>
        <v>18</v>
      </c>
    </row>
    <row r="3743" spans="1:6" x14ac:dyDescent="0.25">
      <c r="A3743" s="5" t="s">
        <v>38</v>
      </c>
      <c r="B3743" s="2">
        <v>44048</v>
      </c>
      <c r="C3743" s="1">
        <v>18</v>
      </c>
      <c r="D3743" s="47">
        <v>67</v>
      </c>
      <c r="F3743" s="47">
        <f t="shared" si="259"/>
        <v>1</v>
      </c>
    </row>
    <row r="3744" spans="1:6" x14ac:dyDescent="0.25">
      <c r="A3744" s="5" t="s">
        <v>39</v>
      </c>
      <c r="B3744" s="2">
        <v>44048</v>
      </c>
      <c r="C3744" s="1">
        <v>43</v>
      </c>
      <c r="D3744" s="47">
        <v>746</v>
      </c>
      <c r="F3744" s="47">
        <f t="shared" si="259"/>
        <v>1</v>
      </c>
    </row>
    <row r="3745" spans="1:6" x14ac:dyDescent="0.25">
      <c r="A3745" s="5" t="s">
        <v>40</v>
      </c>
      <c r="B3745" s="2">
        <v>44048</v>
      </c>
      <c r="C3745" s="1">
        <v>28</v>
      </c>
      <c r="D3745" s="47">
        <v>325</v>
      </c>
      <c r="F3745" s="47">
        <f t="shared" si="259"/>
        <v>4</v>
      </c>
    </row>
    <row r="3746" spans="1:6" x14ac:dyDescent="0.25">
      <c r="A3746" s="34" t="s">
        <v>16</v>
      </c>
      <c r="B3746" s="2">
        <v>44049</v>
      </c>
      <c r="C3746" s="1">
        <v>4987</v>
      </c>
      <c r="D3746" s="47">
        <v>139110</v>
      </c>
      <c r="E3746" s="1">
        <f>15+6+45+30</f>
        <v>96</v>
      </c>
      <c r="F3746" s="47">
        <f t="shared" si="259"/>
        <v>2368</v>
      </c>
    </row>
    <row r="3747" spans="1:6" x14ac:dyDescent="0.25">
      <c r="A3747" s="5" t="s">
        <v>28</v>
      </c>
      <c r="B3747" s="2">
        <v>44049</v>
      </c>
      <c r="C3747" s="1">
        <v>0</v>
      </c>
      <c r="D3747" s="47">
        <v>61</v>
      </c>
      <c r="F3747" s="47">
        <f t="shared" ref="F3747:F3753" si="260">E3747+F3723</f>
        <v>0</v>
      </c>
    </row>
    <row r="3748" spans="1:6" x14ac:dyDescent="0.25">
      <c r="A3748" s="5" t="s">
        <v>15</v>
      </c>
      <c r="B3748" s="2">
        <v>44049</v>
      </c>
      <c r="C3748" s="1">
        <v>47</v>
      </c>
      <c r="D3748" s="47">
        <v>3872</v>
      </c>
      <c r="E3748" s="1">
        <f>1+4</f>
        <v>5</v>
      </c>
      <c r="F3748" s="47">
        <f t="shared" si="260"/>
        <v>158</v>
      </c>
    </row>
    <row r="3749" spans="1:6" x14ac:dyDescent="0.25">
      <c r="A3749" s="5" t="s">
        <v>29</v>
      </c>
      <c r="B3749" s="2">
        <v>44049</v>
      </c>
      <c r="C3749" s="1">
        <v>7</v>
      </c>
      <c r="D3749" s="47">
        <v>310</v>
      </c>
      <c r="F3749" s="47">
        <f t="shared" si="260"/>
        <v>4</v>
      </c>
    </row>
    <row r="3750" spans="1:6" x14ac:dyDescent="0.25">
      <c r="A3750" s="5" t="s">
        <v>43</v>
      </c>
      <c r="B3750" s="2">
        <v>44049</v>
      </c>
      <c r="C3750" s="1">
        <v>1448</v>
      </c>
      <c r="D3750" s="47">
        <v>66963</v>
      </c>
      <c r="E3750" s="1">
        <v>31</v>
      </c>
      <c r="F3750" s="47">
        <f>E3750+F3726</f>
        <v>1405</v>
      </c>
    </row>
    <row r="3751" spans="1:6" x14ac:dyDescent="0.25">
      <c r="A3751" s="5" t="s">
        <v>20</v>
      </c>
      <c r="B3751" s="2">
        <v>44049</v>
      </c>
      <c r="C3751" s="1">
        <v>144</v>
      </c>
      <c r="D3751" s="47">
        <v>2998</v>
      </c>
      <c r="F3751" s="47">
        <f t="shared" si="260"/>
        <v>49</v>
      </c>
    </row>
    <row r="3752" spans="1:6" x14ac:dyDescent="0.25">
      <c r="A3752" s="5" t="s">
        <v>30</v>
      </c>
      <c r="B3752" s="2">
        <v>44049</v>
      </c>
      <c r="C3752" s="1">
        <v>4</v>
      </c>
      <c r="D3752" s="47">
        <v>201</v>
      </c>
      <c r="F3752" s="47">
        <f t="shared" si="260"/>
        <v>2</v>
      </c>
    </row>
    <row r="3753" spans="1:6" x14ac:dyDescent="0.25">
      <c r="A3753" s="5" t="s">
        <v>31</v>
      </c>
      <c r="B3753" s="2">
        <v>44049</v>
      </c>
      <c r="C3753" s="1">
        <v>59</v>
      </c>
      <c r="D3753" s="47">
        <v>998</v>
      </c>
      <c r="F3753" s="47">
        <f t="shared" si="260"/>
        <v>12</v>
      </c>
    </row>
    <row r="3754" spans="1:6" x14ac:dyDescent="0.25">
      <c r="A3754" s="5" t="s">
        <v>41</v>
      </c>
      <c r="B3754" s="2">
        <v>44049</v>
      </c>
      <c r="C3754" s="1">
        <v>1</v>
      </c>
      <c r="D3754" s="47">
        <v>84</v>
      </c>
      <c r="F3754" s="47">
        <f>E3754+F3730</f>
        <v>0</v>
      </c>
    </row>
    <row r="3755" spans="1:6" x14ac:dyDescent="0.25">
      <c r="A3755" s="5" t="s">
        <v>32</v>
      </c>
      <c r="B3755" s="2">
        <v>44049</v>
      </c>
      <c r="C3755" s="1">
        <v>71</v>
      </c>
      <c r="D3755" s="47">
        <v>2949</v>
      </c>
      <c r="F3755" s="47">
        <f t="shared" ref="F3755:F3764" si="261">E3755+F3730</f>
        <v>0</v>
      </c>
    </row>
    <row r="3756" spans="1:6" x14ac:dyDescent="0.25">
      <c r="A3756" s="5" t="s">
        <v>33</v>
      </c>
      <c r="B3756" s="2">
        <v>44049</v>
      </c>
      <c r="C3756" s="1">
        <v>5</v>
      </c>
      <c r="D3756" s="47">
        <v>198</v>
      </c>
      <c r="F3756" s="47">
        <f t="shared" si="261"/>
        <v>0</v>
      </c>
    </row>
    <row r="3757" spans="1:6" x14ac:dyDescent="0.25">
      <c r="A3757" s="5" t="s">
        <v>21</v>
      </c>
      <c r="B3757" s="2">
        <v>44049</v>
      </c>
      <c r="C3757" s="1">
        <v>40</v>
      </c>
      <c r="D3757" s="47">
        <v>448</v>
      </c>
      <c r="F3757" s="47">
        <f t="shared" si="261"/>
        <v>0</v>
      </c>
    </row>
    <row r="3758" spans="1:6" x14ac:dyDescent="0.25">
      <c r="A3758" s="5" t="s">
        <v>17</v>
      </c>
      <c r="B3758" s="2">
        <v>44049</v>
      </c>
      <c r="C3758" s="1">
        <v>117</v>
      </c>
      <c r="D3758" s="47">
        <v>1790</v>
      </c>
      <c r="E3758" s="1">
        <v>2</v>
      </c>
      <c r="F3758" s="47">
        <f t="shared" si="261"/>
        <v>2</v>
      </c>
    </row>
    <row r="3759" spans="1:6" x14ac:dyDescent="0.25">
      <c r="A3759" s="5" t="s">
        <v>23</v>
      </c>
      <c r="B3759" s="2">
        <v>44049</v>
      </c>
      <c r="C3759" s="1">
        <v>1</v>
      </c>
      <c r="D3759" s="47">
        <v>60</v>
      </c>
      <c r="F3759" s="47">
        <f t="shared" si="261"/>
        <v>1</v>
      </c>
    </row>
    <row r="3760" spans="1:6" x14ac:dyDescent="0.25">
      <c r="A3760" s="5" t="s">
        <v>19</v>
      </c>
      <c r="B3760" s="2">
        <v>44049</v>
      </c>
      <c r="C3760" s="1">
        <v>53</v>
      </c>
      <c r="D3760" s="47">
        <v>1367</v>
      </c>
      <c r="E3760" s="1">
        <v>4</v>
      </c>
      <c r="F3760" s="47">
        <f t="shared" si="261"/>
        <v>6</v>
      </c>
    </row>
    <row r="3761" spans="1:6" x14ac:dyDescent="0.25">
      <c r="A3761" s="5" t="s">
        <v>18</v>
      </c>
      <c r="B3761" s="2">
        <v>44049</v>
      </c>
      <c r="C3761" s="1">
        <v>222</v>
      </c>
      <c r="D3761" s="47">
        <v>2666</v>
      </c>
      <c r="F3761" s="47">
        <f t="shared" si="261"/>
        <v>8</v>
      </c>
    </row>
    <row r="3762" spans="1:6" x14ac:dyDescent="0.25">
      <c r="A3762" s="5" t="s">
        <v>34</v>
      </c>
      <c r="B3762" s="2">
        <v>44049</v>
      </c>
      <c r="C3762" s="1">
        <v>42</v>
      </c>
      <c r="D3762" s="47">
        <v>421</v>
      </c>
      <c r="F3762" s="47">
        <f t="shared" si="261"/>
        <v>6</v>
      </c>
    </row>
    <row r="3763" spans="1:6" x14ac:dyDescent="0.25">
      <c r="A3763" s="5" t="s">
        <v>35</v>
      </c>
      <c r="B3763" s="2">
        <v>44049</v>
      </c>
      <c r="C3763" s="1">
        <v>-1</v>
      </c>
      <c r="D3763" s="47">
        <v>22</v>
      </c>
      <c r="F3763" s="47">
        <f>E3763+F3739</f>
        <v>0</v>
      </c>
    </row>
    <row r="3764" spans="1:6" x14ac:dyDescent="0.25">
      <c r="A3764" s="5" t="s">
        <v>36</v>
      </c>
      <c r="B3764" s="2">
        <v>44049</v>
      </c>
      <c r="C3764" s="1">
        <v>-1</v>
      </c>
      <c r="D3764" s="47">
        <v>32</v>
      </c>
      <c r="F3764" s="47">
        <f t="shared" si="261"/>
        <v>0</v>
      </c>
    </row>
    <row r="3765" spans="1:6" x14ac:dyDescent="0.25">
      <c r="A3765" s="5" t="s">
        <v>37</v>
      </c>
      <c r="B3765" s="2">
        <v>44049</v>
      </c>
      <c r="C3765" s="1">
        <v>21</v>
      </c>
      <c r="D3765" s="47">
        <v>635</v>
      </c>
      <c r="E3765" s="1">
        <v>1</v>
      </c>
      <c r="F3765" s="47">
        <f t="shared" ref="F3765:F3770" si="262">E3765+F3741</f>
        <v>3</v>
      </c>
    </row>
    <row r="3766" spans="1:6" x14ac:dyDescent="0.25">
      <c r="A3766" s="5" t="s">
        <v>22</v>
      </c>
      <c r="B3766" s="2">
        <v>44049</v>
      </c>
      <c r="C3766" s="1">
        <v>141</v>
      </c>
      <c r="D3766" s="47">
        <v>1778</v>
      </c>
      <c r="F3766" s="47">
        <f t="shared" si="262"/>
        <v>18</v>
      </c>
    </row>
    <row r="3767" spans="1:6" x14ac:dyDescent="0.25">
      <c r="A3767" s="5" t="s">
        <v>38</v>
      </c>
      <c r="B3767" s="2">
        <v>44049</v>
      </c>
      <c r="C3767" s="1">
        <v>10</v>
      </c>
      <c r="D3767" s="47">
        <v>77</v>
      </c>
      <c r="F3767" s="47">
        <f t="shared" si="262"/>
        <v>1</v>
      </c>
    </row>
    <row r="3768" spans="1:6" x14ac:dyDescent="0.25">
      <c r="A3768" s="5" t="s">
        <v>39</v>
      </c>
      <c r="B3768" s="2">
        <v>44049</v>
      </c>
      <c r="C3768" s="1">
        <v>67</v>
      </c>
      <c r="D3768" s="47">
        <v>813</v>
      </c>
      <c r="E3768" s="1">
        <f>1+2</f>
        <v>3</v>
      </c>
      <c r="F3768" s="47">
        <f t="shared" si="262"/>
        <v>4</v>
      </c>
    </row>
    <row r="3769" spans="1:6" x14ac:dyDescent="0.25">
      <c r="A3769" s="5" t="s">
        <v>40</v>
      </c>
      <c r="B3769" s="2">
        <v>44049</v>
      </c>
      <c r="C3769" s="1">
        <v>30</v>
      </c>
      <c r="D3769" s="47">
        <v>355</v>
      </c>
      <c r="E3769" s="1">
        <f>1</f>
        <v>1</v>
      </c>
      <c r="F3769" s="47">
        <f t="shared" si="262"/>
        <v>5</v>
      </c>
    </row>
    <row r="3770" spans="1:6" x14ac:dyDescent="0.25">
      <c r="A3770" s="34" t="s">
        <v>16</v>
      </c>
      <c r="B3770" s="2">
        <v>44050</v>
      </c>
      <c r="C3770" s="1">
        <v>5200</v>
      </c>
      <c r="D3770" s="47">
        <v>144310</v>
      </c>
      <c r="E3770" s="1">
        <v>107</v>
      </c>
      <c r="F3770" s="47">
        <f t="shared" si="262"/>
        <v>2475</v>
      </c>
    </row>
    <row r="3771" spans="1:6" x14ac:dyDescent="0.25">
      <c r="A3771" s="5" t="s">
        <v>28</v>
      </c>
      <c r="B3771" s="2">
        <v>44050</v>
      </c>
      <c r="C3771" s="1">
        <v>0</v>
      </c>
      <c r="D3771" s="47">
        <v>61</v>
      </c>
      <c r="F3771" s="47">
        <f t="shared" ref="F3771:F3777" si="263">E3771+F3747</f>
        <v>0</v>
      </c>
    </row>
    <row r="3772" spans="1:6" x14ac:dyDescent="0.25">
      <c r="A3772" s="5" t="s">
        <v>15</v>
      </c>
      <c r="B3772" s="2">
        <v>44050</v>
      </c>
      <c r="C3772" s="1">
        <v>77</v>
      </c>
      <c r="D3772" s="47">
        <v>3949</v>
      </c>
      <c r="E3772" s="1">
        <v>5</v>
      </c>
      <c r="F3772" s="47">
        <f t="shared" si="263"/>
        <v>163</v>
      </c>
    </row>
    <row r="3773" spans="1:6" x14ac:dyDescent="0.25">
      <c r="A3773" s="5" t="s">
        <v>29</v>
      </c>
      <c r="B3773" s="2">
        <v>44050</v>
      </c>
      <c r="C3773" s="1">
        <v>2</v>
      </c>
      <c r="D3773" s="47">
        <v>312</v>
      </c>
      <c r="F3773" s="47">
        <f t="shared" si="263"/>
        <v>4</v>
      </c>
    </row>
    <row r="3774" spans="1:6" x14ac:dyDescent="0.25">
      <c r="A3774" s="5" t="s">
        <v>43</v>
      </c>
      <c r="B3774" s="2">
        <v>44050</v>
      </c>
      <c r="C3774" s="1">
        <v>1237</v>
      </c>
      <c r="D3774" s="47">
        <v>68200</v>
      </c>
      <c r="E3774" s="1">
        <v>26</v>
      </c>
      <c r="F3774" s="47">
        <f t="shared" si="263"/>
        <v>1431</v>
      </c>
    </row>
    <row r="3775" spans="1:6" x14ac:dyDescent="0.25">
      <c r="A3775" s="5" t="s">
        <v>20</v>
      </c>
      <c r="B3775" s="2">
        <v>44050</v>
      </c>
      <c r="C3775" s="1">
        <v>162</v>
      </c>
      <c r="D3775" s="47">
        <v>3160</v>
      </c>
      <c r="E3775" s="1">
        <f>5+4</f>
        <v>9</v>
      </c>
      <c r="F3775" s="47">
        <f t="shared" si="263"/>
        <v>58</v>
      </c>
    </row>
    <row r="3776" spans="1:6" x14ac:dyDescent="0.25">
      <c r="A3776" s="5" t="s">
        <v>30</v>
      </c>
      <c r="B3776" s="2">
        <v>44050</v>
      </c>
      <c r="C3776" s="1">
        <v>4</v>
      </c>
      <c r="D3776" s="47">
        <v>205</v>
      </c>
      <c r="F3776" s="47">
        <f t="shared" si="263"/>
        <v>2</v>
      </c>
    </row>
    <row r="3777" spans="1:6" x14ac:dyDescent="0.25">
      <c r="A3777" s="5" t="s">
        <v>31</v>
      </c>
      <c r="B3777" s="2">
        <v>44050</v>
      </c>
      <c r="C3777" s="1">
        <v>57</v>
      </c>
      <c r="D3777" s="47">
        <v>1055</v>
      </c>
      <c r="E3777" s="1">
        <v>1</v>
      </c>
      <c r="F3777" s="47">
        <f t="shared" si="263"/>
        <v>13</v>
      </c>
    </row>
    <row r="3778" spans="1:6" x14ac:dyDescent="0.25">
      <c r="A3778" s="5" t="s">
        <v>41</v>
      </c>
      <c r="B3778" s="2">
        <v>44050</v>
      </c>
      <c r="C3778" s="1">
        <v>0</v>
      </c>
      <c r="D3778" s="47">
        <v>84</v>
      </c>
      <c r="F3778" s="47">
        <f>E3778+F3754</f>
        <v>0</v>
      </c>
    </row>
    <row r="3779" spans="1:6" x14ac:dyDescent="0.25">
      <c r="A3779" s="5" t="s">
        <v>32</v>
      </c>
      <c r="B3779" s="2">
        <v>44050</v>
      </c>
      <c r="C3779" s="1">
        <v>70</v>
      </c>
      <c r="D3779" s="47">
        <v>3019</v>
      </c>
      <c r="F3779" s="47">
        <f t="shared" ref="F3779:F3788" si="264">E3779+F3754</f>
        <v>0</v>
      </c>
    </row>
    <row r="3780" spans="1:6" x14ac:dyDescent="0.25">
      <c r="A3780" s="5" t="s">
        <v>33</v>
      </c>
      <c r="B3780" s="2">
        <v>44050</v>
      </c>
      <c r="C3780" s="1">
        <v>7</v>
      </c>
      <c r="D3780" s="47">
        <v>205</v>
      </c>
      <c r="F3780" s="47">
        <f t="shared" si="264"/>
        <v>0</v>
      </c>
    </row>
    <row r="3781" spans="1:6" x14ac:dyDescent="0.25">
      <c r="A3781" s="5" t="s">
        <v>21</v>
      </c>
      <c r="B3781" s="2">
        <v>44050</v>
      </c>
      <c r="C3781" s="1">
        <v>29</v>
      </c>
      <c r="D3781" s="47">
        <v>477</v>
      </c>
      <c r="E3781" s="1">
        <f>1</f>
        <v>1</v>
      </c>
      <c r="F3781" s="47">
        <f t="shared" si="264"/>
        <v>1</v>
      </c>
    </row>
    <row r="3782" spans="1:6" x14ac:dyDescent="0.25">
      <c r="A3782" s="5" t="s">
        <v>17</v>
      </c>
      <c r="B3782" s="2">
        <v>44050</v>
      </c>
      <c r="C3782" s="1">
        <v>124</v>
      </c>
      <c r="D3782" s="47">
        <v>1914</v>
      </c>
      <c r="E3782" s="1">
        <v>2</v>
      </c>
      <c r="F3782" s="47">
        <f t="shared" si="264"/>
        <v>2</v>
      </c>
    </row>
    <row r="3783" spans="1:6" x14ac:dyDescent="0.25">
      <c r="A3783" s="5" t="s">
        <v>23</v>
      </c>
      <c r="B3783" s="2">
        <v>44050</v>
      </c>
      <c r="C3783" s="1">
        <v>-1</v>
      </c>
      <c r="D3783" s="47">
        <v>59</v>
      </c>
      <c r="F3783" s="47">
        <f t="shared" si="264"/>
        <v>2</v>
      </c>
    </row>
    <row r="3784" spans="1:6" x14ac:dyDescent="0.25">
      <c r="A3784" s="5" t="s">
        <v>19</v>
      </c>
      <c r="B3784" s="2">
        <v>44050</v>
      </c>
      <c r="C3784" s="1">
        <v>42</v>
      </c>
      <c r="D3784" s="47">
        <v>1409</v>
      </c>
      <c r="E3784" s="1">
        <v>1</v>
      </c>
      <c r="F3784" s="47">
        <f t="shared" si="264"/>
        <v>2</v>
      </c>
    </row>
    <row r="3785" spans="1:6" x14ac:dyDescent="0.25">
      <c r="A3785" s="5" t="s">
        <v>18</v>
      </c>
      <c r="B3785" s="2">
        <v>44050</v>
      </c>
      <c r="C3785" s="1">
        <v>105</v>
      </c>
      <c r="D3785" s="47">
        <v>2771</v>
      </c>
      <c r="E3785" s="1">
        <v>1</v>
      </c>
      <c r="F3785" s="47">
        <f t="shared" si="264"/>
        <v>7</v>
      </c>
    </row>
    <row r="3786" spans="1:6" x14ac:dyDescent="0.25">
      <c r="A3786" s="5" t="s">
        <v>34</v>
      </c>
      <c r="B3786" s="2">
        <v>44050</v>
      </c>
      <c r="C3786" s="1">
        <v>54</v>
      </c>
      <c r="D3786" s="47">
        <v>475</v>
      </c>
      <c r="E3786" s="1">
        <f>2+2</f>
        <v>4</v>
      </c>
      <c r="F3786" s="47">
        <f t="shared" si="264"/>
        <v>12</v>
      </c>
    </row>
    <row r="3787" spans="1:6" x14ac:dyDescent="0.25">
      <c r="A3787" s="5" t="s">
        <v>35</v>
      </c>
      <c r="B3787" s="2">
        <v>44050</v>
      </c>
      <c r="C3787" s="1">
        <v>0</v>
      </c>
      <c r="D3787" s="47">
        <v>22</v>
      </c>
      <c r="F3787" s="47">
        <f>E3787+F3763</f>
        <v>0</v>
      </c>
    </row>
    <row r="3788" spans="1:6" x14ac:dyDescent="0.25">
      <c r="A3788" s="5" t="s">
        <v>36</v>
      </c>
      <c r="B3788" s="2">
        <v>44050</v>
      </c>
      <c r="C3788" s="1">
        <v>1</v>
      </c>
      <c r="D3788" s="47">
        <v>33</v>
      </c>
      <c r="F3788" s="47">
        <f t="shared" si="264"/>
        <v>0</v>
      </c>
    </row>
    <row r="3789" spans="1:6" x14ac:dyDescent="0.25">
      <c r="A3789" s="5" t="s">
        <v>37</v>
      </c>
      <c r="B3789" s="2">
        <v>44050</v>
      </c>
      <c r="C3789" s="1">
        <v>64</v>
      </c>
      <c r="D3789" s="47">
        <v>699</v>
      </c>
      <c r="F3789" s="47">
        <f t="shared" ref="F3789:F3794" si="265">E3789+F3765</f>
        <v>3</v>
      </c>
    </row>
    <row r="3790" spans="1:6" x14ac:dyDescent="0.25">
      <c r="A3790" s="5" t="s">
        <v>22</v>
      </c>
      <c r="B3790" s="2">
        <v>44050</v>
      </c>
      <c r="C3790" s="1">
        <v>134</v>
      </c>
      <c r="D3790" s="47">
        <v>1912</v>
      </c>
      <c r="E3790" s="1">
        <f>1+1</f>
        <v>2</v>
      </c>
      <c r="F3790" s="47">
        <f t="shared" si="265"/>
        <v>20</v>
      </c>
    </row>
    <row r="3791" spans="1:6" x14ac:dyDescent="0.25">
      <c r="A3791" s="5" t="s">
        <v>38</v>
      </c>
      <c r="B3791" s="2">
        <v>44050</v>
      </c>
      <c r="C3791" s="1">
        <v>29</v>
      </c>
      <c r="D3791" s="47">
        <v>106</v>
      </c>
      <c r="F3791" s="47">
        <f t="shared" si="265"/>
        <v>1</v>
      </c>
    </row>
    <row r="3792" spans="1:6" x14ac:dyDescent="0.25">
      <c r="A3792" s="5" t="s">
        <v>39</v>
      </c>
      <c r="B3792" s="2">
        <v>44050</v>
      </c>
      <c r="C3792" s="1">
        <v>85</v>
      </c>
      <c r="D3792" s="47">
        <v>898</v>
      </c>
      <c r="F3792" s="47">
        <f t="shared" si="265"/>
        <v>4</v>
      </c>
    </row>
    <row r="3793" spans="1:6" x14ac:dyDescent="0.25">
      <c r="A3793" s="5" t="s">
        <v>40</v>
      </c>
      <c r="B3793" s="2">
        <v>44050</v>
      </c>
      <c r="C3793" s="1">
        <v>9</v>
      </c>
      <c r="D3793" s="47">
        <v>364</v>
      </c>
      <c r="F3793" s="47">
        <f t="shared" si="265"/>
        <v>5</v>
      </c>
    </row>
    <row r="3794" spans="1:6" x14ac:dyDescent="0.25">
      <c r="A3794" s="34" t="s">
        <v>16</v>
      </c>
      <c r="B3794" s="2">
        <v>44051</v>
      </c>
      <c r="C3794" s="1">
        <v>4053</v>
      </c>
      <c r="D3794" s="47">
        <v>148363</v>
      </c>
      <c r="E3794" s="1">
        <v>84</v>
      </c>
      <c r="F3794" s="47">
        <f t="shared" si="265"/>
        <v>2559</v>
      </c>
    </row>
    <row r="3795" spans="1:6" x14ac:dyDescent="0.25">
      <c r="A3795" s="5" t="s">
        <v>28</v>
      </c>
      <c r="B3795" s="2">
        <v>44051</v>
      </c>
      <c r="C3795" s="1">
        <v>1</v>
      </c>
      <c r="D3795" s="47">
        <v>62</v>
      </c>
      <c r="F3795" s="47">
        <f t="shared" ref="F3795:F3801" si="266">E3795+F3771</f>
        <v>0</v>
      </c>
    </row>
    <row r="3796" spans="1:6" x14ac:dyDescent="0.25">
      <c r="A3796" s="5" t="s">
        <v>15</v>
      </c>
      <c r="B3796" s="2">
        <v>44051</v>
      </c>
      <c r="C3796" s="1">
        <v>54</v>
      </c>
      <c r="D3796" s="47">
        <v>4003</v>
      </c>
      <c r="F3796" s="47">
        <f t="shared" si="266"/>
        <v>163</v>
      </c>
    </row>
    <row r="3797" spans="1:6" x14ac:dyDescent="0.25">
      <c r="A3797" s="5" t="s">
        <v>29</v>
      </c>
      <c r="B3797" s="2">
        <v>44051</v>
      </c>
      <c r="C3797" s="1">
        <v>16</v>
      </c>
      <c r="D3797" s="47">
        <v>328</v>
      </c>
      <c r="F3797" s="47">
        <f t="shared" si="266"/>
        <v>4</v>
      </c>
    </row>
    <row r="3798" spans="1:6" x14ac:dyDescent="0.25">
      <c r="A3798" s="5" t="s">
        <v>43</v>
      </c>
      <c r="B3798" s="2">
        <v>44051</v>
      </c>
      <c r="C3798" s="1">
        <v>966</v>
      </c>
      <c r="D3798" s="47">
        <v>69166</v>
      </c>
      <c r="E3798" s="1">
        <v>17</v>
      </c>
      <c r="F3798" s="47">
        <f t="shared" si="266"/>
        <v>1448</v>
      </c>
    </row>
    <row r="3799" spans="1:6" x14ac:dyDescent="0.25">
      <c r="A3799" s="5" t="s">
        <v>20</v>
      </c>
      <c r="B3799" s="2">
        <v>44051</v>
      </c>
      <c r="C3799" s="1">
        <v>150</v>
      </c>
      <c r="D3799" s="47">
        <v>3310</v>
      </c>
      <c r="E3799" s="1">
        <v>3</v>
      </c>
      <c r="F3799" s="47">
        <f t="shared" si="266"/>
        <v>61</v>
      </c>
    </row>
    <row r="3800" spans="1:6" x14ac:dyDescent="0.25">
      <c r="A3800" s="5" t="s">
        <v>30</v>
      </c>
      <c r="B3800" s="2">
        <v>44051</v>
      </c>
      <c r="C3800" s="1">
        <v>3</v>
      </c>
      <c r="D3800" s="47">
        <v>208</v>
      </c>
      <c r="F3800" s="47">
        <f t="shared" si="266"/>
        <v>2</v>
      </c>
    </row>
    <row r="3801" spans="1:6" x14ac:dyDescent="0.25">
      <c r="A3801" s="5" t="s">
        <v>31</v>
      </c>
      <c r="B3801" s="2">
        <v>44051</v>
      </c>
      <c r="C3801" s="1">
        <v>31</v>
      </c>
      <c r="D3801" s="47">
        <v>1086</v>
      </c>
      <c r="F3801" s="47">
        <f t="shared" si="266"/>
        <v>13</v>
      </c>
    </row>
    <row r="3802" spans="1:6" x14ac:dyDescent="0.25">
      <c r="A3802" s="5" t="s">
        <v>41</v>
      </c>
      <c r="B3802" s="2">
        <v>44051</v>
      </c>
      <c r="C3802" s="1">
        <v>1</v>
      </c>
      <c r="D3802" s="47">
        <v>85</v>
      </c>
      <c r="F3802" s="47">
        <f>E3802+F3778</f>
        <v>0</v>
      </c>
    </row>
    <row r="3803" spans="1:6" x14ac:dyDescent="0.25">
      <c r="A3803" s="5" t="s">
        <v>32</v>
      </c>
      <c r="B3803" s="2">
        <v>44051</v>
      </c>
      <c r="C3803" s="1">
        <v>328</v>
      </c>
      <c r="D3803" s="47">
        <v>3347</v>
      </c>
      <c r="E3803" s="1">
        <v>1</v>
      </c>
      <c r="F3803" s="47">
        <f t="shared" ref="F3803:F3812" si="267">E3803+F3778</f>
        <v>1</v>
      </c>
    </row>
    <row r="3804" spans="1:6" x14ac:dyDescent="0.25">
      <c r="A3804" s="5" t="s">
        <v>33</v>
      </c>
      <c r="B3804" s="2">
        <v>44051</v>
      </c>
      <c r="C3804" s="1">
        <v>1</v>
      </c>
      <c r="D3804" s="47">
        <v>206</v>
      </c>
      <c r="F3804" s="47">
        <f t="shared" si="267"/>
        <v>0</v>
      </c>
    </row>
    <row r="3805" spans="1:6" x14ac:dyDescent="0.25">
      <c r="A3805" s="5" t="s">
        <v>21</v>
      </c>
      <c r="B3805" s="2">
        <v>44051</v>
      </c>
      <c r="C3805" s="1">
        <v>36</v>
      </c>
      <c r="D3805" s="47">
        <v>513</v>
      </c>
      <c r="E3805" s="1">
        <v>1</v>
      </c>
      <c r="F3805" s="47">
        <f t="shared" si="267"/>
        <v>1</v>
      </c>
    </row>
    <row r="3806" spans="1:6" x14ac:dyDescent="0.25">
      <c r="A3806" s="5" t="s">
        <v>17</v>
      </c>
      <c r="B3806" s="2">
        <v>44051</v>
      </c>
      <c r="C3806" s="1">
        <v>124</v>
      </c>
      <c r="D3806" s="47">
        <v>2038</v>
      </c>
      <c r="E3806" s="1">
        <v>1</v>
      </c>
      <c r="F3806" s="47">
        <f t="shared" si="267"/>
        <v>2</v>
      </c>
    </row>
    <row r="3807" spans="1:6" x14ac:dyDescent="0.25">
      <c r="A3807" s="5" t="s">
        <v>23</v>
      </c>
      <c r="B3807" s="2">
        <v>44051</v>
      </c>
      <c r="C3807" s="1">
        <v>-2</v>
      </c>
      <c r="D3807" s="47">
        <v>57</v>
      </c>
      <c r="F3807" s="47">
        <f t="shared" si="267"/>
        <v>2</v>
      </c>
    </row>
    <row r="3808" spans="1:6" x14ac:dyDescent="0.25">
      <c r="A3808" s="5" t="s">
        <v>19</v>
      </c>
      <c r="B3808" s="2">
        <v>44051</v>
      </c>
      <c r="C3808" s="1">
        <v>18</v>
      </c>
      <c r="D3808" s="47">
        <v>1427</v>
      </c>
      <c r="F3808" s="47">
        <f t="shared" si="267"/>
        <v>2</v>
      </c>
    </row>
    <row r="3809" spans="1:6" x14ac:dyDescent="0.25">
      <c r="A3809" s="5" t="s">
        <v>18</v>
      </c>
      <c r="B3809" s="2">
        <v>44051</v>
      </c>
      <c r="C3809" s="1">
        <v>70</v>
      </c>
      <c r="D3809" s="47">
        <v>2841</v>
      </c>
      <c r="E3809" s="1">
        <v>3</v>
      </c>
      <c r="F3809" s="47">
        <f t="shared" si="267"/>
        <v>5</v>
      </c>
    </row>
    <row r="3810" spans="1:6" x14ac:dyDescent="0.25">
      <c r="A3810" s="5" t="s">
        <v>34</v>
      </c>
      <c r="B3810" s="2">
        <v>44051</v>
      </c>
      <c r="C3810" s="1">
        <v>68</v>
      </c>
      <c r="D3810" s="47">
        <v>543</v>
      </c>
      <c r="F3810" s="47">
        <f t="shared" si="267"/>
        <v>7</v>
      </c>
    </row>
    <row r="3811" spans="1:6" x14ac:dyDescent="0.25">
      <c r="A3811" s="5" t="s">
        <v>35</v>
      </c>
      <c r="B3811" s="2">
        <v>44051</v>
      </c>
      <c r="C3811" s="1">
        <v>1</v>
      </c>
      <c r="D3811" s="47">
        <v>23</v>
      </c>
      <c r="F3811" s="47">
        <f>E3811+F3787</f>
        <v>0</v>
      </c>
    </row>
    <row r="3812" spans="1:6" x14ac:dyDescent="0.25">
      <c r="A3812" s="5" t="s">
        <v>36</v>
      </c>
      <c r="B3812" s="2">
        <v>44051</v>
      </c>
      <c r="C3812" s="1">
        <v>0</v>
      </c>
      <c r="D3812" s="47">
        <v>33</v>
      </c>
      <c r="F3812" s="47">
        <f t="shared" si="267"/>
        <v>0</v>
      </c>
    </row>
    <row r="3813" spans="1:6" x14ac:dyDescent="0.25">
      <c r="A3813" s="5" t="s">
        <v>37</v>
      </c>
      <c r="B3813" s="2">
        <v>44051</v>
      </c>
      <c r="C3813" s="1">
        <v>8</v>
      </c>
      <c r="D3813" s="47">
        <v>707</v>
      </c>
      <c r="F3813" s="47">
        <f t="shared" ref="F3813:F3818" si="268">E3813+F3789</f>
        <v>3</v>
      </c>
    </row>
    <row r="3814" spans="1:6" x14ac:dyDescent="0.25">
      <c r="A3814" s="5" t="s">
        <v>22</v>
      </c>
      <c r="B3814" s="2">
        <v>44051</v>
      </c>
      <c r="C3814" s="1">
        <v>137</v>
      </c>
      <c r="D3814" s="47">
        <v>2049</v>
      </c>
      <c r="E3814" s="1">
        <v>1</v>
      </c>
      <c r="F3814" s="47">
        <f t="shared" si="268"/>
        <v>21</v>
      </c>
    </row>
    <row r="3815" spans="1:6" x14ac:dyDescent="0.25">
      <c r="A3815" s="5" t="s">
        <v>38</v>
      </c>
      <c r="B3815" s="2">
        <v>44051</v>
      </c>
      <c r="C3815" s="1">
        <v>9</v>
      </c>
      <c r="D3815" s="47">
        <v>115</v>
      </c>
      <c r="F3815" s="47">
        <f t="shared" si="268"/>
        <v>1</v>
      </c>
    </row>
    <row r="3816" spans="1:6" x14ac:dyDescent="0.25">
      <c r="A3816" s="5" t="s">
        <v>39</v>
      </c>
      <c r="B3816" s="2">
        <v>44051</v>
      </c>
      <c r="C3816" s="1">
        <v>52</v>
      </c>
      <c r="D3816" s="47">
        <v>950</v>
      </c>
      <c r="E3816" s="1">
        <v>1</v>
      </c>
      <c r="F3816" s="47">
        <f t="shared" si="268"/>
        <v>5</v>
      </c>
    </row>
    <row r="3817" spans="1:6" x14ac:dyDescent="0.25">
      <c r="A3817" s="5" t="s">
        <v>40</v>
      </c>
      <c r="B3817" s="2">
        <v>44051</v>
      </c>
      <c r="C3817" s="1">
        <v>9</v>
      </c>
      <c r="D3817" s="47">
        <v>373</v>
      </c>
      <c r="F3817" s="47">
        <f t="shared" si="268"/>
        <v>5</v>
      </c>
    </row>
    <row r="3818" spans="1:6" x14ac:dyDescent="0.25">
      <c r="A3818" s="34" t="s">
        <v>16</v>
      </c>
      <c r="B3818" s="2">
        <v>44052</v>
      </c>
      <c r="C3818" s="1">
        <v>2904</v>
      </c>
      <c r="D3818" s="47">
        <v>151267</v>
      </c>
      <c r="E3818" s="1">
        <v>55</v>
      </c>
      <c r="F3818" s="47">
        <f t="shared" si="268"/>
        <v>2614</v>
      </c>
    </row>
    <row r="3819" spans="1:6" x14ac:dyDescent="0.25">
      <c r="A3819" s="5" t="s">
        <v>28</v>
      </c>
      <c r="B3819" s="2">
        <v>44052</v>
      </c>
      <c r="C3819" s="1">
        <v>0</v>
      </c>
      <c r="D3819" s="47">
        <v>62</v>
      </c>
      <c r="F3819" s="47">
        <f t="shared" ref="F3819:F3825" si="269">E3819+F3795</f>
        <v>0</v>
      </c>
    </row>
    <row r="3820" spans="1:6" x14ac:dyDescent="0.25">
      <c r="A3820" s="5" t="s">
        <v>15</v>
      </c>
      <c r="B3820" s="2">
        <v>44052</v>
      </c>
      <c r="C3820" s="1">
        <v>66</v>
      </c>
      <c r="D3820" s="47">
        <v>4069</v>
      </c>
      <c r="F3820" s="47">
        <f t="shared" si="269"/>
        <v>163</v>
      </c>
    </row>
    <row r="3821" spans="1:6" x14ac:dyDescent="0.25">
      <c r="A3821" s="5" t="s">
        <v>29</v>
      </c>
      <c r="B3821" s="2">
        <v>44052</v>
      </c>
      <c r="C3821" s="1">
        <v>21</v>
      </c>
      <c r="D3821" s="47">
        <v>349</v>
      </c>
      <c r="F3821" s="47">
        <f t="shared" si="269"/>
        <v>4</v>
      </c>
    </row>
    <row r="3822" spans="1:6" x14ac:dyDescent="0.25">
      <c r="A3822" s="5" t="s">
        <v>43</v>
      </c>
      <c r="B3822" s="2">
        <v>44052</v>
      </c>
      <c r="C3822" s="1">
        <v>873</v>
      </c>
      <c r="D3822" s="47">
        <v>70039</v>
      </c>
      <c r="E3822" s="1">
        <v>22</v>
      </c>
      <c r="F3822" s="47">
        <f t="shared" si="269"/>
        <v>1470</v>
      </c>
    </row>
    <row r="3823" spans="1:6" x14ac:dyDescent="0.25">
      <c r="A3823" s="5" t="s">
        <v>20</v>
      </c>
      <c r="B3823" s="2">
        <v>44052</v>
      </c>
      <c r="C3823" s="1">
        <v>205</v>
      </c>
      <c r="D3823" s="47">
        <v>3515</v>
      </c>
      <c r="E3823" s="1">
        <v>3</v>
      </c>
      <c r="F3823" s="47">
        <f>E3823+F3799</f>
        <v>64</v>
      </c>
    </row>
    <row r="3824" spans="1:6" x14ac:dyDescent="0.25">
      <c r="A3824" s="5" t="s">
        <v>30</v>
      </c>
      <c r="B3824" s="2">
        <v>44052</v>
      </c>
      <c r="C3824" s="1">
        <v>6</v>
      </c>
      <c r="D3824" s="47">
        <v>214</v>
      </c>
      <c r="F3824" s="47">
        <f t="shared" si="269"/>
        <v>2</v>
      </c>
    </row>
    <row r="3825" spans="1:6" x14ac:dyDescent="0.25">
      <c r="A3825" s="5" t="s">
        <v>31</v>
      </c>
      <c r="B3825" s="2">
        <v>44052</v>
      </c>
      <c r="C3825" s="1">
        <v>77</v>
      </c>
      <c r="D3825" s="47">
        <v>1163</v>
      </c>
      <c r="F3825" s="47">
        <f t="shared" si="269"/>
        <v>13</v>
      </c>
    </row>
    <row r="3826" spans="1:6" x14ac:dyDescent="0.25">
      <c r="A3826" s="5" t="s">
        <v>41</v>
      </c>
      <c r="B3826" s="2">
        <v>44052</v>
      </c>
      <c r="C3826" s="1">
        <v>1</v>
      </c>
      <c r="D3826" s="47">
        <v>86</v>
      </c>
      <c r="F3826" s="47">
        <f>E3826+F3802</f>
        <v>0</v>
      </c>
    </row>
    <row r="3827" spans="1:6" x14ac:dyDescent="0.25">
      <c r="A3827" s="5" t="s">
        <v>32</v>
      </c>
      <c r="B3827" s="2">
        <v>44052</v>
      </c>
      <c r="C3827" s="1">
        <v>73</v>
      </c>
      <c r="D3827" s="47">
        <v>3420</v>
      </c>
      <c r="F3827" s="47">
        <f t="shared" ref="F3827:F3836" si="270">E3827+F3802</f>
        <v>0</v>
      </c>
    </row>
    <row r="3828" spans="1:6" x14ac:dyDescent="0.25">
      <c r="A3828" s="5" t="s">
        <v>33</v>
      </c>
      <c r="B3828" s="2">
        <v>44052</v>
      </c>
      <c r="C3828" s="1">
        <v>0</v>
      </c>
      <c r="D3828" s="47">
        <v>206</v>
      </c>
      <c r="F3828" s="47">
        <f t="shared" si="270"/>
        <v>1</v>
      </c>
    </row>
    <row r="3829" spans="1:6" x14ac:dyDescent="0.25">
      <c r="A3829" s="5" t="s">
        <v>21</v>
      </c>
      <c r="B3829" s="2">
        <v>44052</v>
      </c>
      <c r="C3829" s="1">
        <v>3</v>
      </c>
      <c r="D3829" s="47">
        <v>516</v>
      </c>
      <c r="E3829" s="1">
        <v>1</v>
      </c>
      <c r="F3829" s="47">
        <f t="shared" si="270"/>
        <v>1</v>
      </c>
    </row>
    <row r="3830" spans="1:6" x14ac:dyDescent="0.25">
      <c r="A3830" s="5" t="s">
        <v>17</v>
      </c>
      <c r="B3830" s="2">
        <v>44052</v>
      </c>
      <c r="C3830" s="1">
        <v>108</v>
      </c>
      <c r="D3830" s="47">
        <v>2146</v>
      </c>
      <c r="E3830" s="1">
        <v>1</v>
      </c>
      <c r="F3830" s="47">
        <f t="shared" si="270"/>
        <v>2</v>
      </c>
    </row>
    <row r="3831" spans="1:6" x14ac:dyDescent="0.25">
      <c r="A3831" s="5" t="s">
        <v>23</v>
      </c>
      <c r="B3831" s="2">
        <v>44052</v>
      </c>
      <c r="C3831" s="1">
        <v>3</v>
      </c>
      <c r="D3831" s="47">
        <v>60</v>
      </c>
      <c r="F3831" s="47">
        <f t="shared" si="270"/>
        <v>2</v>
      </c>
    </row>
    <row r="3832" spans="1:6" x14ac:dyDescent="0.25">
      <c r="A3832" s="5" t="s">
        <v>19</v>
      </c>
      <c r="B3832" s="2">
        <v>44052</v>
      </c>
      <c r="C3832" s="1">
        <v>29</v>
      </c>
      <c r="D3832" s="47">
        <v>1456</v>
      </c>
      <c r="F3832" s="47">
        <f t="shared" si="270"/>
        <v>2</v>
      </c>
    </row>
    <row r="3833" spans="1:6" x14ac:dyDescent="0.25">
      <c r="A3833" s="5" t="s">
        <v>18</v>
      </c>
      <c r="B3833" s="2">
        <v>44052</v>
      </c>
      <c r="C3833" s="1">
        <v>62</v>
      </c>
      <c r="D3833" s="47">
        <v>2903</v>
      </c>
      <c r="F3833" s="47">
        <f t="shared" si="270"/>
        <v>2</v>
      </c>
    </row>
    <row r="3834" spans="1:6" x14ac:dyDescent="0.25">
      <c r="A3834" s="5" t="s">
        <v>34</v>
      </c>
      <c r="B3834" s="2">
        <v>44052</v>
      </c>
      <c r="C3834" s="1">
        <v>46</v>
      </c>
      <c r="D3834" s="47">
        <v>589</v>
      </c>
      <c r="F3834" s="47">
        <f t="shared" si="270"/>
        <v>5</v>
      </c>
    </row>
    <row r="3835" spans="1:6" x14ac:dyDescent="0.25">
      <c r="A3835" s="5" t="s">
        <v>35</v>
      </c>
      <c r="B3835" s="2">
        <v>44052</v>
      </c>
      <c r="C3835" s="1">
        <v>-1</v>
      </c>
      <c r="D3835" s="47">
        <v>22</v>
      </c>
      <c r="F3835" s="47">
        <f>E3835+F3811</f>
        <v>0</v>
      </c>
    </row>
    <row r="3836" spans="1:6" x14ac:dyDescent="0.25">
      <c r="A3836" s="5" t="s">
        <v>36</v>
      </c>
      <c r="B3836" s="2">
        <v>44052</v>
      </c>
      <c r="C3836" s="1">
        <v>1</v>
      </c>
      <c r="D3836" s="47">
        <v>34</v>
      </c>
      <c r="F3836" s="47">
        <f t="shared" si="270"/>
        <v>0</v>
      </c>
    </row>
    <row r="3837" spans="1:6" x14ac:dyDescent="0.25">
      <c r="A3837" s="5" t="s">
        <v>37</v>
      </c>
      <c r="B3837" s="2">
        <v>44052</v>
      </c>
      <c r="C3837" s="1">
        <v>41</v>
      </c>
      <c r="D3837" s="47">
        <v>748</v>
      </c>
      <c r="F3837" s="47">
        <f t="shared" ref="F3837:F3842" si="271">E3837+F3813</f>
        <v>3</v>
      </c>
    </row>
    <row r="3838" spans="1:6" x14ac:dyDescent="0.25">
      <c r="A3838" s="5" t="s">
        <v>22</v>
      </c>
      <c r="B3838" s="2">
        <v>44052</v>
      </c>
      <c r="C3838" s="1">
        <v>87</v>
      </c>
      <c r="D3838" s="47">
        <v>2136</v>
      </c>
      <c r="E3838" s="1">
        <v>1</v>
      </c>
      <c r="F3838" s="47">
        <f t="shared" si="271"/>
        <v>22</v>
      </c>
    </row>
    <row r="3839" spans="1:6" x14ac:dyDescent="0.25">
      <c r="A3839" s="5" t="s">
        <v>38</v>
      </c>
      <c r="B3839" s="2">
        <v>44052</v>
      </c>
      <c r="C3839" s="1">
        <v>20</v>
      </c>
      <c r="D3839" s="47">
        <v>135</v>
      </c>
      <c r="F3839" s="47">
        <f t="shared" si="271"/>
        <v>1</v>
      </c>
    </row>
    <row r="3840" spans="1:6" x14ac:dyDescent="0.25">
      <c r="A3840" s="5" t="s">
        <v>39</v>
      </c>
      <c r="B3840" s="2">
        <v>44052</v>
      </c>
      <c r="C3840" s="1">
        <v>37</v>
      </c>
      <c r="D3840" s="47">
        <v>987</v>
      </c>
      <c r="F3840" s="47">
        <f t="shared" si="271"/>
        <v>5</v>
      </c>
    </row>
    <row r="3841" spans="1:6" x14ac:dyDescent="0.25">
      <c r="A3841" s="5" t="s">
        <v>40</v>
      </c>
      <c r="B3841" s="2">
        <v>44052</v>
      </c>
      <c r="C3841" s="1">
        <v>26</v>
      </c>
      <c r="D3841" s="47">
        <v>399</v>
      </c>
      <c r="F3841" s="47">
        <f t="shared" si="271"/>
        <v>5</v>
      </c>
    </row>
    <row r="3842" spans="1:6" x14ac:dyDescent="0.25">
      <c r="A3842" s="34" t="s">
        <v>16</v>
      </c>
      <c r="B3842" s="2">
        <v>44053</v>
      </c>
      <c r="C3842" s="1">
        <v>5402</v>
      </c>
      <c r="D3842" s="47">
        <v>156669</v>
      </c>
      <c r="E3842" s="1">
        <v>108</v>
      </c>
      <c r="F3842" s="47">
        <f t="shared" si="271"/>
        <v>2722</v>
      </c>
    </row>
    <row r="3843" spans="1:6" x14ac:dyDescent="0.25">
      <c r="A3843" s="5" t="s">
        <v>28</v>
      </c>
      <c r="B3843" s="2">
        <v>44053</v>
      </c>
      <c r="C3843" s="1">
        <v>0</v>
      </c>
      <c r="D3843" s="47">
        <v>62</v>
      </c>
      <c r="F3843" s="47">
        <f t="shared" ref="F3843:F3860" si="272">E3843+F3819</f>
        <v>0</v>
      </c>
    </row>
    <row r="3844" spans="1:6" x14ac:dyDescent="0.25">
      <c r="A3844" s="5" t="s">
        <v>15</v>
      </c>
      <c r="B3844" s="2">
        <v>44053</v>
      </c>
      <c r="C3844" s="1">
        <v>16</v>
      </c>
      <c r="D3844" s="47">
        <v>4085</v>
      </c>
      <c r="E3844" s="1">
        <v>3</v>
      </c>
      <c r="F3844" s="47">
        <f t="shared" si="272"/>
        <v>166</v>
      </c>
    </row>
    <row r="3845" spans="1:6" x14ac:dyDescent="0.25">
      <c r="A3845" s="5" t="s">
        <v>29</v>
      </c>
      <c r="B3845" s="2">
        <v>44053</v>
      </c>
      <c r="C3845" s="1">
        <v>2</v>
      </c>
      <c r="D3845" s="47">
        <v>351</v>
      </c>
      <c r="F3845" s="47">
        <f t="shared" si="272"/>
        <v>4</v>
      </c>
    </row>
    <row r="3846" spans="1:6" x14ac:dyDescent="0.25">
      <c r="A3846" s="5" t="s">
        <v>43</v>
      </c>
      <c r="B3846" s="2">
        <v>44053</v>
      </c>
      <c r="C3846" s="1">
        <v>1047</v>
      </c>
      <c r="D3846" s="47">
        <v>71086</v>
      </c>
      <c r="E3846" s="1">
        <f>4+13+16</f>
        <v>33</v>
      </c>
      <c r="F3846" s="47">
        <f>E3846+F3822</f>
        <v>1503</v>
      </c>
    </row>
    <row r="3847" spans="1:6" x14ac:dyDescent="0.25">
      <c r="A3847" s="5" t="s">
        <v>20</v>
      </c>
      <c r="B3847" s="2">
        <v>44053</v>
      </c>
      <c r="C3847" s="1">
        <v>170</v>
      </c>
      <c r="D3847" s="47">
        <v>3685</v>
      </c>
      <c r="E3847" s="1">
        <v>3</v>
      </c>
      <c r="F3847" s="47">
        <f>E3847+F3823</f>
        <v>67</v>
      </c>
    </row>
    <row r="3848" spans="1:6" x14ac:dyDescent="0.25">
      <c r="A3848" s="5" t="s">
        <v>30</v>
      </c>
      <c r="B3848" s="2">
        <v>44053</v>
      </c>
      <c r="C3848" s="1">
        <v>2</v>
      </c>
      <c r="D3848" s="47">
        <v>216</v>
      </c>
      <c r="F3848" s="47">
        <f t="shared" si="272"/>
        <v>2</v>
      </c>
    </row>
    <row r="3849" spans="1:6" x14ac:dyDescent="0.25">
      <c r="A3849" s="5" t="s">
        <v>31</v>
      </c>
      <c r="B3849" s="2">
        <v>44053</v>
      </c>
      <c r="C3849" s="1">
        <v>45</v>
      </c>
      <c r="D3849" s="47">
        <v>1208</v>
      </c>
      <c r="F3849" s="47">
        <f t="shared" si="272"/>
        <v>13</v>
      </c>
    </row>
    <row r="3850" spans="1:6" x14ac:dyDescent="0.25">
      <c r="A3850" s="5" t="s">
        <v>41</v>
      </c>
      <c r="B3850" s="2">
        <v>44053</v>
      </c>
      <c r="C3850" s="1">
        <v>1</v>
      </c>
      <c r="D3850" s="47">
        <v>87</v>
      </c>
      <c r="F3850" s="47">
        <f>E3850+F3826</f>
        <v>0</v>
      </c>
    </row>
    <row r="3851" spans="1:6" x14ac:dyDescent="0.25">
      <c r="A3851" s="5" t="s">
        <v>32</v>
      </c>
      <c r="B3851" s="2">
        <v>44053</v>
      </c>
      <c r="C3851" s="1">
        <v>139</v>
      </c>
      <c r="D3851" s="47">
        <v>3559</v>
      </c>
      <c r="E3851" s="1">
        <v>1</v>
      </c>
      <c r="F3851" s="47">
        <f t="shared" si="272"/>
        <v>1</v>
      </c>
    </row>
    <row r="3852" spans="1:6" x14ac:dyDescent="0.25">
      <c r="A3852" s="5" t="s">
        <v>33</v>
      </c>
      <c r="B3852" s="2">
        <v>44053</v>
      </c>
      <c r="C3852" s="1">
        <v>2</v>
      </c>
      <c r="D3852" s="47">
        <v>208</v>
      </c>
      <c r="F3852" s="47">
        <f t="shared" si="272"/>
        <v>1</v>
      </c>
    </row>
    <row r="3853" spans="1:6" x14ac:dyDescent="0.25">
      <c r="A3853" s="5" t="s">
        <v>21</v>
      </c>
      <c r="B3853" s="2">
        <v>44053</v>
      </c>
      <c r="C3853" s="1">
        <v>2</v>
      </c>
      <c r="D3853" s="47">
        <v>518</v>
      </c>
      <c r="F3853" s="47">
        <f t="shared" si="272"/>
        <v>1</v>
      </c>
    </row>
    <row r="3854" spans="1:6" x14ac:dyDescent="0.25">
      <c r="A3854" s="5" t="s">
        <v>17</v>
      </c>
      <c r="B3854" s="2">
        <v>44053</v>
      </c>
      <c r="C3854" s="1">
        <v>94</v>
      </c>
      <c r="D3854" s="47">
        <v>2240</v>
      </c>
      <c r="E3854" s="1">
        <v>3</v>
      </c>
      <c r="F3854" s="47">
        <f t="shared" si="272"/>
        <v>5</v>
      </c>
    </row>
    <row r="3855" spans="1:6" x14ac:dyDescent="0.25">
      <c r="A3855" s="5" t="s">
        <v>23</v>
      </c>
      <c r="B3855" s="2">
        <v>44053</v>
      </c>
      <c r="C3855" s="1">
        <v>1</v>
      </c>
      <c r="D3855" s="47">
        <v>61</v>
      </c>
      <c r="F3855" s="47">
        <f t="shared" si="272"/>
        <v>2</v>
      </c>
    </row>
    <row r="3856" spans="1:6" x14ac:dyDescent="0.25">
      <c r="A3856" s="5" t="s">
        <v>19</v>
      </c>
      <c r="B3856" s="2">
        <v>44053</v>
      </c>
      <c r="C3856" s="1">
        <v>27</v>
      </c>
      <c r="D3856" s="47">
        <v>1483</v>
      </c>
      <c r="F3856" s="47">
        <f t="shared" si="272"/>
        <v>2</v>
      </c>
    </row>
    <row r="3857" spans="1:6" x14ac:dyDescent="0.25">
      <c r="A3857" s="5" t="s">
        <v>18</v>
      </c>
      <c r="B3857" s="2">
        <v>44053</v>
      </c>
      <c r="C3857" s="1">
        <v>105</v>
      </c>
      <c r="D3857" s="47">
        <v>3008</v>
      </c>
      <c r="E3857" s="1">
        <v>4</v>
      </c>
      <c r="F3857" s="47">
        <f t="shared" si="272"/>
        <v>6</v>
      </c>
    </row>
    <row r="3858" spans="1:6" x14ac:dyDescent="0.25">
      <c r="A3858" s="5" t="s">
        <v>34</v>
      </c>
      <c r="B3858" s="2">
        <v>44053</v>
      </c>
      <c r="C3858" s="1">
        <v>22</v>
      </c>
      <c r="D3858" s="47">
        <v>611</v>
      </c>
      <c r="F3858" s="47">
        <f t="shared" si="272"/>
        <v>5</v>
      </c>
    </row>
    <row r="3859" spans="1:6" x14ac:dyDescent="0.25">
      <c r="A3859" s="5" t="s">
        <v>35</v>
      </c>
      <c r="B3859" s="2">
        <v>44053</v>
      </c>
      <c r="C3859" s="1">
        <v>0</v>
      </c>
      <c r="D3859" s="47">
        <v>22</v>
      </c>
      <c r="F3859" s="47">
        <f>E3859+F3835</f>
        <v>0</v>
      </c>
    </row>
    <row r="3860" spans="1:6" x14ac:dyDescent="0.25">
      <c r="A3860" s="5" t="s">
        <v>36</v>
      </c>
      <c r="B3860" s="2">
        <v>44053</v>
      </c>
      <c r="C3860" s="1">
        <v>-3</v>
      </c>
      <c r="D3860" s="47">
        <v>31</v>
      </c>
      <c r="F3860" s="47">
        <f t="shared" si="272"/>
        <v>0</v>
      </c>
    </row>
    <row r="3861" spans="1:6" x14ac:dyDescent="0.25">
      <c r="A3861" s="5" t="s">
        <v>37</v>
      </c>
      <c r="B3861" s="2">
        <v>44053</v>
      </c>
      <c r="C3861" s="1">
        <v>57</v>
      </c>
      <c r="D3861" s="47">
        <v>805</v>
      </c>
      <c r="F3861" s="47">
        <f t="shared" ref="F3861:F3866" si="273">E3861+F3837</f>
        <v>3</v>
      </c>
    </row>
    <row r="3862" spans="1:6" x14ac:dyDescent="0.25">
      <c r="A3862" s="5" t="s">
        <v>22</v>
      </c>
      <c r="B3862" s="2">
        <v>44053</v>
      </c>
      <c r="C3862" s="1">
        <v>140</v>
      </c>
      <c r="D3862" s="47">
        <v>2276</v>
      </c>
      <c r="E3862" s="1">
        <v>1</v>
      </c>
      <c r="F3862" s="47">
        <f t="shared" si="273"/>
        <v>23</v>
      </c>
    </row>
    <row r="3863" spans="1:6" x14ac:dyDescent="0.25">
      <c r="A3863" s="5" t="s">
        <v>38</v>
      </c>
      <c r="B3863" s="2">
        <v>44053</v>
      </c>
      <c r="C3863" s="1">
        <v>3</v>
      </c>
      <c r="D3863" s="47">
        <v>138</v>
      </c>
      <c r="F3863" s="47">
        <f t="shared" si="273"/>
        <v>1</v>
      </c>
    </row>
    <row r="3864" spans="1:6" x14ac:dyDescent="0.25">
      <c r="A3864" s="5" t="s">
        <v>39</v>
      </c>
      <c r="B3864" s="2">
        <v>44053</v>
      </c>
      <c r="C3864" s="1">
        <v>68</v>
      </c>
      <c r="D3864" s="47">
        <v>1055</v>
      </c>
      <c r="E3864" s="1">
        <v>2</v>
      </c>
      <c r="F3864" s="47">
        <f t="shared" si="273"/>
        <v>7</v>
      </c>
    </row>
    <row r="3865" spans="1:6" x14ac:dyDescent="0.25">
      <c r="A3865" s="5" t="s">
        <v>40</v>
      </c>
      <c r="B3865" s="2">
        <v>44053</v>
      </c>
      <c r="C3865" s="1">
        <v>27</v>
      </c>
      <c r="D3865" s="47">
        <v>426</v>
      </c>
      <c r="F3865" s="47">
        <f t="shared" si="273"/>
        <v>5</v>
      </c>
    </row>
    <row r="3866" spans="1:6" x14ac:dyDescent="0.25">
      <c r="A3866" s="34" t="s">
        <v>16</v>
      </c>
      <c r="B3866" s="2">
        <v>44054</v>
      </c>
      <c r="C3866" s="1">
        <v>4576</v>
      </c>
      <c r="D3866" s="47">
        <v>161245</v>
      </c>
      <c r="E3866" s="1">
        <f>4+6+90+93</f>
        <v>193</v>
      </c>
      <c r="F3866" s="47">
        <f t="shared" si="273"/>
        <v>2915</v>
      </c>
    </row>
    <row r="3867" spans="1:6" x14ac:dyDescent="0.25">
      <c r="A3867" s="5" t="s">
        <v>43</v>
      </c>
      <c r="B3867" s="2">
        <v>44054</v>
      </c>
      <c r="C3867" s="1">
        <v>1200</v>
      </c>
      <c r="D3867" s="47">
        <v>72286</v>
      </c>
      <c r="E3867" s="1">
        <f>3+4+11+13</f>
        <v>31</v>
      </c>
      <c r="F3867" s="47">
        <f>E3867+F3846</f>
        <v>1534</v>
      </c>
    </row>
    <row r="3868" spans="1:6" x14ac:dyDescent="0.25">
      <c r="A3868" s="5" t="s">
        <v>28</v>
      </c>
      <c r="B3868" s="2">
        <v>44054</v>
      </c>
      <c r="C3868" s="1">
        <v>0</v>
      </c>
      <c r="D3868" s="47">
        <v>62</v>
      </c>
      <c r="F3868" s="47">
        <f>E3868+F3843</f>
        <v>0</v>
      </c>
    </row>
    <row r="3869" spans="1:6" x14ac:dyDescent="0.25">
      <c r="A3869" s="5" t="s">
        <v>15</v>
      </c>
      <c r="B3869" s="2">
        <v>44054</v>
      </c>
      <c r="C3869" s="1">
        <v>69</v>
      </c>
      <c r="D3869" s="47">
        <v>4154</v>
      </c>
      <c r="E3869" s="1">
        <v>1</v>
      </c>
      <c r="F3869" s="47">
        <f>E3869+F3844</f>
        <v>167</v>
      </c>
    </row>
    <row r="3870" spans="1:6" x14ac:dyDescent="0.25">
      <c r="A3870" s="5" t="s">
        <v>29</v>
      </c>
      <c r="B3870" s="2">
        <v>44054</v>
      </c>
      <c r="C3870" s="1">
        <v>6</v>
      </c>
      <c r="D3870" s="47">
        <v>357</v>
      </c>
      <c r="F3870" s="47">
        <f>E3870+F3845</f>
        <v>4</v>
      </c>
    </row>
    <row r="3871" spans="1:6" x14ac:dyDescent="0.25">
      <c r="A3871" s="5" t="s">
        <v>20</v>
      </c>
      <c r="B3871" s="2">
        <v>44054</v>
      </c>
      <c r="C3871" s="1">
        <v>148</v>
      </c>
      <c r="D3871" s="47">
        <v>3833</v>
      </c>
      <c r="E3871" s="1">
        <v>3</v>
      </c>
      <c r="F3871" s="47">
        <f>E3871+F3847</f>
        <v>70</v>
      </c>
    </row>
    <row r="3872" spans="1:6" x14ac:dyDescent="0.25">
      <c r="A3872" s="5" t="s">
        <v>30</v>
      </c>
      <c r="B3872" s="2">
        <v>44054</v>
      </c>
      <c r="C3872" s="1">
        <v>2</v>
      </c>
      <c r="D3872" s="47">
        <v>218</v>
      </c>
      <c r="F3872" s="47">
        <f t="shared" ref="F3872:F3929" si="274">E3872+F3848</f>
        <v>2</v>
      </c>
    </row>
    <row r="3873" spans="1:6" x14ac:dyDescent="0.25">
      <c r="A3873" s="5" t="s">
        <v>31</v>
      </c>
      <c r="B3873" s="2">
        <v>44054</v>
      </c>
      <c r="C3873" s="1">
        <v>35</v>
      </c>
      <c r="D3873" s="47">
        <v>1243</v>
      </c>
      <c r="E3873" s="1">
        <v>2</v>
      </c>
      <c r="F3873" s="47">
        <f t="shared" si="274"/>
        <v>15</v>
      </c>
    </row>
    <row r="3874" spans="1:6" x14ac:dyDescent="0.25">
      <c r="A3874" s="5" t="s">
        <v>41</v>
      </c>
      <c r="B3874" s="2">
        <v>44054</v>
      </c>
      <c r="C3874" s="1">
        <v>-4</v>
      </c>
      <c r="D3874" s="47">
        <v>83</v>
      </c>
      <c r="F3874" s="47">
        <f>E3874+F3850</f>
        <v>0</v>
      </c>
    </row>
    <row r="3875" spans="1:6" x14ac:dyDescent="0.25">
      <c r="A3875" s="5" t="s">
        <v>32</v>
      </c>
      <c r="B3875" s="2">
        <v>44054</v>
      </c>
      <c r="C3875" s="1">
        <v>318</v>
      </c>
      <c r="D3875" s="47">
        <v>3877</v>
      </c>
      <c r="F3875" s="47">
        <f t="shared" si="274"/>
        <v>1</v>
      </c>
    </row>
    <row r="3876" spans="1:6" x14ac:dyDescent="0.25">
      <c r="A3876" s="5" t="s">
        <v>33</v>
      </c>
      <c r="B3876" s="2">
        <v>44054</v>
      </c>
      <c r="C3876" s="1">
        <v>0</v>
      </c>
      <c r="D3876" s="47">
        <v>208</v>
      </c>
      <c r="F3876" s="47">
        <f t="shared" si="274"/>
        <v>1</v>
      </c>
    </row>
    <row r="3877" spans="1:6" x14ac:dyDescent="0.25">
      <c r="A3877" s="5" t="s">
        <v>21</v>
      </c>
      <c r="B3877" s="2">
        <v>44054</v>
      </c>
      <c r="C3877" s="1">
        <v>1</v>
      </c>
      <c r="D3877" s="47">
        <v>519</v>
      </c>
      <c r="F3877" s="47">
        <f t="shared" si="274"/>
        <v>1</v>
      </c>
    </row>
    <row r="3878" spans="1:6" x14ac:dyDescent="0.25">
      <c r="A3878" s="5" t="s">
        <v>17</v>
      </c>
      <c r="B3878" s="2">
        <v>44054</v>
      </c>
      <c r="C3878" s="1">
        <v>148</v>
      </c>
      <c r="D3878" s="47">
        <v>2388</v>
      </c>
      <c r="E3878" s="1">
        <v>2</v>
      </c>
      <c r="F3878" s="47">
        <f t="shared" si="274"/>
        <v>7</v>
      </c>
    </row>
    <row r="3879" spans="1:6" x14ac:dyDescent="0.25">
      <c r="A3879" s="5" t="s">
        <v>23</v>
      </c>
      <c r="B3879" s="2">
        <v>44054</v>
      </c>
      <c r="C3879" s="1">
        <v>1</v>
      </c>
      <c r="D3879" s="47">
        <v>62</v>
      </c>
      <c r="F3879" s="47">
        <f t="shared" si="274"/>
        <v>2</v>
      </c>
    </row>
    <row r="3880" spans="1:6" x14ac:dyDescent="0.25">
      <c r="A3880" s="5" t="s">
        <v>19</v>
      </c>
      <c r="B3880" s="2">
        <v>44054</v>
      </c>
      <c r="C3880" s="1">
        <v>7</v>
      </c>
      <c r="D3880" s="47">
        <v>1490</v>
      </c>
      <c r="E3880" s="1">
        <f>1</f>
        <v>1</v>
      </c>
      <c r="F3880" s="47">
        <f t="shared" si="274"/>
        <v>3</v>
      </c>
    </row>
    <row r="3881" spans="1:6" x14ac:dyDescent="0.25">
      <c r="A3881" s="5" t="s">
        <v>18</v>
      </c>
      <c r="B3881" s="2">
        <v>44054</v>
      </c>
      <c r="C3881" s="1">
        <v>187</v>
      </c>
      <c r="D3881" s="47">
        <v>3195</v>
      </c>
      <c r="E3881" s="1">
        <v>4</v>
      </c>
      <c r="F3881" s="47">
        <f t="shared" si="274"/>
        <v>10</v>
      </c>
    </row>
    <row r="3882" spans="1:6" x14ac:dyDescent="0.25">
      <c r="A3882" s="5" t="s">
        <v>34</v>
      </c>
      <c r="B3882" s="2">
        <v>44054</v>
      </c>
      <c r="C3882" s="1">
        <v>72</v>
      </c>
      <c r="D3882" s="47">
        <v>683</v>
      </c>
      <c r="F3882" s="47">
        <f>E3882+F3858</f>
        <v>5</v>
      </c>
    </row>
    <row r="3883" spans="1:6" x14ac:dyDescent="0.25">
      <c r="A3883" s="5" t="s">
        <v>35</v>
      </c>
      <c r="B3883" s="2">
        <v>44054</v>
      </c>
      <c r="C3883" s="1">
        <v>1</v>
      </c>
      <c r="D3883" s="47">
        <v>23</v>
      </c>
      <c r="F3883" s="47">
        <f>E3883+F3859</f>
        <v>0</v>
      </c>
    </row>
    <row r="3884" spans="1:6" x14ac:dyDescent="0.25">
      <c r="A3884" s="5" t="s">
        <v>36</v>
      </c>
      <c r="B3884" s="2">
        <v>44054</v>
      </c>
      <c r="C3884" s="1">
        <v>0</v>
      </c>
      <c r="D3884" s="47">
        <v>31</v>
      </c>
      <c r="F3884" s="47">
        <f t="shared" si="274"/>
        <v>0</v>
      </c>
    </row>
    <row r="3885" spans="1:6" x14ac:dyDescent="0.25">
      <c r="A3885" s="5" t="s">
        <v>37</v>
      </c>
      <c r="B3885" s="2">
        <v>44054</v>
      </c>
      <c r="C3885" s="1">
        <v>29</v>
      </c>
      <c r="D3885" s="47">
        <v>834</v>
      </c>
      <c r="F3885" s="47">
        <f t="shared" ref="F3885:F3891" si="275">E3885+F3861</f>
        <v>3</v>
      </c>
    </row>
    <row r="3886" spans="1:6" x14ac:dyDescent="0.25">
      <c r="A3886" s="5" t="s">
        <v>22</v>
      </c>
      <c r="B3886" s="2">
        <v>44054</v>
      </c>
      <c r="C3886" s="1">
        <v>155</v>
      </c>
      <c r="D3886" s="47">
        <v>2431</v>
      </c>
      <c r="E3886" s="1">
        <v>2</v>
      </c>
      <c r="F3886" s="47">
        <f t="shared" si="275"/>
        <v>25</v>
      </c>
    </row>
    <row r="3887" spans="1:6" x14ac:dyDescent="0.25">
      <c r="A3887" s="5" t="s">
        <v>38</v>
      </c>
      <c r="B3887" s="2">
        <v>44054</v>
      </c>
      <c r="C3887" s="1">
        <v>20</v>
      </c>
      <c r="D3887" s="47">
        <v>158</v>
      </c>
      <c r="F3887" s="47">
        <f t="shared" si="275"/>
        <v>1</v>
      </c>
    </row>
    <row r="3888" spans="1:6" x14ac:dyDescent="0.25">
      <c r="A3888" s="5" t="s">
        <v>39</v>
      </c>
      <c r="B3888" s="2">
        <v>44054</v>
      </c>
      <c r="C3888" s="1">
        <v>42</v>
      </c>
      <c r="D3888" s="47">
        <v>1097</v>
      </c>
      <c r="E3888" s="1">
        <v>2</v>
      </c>
      <c r="F3888" s="47">
        <f t="shared" si="275"/>
        <v>9</v>
      </c>
    </row>
    <row r="3889" spans="1:6" x14ac:dyDescent="0.25">
      <c r="A3889" s="5" t="s">
        <v>40</v>
      </c>
      <c r="B3889" s="2">
        <v>44054</v>
      </c>
      <c r="C3889" s="1">
        <v>30</v>
      </c>
      <c r="D3889" s="47">
        <v>456</v>
      </c>
      <c r="F3889" s="47">
        <f t="shared" si="275"/>
        <v>5</v>
      </c>
    </row>
    <row r="3890" spans="1:6" x14ac:dyDescent="0.25">
      <c r="A3890" s="34" t="s">
        <v>16</v>
      </c>
      <c r="B3890" s="2">
        <v>44055</v>
      </c>
      <c r="C3890" s="1">
        <v>5153</v>
      </c>
      <c r="D3890" s="47">
        <f>C3890+D3866</f>
        <v>166398</v>
      </c>
      <c r="E3890" s="1">
        <v>141</v>
      </c>
      <c r="F3890" s="47">
        <f t="shared" si="275"/>
        <v>3056</v>
      </c>
    </row>
    <row r="3891" spans="1:6" x14ac:dyDescent="0.25">
      <c r="A3891" s="5" t="s">
        <v>43</v>
      </c>
      <c r="B3891" s="2">
        <v>44055</v>
      </c>
      <c r="C3891" s="1">
        <v>1163</v>
      </c>
      <c r="D3891" s="47">
        <f t="shared" ref="D3891:D3913" si="276">C3891+D3867</f>
        <v>73449</v>
      </c>
      <c r="E3891" s="1">
        <v>59</v>
      </c>
      <c r="F3891" s="47">
        <f t="shared" si="275"/>
        <v>1593</v>
      </c>
    </row>
    <row r="3892" spans="1:6" x14ac:dyDescent="0.25">
      <c r="A3892" s="5" t="s">
        <v>28</v>
      </c>
      <c r="B3892" s="2">
        <v>44055</v>
      </c>
      <c r="C3892" s="1">
        <v>0</v>
      </c>
      <c r="D3892" s="47">
        <f t="shared" si="276"/>
        <v>62</v>
      </c>
      <c r="F3892" s="47">
        <f t="shared" si="274"/>
        <v>0</v>
      </c>
    </row>
    <row r="3893" spans="1:6" x14ac:dyDescent="0.25">
      <c r="A3893" s="5" t="s">
        <v>15</v>
      </c>
      <c r="B3893" s="2">
        <v>44055</v>
      </c>
      <c r="C3893" s="1">
        <v>64</v>
      </c>
      <c r="D3893" s="47">
        <f t="shared" si="276"/>
        <v>4218</v>
      </c>
      <c r="F3893" s="47">
        <f t="shared" si="274"/>
        <v>167</v>
      </c>
    </row>
    <row r="3894" spans="1:6" x14ac:dyDescent="0.25">
      <c r="A3894" s="5" t="s">
        <v>29</v>
      </c>
      <c r="B3894" s="2">
        <v>44055</v>
      </c>
      <c r="C3894" s="1">
        <v>10</v>
      </c>
      <c r="D3894" s="47">
        <f t="shared" si="276"/>
        <v>367</v>
      </c>
      <c r="E3894" s="1">
        <v>1</v>
      </c>
      <c r="F3894" s="47">
        <f t="shared" si="274"/>
        <v>5</v>
      </c>
    </row>
    <row r="3895" spans="1:6" x14ac:dyDescent="0.25">
      <c r="A3895" s="5" t="s">
        <v>20</v>
      </c>
      <c r="B3895" s="2">
        <v>44055</v>
      </c>
      <c r="C3895" s="1">
        <v>141</v>
      </c>
      <c r="D3895" s="47">
        <f t="shared" si="276"/>
        <v>3974</v>
      </c>
      <c r="F3895" s="47">
        <f t="shared" si="274"/>
        <v>70</v>
      </c>
    </row>
    <row r="3896" spans="1:6" x14ac:dyDescent="0.25">
      <c r="A3896" s="5" t="s">
        <v>30</v>
      </c>
      <c r="B3896" s="2">
        <v>44055</v>
      </c>
      <c r="C3896" s="1">
        <v>3</v>
      </c>
      <c r="D3896" s="47">
        <f t="shared" si="276"/>
        <v>221</v>
      </c>
      <c r="F3896" s="47">
        <f t="shared" si="274"/>
        <v>2</v>
      </c>
    </row>
    <row r="3897" spans="1:6" x14ac:dyDescent="0.25">
      <c r="A3897" s="5" t="s">
        <v>31</v>
      </c>
      <c r="B3897" s="2">
        <v>44055</v>
      </c>
      <c r="C3897" s="1">
        <v>66</v>
      </c>
      <c r="D3897" s="47">
        <f t="shared" si="276"/>
        <v>1309</v>
      </c>
      <c r="F3897" s="47">
        <f t="shared" si="274"/>
        <v>15</v>
      </c>
    </row>
    <row r="3898" spans="1:6" x14ac:dyDescent="0.25">
      <c r="A3898" s="5" t="s">
        <v>41</v>
      </c>
      <c r="B3898" s="2">
        <v>44055</v>
      </c>
      <c r="C3898" s="1">
        <v>0</v>
      </c>
      <c r="D3898" s="47">
        <f t="shared" si="276"/>
        <v>83</v>
      </c>
      <c r="F3898" s="47">
        <f>E3898+F3874</f>
        <v>0</v>
      </c>
    </row>
    <row r="3899" spans="1:6" x14ac:dyDescent="0.25">
      <c r="A3899" s="5" t="s">
        <v>32</v>
      </c>
      <c r="B3899" s="2">
        <v>44055</v>
      </c>
      <c r="C3899" s="1">
        <v>152</v>
      </c>
      <c r="D3899" s="47">
        <f t="shared" si="276"/>
        <v>4029</v>
      </c>
      <c r="F3899" s="47">
        <f>E3899+F3875</f>
        <v>1</v>
      </c>
    </row>
    <row r="3900" spans="1:6" x14ac:dyDescent="0.25">
      <c r="A3900" s="5" t="s">
        <v>33</v>
      </c>
      <c r="B3900" s="2">
        <v>44055</v>
      </c>
      <c r="C3900" s="1">
        <v>0</v>
      </c>
      <c r="D3900" s="47">
        <f t="shared" si="276"/>
        <v>208</v>
      </c>
      <c r="F3900" s="47">
        <f t="shared" si="274"/>
        <v>1</v>
      </c>
    </row>
    <row r="3901" spans="1:6" x14ac:dyDescent="0.25">
      <c r="A3901" s="5" t="s">
        <v>21</v>
      </c>
      <c r="B3901" s="2">
        <v>44055</v>
      </c>
      <c r="C3901" s="1">
        <v>22</v>
      </c>
      <c r="D3901" s="47">
        <f t="shared" si="276"/>
        <v>541</v>
      </c>
      <c r="F3901" s="47">
        <f t="shared" si="274"/>
        <v>1</v>
      </c>
    </row>
    <row r="3902" spans="1:6" x14ac:dyDescent="0.25">
      <c r="A3902" s="5" t="s">
        <v>17</v>
      </c>
      <c r="B3902" s="2">
        <v>44055</v>
      </c>
      <c r="C3902" s="1">
        <v>189</v>
      </c>
      <c r="D3902" s="47">
        <f t="shared" si="276"/>
        <v>2577</v>
      </c>
      <c r="E3902" s="1">
        <v>3</v>
      </c>
      <c r="F3902" s="47">
        <f t="shared" si="274"/>
        <v>10</v>
      </c>
    </row>
    <row r="3903" spans="1:6" x14ac:dyDescent="0.25">
      <c r="A3903" s="5" t="s">
        <v>23</v>
      </c>
      <c r="B3903" s="2">
        <v>44055</v>
      </c>
      <c r="C3903" s="1">
        <v>-1</v>
      </c>
      <c r="D3903" s="47">
        <f t="shared" si="276"/>
        <v>61</v>
      </c>
      <c r="F3903" s="47">
        <f t="shared" si="274"/>
        <v>2</v>
      </c>
    </row>
    <row r="3904" spans="1:6" x14ac:dyDescent="0.25">
      <c r="A3904" s="5" t="s">
        <v>19</v>
      </c>
      <c r="B3904" s="2">
        <v>44055</v>
      </c>
      <c r="C3904" s="1">
        <v>155</v>
      </c>
      <c r="D3904" s="47">
        <f t="shared" si="276"/>
        <v>1645</v>
      </c>
      <c r="F3904" s="47">
        <f t="shared" si="274"/>
        <v>3</v>
      </c>
    </row>
    <row r="3905" spans="1:6" x14ac:dyDescent="0.25">
      <c r="A3905" s="5" t="s">
        <v>18</v>
      </c>
      <c r="B3905" s="2">
        <v>44055</v>
      </c>
      <c r="C3905" s="1">
        <v>180</v>
      </c>
      <c r="D3905" s="47">
        <f t="shared" si="276"/>
        <v>3375</v>
      </c>
      <c r="E3905" s="1">
        <v>3</v>
      </c>
      <c r="F3905" s="47">
        <f t="shared" si="274"/>
        <v>13</v>
      </c>
    </row>
    <row r="3906" spans="1:6" x14ac:dyDescent="0.25">
      <c r="A3906" s="5" t="s">
        <v>34</v>
      </c>
      <c r="B3906" s="2">
        <v>44055</v>
      </c>
      <c r="C3906" s="1">
        <v>67</v>
      </c>
      <c r="D3906" s="47">
        <f>C3906+D3882</f>
        <v>750</v>
      </c>
      <c r="F3906" s="47">
        <f>E3906+F3882</f>
        <v>5</v>
      </c>
    </row>
    <row r="3907" spans="1:6" x14ac:dyDescent="0.25">
      <c r="A3907" s="5" t="s">
        <v>35</v>
      </c>
      <c r="B3907" s="2">
        <v>44055</v>
      </c>
      <c r="C3907" s="1">
        <v>0</v>
      </c>
      <c r="D3907" s="47">
        <f t="shared" si="276"/>
        <v>23</v>
      </c>
      <c r="F3907" s="47">
        <f>E3907+F3883</f>
        <v>0</v>
      </c>
    </row>
    <row r="3908" spans="1:6" x14ac:dyDescent="0.25">
      <c r="A3908" s="5" t="s">
        <v>36</v>
      </c>
      <c r="B3908" s="2">
        <v>44055</v>
      </c>
      <c r="C3908" s="1">
        <v>1</v>
      </c>
      <c r="D3908" s="47">
        <f t="shared" si="276"/>
        <v>32</v>
      </c>
      <c r="F3908" s="47">
        <f t="shared" si="274"/>
        <v>0</v>
      </c>
    </row>
    <row r="3909" spans="1:6" x14ac:dyDescent="0.25">
      <c r="A3909" s="5" t="s">
        <v>37</v>
      </c>
      <c r="B3909" s="2">
        <v>44055</v>
      </c>
      <c r="C3909" s="1">
        <v>34</v>
      </c>
      <c r="D3909" s="47">
        <f t="shared" si="276"/>
        <v>868</v>
      </c>
      <c r="F3909" s="47">
        <f t="shared" ref="F3909:F3914" si="277">E3909+F3885</f>
        <v>3</v>
      </c>
    </row>
    <row r="3910" spans="1:6" x14ac:dyDescent="0.25">
      <c r="A3910" s="5" t="s">
        <v>22</v>
      </c>
      <c r="B3910" s="2">
        <v>44055</v>
      </c>
      <c r="C3910" s="1">
        <v>165</v>
      </c>
      <c r="D3910" s="47">
        <f t="shared" si="276"/>
        <v>2596</v>
      </c>
      <c r="E3910" s="1">
        <v>1</v>
      </c>
      <c r="F3910" s="47">
        <f t="shared" si="277"/>
        <v>26</v>
      </c>
    </row>
    <row r="3911" spans="1:6" x14ac:dyDescent="0.25">
      <c r="A3911" s="5" t="s">
        <v>38</v>
      </c>
      <c r="B3911" s="2">
        <v>44055</v>
      </c>
      <c r="C3911" s="1">
        <v>21</v>
      </c>
      <c r="D3911" s="47">
        <f t="shared" si="276"/>
        <v>179</v>
      </c>
      <c r="F3911" s="47">
        <f t="shared" si="277"/>
        <v>1</v>
      </c>
    </row>
    <row r="3912" spans="1:6" x14ac:dyDescent="0.25">
      <c r="A3912" s="5" t="s">
        <v>39</v>
      </c>
      <c r="B3912" s="2">
        <v>44055</v>
      </c>
      <c r="C3912" s="1">
        <v>46</v>
      </c>
      <c r="D3912" s="47">
        <f t="shared" si="276"/>
        <v>1143</v>
      </c>
      <c r="E3912" s="1">
        <v>1</v>
      </c>
      <c r="F3912" s="47">
        <f t="shared" si="277"/>
        <v>10</v>
      </c>
    </row>
    <row r="3913" spans="1:6" x14ac:dyDescent="0.25">
      <c r="A3913" s="5" t="s">
        <v>40</v>
      </c>
      <c r="B3913" s="2">
        <v>44055</v>
      </c>
      <c r="C3913" s="1">
        <v>32</v>
      </c>
      <c r="D3913" s="47">
        <f t="shared" si="276"/>
        <v>488</v>
      </c>
      <c r="F3913" s="47">
        <f t="shared" si="277"/>
        <v>5</v>
      </c>
    </row>
    <row r="3914" spans="1:6" x14ac:dyDescent="0.25">
      <c r="A3914" s="34" t="s">
        <v>16</v>
      </c>
      <c r="B3914" s="2">
        <v>44056</v>
      </c>
      <c r="C3914" s="1">
        <v>4986</v>
      </c>
      <c r="D3914" s="47">
        <f>C3914+D3890</f>
        <v>171384</v>
      </c>
      <c r="E3914" s="1">
        <v>73</v>
      </c>
      <c r="F3914" s="47">
        <f t="shared" si="277"/>
        <v>3129</v>
      </c>
    </row>
    <row r="3915" spans="1:6" x14ac:dyDescent="0.25">
      <c r="A3915" s="5" t="s">
        <v>43</v>
      </c>
      <c r="B3915" s="2">
        <v>44056</v>
      </c>
      <c r="C3915" s="1">
        <v>1126</v>
      </c>
      <c r="D3915" s="47">
        <f t="shared" ref="D3915:D3929" si="278">C3915+D3891</f>
        <v>74575</v>
      </c>
      <c r="E3915" s="1">
        <f>2+2+10+15</f>
        <v>29</v>
      </c>
      <c r="F3915" s="47">
        <f t="shared" si="274"/>
        <v>1622</v>
      </c>
    </row>
    <row r="3916" spans="1:6" x14ac:dyDescent="0.25">
      <c r="A3916" s="5" t="s">
        <v>28</v>
      </c>
      <c r="B3916" s="2">
        <v>44056</v>
      </c>
      <c r="C3916" s="1">
        <v>1</v>
      </c>
      <c r="D3916" s="47">
        <f t="shared" si="278"/>
        <v>63</v>
      </c>
      <c r="F3916" s="47">
        <f t="shared" si="274"/>
        <v>0</v>
      </c>
    </row>
    <row r="3917" spans="1:6" x14ac:dyDescent="0.25">
      <c r="A3917" s="5" t="s">
        <v>15</v>
      </c>
      <c r="B3917" s="2">
        <v>44056</v>
      </c>
      <c r="C3917" s="1">
        <v>61</v>
      </c>
      <c r="D3917" s="47">
        <f t="shared" si="278"/>
        <v>4279</v>
      </c>
      <c r="E3917" s="1">
        <v>6</v>
      </c>
      <c r="F3917" s="47">
        <f t="shared" si="274"/>
        <v>173</v>
      </c>
    </row>
    <row r="3918" spans="1:6" x14ac:dyDescent="0.25">
      <c r="A3918" s="5" t="s">
        <v>29</v>
      </c>
      <c r="B3918" s="2">
        <v>44056</v>
      </c>
      <c r="C3918" s="1">
        <v>18</v>
      </c>
      <c r="D3918" s="47">
        <f t="shared" si="278"/>
        <v>385</v>
      </c>
      <c r="F3918" s="47">
        <f t="shared" si="274"/>
        <v>5</v>
      </c>
    </row>
    <row r="3919" spans="1:6" x14ac:dyDescent="0.25">
      <c r="A3919" s="5" t="s">
        <v>20</v>
      </c>
      <c r="B3919" s="2">
        <v>44056</v>
      </c>
      <c r="C3919" s="1">
        <v>175</v>
      </c>
      <c r="D3919" s="47">
        <f t="shared" si="278"/>
        <v>4149</v>
      </c>
      <c r="E3919" s="1">
        <v>3</v>
      </c>
      <c r="F3919" s="47">
        <f t="shared" si="274"/>
        <v>73</v>
      </c>
    </row>
    <row r="3920" spans="1:6" x14ac:dyDescent="0.25">
      <c r="A3920" s="5" t="s">
        <v>30</v>
      </c>
      <c r="B3920" s="2">
        <v>44056</v>
      </c>
      <c r="C3920" s="1">
        <v>2</v>
      </c>
      <c r="D3920" s="47">
        <f t="shared" si="278"/>
        <v>223</v>
      </c>
      <c r="F3920" s="47">
        <f t="shared" si="274"/>
        <v>2</v>
      </c>
    </row>
    <row r="3921" spans="1:6" x14ac:dyDescent="0.25">
      <c r="A3921" s="5" t="s">
        <v>31</v>
      </c>
      <c r="B3921" s="2">
        <v>44056</v>
      </c>
      <c r="C3921" s="1">
        <v>55</v>
      </c>
      <c r="D3921" s="47">
        <f t="shared" si="278"/>
        <v>1364</v>
      </c>
      <c r="E3921" s="1">
        <v>3</v>
      </c>
      <c r="F3921" s="47">
        <f t="shared" si="274"/>
        <v>18</v>
      </c>
    </row>
    <row r="3922" spans="1:6" x14ac:dyDescent="0.25">
      <c r="A3922" s="5" t="s">
        <v>41</v>
      </c>
      <c r="B3922" s="2">
        <v>44056</v>
      </c>
      <c r="C3922" s="1">
        <v>-2</v>
      </c>
      <c r="D3922" s="47">
        <f t="shared" si="278"/>
        <v>81</v>
      </c>
      <c r="F3922" s="47">
        <f>E3922+F3898</f>
        <v>0</v>
      </c>
    </row>
    <row r="3923" spans="1:6" x14ac:dyDescent="0.25">
      <c r="A3923" s="5" t="s">
        <v>32</v>
      </c>
      <c r="B3923" s="2">
        <v>44056</v>
      </c>
      <c r="C3923" s="1">
        <v>167</v>
      </c>
      <c r="D3923" s="47">
        <f t="shared" si="278"/>
        <v>4196</v>
      </c>
      <c r="E3923" s="1">
        <f>2+9+8</f>
        <v>19</v>
      </c>
      <c r="F3923" s="47">
        <f>E3923+F3899</f>
        <v>20</v>
      </c>
    </row>
    <row r="3924" spans="1:6" x14ac:dyDescent="0.25">
      <c r="A3924" s="5" t="s">
        <v>33</v>
      </c>
      <c r="B3924" s="2">
        <v>44056</v>
      </c>
      <c r="C3924" s="1">
        <v>1</v>
      </c>
      <c r="D3924" s="47">
        <f t="shared" si="278"/>
        <v>209</v>
      </c>
      <c r="F3924" s="47">
        <f t="shared" si="274"/>
        <v>1</v>
      </c>
    </row>
    <row r="3925" spans="1:6" x14ac:dyDescent="0.25">
      <c r="A3925" s="5" t="s">
        <v>21</v>
      </c>
      <c r="B3925" s="2">
        <v>44056</v>
      </c>
      <c r="C3925" s="1">
        <v>98</v>
      </c>
      <c r="D3925" s="47">
        <f t="shared" si="278"/>
        <v>639</v>
      </c>
      <c r="F3925" s="47">
        <f t="shared" si="274"/>
        <v>1</v>
      </c>
    </row>
    <row r="3926" spans="1:6" x14ac:dyDescent="0.25">
      <c r="A3926" s="5" t="s">
        <v>17</v>
      </c>
      <c r="B3926" s="2">
        <v>44056</v>
      </c>
      <c r="C3926" s="1">
        <v>164</v>
      </c>
      <c r="D3926" s="47">
        <f t="shared" si="278"/>
        <v>2741</v>
      </c>
      <c r="E3926" s="1">
        <f>1+2+4</f>
        <v>7</v>
      </c>
      <c r="F3926" s="47">
        <f t="shared" si="274"/>
        <v>17</v>
      </c>
    </row>
    <row r="3927" spans="1:6" x14ac:dyDescent="0.25">
      <c r="A3927" s="5" t="s">
        <v>23</v>
      </c>
      <c r="B3927" s="2">
        <v>44056</v>
      </c>
      <c r="C3927" s="1">
        <v>2</v>
      </c>
      <c r="D3927" s="47">
        <f t="shared" si="278"/>
        <v>63</v>
      </c>
      <c r="F3927" s="47">
        <f t="shared" si="274"/>
        <v>2</v>
      </c>
    </row>
    <row r="3928" spans="1:6" x14ac:dyDescent="0.25">
      <c r="A3928" s="5" t="s">
        <v>19</v>
      </c>
      <c r="B3928" s="2">
        <v>44056</v>
      </c>
      <c r="C3928" s="1">
        <v>65</v>
      </c>
      <c r="D3928" s="47">
        <f t="shared" si="278"/>
        <v>1710</v>
      </c>
      <c r="F3928" s="47">
        <f t="shared" si="274"/>
        <v>3</v>
      </c>
    </row>
    <row r="3929" spans="1:6" x14ac:dyDescent="0.25">
      <c r="A3929" s="5" t="s">
        <v>18</v>
      </c>
      <c r="B3929" s="2">
        <v>44056</v>
      </c>
      <c r="C3929" s="1">
        <v>160</v>
      </c>
      <c r="D3929" s="47">
        <f t="shared" si="278"/>
        <v>3535</v>
      </c>
      <c r="E3929" s="1">
        <v>5</v>
      </c>
      <c r="F3929" s="47">
        <f t="shared" si="274"/>
        <v>18</v>
      </c>
    </row>
    <row r="3930" spans="1:6" x14ac:dyDescent="0.25">
      <c r="A3930" s="5" t="s">
        <v>34</v>
      </c>
      <c r="B3930" s="2">
        <v>44056</v>
      </c>
      <c r="C3930" s="1">
        <v>78</v>
      </c>
      <c r="D3930" s="47">
        <f>C3930+D3906</f>
        <v>828</v>
      </c>
      <c r="F3930" s="47">
        <f>E3930+F3906</f>
        <v>5</v>
      </c>
    </row>
    <row r="3931" spans="1:6" x14ac:dyDescent="0.25">
      <c r="A3931" s="5" t="s">
        <v>35</v>
      </c>
      <c r="B3931" s="2">
        <v>44056</v>
      </c>
      <c r="C3931" s="1">
        <v>0</v>
      </c>
      <c r="D3931" s="47">
        <f t="shared" ref="D3931:D3937" si="279">C3931+D3907</f>
        <v>23</v>
      </c>
      <c r="F3931" s="47">
        <f>E3931+F3907</f>
        <v>0</v>
      </c>
    </row>
    <row r="3932" spans="1:6" x14ac:dyDescent="0.25">
      <c r="A3932" s="5" t="s">
        <v>36</v>
      </c>
      <c r="B3932" s="2">
        <v>44056</v>
      </c>
      <c r="C3932" s="1">
        <v>1</v>
      </c>
      <c r="D3932" s="47">
        <f t="shared" si="279"/>
        <v>33</v>
      </c>
      <c r="F3932" s="47">
        <f>E3932+F3908</f>
        <v>0</v>
      </c>
    </row>
    <row r="3933" spans="1:6" x14ac:dyDescent="0.25">
      <c r="A3933" s="5" t="s">
        <v>37</v>
      </c>
      <c r="B3933" s="2">
        <v>44056</v>
      </c>
      <c r="C3933" s="1">
        <v>46</v>
      </c>
      <c r="D3933" s="47">
        <f t="shared" si="279"/>
        <v>914</v>
      </c>
      <c r="F3933" s="47">
        <f t="shared" ref="F3933:F3938" si="280">E3933+F3909</f>
        <v>3</v>
      </c>
    </row>
    <row r="3934" spans="1:6" x14ac:dyDescent="0.25">
      <c r="A3934" s="5" t="s">
        <v>22</v>
      </c>
      <c r="B3934" s="2">
        <v>44056</v>
      </c>
      <c r="C3934" s="1">
        <v>168</v>
      </c>
      <c r="D3934" s="47">
        <f t="shared" si="279"/>
        <v>2764</v>
      </c>
      <c r="E3934" s="1">
        <v>3</v>
      </c>
      <c r="F3934" s="47">
        <f t="shared" si="280"/>
        <v>29</v>
      </c>
    </row>
    <row r="3935" spans="1:6" x14ac:dyDescent="0.25">
      <c r="A3935" s="5" t="s">
        <v>38</v>
      </c>
      <c r="B3935" s="2">
        <v>44056</v>
      </c>
      <c r="C3935" s="1">
        <v>21</v>
      </c>
      <c r="D3935" s="47">
        <f t="shared" si="279"/>
        <v>200</v>
      </c>
      <c r="F3935" s="47">
        <f t="shared" si="280"/>
        <v>1</v>
      </c>
    </row>
    <row r="3936" spans="1:6" x14ac:dyDescent="0.25">
      <c r="A3936" s="5" t="s">
        <v>39</v>
      </c>
      <c r="B3936" s="2">
        <v>44056</v>
      </c>
      <c r="C3936" s="1">
        <v>84</v>
      </c>
      <c r="D3936" s="47">
        <f t="shared" si="279"/>
        <v>1227</v>
      </c>
      <c r="E3936" s="1">
        <v>1</v>
      </c>
      <c r="F3936" s="47">
        <f t="shared" si="280"/>
        <v>11</v>
      </c>
    </row>
    <row r="3937" spans="1:6" x14ac:dyDescent="0.25">
      <c r="A3937" s="5" t="s">
        <v>40</v>
      </c>
      <c r="B3937" s="2">
        <v>44056</v>
      </c>
      <c r="C3937" s="1">
        <v>21</v>
      </c>
      <c r="D3937" s="47">
        <f t="shared" si="279"/>
        <v>509</v>
      </c>
      <c r="F3937" s="47">
        <f t="shared" si="280"/>
        <v>5</v>
      </c>
    </row>
    <row r="3938" spans="1:6" x14ac:dyDescent="0.25">
      <c r="A3938" s="34" t="s">
        <v>16</v>
      </c>
      <c r="B3938" s="2">
        <v>44057</v>
      </c>
      <c r="C3938" s="1">
        <f>4157+3</f>
        <v>4160</v>
      </c>
      <c r="D3938" s="47">
        <f>C3938+D3914</f>
        <v>175544</v>
      </c>
      <c r="E3938" s="1">
        <f>19+13+31+25</f>
        <v>88</v>
      </c>
      <c r="F3938" s="47">
        <f t="shared" si="280"/>
        <v>3217</v>
      </c>
    </row>
    <row r="3939" spans="1:6" x14ac:dyDescent="0.25">
      <c r="A3939" s="5" t="s">
        <v>43</v>
      </c>
      <c r="B3939" s="2">
        <v>44057</v>
      </c>
      <c r="C3939" s="1">
        <f>1012+6</f>
        <v>1018</v>
      </c>
      <c r="D3939" s="47">
        <f t="shared" ref="D3939:D3953" si="281">C3939+D3915</f>
        <v>75593</v>
      </c>
      <c r="E3939" s="1">
        <f>3+7+17+11</f>
        <v>38</v>
      </c>
      <c r="F3939" s="47">
        <f t="shared" ref="F3939:F3977" si="282">E3939+F3915</f>
        <v>1660</v>
      </c>
    </row>
    <row r="3940" spans="1:6" x14ac:dyDescent="0.25">
      <c r="A3940" s="5" t="s">
        <v>28</v>
      </c>
      <c r="B3940" s="2">
        <v>44057</v>
      </c>
      <c r="C3940" s="1">
        <v>0</v>
      </c>
      <c r="D3940" s="47">
        <f t="shared" si="281"/>
        <v>63</v>
      </c>
      <c r="F3940" s="47">
        <f t="shared" si="282"/>
        <v>0</v>
      </c>
    </row>
    <row r="3941" spans="1:6" x14ac:dyDescent="0.25">
      <c r="A3941" s="5" t="s">
        <v>15</v>
      </c>
      <c r="B3941" s="2">
        <v>44057</v>
      </c>
      <c r="C3941" s="1">
        <v>49</v>
      </c>
      <c r="D3941" s="47">
        <f t="shared" si="281"/>
        <v>4328</v>
      </c>
      <c r="F3941" s="47">
        <f t="shared" si="282"/>
        <v>173</v>
      </c>
    </row>
    <row r="3942" spans="1:6" x14ac:dyDescent="0.25">
      <c r="A3942" s="5" t="s">
        <v>29</v>
      </c>
      <c r="B3942" s="2">
        <v>44057</v>
      </c>
      <c r="C3942" s="1">
        <v>6</v>
      </c>
      <c r="D3942" s="47">
        <f t="shared" si="281"/>
        <v>391</v>
      </c>
      <c r="F3942" s="47">
        <f t="shared" si="282"/>
        <v>5</v>
      </c>
    </row>
    <row r="3943" spans="1:6" x14ac:dyDescent="0.25">
      <c r="A3943" s="5" t="s">
        <v>20</v>
      </c>
      <c r="B3943" s="2">
        <v>44057</v>
      </c>
      <c r="C3943" s="1">
        <v>144</v>
      </c>
      <c r="D3943" s="47">
        <f t="shared" si="281"/>
        <v>4293</v>
      </c>
      <c r="E3943" s="1">
        <f>1</f>
        <v>1</v>
      </c>
      <c r="F3943" s="47">
        <f t="shared" si="282"/>
        <v>74</v>
      </c>
    </row>
    <row r="3944" spans="1:6" x14ac:dyDescent="0.25">
      <c r="A3944" s="5" t="s">
        <v>30</v>
      </c>
      <c r="B3944" s="2">
        <v>44057</v>
      </c>
      <c r="C3944" s="1">
        <v>1</v>
      </c>
      <c r="D3944" s="47">
        <f t="shared" si="281"/>
        <v>224</v>
      </c>
      <c r="F3944" s="47">
        <f t="shared" si="282"/>
        <v>2</v>
      </c>
    </row>
    <row r="3945" spans="1:6" x14ac:dyDescent="0.25">
      <c r="A3945" s="5" t="s">
        <v>31</v>
      </c>
      <c r="B3945" s="2">
        <v>44057</v>
      </c>
      <c r="C3945" s="1">
        <v>100</v>
      </c>
      <c r="D3945" s="47">
        <f t="shared" si="281"/>
        <v>1464</v>
      </c>
      <c r="E3945" s="1">
        <v>2</v>
      </c>
      <c r="F3945" s="47">
        <f t="shared" si="282"/>
        <v>20</v>
      </c>
    </row>
    <row r="3946" spans="1:6" x14ac:dyDescent="0.25">
      <c r="A3946" s="5" t="s">
        <v>41</v>
      </c>
      <c r="B3946" s="2">
        <v>44057</v>
      </c>
      <c r="C3946" s="1">
        <v>0</v>
      </c>
      <c r="D3946" s="47">
        <f t="shared" si="281"/>
        <v>81</v>
      </c>
      <c r="F3946" s="47">
        <f>E3946+F3922</f>
        <v>0</v>
      </c>
    </row>
    <row r="3947" spans="1:6" x14ac:dyDescent="0.25">
      <c r="A3947" s="5" t="s">
        <v>32</v>
      </c>
      <c r="B3947" s="2">
        <v>44057</v>
      </c>
      <c r="C3947" s="1">
        <f>133-3</f>
        <v>130</v>
      </c>
      <c r="D3947" s="47">
        <f t="shared" si="281"/>
        <v>4326</v>
      </c>
      <c r="E3947" s="1">
        <f>14+7</f>
        <v>21</v>
      </c>
      <c r="F3947" s="47">
        <f>E3947+F3923</f>
        <v>41</v>
      </c>
    </row>
    <row r="3948" spans="1:6" x14ac:dyDescent="0.25">
      <c r="A3948" s="5" t="s">
        <v>33</v>
      </c>
      <c r="B3948" s="2">
        <v>44057</v>
      </c>
      <c r="C3948" s="1">
        <v>1</v>
      </c>
      <c r="D3948" s="47">
        <f t="shared" si="281"/>
        <v>210</v>
      </c>
      <c r="F3948" s="47">
        <f t="shared" si="282"/>
        <v>1</v>
      </c>
    </row>
    <row r="3949" spans="1:6" x14ac:dyDescent="0.25">
      <c r="A3949" s="5" t="s">
        <v>21</v>
      </c>
      <c r="B3949" s="2">
        <v>44057</v>
      </c>
      <c r="C3949" s="1">
        <f>22-1</f>
        <v>21</v>
      </c>
      <c r="D3949" s="47">
        <f t="shared" si="281"/>
        <v>660</v>
      </c>
      <c r="F3949" s="47">
        <f t="shared" si="282"/>
        <v>1</v>
      </c>
    </row>
    <row r="3950" spans="1:6" x14ac:dyDescent="0.25">
      <c r="A3950" s="5" t="s">
        <v>17</v>
      </c>
      <c r="B3950" s="2">
        <v>44057</v>
      </c>
      <c r="C3950" s="1">
        <v>165</v>
      </c>
      <c r="D3950" s="47">
        <f t="shared" si="281"/>
        <v>2906</v>
      </c>
      <c r="E3950" s="1">
        <v>2</v>
      </c>
      <c r="F3950" s="47">
        <f t="shared" si="282"/>
        <v>19</v>
      </c>
    </row>
    <row r="3951" spans="1:6" x14ac:dyDescent="0.25">
      <c r="A3951" s="5" t="s">
        <v>23</v>
      </c>
      <c r="B3951" s="2">
        <v>44057</v>
      </c>
      <c r="C3951" s="1">
        <v>1</v>
      </c>
      <c r="D3951" s="47">
        <f t="shared" si="281"/>
        <v>64</v>
      </c>
      <c r="F3951" s="47">
        <f t="shared" si="282"/>
        <v>2</v>
      </c>
    </row>
    <row r="3952" spans="1:6" x14ac:dyDescent="0.25">
      <c r="A3952" s="5" t="s">
        <v>19</v>
      </c>
      <c r="B3952" s="2">
        <v>44057</v>
      </c>
      <c r="C3952" s="1">
        <v>16</v>
      </c>
      <c r="D3952" s="47">
        <f t="shared" si="281"/>
        <v>1726</v>
      </c>
      <c r="E3952" s="1">
        <v>1</v>
      </c>
      <c r="F3952" s="47">
        <f t="shared" si="282"/>
        <v>4</v>
      </c>
    </row>
    <row r="3953" spans="1:6" x14ac:dyDescent="0.25">
      <c r="A3953" s="5" t="s">
        <v>18</v>
      </c>
      <c r="B3953" s="2">
        <v>44057</v>
      </c>
      <c r="C3953" s="1">
        <v>118</v>
      </c>
      <c r="D3953" s="47">
        <f t="shared" si="281"/>
        <v>3653</v>
      </c>
      <c r="E3953" s="1">
        <v>6</v>
      </c>
      <c r="F3953" s="47">
        <f t="shared" si="282"/>
        <v>24</v>
      </c>
    </row>
    <row r="3954" spans="1:6" x14ac:dyDescent="0.25">
      <c r="A3954" s="5" t="s">
        <v>34</v>
      </c>
      <c r="B3954" s="2">
        <v>44057</v>
      </c>
      <c r="C3954" s="1">
        <f>106+3</f>
        <v>109</v>
      </c>
      <c r="D3954" s="47">
        <f>C3954+D3930</f>
        <v>937</v>
      </c>
      <c r="E3954" s="1">
        <v>2</v>
      </c>
      <c r="F3954" s="47">
        <f>E3954+F3930</f>
        <v>7</v>
      </c>
    </row>
    <row r="3955" spans="1:6" x14ac:dyDescent="0.25">
      <c r="A3955" s="5" t="s">
        <v>35</v>
      </c>
      <c r="B3955" s="2">
        <v>44057</v>
      </c>
      <c r="C3955" s="1">
        <v>-1</v>
      </c>
      <c r="D3955" s="47">
        <f t="shared" ref="D3955:D3961" si="283">C3955+D3931</f>
        <v>22</v>
      </c>
      <c r="F3955" s="47">
        <f>E3955+F3931</f>
        <v>0</v>
      </c>
    </row>
    <row r="3956" spans="1:6" x14ac:dyDescent="0.25">
      <c r="A3956" s="5" t="s">
        <v>36</v>
      </c>
      <c r="B3956" s="2">
        <v>44057</v>
      </c>
      <c r="C3956" s="1">
        <v>1</v>
      </c>
      <c r="D3956" s="47">
        <f t="shared" si="283"/>
        <v>34</v>
      </c>
      <c r="F3956" s="47">
        <f t="shared" si="282"/>
        <v>0</v>
      </c>
    </row>
    <row r="3957" spans="1:6" x14ac:dyDescent="0.25">
      <c r="A3957" s="5" t="s">
        <v>37</v>
      </c>
      <c r="B3957" s="2">
        <v>44057</v>
      </c>
      <c r="C3957" s="1">
        <f>40-3</f>
        <v>37</v>
      </c>
      <c r="D3957" s="47">
        <f t="shared" si="283"/>
        <v>951</v>
      </c>
      <c r="F3957" s="47">
        <f t="shared" ref="F3957:F3962" si="284">E3957+F3933</f>
        <v>3</v>
      </c>
    </row>
    <row r="3958" spans="1:6" x14ac:dyDescent="0.25">
      <c r="A3958" s="5" t="s">
        <v>22</v>
      </c>
      <c r="B3958" s="2">
        <v>44057</v>
      </c>
      <c r="C3958" s="1">
        <v>190</v>
      </c>
      <c r="D3958" s="47">
        <f t="shared" si="283"/>
        <v>2954</v>
      </c>
      <c r="E3958" s="1">
        <v>1</v>
      </c>
      <c r="F3958" s="47">
        <f t="shared" si="284"/>
        <v>30</v>
      </c>
    </row>
    <row r="3959" spans="1:6" x14ac:dyDescent="0.25">
      <c r="A3959" s="5" t="s">
        <v>38</v>
      </c>
      <c r="B3959" s="2">
        <v>44057</v>
      </c>
      <c r="C3959" s="1">
        <f>24-2</f>
        <v>22</v>
      </c>
      <c r="D3959" s="47">
        <f t="shared" si="283"/>
        <v>222</v>
      </c>
      <c r="F3959" s="47">
        <f t="shared" si="284"/>
        <v>1</v>
      </c>
    </row>
    <row r="3960" spans="1:6" x14ac:dyDescent="0.25">
      <c r="A3960" s="5" t="s">
        <v>39</v>
      </c>
      <c r="B3960" s="2">
        <v>44057</v>
      </c>
      <c r="C3960" s="1">
        <f>48-2</f>
        <v>46</v>
      </c>
      <c r="D3960" s="47">
        <f t="shared" si="283"/>
        <v>1273</v>
      </c>
      <c r="E3960" s="1">
        <v>3</v>
      </c>
      <c r="F3960" s="47">
        <f t="shared" si="284"/>
        <v>14</v>
      </c>
    </row>
    <row r="3961" spans="1:6" x14ac:dyDescent="0.25">
      <c r="A3961" s="5" t="s">
        <v>40</v>
      </c>
      <c r="B3961" s="2">
        <v>44057</v>
      </c>
      <c r="C3961" s="1">
        <f>32-1</f>
        <v>31</v>
      </c>
      <c r="D3961" s="47">
        <f t="shared" si="283"/>
        <v>540</v>
      </c>
      <c r="F3961" s="47">
        <f t="shared" si="284"/>
        <v>5</v>
      </c>
    </row>
    <row r="3962" spans="1:6" x14ac:dyDescent="0.25">
      <c r="A3962" s="34" t="s">
        <v>16</v>
      </c>
      <c r="B3962" s="2">
        <v>44058</v>
      </c>
      <c r="C3962" s="1">
        <v>4438</v>
      </c>
      <c r="D3962" s="47">
        <f>C3962+D3938</f>
        <v>179982</v>
      </c>
      <c r="E3962" s="1">
        <f>16+10+33+24</f>
        <v>83</v>
      </c>
      <c r="F3962" s="47">
        <f t="shared" si="284"/>
        <v>3300</v>
      </c>
    </row>
    <row r="3963" spans="1:6" x14ac:dyDescent="0.25">
      <c r="A3963" s="5" t="s">
        <v>43</v>
      </c>
      <c r="B3963" s="2">
        <v>44058</v>
      </c>
      <c r="C3963" s="1">
        <v>915</v>
      </c>
      <c r="D3963" s="47">
        <f t="shared" ref="D3963:D3977" si="285">C3963+D3939</f>
        <v>76508</v>
      </c>
      <c r="E3963" s="1">
        <f>4+2+3</f>
        <v>9</v>
      </c>
      <c r="F3963" s="47">
        <f t="shared" si="282"/>
        <v>1669</v>
      </c>
    </row>
    <row r="3964" spans="1:6" x14ac:dyDescent="0.25">
      <c r="A3964" s="5" t="s">
        <v>28</v>
      </c>
      <c r="B3964" s="2">
        <v>44058</v>
      </c>
      <c r="C3964" s="1">
        <v>0</v>
      </c>
      <c r="D3964" s="47">
        <f t="shared" si="285"/>
        <v>63</v>
      </c>
      <c r="F3964" s="47">
        <f t="shared" si="282"/>
        <v>0</v>
      </c>
    </row>
    <row r="3965" spans="1:6" x14ac:dyDescent="0.25">
      <c r="A3965" s="5" t="s">
        <v>15</v>
      </c>
      <c r="B3965" s="2">
        <v>44058</v>
      </c>
      <c r="C3965" s="1">
        <v>40</v>
      </c>
      <c r="D3965" s="47">
        <f t="shared" si="285"/>
        <v>4368</v>
      </c>
      <c r="E3965" s="1">
        <v>4</v>
      </c>
      <c r="F3965" s="47">
        <f t="shared" si="282"/>
        <v>177</v>
      </c>
    </row>
    <row r="3966" spans="1:6" x14ac:dyDescent="0.25">
      <c r="A3966" s="5" t="s">
        <v>29</v>
      </c>
      <c r="B3966" s="2">
        <v>44058</v>
      </c>
      <c r="C3966" s="1">
        <v>4</v>
      </c>
      <c r="D3966" s="47">
        <f t="shared" si="285"/>
        <v>395</v>
      </c>
      <c r="F3966" s="47">
        <f t="shared" si="282"/>
        <v>5</v>
      </c>
    </row>
    <row r="3967" spans="1:6" x14ac:dyDescent="0.25">
      <c r="A3967" s="5" t="s">
        <v>20</v>
      </c>
      <c r="B3967" s="2">
        <v>44058</v>
      </c>
      <c r="C3967" s="1">
        <v>161</v>
      </c>
      <c r="D3967" s="47">
        <f t="shared" si="285"/>
        <v>4454</v>
      </c>
      <c r="F3967" s="47">
        <f t="shared" si="282"/>
        <v>74</v>
      </c>
    </row>
    <row r="3968" spans="1:6" x14ac:dyDescent="0.25">
      <c r="A3968" s="5" t="s">
        <v>30</v>
      </c>
      <c r="B3968" s="2">
        <v>44058</v>
      </c>
      <c r="C3968" s="1">
        <v>2</v>
      </c>
      <c r="D3968" s="47">
        <f t="shared" si="285"/>
        <v>226</v>
      </c>
      <c r="F3968" s="47">
        <f t="shared" si="282"/>
        <v>2</v>
      </c>
    </row>
    <row r="3969" spans="1:6" x14ac:dyDescent="0.25">
      <c r="A3969" s="5" t="s">
        <v>31</v>
      </c>
      <c r="B3969" s="2">
        <v>44058</v>
      </c>
      <c r="C3969" s="1">
        <v>64</v>
      </c>
      <c r="D3969" s="47">
        <f t="shared" si="285"/>
        <v>1528</v>
      </c>
      <c r="E3969" s="1">
        <v>2</v>
      </c>
      <c r="F3969" s="47">
        <f t="shared" si="282"/>
        <v>22</v>
      </c>
    </row>
    <row r="3970" spans="1:6" x14ac:dyDescent="0.25">
      <c r="A3970" s="5" t="s">
        <v>41</v>
      </c>
      <c r="B3970" s="2">
        <v>44058</v>
      </c>
      <c r="C3970" s="1">
        <v>1</v>
      </c>
      <c r="D3970" s="47">
        <f t="shared" si="285"/>
        <v>82</v>
      </c>
      <c r="F3970" s="47">
        <f>E3970+F3946</f>
        <v>0</v>
      </c>
    </row>
    <row r="3971" spans="1:6" x14ac:dyDescent="0.25">
      <c r="A3971" s="5" t="s">
        <v>32</v>
      </c>
      <c r="B3971" s="2">
        <v>44058</v>
      </c>
      <c r="C3971" s="1">
        <v>157</v>
      </c>
      <c r="D3971" s="47">
        <f t="shared" si="285"/>
        <v>4483</v>
      </c>
      <c r="F3971" s="47">
        <f t="shared" si="282"/>
        <v>41</v>
      </c>
    </row>
    <row r="3972" spans="1:6" x14ac:dyDescent="0.25">
      <c r="A3972" s="5" t="s">
        <v>33</v>
      </c>
      <c r="B3972" s="2">
        <v>44058</v>
      </c>
      <c r="C3972" s="1">
        <v>1</v>
      </c>
      <c r="D3972" s="47">
        <f t="shared" si="285"/>
        <v>211</v>
      </c>
      <c r="F3972" s="47">
        <f t="shared" si="282"/>
        <v>1</v>
      </c>
    </row>
    <row r="3973" spans="1:6" x14ac:dyDescent="0.25">
      <c r="A3973" s="5" t="s">
        <v>21</v>
      </c>
      <c r="B3973" s="2">
        <v>44058</v>
      </c>
      <c r="C3973" s="1">
        <v>55</v>
      </c>
      <c r="D3973" s="47">
        <f t="shared" si="285"/>
        <v>715</v>
      </c>
      <c r="F3973" s="47">
        <f t="shared" si="282"/>
        <v>1</v>
      </c>
    </row>
    <row r="3974" spans="1:6" x14ac:dyDescent="0.25">
      <c r="A3974" s="5" t="s">
        <v>17</v>
      </c>
      <c r="B3974" s="2">
        <v>44058</v>
      </c>
      <c r="C3974" s="1">
        <v>210</v>
      </c>
      <c r="D3974" s="47">
        <f t="shared" si="285"/>
        <v>3116</v>
      </c>
      <c r="E3974" s="1">
        <f>1+1+3</f>
        <v>5</v>
      </c>
      <c r="F3974" s="47">
        <f t="shared" si="282"/>
        <v>24</v>
      </c>
    </row>
    <row r="3975" spans="1:6" x14ac:dyDescent="0.25">
      <c r="A3975" s="5" t="s">
        <v>23</v>
      </c>
      <c r="B3975" s="2">
        <v>44058</v>
      </c>
      <c r="C3975" s="1">
        <v>3</v>
      </c>
      <c r="D3975" s="47">
        <f t="shared" si="285"/>
        <v>67</v>
      </c>
      <c r="F3975" s="47">
        <f t="shared" si="282"/>
        <v>2</v>
      </c>
    </row>
    <row r="3976" spans="1:6" x14ac:dyDescent="0.25">
      <c r="A3976" s="5" t="s">
        <v>19</v>
      </c>
      <c r="B3976" s="2">
        <v>44058</v>
      </c>
      <c r="C3976" s="1">
        <v>72</v>
      </c>
      <c r="D3976" s="47">
        <f t="shared" si="285"/>
        <v>1798</v>
      </c>
      <c r="F3976" s="47">
        <f t="shared" si="282"/>
        <v>4</v>
      </c>
    </row>
    <row r="3977" spans="1:6" x14ac:dyDescent="0.25">
      <c r="A3977" s="5" t="s">
        <v>18</v>
      </c>
      <c r="B3977" s="2">
        <v>44058</v>
      </c>
      <c r="C3977" s="1">
        <v>115</v>
      </c>
      <c r="D3977" s="47">
        <f t="shared" si="285"/>
        <v>3768</v>
      </c>
      <c r="E3977" s="1">
        <v>1</v>
      </c>
      <c r="F3977" s="47">
        <f t="shared" si="282"/>
        <v>25</v>
      </c>
    </row>
    <row r="3978" spans="1:6" x14ac:dyDescent="0.25">
      <c r="A3978" s="5" t="s">
        <v>34</v>
      </c>
      <c r="B3978" s="2">
        <v>44058</v>
      </c>
      <c r="C3978" s="1">
        <v>66</v>
      </c>
      <c r="D3978" s="47">
        <f>C3978+D3954</f>
        <v>1003</v>
      </c>
      <c r="E3978" s="1">
        <v>3</v>
      </c>
      <c r="F3978" s="47">
        <f>E3978+F3954</f>
        <v>10</v>
      </c>
    </row>
    <row r="3979" spans="1:6" x14ac:dyDescent="0.25">
      <c r="A3979" s="5" t="s">
        <v>35</v>
      </c>
      <c r="B3979" s="2">
        <v>44058</v>
      </c>
      <c r="C3979" s="1">
        <v>0</v>
      </c>
      <c r="D3979" s="47">
        <f t="shared" ref="D3979:D3985" si="286">C3979+D3955</f>
        <v>22</v>
      </c>
      <c r="F3979" s="47">
        <f>E3979+F3955</f>
        <v>0</v>
      </c>
    </row>
    <row r="3980" spans="1:6" x14ac:dyDescent="0.25">
      <c r="A3980" s="5" t="s">
        <v>36</v>
      </c>
      <c r="B3980" s="2">
        <v>44058</v>
      </c>
      <c r="C3980" s="1">
        <v>0</v>
      </c>
      <c r="D3980" s="47">
        <f t="shared" si="286"/>
        <v>34</v>
      </c>
      <c r="F3980" s="47">
        <f>E3980+F3956</f>
        <v>0</v>
      </c>
    </row>
    <row r="3981" spans="1:6" x14ac:dyDescent="0.25">
      <c r="A3981" s="5" t="s">
        <v>37</v>
      </c>
      <c r="B3981" s="2">
        <v>44058</v>
      </c>
      <c r="C3981" s="1">
        <v>38</v>
      </c>
      <c r="D3981" s="47">
        <f t="shared" si="286"/>
        <v>989</v>
      </c>
      <c r="F3981" s="47">
        <f t="shared" ref="F3981:F3986" si="287">E3981+F3957</f>
        <v>3</v>
      </c>
    </row>
    <row r="3982" spans="1:6" x14ac:dyDescent="0.25">
      <c r="A3982" s="5" t="s">
        <v>22</v>
      </c>
      <c r="B3982" s="2">
        <v>44058</v>
      </c>
      <c r="C3982" s="1">
        <v>179</v>
      </c>
      <c r="D3982" s="47">
        <f t="shared" si="286"/>
        <v>3133</v>
      </c>
      <c r="E3982" s="1">
        <v>1</v>
      </c>
      <c r="F3982" s="47">
        <f t="shared" si="287"/>
        <v>31</v>
      </c>
    </row>
    <row r="3983" spans="1:6" x14ac:dyDescent="0.25">
      <c r="A3983" s="5" t="s">
        <v>38</v>
      </c>
      <c r="B3983" s="2">
        <v>44058</v>
      </c>
      <c r="C3983" s="1">
        <v>26</v>
      </c>
      <c r="D3983" s="47">
        <f t="shared" si="286"/>
        <v>248</v>
      </c>
      <c r="F3983" s="47">
        <f t="shared" si="287"/>
        <v>1</v>
      </c>
    </row>
    <row r="3984" spans="1:6" x14ac:dyDescent="0.25">
      <c r="A3984" s="5" t="s">
        <v>39</v>
      </c>
      <c r="B3984" s="2">
        <v>44058</v>
      </c>
      <c r="C3984" s="1">
        <v>88</v>
      </c>
      <c r="D3984" s="47">
        <f t="shared" si="286"/>
        <v>1361</v>
      </c>
      <c r="E3984" s="1">
        <v>2</v>
      </c>
      <c r="F3984" s="47">
        <f t="shared" si="287"/>
        <v>16</v>
      </c>
    </row>
    <row r="3985" spans="1:6" x14ac:dyDescent="0.25">
      <c r="A3985" s="5" t="s">
        <v>40</v>
      </c>
      <c r="B3985" s="2">
        <v>44058</v>
      </c>
      <c r="C3985" s="1">
        <v>28</v>
      </c>
      <c r="D3985" s="47">
        <f t="shared" si="286"/>
        <v>568</v>
      </c>
      <c r="F3985" s="47">
        <f t="shared" si="287"/>
        <v>5</v>
      </c>
    </row>
    <row r="3986" spans="1:6" x14ac:dyDescent="0.25">
      <c r="A3986" s="34" t="s">
        <v>16</v>
      </c>
      <c r="B3986" s="2">
        <v>44059</v>
      </c>
      <c r="C3986" s="1">
        <v>3117</v>
      </c>
      <c r="D3986" s="47">
        <f>C3986+D3962</f>
        <v>183099</v>
      </c>
      <c r="E3986" s="1">
        <f>8+5+1+8+7</f>
        <v>29</v>
      </c>
      <c r="F3986" s="47">
        <f t="shared" si="287"/>
        <v>3329</v>
      </c>
    </row>
    <row r="3987" spans="1:6" x14ac:dyDescent="0.25">
      <c r="A3987" s="5" t="s">
        <v>43</v>
      </c>
      <c r="B3987" s="2">
        <v>44059</v>
      </c>
      <c r="C3987" s="1">
        <v>972</v>
      </c>
      <c r="D3987" s="47">
        <f t="shared" ref="D3987:D4001" si="288">C3987+D3963</f>
        <v>77480</v>
      </c>
      <c r="E3987" s="1">
        <f>2+5+1</f>
        <v>8</v>
      </c>
      <c r="F3987" s="47">
        <f t="shared" ref="F3987:F4025" si="289">E3987+F3963</f>
        <v>1677</v>
      </c>
    </row>
    <row r="3988" spans="1:6" x14ac:dyDescent="0.25">
      <c r="A3988" s="5" t="s">
        <v>28</v>
      </c>
      <c r="B3988" s="2">
        <v>44059</v>
      </c>
      <c r="C3988" s="1">
        <v>0</v>
      </c>
      <c r="D3988" s="47">
        <f t="shared" si="288"/>
        <v>63</v>
      </c>
      <c r="F3988" s="47">
        <f t="shared" si="289"/>
        <v>0</v>
      </c>
    </row>
    <row r="3989" spans="1:6" x14ac:dyDescent="0.25">
      <c r="A3989" s="5" t="s">
        <v>15</v>
      </c>
      <c r="B3989" s="2">
        <v>44059</v>
      </c>
      <c r="C3989" s="1">
        <v>68</v>
      </c>
      <c r="D3989" s="47">
        <f t="shared" si="288"/>
        <v>4436</v>
      </c>
      <c r="E3989" s="1">
        <v>3</v>
      </c>
      <c r="F3989" s="47">
        <f>E3989+F3965</f>
        <v>180</v>
      </c>
    </row>
    <row r="3990" spans="1:6" x14ac:dyDescent="0.25">
      <c r="A3990" s="5" t="s">
        <v>29</v>
      </c>
      <c r="B3990" s="2">
        <v>44059</v>
      </c>
      <c r="C3990" s="1">
        <v>9</v>
      </c>
      <c r="D3990" s="47">
        <f t="shared" si="288"/>
        <v>404</v>
      </c>
      <c r="F3990" s="47">
        <f t="shared" si="289"/>
        <v>5</v>
      </c>
    </row>
    <row r="3991" spans="1:6" x14ac:dyDescent="0.25">
      <c r="A3991" s="5" t="s">
        <v>20</v>
      </c>
      <c r="B3991" s="2">
        <v>44059</v>
      </c>
      <c r="C3991" s="1">
        <v>141</v>
      </c>
      <c r="D3991" s="47">
        <f t="shared" si="288"/>
        <v>4595</v>
      </c>
      <c r="E3991" s="1">
        <v>4</v>
      </c>
      <c r="F3991" s="47">
        <f t="shared" si="289"/>
        <v>78</v>
      </c>
    </row>
    <row r="3992" spans="1:6" x14ac:dyDescent="0.25">
      <c r="A3992" s="5" t="s">
        <v>30</v>
      </c>
      <c r="B3992" s="2">
        <v>44059</v>
      </c>
      <c r="C3992" s="1">
        <v>3</v>
      </c>
      <c r="D3992" s="47">
        <f t="shared" si="288"/>
        <v>229</v>
      </c>
      <c r="F3992" s="47">
        <f t="shared" si="289"/>
        <v>2</v>
      </c>
    </row>
    <row r="3993" spans="1:6" x14ac:dyDescent="0.25">
      <c r="A3993" s="5" t="s">
        <v>31</v>
      </c>
      <c r="B3993" s="2">
        <v>44059</v>
      </c>
      <c r="C3993" s="1">
        <v>102</v>
      </c>
      <c r="D3993" s="47">
        <f t="shared" si="288"/>
        <v>1630</v>
      </c>
      <c r="E3993" s="1">
        <v>2</v>
      </c>
      <c r="F3993" s="47">
        <f t="shared" si="289"/>
        <v>24</v>
      </c>
    </row>
    <row r="3994" spans="1:6" x14ac:dyDescent="0.25">
      <c r="A3994" s="5" t="s">
        <v>41</v>
      </c>
      <c r="B3994" s="2">
        <v>44059</v>
      </c>
      <c r="C3994" s="1">
        <v>1</v>
      </c>
      <c r="D3994" s="47">
        <f t="shared" si="288"/>
        <v>83</v>
      </c>
      <c r="F3994" s="47">
        <f>E3994+F3970</f>
        <v>0</v>
      </c>
    </row>
    <row r="3995" spans="1:6" x14ac:dyDescent="0.25">
      <c r="A3995" s="5" t="s">
        <v>32</v>
      </c>
      <c r="B3995" s="2">
        <v>44059</v>
      </c>
      <c r="C3995" s="1">
        <v>272</v>
      </c>
      <c r="D3995" s="47">
        <f t="shared" si="288"/>
        <v>4755</v>
      </c>
      <c r="E3995" s="1">
        <v>16</v>
      </c>
      <c r="F3995" s="47">
        <f t="shared" si="289"/>
        <v>57</v>
      </c>
    </row>
    <row r="3996" spans="1:6" x14ac:dyDescent="0.25">
      <c r="A3996" s="5" t="s">
        <v>33</v>
      </c>
      <c r="B3996" s="2">
        <v>44059</v>
      </c>
      <c r="C3996" s="1">
        <v>1</v>
      </c>
      <c r="D3996" s="47">
        <f t="shared" si="288"/>
        <v>212</v>
      </c>
      <c r="F3996" s="47">
        <f t="shared" si="289"/>
        <v>1</v>
      </c>
    </row>
    <row r="3997" spans="1:6" x14ac:dyDescent="0.25">
      <c r="A3997" s="5" t="s">
        <v>21</v>
      </c>
      <c r="B3997" s="2">
        <v>44059</v>
      </c>
      <c r="C3997" s="1">
        <v>34</v>
      </c>
      <c r="D3997" s="47">
        <f t="shared" si="288"/>
        <v>749</v>
      </c>
      <c r="F3997" s="47">
        <f t="shared" si="289"/>
        <v>1</v>
      </c>
    </row>
    <row r="3998" spans="1:6" x14ac:dyDescent="0.25">
      <c r="A3998" s="5" t="s">
        <v>17</v>
      </c>
      <c r="B3998" s="2">
        <v>44059</v>
      </c>
      <c r="C3998" s="1">
        <v>210</v>
      </c>
      <c r="D3998" s="47">
        <f t="shared" si="288"/>
        <v>3326</v>
      </c>
      <c r="E3998" s="1">
        <v>2</v>
      </c>
      <c r="F3998" s="47">
        <f t="shared" si="289"/>
        <v>26</v>
      </c>
    </row>
    <row r="3999" spans="1:6" x14ac:dyDescent="0.25">
      <c r="A3999" s="5" t="s">
        <v>23</v>
      </c>
      <c r="B3999" s="2">
        <v>44059</v>
      </c>
      <c r="C3999" s="1">
        <v>0</v>
      </c>
      <c r="D3999" s="47">
        <f t="shared" si="288"/>
        <v>67</v>
      </c>
      <c r="F3999" s="47">
        <f t="shared" si="289"/>
        <v>2</v>
      </c>
    </row>
    <row r="4000" spans="1:6" x14ac:dyDescent="0.25">
      <c r="A4000" s="5" t="s">
        <v>19</v>
      </c>
      <c r="B4000" s="2">
        <v>44059</v>
      </c>
      <c r="C4000" s="1">
        <v>27</v>
      </c>
      <c r="D4000" s="47">
        <f t="shared" si="288"/>
        <v>1825</v>
      </c>
      <c r="F4000" s="47">
        <f t="shared" si="289"/>
        <v>4</v>
      </c>
    </row>
    <row r="4001" spans="1:6" x14ac:dyDescent="0.25">
      <c r="A4001" s="5" t="s">
        <v>18</v>
      </c>
      <c r="B4001" s="2">
        <v>44059</v>
      </c>
      <c r="C4001" s="1">
        <v>86</v>
      </c>
      <c r="D4001" s="47">
        <f t="shared" si="288"/>
        <v>3854</v>
      </c>
      <c r="F4001" s="47">
        <f t="shared" si="289"/>
        <v>25</v>
      </c>
    </row>
    <row r="4002" spans="1:6" x14ac:dyDescent="0.25">
      <c r="A4002" s="5" t="s">
        <v>34</v>
      </c>
      <c r="B4002" s="2">
        <v>44059</v>
      </c>
      <c r="C4002" s="1">
        <v>92</v>
      </c>
      <c r="D4002" s="47">
        <f>C4002+D3978</f>
        <v>1095</v>
      </c>
      <c r="E4002" s="1">
        <v>2</v>
      </c>
      <c r="F4002" s="47">
        <f>E4002+F3978</f>
        <v>12</v>
      </c>
    </row>
    <row r="4003" spans="1:6" x14ac:dyDescent="0.25">
      <c r="A4003" s="5" t="s">
        <v>35</v>
      </c>
      <c r="B4003" s="2">
        <v>44059</v>
      </c>
      <c r="C4003" s="1">
        <v>0</v>
      </c>
      <c r="D4003" s="47">
        <f t="shared" ref="D4003:D4009" si="290">C4003+D3979</f>
        <v>22</v>
      </c>
      <c r="F4003" s="47">
        <f>E4003+F3979</f>
        <v>0</v>
      </c>
    </row>
    <row r="4004" spans="1:6" x14ac:dyDescent="0.25">
      <c r="A4004" s="5" t="s">
        <v>36</v>
      </c>
      <c r="B4004" s="2">
        <v>44059</v>
      </c>
      <c r="C4004" s="1">
        <v>0</v>
      </c>
      <c r="D4004" s="47">
        <f t="shared" si="290"/>
        <v>34</v>
      </c>
      <c r="F4004" s="47">
        <f t="shared" si="289"/>
        <v>0</v>
      </c>
    </row>
    <row r="4005" spans="1:6" x14ac:dyDescent="0.25">
      <c r="A4005" s="5" t="s">
        <v>37</v>
      </c>
      <c r="B4005" s="2">
        <v>44059</v>
      </c>
      <c r="C4005" s="1">
        <v>42</v>
      </c>
      <c r="D4005" s="47">
        <f t="shared" si="290"/>
        <v>1031</v>
      </c>
      <c r="F4005" s="47">
        <f t="shared" ref="F4005:F4010" si="291">E4005+F3981</f>
        <v>3</v>
      </c>
    </row>
    <row r="4006" spans="1:6" x14ac:dyDescent="0.25">
      <c r="A4006" s="5" t="s">
        <v>22</v>
      </c>
      <c r="B4006" s="2">
        <v>44059</v>
      </c>
      <c r="C4006" s="1">
        <v>160</v>
      </c>
      <c r="D4006" s="47">
        <f t="shared" si="290"/>
        <v>3293</v>
      </c>
      <c r="F4006" s="47">
        <f t="shared" si="291"/>
        <v>31</v>
      </c>
    </row>
    <row r="4007" spans="1:6" x14ac:dyDescent="0.25">
      <c r="A4007" s="5" t="s">
        <v>38</v>
      </c>
      <c r="B4007" s="2">
        <v>44059</v>
      </c>
      <c r="C4007" s="1">
        <v>33</v>
      </c>
      <c r="D4007" s="47">
        <f t="shared" si="290"/>
        <v>281</v>
      </c>
      <c r="F4007" s="47">
        <f t="shared" si="291"/>
        <v>1</v>
      </c>
    </row>
    <row r="4008" spans="1:6" x14ac:dyDescent="0.25">
      <c r="A4008" s="5" t="s">
        <v>39</v>
      </c>
      <c r="B4008" s="2">
        <v>44059</v>
      </c>
      <c r="C4008" s="1">
        <v>57</v>
      </c>
      <c r="D4008" s="47">
        <f t="shared" si="290"/>
        <v>1418</v>
      </c>
      <c r="F4008" s="47">
        <f t="shared" si="291"/>
        <v>16</v>
      </c>
    </row>
    <row r="4009" spans="1:6" x14ac:dyDescent="0.25">
      <c r="A4009" s="5" t="s">
        <v>40</v>
      </c>
      <c r="B4009" s="2">
        <v>44059</v>
      </c>
      <c r="C4009" s="1">
        <v>42</v>
      </c>
      <c r="D4009" s="47">
        <f t="shared" si="290"/>
        <v>610</v>
      </c>
      <c r="F4009" s="47">
        <f t="shared" si="291"/>
        <v>5</v>
      </c>
    </row>
    <row r="4010" spans="1:6" x14ac:dyDescent="0.25">
      <c r="A4010" s="34" t="s">
        <v>16</v>
      </c>
      <c r="B4010" s="2">
        <v>44060</v>
      </c>
      <c r="C4010" s="1">
        <v>2521</v>
      </c>
      <c r="D4010" s="47">
        <f>C4010+D3986</f>
        <v>185620</v>
      </c>
      <c r="E4010" s="1">
        <f>11+15+20+13</f>
        <v>59</v>
      </c>
      <c r="F4010" s="47">
        <f t="shared" si="291"/>
        <v>3388</v>
      </c>
    </row>
    <row r="4011" spans="1:6" x14ac:dyDescent="0.25">
      <c r="A4011" s="5" t="s">
        <v>43</v>
      </c>
      <c r="B4011" s="2">
        <v>44060</v>
      </c>
      <c r="C4011" s="1">
        <v>710</v>
      </c>
      <c r="D4011" s="47">
        <f t="shared" ref="D4011:D4025" si="292">C4011+D3987</f>
        <v>78190</v>
      </c>
      <c r="E4011" s="1">
        <f>4+6+8+11</f>
        <v>29</v>
      </c>
      <c r="F4011" s="47">
        <f t="shared" si="289"/>
        <v>1706</v>
      </c>
    </row>
    <row r="4012" spans="1:6" x14ac:dyDescent="0.25">
      <c r="A4012" s="5" t="s">
        <v>28</v>
      </c>
      <c r="B4012" s="2">
        <v>44060</v>
      </c>
      <c r="C4012" s="1">
        <v>2</v>
      </c>
      <c r="D4012" s="47">
        <f t="shared" si="292"/>
        <v>65</v>
      </c>
      <c r="F4012" s="47">
        <f t="shared" si="289"/>
        <v>0</v>
      </c>
    </row>
    <row r="4013" spans="1:6" x14ac:dyDescent="0.25">
      <c r="A4013" s="5" t="s">
        <v>15</v>
      </c>
      <c r="B4013" s="2">
        <v>44060</v>
      </c>
      <c r="C4013" s="1">
        <v>68</v>
      </c>
      <c r="D4013" s="47">
        <f t="shared" si="292"/>
        <v>4504</v>
      </c>
      <c r="E4013" s="1">
        <f>3+1</f>
        <v>4</v>
      </c>
      <c r="F4013" s="47">
        <f t="shared" si="289"/>
        <v>184</v>
      </c>
    </row>
    <row r="4014" spans="1:6" x14ac:dyDescent="0.25">
      <c r="A4014" s="5" t="s">
        <v>29</v>
      </c>
      <c r="B4014" s="2">
        <v>44060</v>
      </c>
      <c r="C4014" s="1">
        <v>14</v>
      </c>
      <c r="D4014" s="47">
        <f t="shared" si="292"/>
        <v>418</v>
      </c>
      <c r="F4014" s="47">
        <f t="shared" si="289"/>
        <v>5</v>
      </c>
    </row>
    <row r="4015" spans="1:6" x14ac:dyDescent="0.25">
      <c r="A4015" s="5" t="s">
        <v>20</v>
      </c>
      <c r="B4015" s="2">
        <v>44060</v>
      </c>
      <c r="C4015" s="1">
        <v>172</v>
      </c>
      <c r="D4015" s="47">
        <f t="shared" si="292"/>
        <v>4767</v>
      </c>
      <c r="E4015" s="1">
        <v>1</v>
      </c>
      <c r="F4015" s="47">
        <f t="shared" si="289"/>
        <v>79</v>
      </c>
    </row>
    <row r="4016" spans="1:6" x14ac:dyDescent="0.25">
      <c r="A4016" s="5" t="s">
        <v>30</v>
      </c>
      <c r="B4016" s="2">
        <v>44060</v>
      </c>
      <c r="C4016" s="1">
        <v>2</v>
      </c>
      <c r="D4016" s="47">
        <f t="shared" si="292"/>
        <v>231</v>
      </c>
      <c r="F4016" s="47">
        <f t="shared" si="289"/>
        <v>2</v>
      </c>
    </row>
    <row r="4017" spans="1:6" x14ac:dyDescent="0.25">
      <c r="A4017" s="5" t="s">
        <v>31</v>
      </c>
      <c r="B4017" s="2">
        <v>44060</v>
      </c>
      <c r="C4017" s="1">
        <v>73</v>
      </c>
      <c r="D4017" s="47">
        <f t="shared" si="292"/>
        <v>1703</v>
      </c>
      <c r="E4017" s="1">
        <v>2</v>
      </c>
      <c r="F4017" s="47">
        <f t="shared" si="289"/>
        <v>26</v>
      </c>
    </row>
    <row r="4018" spans="1:6" x14ac:dyDescent="0.25">
      <c r="A4018" s="5" t="s">
        <v>41</v>
      </c>
      <c r="B4018" s="2">
        <v>44060</v>
      </c>
      <c r="C4018" s="1">
        <v>0</v>
      </c>
      <c r="D4018" s="47">
        <f t="shared" si="292"/>
        <v>83</v>
      </c>
      <c r="F4018" s="47">
        <f>E4018+F3994</f>
        <v>0</v>
      </c>
    </row>
    <row r="4019" spans="1:6" x14ac:dyDescent="0.25">
      <c r="A4019" s="5" t="s">
        <v>32</v>
      </c>
      <c r="B4019" s="2">
        <v>44060</v>
      </c>
      <c r="C4019" s="1">
        <v>244</v>
      </c>
      <c r="D4019" s="47">
        <f t="shared" si="292"/>
        <v>4999</v>
      </c>
      <c r="F4019" s="47">
        <f t="shared" si="289"/>
        <v>57</v>
      </c>
    </row>
    <row r="4020" spans="1:6" x14ac:dyDescent="0.25">
      <c r="A4020" s="5" t="s">
        <v>33</v>
      </c>
      <c r="B4020" s="2">
        <v>44060</v>
      </c>
      <c r="C4020" s="1">
        <v>1</v>
      </c>
      <c r="D4020" s="47">
        <f t="shared" si="292"/>
        <v>213</v>
      </c>
      <c r="F4020" s="47">
        <f t="shared" si="289"/>
        <v>1</v>
      </c>
    </row>
    <row r="4021" spans="1:6" x14ac:dyDescent="0.25">
      <c r="A4021" s="5" t="s">
        <v>21</v>
      </c>
      <c r="B4021" s="2">
        <v>44060</v>
      </c>
      <c r="C4021" s="1">
        <v>45</v>
      </c>
      <c r="D4021" s="47">
        <f t="shared" si="292"/>
        <v>794</v>
      </c>
      <c r="F4021" s="47">
        <f t="shared" si="289"/>
        <v>1</v>
      </c>
    </row>
    <row r="4022" spans="1:6" x14ac:dyDescent="0.25">
      <c r="A4022" s="5" t="s">
        <v>17</v>
      </c>
      <c r="B4022" s="2">
        <v>44060</v>
      </c>
      <c r="C4022" s="1">
        <v>169</v>
      </c>
      <c r="D4022" s="47">
        <f t="shared" si="292"/>
        <v>3495</v>
      </c>
      <c r="E4022" s="1">
        <v>1</v>
      </c>
      <c r="F4022" s="47">
        <f t="shared" si="289"/>
        <v>27</v>
      </c>
    </row>
    <row r="4023" spans="1:6" x14ac:dyDescent="0.25">
      <c r="A4023" s="5" t="s">
        <v>23</v>
      </c>
      <c r="B4023" s="2">
        <v>44060</v>
      </c>
      <c r="C4023" s="1">
        <v>-4</v>
      </c>
      <c r="D4023" s="47">
        <f t="shared" si="292"/>
        <v>63</v>
      </c>
      <c r="F4023" s="47">
        <f t="shared" si="289"/>
        <v>2</v>
      </c>
    </row>
    <row r="4024" spans="1:6" x14ac:dyDescent="0.25">
      <c r="A4024" s="5" t="s">
        <v>19</v>
      </c>
      <c r="B4024" s="2">
        <v>44060</v>
      </c>
      <c r="C4024" s="1">
        <v>64</v>
      </c>
      <c r="D4024" s="47">
        <f t="shared" si="292"/>
        <v>1889</v>
      </c>
      <c r="E4024" s="1">
        <f>1</f>
        <v>1</v>
      </c>
      <c r="F4024" s="47">
        <f t="shared" si="289"/>
        <v>5</v>
      </c>
    </row>
    <row r="4025" spans="1:6" x14ac:dyDescent="0.25">
      <c r="A4025" s="5" t="s">
        <v>18</v>
      </c>
      <c r="B4025" s="2">
        <v>44060</v>
      </c>
      <c r="C4025" s="1">
        <v>82</v>
      </c>
      <c r="D4025" s="47">
        <f t="shared" si="292"/>
        <v>3936</v>
      </c>
      <c r="E4025" s="1">
        <f>1+3+1+1</f>
        <v>6</v>
      </c>
      <c r="F4025" s="47">
        <f t="shared" si="289"/>
        <v>31</v>
      </c>
    </row>
    <row r="4026" spans="1:6" x14ac:dyDescent="0.25">
      <c r="A4026" s="5" t="s">
        <v>34</v>
      </c>
      <c r="B4026" s="2">
        <v>44060</v>
      </c>
      <c r="C4026" s="1">
        <v>88</v>
      </c>
      <c r="D4026" s="47">
        <f>C4026+D4002</f>
        <v>1183</v>
      </c>
      <c r="E4026" s="1">
        <f>1+2+2</f>
        <v>5</v>
      </c>
      <c r="F4026" s="47">
        <f>E4026+F4002</f>
        <v>17</v>
      </c>
    </row>
    <row r="4027" spans="1:6" x14ac:dyDescent="0.25">
      <c r="A4027" s="5" t="s">
        <v>35</v>
      </c>
      <c r="B4027" s="2">
        <v>44060</v>
      </c>
      <c r="C4027" s="1">
        <v>0</v>
      </c>
      <c r="D4027" s="47">
        <f t="shared" ref="D4027:D4033" si="293">C4027+D4003</f>
        <v>22</v>
      </c>
      <c r="F4027" s="47">
        <f>E4027+F4003</f>
        <v>0</v>
      </c>
    </row>
    <row r="4028" spans="1:6" x14ac:dyDescent="0.25">
      <c r="A4028" s="5" t="s">
        <v>36</v>
      </c>
      <c r="B4028" s="2">
        <v>44060</v>
      </c>
      <c r="C4028" s="1">
        <v>0</v>
      </c>
      <c r="D4028" s="47">
        <f t="shared" si="293"/>
        <v>34</v>
      </c>
      <c r="F4028" s="47">
        <f>E4028+F4004</f>
        <v>0</v>
      </c>
    </row>
    <row r="4029" spans="1:6" x14ac:dyDescent="0.25">
      <c r="A4029" s="5" t="s">
        <v>37</v>
      </c>
      <c r="B4029" s="2">
        <v>44060</v>
      </c>
      <c r="C4029" s="1">
        <v>33</v>
      </c>
      <c r="D4029" s="47">
        <f t="shared" si="293"/>
        <v>1064</v>
      </c>
      <c r="F4029" s="47">
        <f t="shared" ref="F4029:F4034" si="294">E4029+F4005</f>
        <v>3</v>
      </c>
    </row>
    <row r="4030" spans="1:6" x14ac:dyDescent="0.25">
      <c r="A4030" s="5" t="s">
        <v>22</v>
      </c>
      <c r="B4030" s="2">
        <v>44060</v>
      </c>
      <c r="C4030" s="1">
        <v>139</v>
      </c>
      <c r="D4030" s="47">
        <f t="shared" si="293"/>
        <v>3432</v>
      </c>
      <c r="E4030" s="1">
        <f>1</f>
        <v>1</v>
      </c>
      <c r="F4030" s="47">
        <f t="shared" si="294"/>
        <v>32</v>
      </c>
    </row>
    <row r="4031" spans="1:6" x14ac:dyDescent="0.25">
      <c r="A4031" s="5" t="s">
        <v>38</v>
      </c>
      <c r="B4031" s="2">
        <v>44060</v>
      </c>
      <c r="C4031" s="1">
        <v>44</v>
      </c>
      <c r="D4031" s="47">
        <f t="shared" si="293"/>
        <v>325</v>
      </c>
      <c r="F4031" s="47">
        <f t="shared" si="294"/>
        <v>1</v>
      </c>
    </row>
    <row r="4032" spans="1:6" x14ac:dyDescent="0.25">
      <c r="A4032" s="5" t="s">
        <v>39</v>
      </c>
      <c r="B4032" s="2">
        <v>44060</v>
      </c>
      <c r="C4032" s="1">
        <v>60</v>
      </c>
      <c r="D4032" s="47">
        <f t="shared" si="293"/>
        <v>1478</v>
      </c>
      <c r="E4032" s="1">
        <f>1</f>
        <v>1</v>
      </c>
      <c r="F4032" s="47">
        <f t="shared" si="294"/>
        <v>17</v>
      </c>
    </row>
    <row r="4033" spans="1:6" x14ac:dyDescent="0.25">
      <c r="A4033" s="5" t="s">
        <v>40</v>
      </c>
      <c r="B4033" s="2">
        <v>44060</v>
      </c>
      <c r="C4033" s="1">
        <v>30</v>
      </c>
      <c r="D4033" s="47">
        <f t="shared" si="293"/>
        <v>640</v>
      </c>
      <c r="F4033" s="47">
        <f t="shared" si="294"/>
        <v>5</v>
      </c>
    </row>
    <row r="4034" spans="1:6" x14ac:dyDescent="0.25">
      <c r="A4034" s="34" t="s">
        <v>16</v>
      </c>
      <c r="B4034" s="2">
        <v>44061</v>
      </c>
      <c r="C4034" s="1">
        <v>4585</v>
      </c>
      <c r="D4034" s="47">
        <v>190199</v>
      </c>
      <c r="E4034" s="1">
        <v>132</v>
      </c>
      <c r="F4034" s="47">
        <f t="shared" si="294"/>
        <v>3520</v>
      </c>
    </row>
    <row r="4035" spans="1:6" x14ac:dyDescent="0.25">
      <c r="A4035" s="5" t="s">
        <v>43</v>
      </c>
      <c r="B4035" s="2">
        <v>44061</v>
      </c>
      <c r="C4035" s="1">
        <v>1051</v>
      </c>
      <c r="D4035" s="47">
        <v>79252</v>
      </c>
      <c r="E4035" s="1">
        <v>60</v>
      </c>
      <c r="F4035" s="47">
        <f t="shared" ref="F4035:F4073" si="295">E4035+F4011</f>
        <v>1766</v>
      </c>
    </row>
    <row r="4036" spans="1:6" x14ac:dyDescent="0.25">
      <c r="A4036" s="5" t="s">
        <v>28</v>
      </c>
      <c r="B4036" s="2">
        <v>44061</v>
      </c>
      <c r="C4036" s="1">
        <v>-1</v>
      </c>
      <c r="D4036" s="47">
        <f>C4036+D4012</f>
        <v>64</v>
      </c>
      <c r="F4036" s="47">
        <f t="shared" si="295"/>
        <v>0</v>
      </c>
    </row>
    <row r="4037" spans="1:6" x14ac:dyDescent="0.25">
      <c r="A4037" s="5" t="s">
        <v>15</v>
      </c>
      <c r="B4037" s="2">
        <v>44061</v>
      </c>
      <c r="C4037" s="1">
        <v>45</v>
      </c>
      <c r="D4037" s="47">
        <f>C4037+D4013</f>
        <v>4549</v>
      </c>
      <c r="E4037" s="1">
        <f>1+2</f>
        <v>3</v>
      </c>
      <c r="F4037" s="47">
        <f t="shared" si="295"/>
        <v>187</v>
      </c>
    </row>
    <row r="4038" spans="1:6" x14ac:dyDescent="0.25">
      <c r="A4038" s="5" t="s">
        <v>29</v>
      </c>
      <c r="B4038" s="2">
        <v>44061</v>
      </c>
      <c r="C4038" s="1">
        <v>7</v>
      </c>
      <c r="D4038" s="47">
        <v>424</v>
      </c>
      <c r="F4038" s="47">
        <f t="shared" si="295"/>
        <v>5</v>
      </c>
    </row>
    <row r="4039" spans="1:6" x14ac:dyDescent="0.25">
      <c r="A4039" s="5" t="s">
        <v>20</v>
      </c>
      <c r="B4039" s="2">
        <v>44061</v>
      </c>
      <c r="C4039" s="1">
        <v>227</v>
      </c>
      <c r="D4039" s="47">
        <v>4991</v>
      </c>
      <c r="E4039" s="1">
        <f>1+4</f>
        <v>5</v>
      </c>
      <c r="F4039" s="47">
        <f t="shared" si="295"/>
        <v>84</v>
      </c>
    </row>
    <row r="4040" spans="1:6" x14ac:dyDescent="0.25">
      <c r="A4040" s="5" t="s">
        <v>30</v>
      </c>
      <c r="B4040" s="2">
        <v>44061</v>
      </c>
      <c r="C4040" s="1">
        <v>3</v>
      </c>
      <c r="D4040" s="47">
        <v>233</v>
      </c>
      <c r="F4040" s="47">
        <f t="shared" si="295"/>
        <v>2</v>
      </c>
    </row>
    <row r="4041" spans="1:6" x14ac:dyDescent="0.25">
      <c r="A4041" s="5" t="s">
        <v>31</v>
      </c>
      <c r="B4041" s="2">
        <v>44061</v>
      </c>
      <c r="C4041" s="1">
        <v>46</v>
      </c>
      <c r="D4041" s="47">
        <v>1750</v>
      </c>
      <c r="F4041" s="47">
        <f t="shared" si="295"/>
        <v>26</v>
      </c>
    </row>
    <row r="4042" spans="1:6" x14ac:dyDescent="0.25">
      <c r="A4042" s="5" t="s">
        <v>41</v>
      </c>
      <c r="B4042" s="2">
        <v>44061</v>
      </c>
      <c r="C4042" s="1">
        <v>-1</v>
      </c>
      <c r="D4042" s="47">
        <v>79</v>
      </c>
      <c r="E4042" s="1">
        <v>1</v>
      </c>
      <c r="F4042" s="47">
        <f>E4042+F4018</f>
        <v>1</v>
      </c>
    </row>
    <row r="4043" spans="1:6" x14ac:dyDescent="0.25">
      <c r="A4043" s="5" t="s">
        <v>32</v>
      </c>
      <c r="B4043" s="2">
        <v>44061</v>
      </c>
      <c r="C4043" s="1">
        <v>218</v>
      </c>
      <c r="D4043" s="47">
        <v>5227</v>
      </c>
      <c r="E4043" s="1">
        <f>3+7+5+1</f>
        <v>16</v>
      </c>
      <c r="F4043" s="47">
        <f t="shared" si="295"/>
        <v>73</v>
      </c>
    </row>
    <row r="4044" spans="1:6" x14ac:dyDescent="0.25">
      <c r="A4044" s="5" t="s">
        <v>33</v>
      </c>
      <c r="B4044" s="2">
        <v>44061</v>
      </c>
      <c r="C4044" s="1">
        <v>-1</v>
      </c>
      <c r="D4044" s="47">
        <v>184</v>
      </c>
      <c r="F4044" s="47">
        <f t="shared" si="295"/>
        <v>1</v>
      </c>
    </row>
    <row r="4045" spans="1:6" x14ac:dyDescent="0.25">
      <c r="A4045" s="5" t="s">
        <v>21</v>
      </c>
      <c r="B4045" s="2">
        <v>44061</v>
      </c>
      <c r="C4045" s="1">
        <v>56</v>
      </c>
      <c r="D4045" s="47">
        <v>851</v>
      </c>
      <c r="F4045" s="47">
        <f t="shared" si="295"/>
        <v>1</v>
      </c>
    </row>
    <row r="4046" spans="1:6" x14ac:dyDescent="0.25">
      <c r="A4046" s="5" t="s">
        <v>17</v>
      </c>
      <c r="B4046" s="2">
        <v>44061</v>
      </c>
      <c r="C4046" s="1">
        <v>124</v>
      </c>
      <c r="D4046" s="47">
        <v>3623</v>
      </c>
      <c r="E4046" s="1">
        <f>7+1</f>
        <v>8</v>
      </c>
      <c r="F4046" s="47">
        <f t="shared" si="295"/>
        <v>35</v>
      </c>
    </row>
    <row r="4047" spans="1:6" x14ac:dyDescent="0.25">
      <c r="A4047" s="5" t="s">
        <v>23</v>
      </c>
      <c r="B4047" s="2">
        <v>44061</v>
      </c>
      <c r="C4047" s="1">
        <v>0</v>
      </c>
      <c r="D4047" s="47">
        <v>55</v>
      </c>
      <c r="F4047" s="47">
        <f t="shared" si="295"/>
        <v>2</v>
      </c>
    </row>
    <row r="4048" spans="1:6" x14ac:dyDescent="0.25">
      <c r="A4048" s="5" t="s">
        <v>19</v>
      </c>
      <c r="B4048" s="2">
        <v>44061</v>
      </c>
      <c r="C4048" s="1">
        <v>13</v>
      </c>
      <c r="D4048" s="47">
        <v>1911</v>
      </c>
      <c r="E4048" s="1">
        <v>2</v>
      </c>
      <c r="F4048" s="47">
        <f t="shared" si="295"/>
        <v>7</v>
      </c>
    </row>
    <row r="4049" spans="1:6" x14ac:dyDescent="0.25">
      <c r="A4049" s="5" t="s">
        <v>18</v>
      </c>
      <c r="B4049" s="2">
        <v>44061</v>
      </c>
      <c r="C4049" s="1">
        <v>138</v>
      </c>
      <c r="D4049" s="47">
        <f>C4049+D4025</f>
        <v>4074</v>
      </c>
      <c r="E4049" s="1">
        <v>2</v>
      </c>
      <c r="F4049" s="47">
        <f t="shared" si="295"/>
        <v>33</v>
      </c>
    </row>
    <row r="4050" spans="1:6" x14ac:dyDescent="0.25">
      <c r="A4050" s="5" t="s">
        <v>34</v>
      </c>
      <c r="B4050" s="2">
        <v>44061</v>
      </c>
      <c r="C4050" s="1">
        <v>111</v>
      </c>
      <c r="D4050" s="47">
        <v>1287</v>
      </c>
      <c r="E4050" s="1">
        <v>1</v>
      </c>
      <c r="F4050" s="47">
        <f>E4050+F4026</f>
        <v>18</v>
      </c>
    </row>
    <row r="4051" spans="1:6" x14ac:dyDescent="0.25">
      <c r="A4051" s="5" t="s">
        <v>35</v>
      </c>
      <c r="B4051" s="2">
        <v>44061</v>
      </c>
      <c r="C4051" s="1">
        <v>0</v>
      </c>
      <c r="D4051" s="47">
        <f>C4051+D4027</f>
        <v>22</v>
      </c>
      <c r="F4051" s="47">
        <f>E4051+F4027</f>
        <v>0</v>
      </c>
    </row>
    <row r="4052" spans="1:6" x14ac:dyDescent="0.25">
      <c r="A4052" s="5" t="s">
        <v>36</v>
      </c>
      <c r="B4052" s="2">
        <v>44061</v>
      </c>
      <c r="C4052" s="1">
        <v>2</v>
      </c>
      <c r="D4052" s="47">
        <f>C4052+D4028</f>
        <v>36</v>
      </c>
      <c r="F4052" s="47">
        <f t="shared" si="295"/>
        <v>0</v>
      </c>
    </row>
    <row r="4053" spans="1:6" x14ac:dyDescent="0.25">
      <c r="A4053" s="5" t="s">
        <v>37</v>
      </c>
      <c r="B4053" s="2">
        <v>44061</v>
      </c>
      <c r="C4053" s="1">
        <v>22</v>
      </c>
      <c r="D4053" s="47">
        <v>1089</v>
      </c>
      <c r="F4053" s="47">
        <f t="shared" ref="F4053:F4058" si="296">E4053+F4029</f>
        <v>3</v>
      </c>
    </row>
    <row r="4054" spans="1:6" x14ac:dyDescent="0.25">
      <c r="A4054" s="5" t="s">
        <v>22</v>
      </c>
      <c r="B4054" s="2">
        <v>44061</v>
      </c>
      <c r="C4054" s="1">
        <v>129</v>
      </c>
      <c r="D4054" s="47">
        <f>C4054+D4030</f>
        <v>3561</v>
      </c>
      <c r="E4054" s="1">
        <v>2</v>
      </c>
      <c r="F4054" s="47">
        <f t="shared" si="296"/>
        <v>34</v>
      </c>
    </row>
    <row r="4055" spans="1:6" x14ac:dyDescent="0.25">
      <c r="A4055" s="5" t="s">
        <v>38</v>
      </c>
      <c r="B4055" s="2">
        <v>44061</v>
      </c>
      <c r="C4055" s="1">
        <v>12</v>
      </c>
      <c r="D4055" s="47">
        <v>338</v>
      </c>
      <c r="F4055" s="47">
        <f t="shared" si="296"/>
        <v>1</v>
      </c>
    </row>
    <row r="4056" spans="1:6" x14ac:dyDescent="0.25">
      <c r="A4056" s="5" t="s">
        <v>39</v>
      </c>
      <c r="B4056" s="2">
        <v>44061</v>
      </c>
      <c r="C4056" s="1">
        <v>10</v>
      </c>
      <c r="D4056" s="47">
        <v>1489</v>
      </c>
      <c r="E4056" s="1">
        <v>1</v>
      </c>
      <c r="F4056" s="47">
        <f t="shared" si="296"/>
        <v>18</v>
      </c>
    </row>
    <row r="4057" spans="1:6" x14ac:dyDescent="0.25">
      <c r="A4057" s="5" t="s">
        <v>40</v>
      </c>
      <c r="B4057" s="2">
        <v>44061</v>
      </c>
      <c r="C4057" s="1">
        <v>44</v>
      </c>
      <c r="D4057" s="47">
        <v>678</v>
      </c>
      <c r="F4057" s="47">
        <f t="shared" si="296"/>
        <v>5</v>
      </c>
    </row>
    <row r="4058" spans="1:6" x14ac:dyDescent="0.25">
      <c r="A4058" s="34" t="s">
        <v>16</v>
      </c>
      <c r="B4058" s="2">
        <v>44062</v>
      </c>
      <c r="C4058" s="1">
        <v>4303</v>
      </c>
      <c r="D4058" s="47">
        <f>C4058+D4034</f>
        <v>194502</v>
      </c>
      <c r="E4058" s="1">
        <v>209</v>
      </c>
      <c r="F4058" s="47">
        <f t="shared" si="296"/>
        <v>3729</v>
      </c>
    </row>
    <row r="4059" spans="1:6" x14ac:dyDescent="0.25">
      <c r="A4059" s="5" t="s">
        <v>43</v>
      </c>
      <c r="B4059" s="2">
        <v>44062</v>
      </c>
      <c r="C4059" s="1">
        <v>1094</v>
      </c>
      <c r="D4059" s="47">
        <f t="shared" ref="D4059:D4073" si="297">C4059+D4035</f>
        <v>80346</v>
      </c>
      <c r="E4059" s="1">
        <f>6+5+14+22</f>
        <v>47</v>
      </c>
      <c r="F4059" s="47">
        <f t="shared" si="295"/>
        <v>1813</v>
      </c>
    </row>
    <row r="4060" spans="1:6" x14ac:dyDescent="0.25">
      <c r="A4060" s="5" t="s">
        <v>28</v>
      </c>
      <c r="B4060" s="2">
        <v>44062</v>
      </c>
      <c r="C4060" s="1">
        <v>-1</v>
      </c>
      <c r="D4060" s="47">
        <f t="shared" si="297"/>
        <v>63</v>
      </c>
      <c r="F4060" s="47">
        <f t="shared" si="295"/>
        <v>0</v>
      </c>
    </row>
    <row r="4061" spans="1:6" x14ac:dyDescent="0.25">
      <c r="A4061" s="5" t="s">
        <v>15</v>
      </c>
      <c r="B4061" s="2">
        <v>44062</v>
      </c>
      <c r="C4061" s="1">
        <v>57</v>
      </c>
      <c r="D4061" s="47">
        <f t="shared" si="297"/>
        <v>4606</v>
      </c>
      <c r="E4061" s="1">
        <v>1</v>
      </c>
      <c r="F4061" s="47">
        <f t="shared" si="295"/>
        <v>188</v>
      </c>
    </row>
    <row r="4062" spans="1:6" x14ac:dyDescent="0.25">
      <c r="A4062" s="5" t="s">
        <v>29</v>
      </c>
      <c r="B4062" s="2">
        <v>44062</v>
      </c>
      <c r="C4062" s="1">
        <v>13</v>
      </c>
      <c r="D4062" s="47">
        <f t="shared" si="297"/>
        <v>437</v>
      </c>
      <c r="F4062" s="47">
        <f t="shared" si="295"/>
        <v>5</v>
      </c>
    </row>
    <row r="4063" spans="1:6" x14ac:dyDescent="0.25">
      <c r="A4063" s="5" t="s">
        <v>20</v>
      </c>
      <c r="B4063" s="2">
        <v>44062</v>
      </c>
      <c r="C4063" s="1">
        <v>100</v>
      </c>
      <c r="D4063" s="47">
        <f t="shared" si="297"/>
        <v>5091</v>
      </c>
      <c r="F4063" s="47">
        <f t="shared" si="295"/>
        <v>84</v>
      </c>
    </row>
    <row r="4064" spans="1:6" x14ac:dyDescent="0.25">
      <c r="A4064" s="5" t="s">
        <v>30</v>
      </c>
      <c r="B4064" s="2">
        <v>44062</v>
      </c>
      <c r="C4064" s="1">
        <v>3</v>
      </c>
      <c r="D4064" s="47">
        <f t="shared" si="297"/>
        <v>236</v>
      </c>
      <c r="F4064" s="47">
        <f t="shared" si="295"/>
        <v>2</v>
      </c>
    </row>
    <row r="4065" spans="1:6" x14ac:dyDescent="0.25">
      <c r="A4065" s="5" t="s">
        <v>31</v>
      </c>
      <c r="B4065" s="2">
        <v>44062</v>
      </c>
      <c r="C4065" s="1">
        <v>60</v>
      </c>
      <c r="D4065" s="47">
        <f t="shared" si="297"/>
        <v>1810</v>
      </c>
      <c r="E4065" s="1">
        <v>1</v>
      </c>
      <c r="F4065" s="47">
        <f t="shared" si="295"/>
        <v>27</v>
      </c>
    </row>
    <row r="4066" spans="1:6" x14ac:dyDescent="0.25">
      <c r="A4066" s="5" t="s">
        <v>41</v>
      </c>
      <c r="B4066" s="2">
        <v>44062</v>
      </c>
      <c r="C4066" s="1">
        <v>0</v>
      </c>
      <c r="D4066" s="47">
        <f t="shared" si="297"/>
        <v>79</v>
      </c>
      <c r="F4066" s="47">
        <f>E4066+F4042</f>
        <v>1</v>
      </c>
    </row>
    <row r="4067" spans="1:6" x14ac:dyDescent="0.25">
      <c r="A4067" s="5" t="s">
        <v>32</v>
      </c>
      <c r="B4067" s="2">
        <v>44062</v>
      </c>
      <c r="C4067" s="1">
        <v>133</v>
      </c>
      <c r="D4067" s="47">
        <f t="shared" si="297"/>
        <v>5360</v>
      </c>
      <c r="E4067" s="1">
        <v>12</v>
      </c>
      <c r="F4067" s="47">
        <f t="shared" si="295"/>
        <v>85</v>
      </c>
    </row>
    <row r="4068" spans="1:6" x14ac:dyDescent="0.25">
      <c r="A4068" s="5" t="s">
        <v>33</v>
      </c>
      <c r="B4068" s="2">
        <v>44062</v>
      </c>
      <c r="C4068" s="1">
        <v>2</v>
      </c>
      <c r="D4068" s="47">
        <f t="shared" si="297"/>
        <v>186</v>
      </c>
      <c r="F4068" s="47">
        <f t="shared" si="295"/>
        <v>1</v>
      </c>
    </row>
    <row r="4069" spans="1:6" x14ac:dyDescent="0.25">
      <c r="A4069" s="5" t="s">
        <v>21</v>
      </c>
      <c r="B4069" s="2">
        <v>44062</v>
      </c>
      <c r="C4069" s="1">
        <v>54</v>
      </c>
      <c r="D4069" s="47">
        <f t="shared" si="297"/>
        <v>905</v>
      </c>
      <c r="F4069" s="47">
        <f t="shared" si="295"/>
        <v>1</v>
      </c>
    </row>
    <row r="4070" spans="1:6" x14ac:dyDescent="0.25">
      <c r="A4070" s="5" t="s">
        <v>17</v>
      </c>
      <c r="B4070" s="2">
        <v>44062</v>
      </c>
      <c r="C4070" s="1">
        <v>150</v>
      </c>
      <c r="D4070" s="47">
        <f t="shared" si="297"/>
        <v>3773</v>
      </c>
      <c r="E4070" s="1">
        <v>5</v>
      </c>
      <c r="F4070" s="47">
        <f t="shared" si="295"/>
        <v>40</v>
      </c>
    </row>
    <row r="4071" spans="1:6" x14ac:dyDescent="0.25">
      <c r="A4071" s="5" t="s">
        <v>23</v>
      </c>
      <c r="B4071" s="2">
        <v>44062</v>
      </c>
      <c r="C4071" s="1">
        <v>0</v>
      </c>
      <c r="D4071" s="47">
        <f t="shared" si="297"/>
        <v>55</v>
      </c>
      <c r="F4071" s="47">
        <f t="shared" si="295"/>
        <v>2</v>
      </c>
    </row>
    <row r="4072" spans="1:6" x14ac:dyDescent="0.25">
      <c r="A4072" s="5" t="s">
        <v>19</v>
      </c>
      <c r="B4072" s="2">
        <v>44062</v>
      </c>
      <c r="C4072" s="1">
        <v>50</v>
      </c>
      <c r="D4072" s="47">
        <f t="shared" si="297"/>
        <v>1961</v>
      </c>
      <c r="E4072" s="1">
        <v>1</v>
      </c>
      <c r="F4072" s="47">
        <f t="shared" si="295"/>
        <v>8</v>
      </c>
    </row>
    <row r="4073" spans="1:6" x14ac:dyDescent="0.25">
      <c r="A4073" s="5" t="s">
        <v>18</v>
      </c>
      <c r="B4073" s="2">
        <v>44062</v>
      </c>
      <c r="C4073" s="1">
        <v>94</v>
      </c>
      <c r="D4073" s="47">
        <f t="shared" si="297"/>
        <v>4168</v>
      </c>
      <c r="E4073" s="1">
        <v>3</v>
      </c>
      <c r="F4073" s="47">
        <f t="shared" si="295"/>
        <v>36</v>
      </c>
    </row>
    <row r="4074" spans="1:6" x14ac:dyDescent="0.25">
      <c r="A4074" s="5" t="s">
        <v>34</v>
      </c>
      <c r="B4074" s="2">
        <v>44062</v>
      </c>
      <c r="C4074" s="1">
        <v>114</v>
      </c>
      <c r="D4074" s="47">
        <f>C4074+D4050</f>
        <v>1401</v>
      </c>
      <c r="E4074" s="1">
        <v>2</v>
      </c>
      <c r="F4074" s="47">
        <f>E4074+F4050</f>
        <v>20</v>
      </c>
    </row>
    <row r="4075" spans="1:6" x14ac:dyDescent="0.25">
      <c r="A4075" s="5" t="s">
        <v>35</v>
      </c>
      <c r="B4075" s="2">
        <v>44062</v>
      </c>
      <c r="C4075" s="1">
        <v>0</v>
      </c>
      <c r="D4075" s="47">
        <f t="shared" ref="D4075:D4081" si="298">C4075+D4051</f>
        <v>22</v>
      </c>
      <c r="F4075" s="47">
        <f>E4075+F4051</f>
        <v>0</v>
      </c>
    </row>
    <row r="4076" spans="1:6" x14ac:dyDescent="0.25">
      <c r="A4076" s="5" t="s">
        <v>36</v>
      </c>
      <c r="B4076" s="2">
        <v>44062</v>
      </c>
      <c r="C4076" s="1">
        <v>0</v>
      </c>
      <c r="D4076" s="47">
        <f t="shared" si="298"/>
        <v>36</v>
      </c>
      <c r="F4076" s="47">
        <f>E4076+F4052</f>
        <v>0</v>
      </c>
    </row>
    <row r="4077" spans="1:6" x14ac:dyDescent="0.25">
      <c r="A4077" s="5" t="s">
        <v>37</v>
      </c>
      <c r="B4077" s="2">
        <v>44062</v>
      </c>
      <c r="C4077" s="1">
        <v>56</v>
      </c>
      <c r="D4077" s="47">
        <f t="shared" si="298"/>
        <v>1145</v>
      </c>
      <c r="F4077" s="47">
        <f t="shared" ref="F4077:F4082" si="299">E4077+F4053</f>
        <v>3</v>
      </c>
    </row>
    <row r="4078" spans="1:6" x14ac:dyDescent="0.25">
      <c r="A4078" s="5" t="s">
        <v>22</v>
      </c>
      <c r="B4078" s="2">
        <v>44062</v>
      </c>
      <c r="C4078" s="1">
        <v>202</v>
      </c>
      <c r="D4078" s="47">
        <f t="shared" si="298"/>
        <v>3763</v>
      </c>
      <c r="E4078" s="1">
        <v>2</v>
      </c>
      <c r="F4078" s="47">
        <f t="shared" si="299"/>
        <v>36</v>
      </c>
    </row>
    <row r="4079" spans="1:6" x14ac:dyDescent="0.25">
      <c r="A4079" s="5" t="s">
        <v>38</v>
      </c>
      <c r="B4079" s="2">
        <v>44062</v>
      </c>
      <c r="C4079" s="1">
        <v>41</v>
      </c>
      <c r="D4079" s="47">
        <f t="shared" si="298"/>
        <v>379</v>
      </c>
      <c r="F4079" s="47">
        <f t="shared" si="299"/>
        <v>1</v>
      </c>
    </row>
    <row r="4080" spans="1:6" x14ac:dyDescent="0.25">
      <c r="A4080" s="5" t="s">
        <v>39</v>
      </c>
      <c r="B4080" s="2">
        <v>44062</v>
      </c>
      <c r="C4080" s="1">
        <v>64</v>
      </c>
      <c r="D4080" s="47">
        <f t="shared" si="298"/>
        <v>1553</v>
      </c>
      <c r="F4080" s="47">
        <f t="shared" si="299"/>
        <v>18</v>
      </c>
    </row>
    <row r="4081" spans="1:6" x14ac:dyDescent="0.25">
      <c r="A4081" s="5" t="s">
        <v>40</v>
      </c>
      <c r="B4081" s="2">
        <v>44062</v>
      </c>
      <c r="C4081" s="1">
        <v>104</v>
      </c>
      <c r="D4081" s="47">
        <f t="shared" si="298"/>
        <v>782</v>
      </c>
      <c r="F4081" s="47">
        <f t="shared" si="299"/>
        <v>5</v>
      </c>
    </row>
    <row r="4082" spans="1:6" x14ac:dyDescent="0.25">
      <c r="A4082" s="34" t="s">
        <v>16</v>
      </c>
      <c r="B4082" s="2">
        <v>44063</v>
      </c>
      <c r="C4082" s="1">
        <v>5245</v>
      </c>
      <c r="D4082" s="47">
        <f>C4082+D4058</f>
        <v>199747</v>
      </c>
      <c r="E4082" s="1">
        <v>55</v>
      </c>
      <c r="F4082" s="47">
        <f t="shared" si="299"/>
        <v>3784</v>
      </c>
    </row>
    <row r="4083" spans="1:6" x14ac:dyDescent="0.25">
      <c r="A4083" s="5" t="s">
        <v>43</v>
      </c>
      <c r="B4083" s="2">
        <v>44063</v>
      </c>
      <c r="C4083" s="1">
        <v>1280</v>
      </c>
      <c r="D4083" s="47">
        <f t="shared" ref="D4083:D4097" si="300">C4083+D4059</f>
        <v>81626</v>
      </c>
      <c r="E4083" s="1">
        <v>85</v>
      </c>
      <c r="F4083" s="47">
        <f t="shared" ref="F4083:F4121" si="301">E4083+F4059</f>
        <v>1898</v>
      </c>
    </row>
    <row r="4084" spans="1:6" x14ac:dyDescent="0.25">
      <c r="A4084" s="5" t="s">
        <v>28</v>
      </c>
      <c r="B4084" s="2">
        <v>44063</v>
      </c>
      <c r="C4084" s="1">
        <v>1</v>
      </c>
      <c r="D4084" s="47">
        <f t="shared" si="300"/>
        <v>64</v>
      </c>
      <c r="F4084" s="47">
        <f t="shared" si="301"/>
        <v>0</v>
      </c>
    </row>
    <row r="4085" spans="1:6" x14ac:dyDescent="0.25">
      <c r="A4085" s="5" t="s">
        <v>15</v>
      </c>
      <c r="B4085" s="2">
        <v>44063</v>
      </c>
      <c r="C4085" s="1">
        <v>95</v>
      </c>
      <c r="D4085" s="47">
        <f t="shared" si="300"/>
        <v>4701</v>
      </c>
      <c r="E4085" s="1">
        <v>2</v>
      </c>
      <c r="F4085" s="47">
        <f t="shared" si="301"/>
        <v>190</v>
      </c>
    </row>
    <row r="4086" spans="1:6" x14ac:dyDescent="0.25">
      <c r="A4086" s="5" t="s">
        <v>29</v>
      </c>
      <c r="B4086" s="2">
        <v>44063</v>
      </c>
      <c r="C4086" s="1">
        <v>18</v>
      </c>
      <c r="D4086" s="47">
        <f t="shared" si="300"/>
        <v>455</v>
      </c>
      <c r="E4086" s="1">
        <v>1</v>
      </c>
      <c r="F4086" s="47">
        <f t="shared" si="301"/>
        <v>6</v>
      </c>
    </row>
    <row r="4087" spans="1:6" x14ac:dyDescent="0.25">
      <c r="A4087" s="5" t="s">
        <v>20</v>
      </c>
      <c r="B4087" s="2">
        <v>44063</v>
      </c>
      <c r="C4087" s="1">
        <v>181</v>
      </c>
      <c r="D4087" s="47">
        <f t="shared" si="300"/>
        <v>5272</v>
      </c>
      <c r="E4087" s="1">
        <f>4+1</f>
        <v>5</v>
      </c>
      <c r="F4087" s="47">
        <f t="shared" si="301"/>
        <v>89</v>
      </c>
    </row>
    <row r="4088" spans="1:6" x14ac:dyDescent="0.25">
      <c r="A4088" s="5" t="s">
        <v>30</v>
      </c>
      <c r="B4088" s="2">
        <v>44063</v>
      </c>
      <c r="C4088" s="1">
        <v>3</v>
      </c>
      <c r="D4088" s="47">
        <f t="shared" si="300"/>
        <v>239</v>
      </c>
      <c r="F4088" s="47">
        <f t="shared" si="301"/>
        <v>2</v>
      </c>
    </row>
    <row r="4089" spans="1:6" x14ac:dyDescent="0.25">
      <c r="A4089" s="5" t="s">
        <v>31</v>
      </c>
      <c r="B4089" s="2">
        <v>44063</v>
      </c>
      <c r="C4089" s="1">
        <v>51</v>
      </c>
      <c r="D4089" s="47">
        <f t="shared" si="300"/>
        <v>1861</v>
      </c>
      <c r="F4089" s="47">
        <f t="shared" si="301"/>
        <v>27</v>
      </c>
    </row>
    <row r="4090" spans="1:6" x14ac:dyDescent="0.25">
      <c r="A4090" s="5" t="s">
        <v>41</v>
      </c>
      <c r="B4090" s="2">
        <v>44063</v>
      </c>
      <c r="C4090" s="1">
        <v>1</v>
      </c>
      <c r="D4090" s="47">
        <f t="shared" si="300"/>
        <v>80</v>
      </c>
      <c r="F4090" s="47">
        <f>E4090+F4066</f>
        <v>1</v>
      </c>
    </row>
    <row r="4091" spans="1:6" x14ac:dyDescent="0.25">
      <c r="A4091" s="5" t="s">
        <v>32</v>
      </c>
      <c r="B4091" s="2">
        <v>44063</v>
      </c>
      <c r="C4091" s="1">
        <v>264</v>
      </c>
      <c r="D4091" s="47">
        <f t="shared" si="300"/>
        <v>5624</v>
      </c>
      <c r="E4091" s="1">
        <f>1+8+6</f>
        <v>15</v>
      </c>
      <c r="F4091" s="47">
        <f t="shared" si="301"/>
        <v>100</v>
      </c>
    </row>
    <row r="4092" spans="1:6" x14ac:dyDescent="0.25">
      <c r="A4092" s="5" t="s">
        <v>33</v>
      </c>
      <c r="B4092" s="2">
        <v>44063</v>
      </c>
      <c r="C4092" s="1">
        <v>1</v>
      </c>
      <c r="D4092" s="47">
        <f t="shared" si="300"/>
        <v>187</v>
      </c>
      <c r="F4092" s="47">
        <f t="shared" si="301"/>
        <v>1</v>
      </c>
    </row>
    <row r="4093" spans="1:6" x14ac:dyDescent="0.25">
      <c r="A4093" s="5" t="s">
        <v>21</v>
      </c>
      <c r="B4093" s="2">
        <v>44063</v>
      </c>
      <c r="C4093" s="1">
        <v>22</v>
      </c>
      <c r="D4093" s="47">
        <f t="shared" si="300"/>
        <v>927</v>
      </c>
      <c r="F4093" s="47">
        <f t="shared" si="301"/>
        <v>1</v>
      </c>
    </row>
    <row r="4094" spans="1:6" x14ac:dyDescent="0.25">
      <c r="A4094" s="5" t="s">
        <v>17</v>
      </c>
      <c r="B4094" s="2">
        <v>44063</v>
      </c>
      <c r="C4094" s="1">
        <v>267</v>
      </c>
      <c r="D4094" s="47">
        <f t="shared" si="300"/>
        <v>4040</v>
      </c>
      <c r="E4094" s="1">
        <f>2+2</f>
        <v>4</v>
      </c>
      <c r="F4094" s="47">
        <f t="shared" si="301"/>
        <v>44</v>
      </c>
    </row>
    <row r="4095" spans="1:6" x14ac:dyDescent="0.25">
      <c r="A4095" s="5" t="s">
        <v>23</v>
      </c>
      <c r="B4095" s="2">
        <v>44063</v>
      </c>
      <c r="C4095" s="1">
        <v>-2</v>
      </c>
      <c r="D4095" s="47">
        <f t="shared" si="300"/>
        <v>53</v>
      </c>
      <c r="F4095" s="47">
        <f t="shared" si="301"/>
        <v>2</v>
      </c>
    </row>
    <row r="4096" spans="1:6" x14ac:dyDescent="0.25">
      <c r="A4096" s="5" t="s">
        <v>19</v>
      </c>
      <c r="B4096" s="2">
        <v>44063</v>
      </c>
      <c r="C4096" s="1">
        <v>59</v>
      </c>
      <c r="D4096" s="47">
        <f t="shared" si="300"/>
        <v>2020</v>
      </c>
      <c r="E4096" s="1">
        <v>1</v>
      </c>
      <c r="F4096" s="47">
        <f t="shared" si="301"/>
        <v>9</v>
      </c>
    </row>
    <row r="4097" spans="1:6" x14ac:dyDescent="0.25">
      <c r="A4097" s="5" t="s">
        <v>18</v>
      </c>
      <c r="B4097" s="2">
        <v>44063</v>
      </c>
      <c r="C4097" s="1">
        <v>161</v>
      </c>
      <c r="D4097" s="47">
        <f t="shared" si="300"/>
        <v>4329</v>
      </c>
      <c r="E4097" s="1">
        <f>3+1+2</f>
        <v>6</v>
      </c>
      <c r="F4097" s="47">
        <f t="shared" si="301"/>
        <v>42</v>
      </c>
    </row>
    <row r="4098" spans="1:6" x14ac:dyDescent="0.25">
      <c r="A4098" s="5" t="s">
        <v>34</v>
      </c>
      <c r="B4098" s="2">
        <v>44063</v>
      </c>
      <c r="C4098" s="1">
        <v>99</v>
      </c>
      <c r="D4098" s="47">
        <f>C4098+D4074</f>
        <v>1500</v>
      </c>
      <c r="E4098" s="1">
        <v>2</v>
      </c>
      <c r="F4098" s="47">
        <f>E4098+F4074</f>
        <v>22</v>
      </c>
    </row>
    <row r="4099" spans="1:6" x14ac:dyDescent="0.25">
      <c r="A4099" s="5" t="s">
        <v>35</v>
      </c>
      <c r="B4099" s="2">
        <v>44063</v>
      </c>
      <c r="C4099" s="1">
        <v>13</v>
      </c>
      <c r="D4099" s="47">
        <f t="shared" ref="D4099:D4105" si="302">C4099+D4075</f>
        <v>35</v>
      </c>
      <c r="F4099" s="47">
        <f>E4099+F4075</f>
        <v>0</v>
      </c>
    </row>
    <row r="4100" spans="1:6" x14ac:dyDescent="0.25">
      <c r="A4100" s="5" t="s">
        <v>36</v>
      </c>
      <c r="B4100" s="2">
        <v>44063</v>
      </c>
      <c r="C4100" s="1">
        <v>3</v>
      </c>
      <c r="D4100" s="47">
        <f t="shared" si="302"/>
        <v>39</v>
      </c>
      <c r="F4100" s="47">
        <f t="shared" si="301"/>
        <v>0</v>
      </c>
    </row>
    <row r="4101" spans="1:6" x14ac:dyDescent="0.25">
      <c r="A4101" s="5" t="s">
        <v>37</v>
      </c>
      <c r="B4101" s="2">
        <v>44063</v>
      </c>
      <c r="C4101" s="1">
        <v>33</v>
      </c>
      <c r="D4101" s="47">
        <f t="shared" si="302"/>
        <v>1178</v>
      </c>
      <c r="E4101" s="1">
        <f>3+3</f>
        <v>6</v>
      </c>
      <c r="F4101" s="47">
        <f t="shared" ref="F4101:F4106" si="303">E4101+F4077</f>
        <v>9</v>
      </c>
    </row>
    <row r="4102" spans="1:6" x14ac:dyDescent="0.25">
      <c r="A4102" s="5" t="s">
        <v>22</v>
      </c>
      <c r="B4102" s="2">
        <v>44063</v>
      </c>
      <c r="C4102" s="1">
        <v>290</v>
      </c>
      <c r="D4102" s="47">
        <f t="shared" si="302"/>
        <v>4053</v>
      </c>
      <c r="E4102" s="1">
        <v>3</v>
      </c>
      <c r="F4102" s="47">
        <f t="shared" si="303"/>
        <v>39</v>
      </c>
    </row>
    <row r="4103" spans="1:6" x14ac:dyDescent="0.25">
      <c r="A4103" s="5" t="s">
        <v>38</v>
      </c>
      <c r="B4103" s="2">
        <v>44063</v>
      </c>
      <c r="C4103" s="1">
        <v>38</v>
      </c>
      <c r="D4103" s="47">
        <f t="shared" si="302"/>
        <v>417</v>
      </c>
      <c r="F4103" s="47">
        <f t="shared" si="303"/>
        <v>1</v>
      </c>
    </row>
    <row r="4104" spans="1:6" x14ac:dyDescent="0.25">
      <c r="A4104" s="5" t="s">
        <v>39</v>
      </c>
      <c r="B4104" s="2">
        <v>44063</v>
      </c>
      <c r="C4104" s="1">
        <v>47</v>
      </c>
      <c r="D4104" s="47">
        <f t="shared" si="302"/>
        <v>1600</v>
      </c>
      <c r="E4104" s="1">
        <v>1</v>
      </c>
      <c r="F4104" s="47">
        <f t="shared" si="303"/>
        <v>19</v>
      </c>
    </row>
    <row r="4105" spans="1:6" x14ac:dyDescent="0.25">
      <c r="A4105" s="5" t="s">
        <v>40</v>
      </c>
      <c r="B4105" s="2">
        <v>44063</v>
      </c>
      <c r="C4105" s="1">
        <v>55</v>
      </c>
      <c r="D4105" s="47">
        <f t="shared" si="302"/>
        <v>837</v>
      </c>
      <c r="E4105" s="1">
        <v>1</v>
      </c>
      <c r="F4105" s="47">
        <f t="shared" si="303"/>
        <v>6</v>
      </c>
    </row>
    <row r="4106" spans="1:6" x14ac:dyDescent="0.25">
      <c r="A4106" s="34" t="s">
        <v>16</v>
      </c>
      <c r="B4106" s="2">
        <v>44064</v>
      </c>
      <c r="C4106" s="1">
        <v>5322</v>
      </c>
      <c r="D4106" s="47">
        <f>C4106+D4082</f>
        <v>205069</v>
      </c>
      <c r="E4106" s="1">
        <v>131</v>
      </c>
      <c r="F4106" s="47">
        <f t="shared" si="303"/>
        <v>3915</v>
      </c>
    </row>
    <row r="4107" spans="1:6" x14ac:dyDescent="0.25">
      <c r="A4107" s="5" t="s">
        <v>43</v>
      </c>
      <c r="B4107" s="2">
        <v>44064</v>
      </c>
      <c r="C4107" s="1">
        <v>1179</v>
      </c>
      <c r="D4107" s="47">
        <f t="shared" ref="D4107:D4121" si="304">C4107+D4083</f>
        <v>82805</v>
      </c>
      <c r="E4107" s="1">
        <f>5+14+12</f>
        <v>31</v>
      </c>
      <c r="F4107" s="47">
        <f t="shared" si="301"/>
        <v>1929</v>
      </c>
    </row>
    <row r="4108" spans="1:6" x14ac:dyDescent="0.25">
      <c r="A4108" s="5" t="s">
        <v>28</v>
      </c>
      <c r="B4108" s="2">
        <v>44064</v>
      </c>
      <c r="C4108" s="1">
        <v>-1</v>
      </c>
      <c r="D4108" s="47">
        <f t="shared" si="304"/>
        <v>63</v>
      </c>
      <c r="F4108" s="47">
        <f t="shared" si="301"/>
        <v>0</v>
      </c>
    </row>
    <row r="4109" spans="1:6" x14ac:dyDescent="0.25">
      <c r="A4109" s="5" t="s">
        <v>15</v>
      </c>
      <c r="B4109" s="2">
        <v>44064</v>
      </c>
      <c r="C4109" s="1">
        <v>55</v>
      </c>
      <c r="D4109" s="47">
        <f t="shared" si="304"/>
        <v>4756</v>
      </c>
      <c r="E4109" s="1">
        <f>2</f>
        <v>2</v>
      </c>
      <c r="F4109" s="47">
        <f t="shared" si="301"/>
        <v>192</v>
      </c>
    </row>
    <row r="4110" spans="1:6" x14ac:dyDescent="0.25">
      <c r="A4110" s="5" t="s">
        <v>29</v>
      </c>
      <c r="B4110" s="2">
        <v>44064</v>
      </c>
      <c r="C4110" s="1">
        <v>19</v>
      </c>
      <c r="D4110" s="47">
        <f t="shared" si="304"/>
        <v>474</v>
      </c>
      <c r="E4110" s="1">
        <f>1</f>
        <v>1</v>
      </c>
      <c r="F4110" s="47">
        <f t="shared" si="301"/>
        <v>7</v>
      </c>
    </row>
    <row r="4111" spans="1:6" x14ac:dyDescent="0.25">
      <c r="A4111" s="5" t="s">
        <v>20</v>
      </c>
      <c r="B4111" s="2">
        <v>44064</v>
      </c>
      <c r="C4111" s="1">
        <v>182</v>
      </c>
      <c r="D4111" s="47">
        <f t="shared" si="304"/>
        <v>5454</v>
      </c>
      <c r="E4111" s="1">
        <v>2</v>
      </c>
      <c r="F4111" s="47">
        <f t="shared" si="301"/>
        <v>91</v>
      </c>
    </row>
    <row r="4112" spans="1:6" x14ac:dyDescent="0.25">
      <c r="A4112" s="5" t="s">
        <v>30</v>
      </c>
      <c r="B4112" s="2">
        <v>44064</v>
      </c>
      <c r="C4112" s="1">
        <v>4</v>
      </c>
      <c r="D4112" s="47">
        <f t="shared" si="304"/>
        <v>243</v>
      </c>
      <c r="E4112" s="1">
        <v>1</v>
      </c>
      <c r="F4112" s="47">
        <f t="shared" si="301"/>
        <v>3</v>
      </c>
    </row>
    <row r="4113" spans="1:6" x14ac:dyDescent="0.25">
      <c r="A4113" s="5" t="s">
        <v>31</v>
      </c>
      <c r="B4113" s="2">
        <v>44064</v>
      </c>
      <c r="C4113" s="1">
        <v>136</v>
      </c>
      <c r="D4113" s="47">
        <f t="shared" si="304"/>
        <v>1997</v>
      </c>
      <c r="E4113" s="1">
        <v>2</v>
      </c>
      <c r="F4113" s="47">
        <f t="shared" si="301"/>
        <v>29</v>
      </c>
    </row>
    <row r="4114" spans="1:6" x14ac:dyDescent="0.25">
      <c r="A4114" s="5" t="s">
        <v>41</v>
      </c>
      <c r="B4114" s="2">
        <v>44064</v>
      </c>
      <c r="C4114" s="1">
        <v>-1</v>
      </c>
      <c r="D4114" s="47">
        <f t="shared" si="304"/>
        <v>79</v>
      </c>
      <c r="F4114" s="47">
        <f>E4114+F4090</f>
        <v>1</v>
      </c>
    </row>
    <row r="4115" spans="1:6" x14ac:dyDescent="0.25">
      <c r="A4115" s="5" t="s">
        <v>32</v>
      </c>
      <c r="B4115" s="2">
        <v>44064</v>
      </c>
      <c r="C4115" s="1">
        <v>250</v>
      </c>
      <c r="D4115" s="47">
        <f t="shared" si="304"/>
        <v>5874</v>
      </c>
      <c r="E4115" s="1">
        <f>8+4+10+5</f>
        <v>27</v>
      </c>
      <c r="F4115" s="47">
        <f t="shared" si="301"/>
        <v>127</v>
      </c>
    </row>
    <row r="4116" spans="1:6" x14ac:dyDescent="0.25">
      <c r="A4116" s="5" t="s">
        <v>33</v>
      </c>
      <c r="B4116" s="2">
        <v>44064</v>
      </c>
      <c r="C4116" s="1">
        <v>0</v>
      </c>
      <c r="D4116" s="47">
        <f t="shared" si="304"/>
        <v>187</v>
      </c>
      <c r="F4116" s="47">
        <f t="shared" si="301"/>
        <v>1</v>
      </c>
    </row>
    <row r="4117" spans="1:6" x14ac:dyDescent="0.25">
      <c r="A4117" s="5" t="s">
        <v>21</v>
      </c>
      <c r="B4117" s="2">
        <v>44064</v>
      </c>
      <c r="C4117" s="1">
        <v>51</v>
      </c>
      <c r="D4117" s="47">
        <f t="shared" si="304"/>
        <v>978</v>
      </c>
      <c r="F4117" s="47">
        <f t="shared" si="301"/>
        <v>1</v>
      </c>
    </row>
    <row r="4118" spans="1:6" x14ac:dyDescent="0.25">
      <c r="A4118" s="5" t="s">
        <v>17</v>
      </c>
      <c r="B4118" s="2">
        <v>44064</v>
      </c>
      <c r="C4118" s="1">
        <v>212</v>
      </c>
      <c r="D4118" s="47">
        <f t="shared" si="304"/>
        <v>4252</v>
      </c>
      <c r="E4118" s="1">
        <f>1+2+1+1</f>
        <v>5</v>
      </c>
      <c r="F4118" s="47">
        <f t="shared" si="301"/>
        <v>49</v>
      </c>
    </row>
    <row r="4119" spans="1:6" x14ac:dyDescent="0.25">
      <c r="A4119" s="5" t="s">
        <v>23</v>
      </c>
      <c r="B4119" s="2">
        <v>44064</v>
      </c>
      <c r="C4119" s="1">
        <v>5</v>
      </c>
      <c r="D4119" s="47">
        <f t="shared" si="304"/>
        <v>58</v>
      </c>
      <c r="F4119" s="47">
        <f t="shared" si="301"/>
        <v>2</v>
      </c>
    </row>
    <row r="4120" spans="1:6" x14ac:dyDescent="0.25">
      <c r="A4120" s="5" t="s">
        <v>19</v>
      </c>
      <c r="B4120" s="2">
        <v>44064</v>
      </c>
      <c r="C4120" s="1">
        <v>47</v>
      </c>
      <c r="D4120" s="47">
        <f t="shared" si="304"/>
        <v>2067</v>
      </c>
      <c r="E4120" s="1">
        <f>2</f>
        <v>2</v>
      </c>
      <c r="F4120" s="47">
        <f t="shared" si="301"/>
        <v>11</v>
      </c>
    </row>
    <row r="4121" spans="1:6" x14ac:dyDescent="0.25">
      <c r="A4121" s="5" t="s">
        <v>18</v>
      </c>
      <c r="B4121" s="2">
        <v>44064</v>
      </c>
      <c r="C4121" s="1">
        <v>137</v>
      </c>
      <c r="D4121" s="47">
        <f t="shared" si="304"/>
        <v>4466</v>
      </c>
      <c r="F4121" s="47">
        <f t="shared" si="301"/>
        <v>42</v>
      </c>
    </row>
    <row r="4122" spans="1:6" x14ac:dyDescent="0.25">
      <c r="A4122" s="5" t="s">
        <v>34</v>
      </c>
      <c r="B4122" s="2">
        <v>44064</v>
      </c>
      <c r="C4122" s="1">
        <v>90</v>
      </c>
      <c r="D4122" s="47">
        <f>C4122+D4098</f>
        <v>1590</v>
      </c>
      <c r="E4122" s="1">
        <f>1+1+1</f>
        <v>3</v>
      </c>
      <c r="F4122" s="47">
        <f>E4122+F4098</f>
        <v>25</v>
      </c>
    </row>
    <row r="4123" spans="1:6" x14ac:dyDescent="0.25">
      <c r="A4123" s="5" t="s">
        <v>35</v>
      </c>
      <c r="B4123" s="2">
        <v>44064</v>
      </c>
      <c r="C4123" s="1">
        <v>1</v>
      </c>
      <c r="D4123" s="47">
        <f t="shared" ref="D4123:D4129" si="305">C4123+D4099</f>
        <v>36</v>
      </c>
      <c r="F4123" s="47">
        <f>E4123+F4099</f>
        <v>0</v>
      </c>
    </row>
    <row r="4124" spans="1:6" x14ac:dyDescent="0.25">
      <c r="A4124" s="5" t="s">
        <v>36</v>
      </c>
      <c r="B4124" s="2">
        <v>44064</v>
      </c>
      <c r="C4124" s="1">
        <v>0</v>
      </c>
      <c r="D4124" s="47">
        <f t="shared" si="305"/>
        <v>39</v>
      </c>
      <c r="F4124" s="47">
        <f>E4124+F4100</f>
        <v>0</v>
      </c>
    </row>
    <row r="4125" spans="1:6" x14ac:dyDescent="0.25">
      <c r="A4125" s="5" t="s">
        <v>37</v>
      </c>
      <c r="B4125" s="2">
        <v>44064</v>
      </c>
      <c r="C4125" s="1">
        <v>68</v>
      </c>
      <c r="D4125" s="47">
        <f t="shared" si="305"/>
        <v>1246</v>
      </c>
      <c r="F4125" s="47">
        <f t="shared" ref="F4125:F4130" si="306">E4125+F4101</f>
        <v>9</v>
      </c>
    </row>
    <row r="4126" spans="1:6" x14ac:dyDescent="0.25">
      <c r="A4126" s="5" t="s">
        <v>22</v>
      </c>
      <c r="B4126" s="2">
        <v>44064</v>
      </c>
      <c r="C4126" s="1">
        <v>262</v>
      </c>
      <c r="D4126" s="47">
        <f t="shared" si="305"/>
        <v>4315</v>
      </c>
      <c r="E4126" s="1">
        <v>6</v>
      </c>
      <c r="F4126" s="47">
        <f t="shared" si="306"/>
        <v>45</v>
      </c>
    </row>
    <row r="4127" spans="1:6" x14ac:dyDescent="0.25">
      <c r="A4127" s="5" t="s">
        <v>38</v>
      </c>
      <c r="B4127" s="2">
        <v>44064</v>
      </c>
      <c r="C4127" s="1">
        <v>38</v>
      </c>
      <c r="D4127" s="47">
        <f t="shared" si="305"/>
        <v>455</v>
      </c>
      <c r="E4127" s="1">
        <v>1</v>
      </c>
      <c r="F4127" s="47">
        <f t="shared" si="306"/>
        <v>2</v>
      </c>
    </row>
    <row r="4128" spans="1:6" x14ac:dyDescent="0.25">
      <c r="A4128" s="5" t="s">
        <v>39</v>
      </c>
      <c r="B4128" s="2">
        <v>44064</v>
      </c>
      <c r="C4128" s="1">
        <v>36</v>
      </c>
      <c r="D4128" s="47">
        <f t="shared" si="305"/>
        <v>1636</v>
      </c>
      <c r="F4128" s="47">
        <f t="shared" si="306"/>
        <v>19</v>
      </c>
    </row>
    <row r="4129" spans="1:6" x14ac:dyDescent="0.25">
      <c r="A4129" s="5" t="s">
        <v>40</v>
      </c>
      <c r="B4129" s="2">
        <v>44064</v>
      </c>
      <c r="C4129" s="1">
        <v>67</v>
      </c>
      <c r="D4129" s="47">
        <f t="shared" si="305"/>
        <v>904</v>
      </c>
      <c r="F4129" s="47">
        <f t="shared" si="306"/>
        <v>6</v>
      </c>
    </row>
    <row r="4130" spans="1:6" x14ac:dyDescent="0.25">
      <c r="A4130" s="34" t="s">
        <v>16</v>
      </c>
      <c r="B4130" s="2">
        <v>44065</v>
      </c>
      <c r="C4130" s="1">
        <v>4838</v>
      </c>
      <c r="D4130" s="47">
        <f>C4130+D4106</f>
        <v>209907</v>
      </c>
      <c r="E4130" s="1">
        <f>28+13+25+11</f>
        <v>77</v>
      </c>
      <c r="F4130" s="47">
        <f t="shared" si="306"/>
        <v>3992</v>
      </c>
    </row>
    <row r="4131" spans="1:6" x14ac:dyDescent="0.25">
      <c r="A4131" s="5" t="s">
        <v>43</v>
      </c>
      <c r="B4131" s="2">
        <v>44065</v>
      </c>
      <c r="C4131" s="1">
        <v>1100</v>
      </c>
      <c r="D4131" s="47">
        <f t="shared" ref="D4131:D4145" si="307">C4131+D4107</f>
        <v>83905</v>
      </c>
      <c r="E4131" s="1">
        <f>1+1+3+5</f>
        <v>10</v>
      </c>
      <c r="F4131" s="47">
        <f t="shared" ref="F4131:F4169" si="308">E4131+F4107</f>
        <v>1939</v>
      </c>
    </row>
    <row r="4132" spans="1:6" x14ac:dyDescent="0.25">
      <c r="A4132" s="5" t="s">
        <v>28</v>
      </c>
      <c r="B4132" s="2">
        <v>44065</v>
      </c>
      <c r="C4132" s="1">
        <v>1</v>
      </c>
      <c r="D4132" s="47">
        <f t="shared" si="307"/>
        <v>64</v>
      </c>
      <c r="F4132" s="47">
        <f t="shared" si="308"/>
        <v>0</v>
      </c>
    </row>
    <row r="4133" spans="1:6" x14ac:dyDescent="0.25">
      <c r="A4133" s="5" t="s">
        <v>15</v>
      </c>
      <c r="B4133" s="2">
        <v>44065</v>
      </c>
      <c r="C4133" s="1">
        <v>78</v>
      </c>
      <c r="D4133" s="47">
        <f t="shared" si="307"/>
        <v>4834</v>
      </c>
      <c r="F4133" s="47">
        <f t="shared" si="308"/>
        <v>192</v>
      </c>
    </row>
    <row r="4134" spans="1:6" x14ac:dyDescent="0.25">
      <c r="A4134" s="5" t="s">
        <v>29</v>
      </c>
      <c r="B4134" s="2">
        <v>44065</v>
      </c>
      <c r="C4134" s="1">
        <v>36</v>
      </c>
      <c r="D4134" s="47">
        <f t="shared" si="307"/>
        <v>510</v>
      </c>
      <c r="F4134" s="47">
        <f t="shared" si="308"/>
        <v>7</v>
      </c>
    </row>
    <row r="4135" spans="1:6" x14ac:dyDescent="0.25">
      <c r="A4135" s="5" t="s">
        <v>20</v>
      </c>
      <c r="B4135" s="2">
        <v>44065</v>
      </c>
      <c r="C4135" s="1">
        <v>219</v>
      </c>
      <c r="D4135" s="47">
        <f t="shared" si="307"/>
        <v>5673</v>
      </c>
      <c r="E4135" s="1">
        <v>4</v>
      </c>
      <c r="F4135" s="47">
        <f t="shared" si="308"/>
        <v>95</v>
      </c>
    </row>
    <row r="4136" spans="1:6" x14ac:dyDescent="0.25">
      <c r="A4136" s="5" t="s">
        <v>30</v>
      </c>
      <c r="B4136" s="2">
        <v>44065</v>
      </c>
      <c r="C4136" s="1">
        <v>4</v>
      </c>
      <c r="D4136" s="47">
        <f t="shared" si="307"/>
        <v>247</v>
      </c>
      <c r="F4136" s="47">
        <f t="shared" si="308"/>
        <v>3</v>
      </c>
    </row>
    <row r="4137" spans="1:6" x14ac:dyDescent="0.25">
      <c r="A4137" s="5" t="s">
        <v>31</v>
      </c>
      <c r="B4137" s="2">
        <v>44065</v>
      </c>
      <c r="C4137" s="1">
        <v>135</v>
      </c>
      <c r="D4137" s="47">
        <f t="shared" si="307"/>
        <v>2132</v>
      </c>
      <c r="F4137" s="47">
        <f t="shared" si="308"/>
        <v>29</v>
      </c>
    </row>
    <row r="4138" spans="1:6" x14ac:dyDescent="0.25">
      <c r="A4138" s="5" t="s">
        <v>41</v>
      </c>
      <c r="B4138" s="2">
        <v>44065</v>
      </c>
      <c r="C4138" s="1">
        <v>1</v>
      </c>
      <c r="D4138" s="47">
        <f t="shared" si="307"/>
        <v>80</v>
      </c>
      <c r="F4138" s="47">
        <f>E4138+F4114</f>
        <v>1</v>
      </c>
    </row>
    <row r="4139" spans="1:6" x14ac:dyDescent="0.25">
      <c r="A4139" s="5" t="s">
        <v>32</v>
      </c>
      <c r="B4139" s="2">
        <v>44065</v>
      </c>
      <c r="C4139" s="1">
        <v>212</v>
      </c>
      <c r="D4139" s="47">
        <f t="shared" si="307"/>
        <v>6086</v>
      </c>
      <c r="E4139" s="1">
        <f>10+4</f>
        <v>14</v>
      </c>
      <c r="F4139" s="47">
        <f t="shared" si="308"/>
        <v>141</v>
      </c>
    </row>
    <row r="4140" spans="1:6" x14ac:dyDescent="0.25">
      <c r="A4140" s="5" t="s">
        <v>33</v>
      </c>
      <c r="B4140" s="2">
        <v>44065</v>
      </c>
      <c r="C4140" s="1">
        <v>4</v>
      </c>
      <c r="D4140" s="47">
        <f t="shared" si="307"/>
        <v>191</v>
      </c>
      <c r="F4140" s="47">
        <f t="shared" si="308"/>
        <v>1</v>
      </c>
    </row>
    <row r="4141" spans="1:6" x14ac:dyDescent="0.25">
      <c r="A4141" s="5" t="s">
        <v>21</v>
      </c>
      <c r="B4141" s="2">
        <v>44065</v>
      </c>
      <c r="C4141" s="1">
        <v>28</v>
      </c>
      <c r="D4141" s="47">
        <f t="shared" si="307"/>
        <v>1006</v>
      </c>
      <c r="F4141" s="47">
        <f t="shared" si="308"/>
        <v>1</v>
      </c>
    </row>
    <row r="4142" spans="1:6" x14ac:dyDescent="0.25">
      <c r="A4142" s="5" t="s">
        <v>17</v>
      </c>
      <c r="B4142" s="2">
        <v>44065</v>
      </c>
      <c r="C4142" s="1">
        <v>245</v>
      </c>
      <c r="D4142" s="47">
        <f t="shared" si="307"/>
        <v>4497</v>
      </c>
      <c r="E4142" s="1">
        <f>1+2</f>
        <v>3</v>
      </c>
      <c r="F4142" s="47">
        <f t="shared" si="308"/>
        <v>52</v>
      </c>
    </row>
    <row r="4143" spans="1:6" x14ac:dyDescent="0.25">
      <c r="A4143" s="5" t="s">
        <v>23</v>
      </c>
      <c r="B4143" s="2">
        <v>44065</v>
      </c>
      <c r="C4143" s="1">
        <v>1</v>
      </c>
      <c r="D4143" s="47">
        <f t="shared" si="307"/>
        <v>59</v>
      </c>
      <c r="F4143" s="47">
        <f t="shared" si="308"/>
        <v>2</v>
      </c>
    </row>
    <row r="4144" spans="1:6" x14ac:dyDescent="0.25">
      <c r="A4144" s="5" t="s">
        <v>19</v>
      </c>
      <c r="B4144" s="2">
        <v>44065</v>
      </c>
      <c r="C4144" s="1">
        <v>103</v>
      </c>
      <c r="D4144" s="47">
        <f t="shared" si="307"/>
        <v>2170</v>
      </c>
      <c r="F4144" s="47">
        <f t="shared" si="308"/>
        <v>11</v>
      </c>
    </row>
    <row r="4145" spans="1:6" x14ac:dyDescent="0.25">
      <c r="A4145" s="5" t="s">
        <v>18</v>
      </c>
      <c r="B4145" s="2">
        <v>44065</v>
      </c>
      <c r="C4145" s="1">
        <v>118</v>
      </c>
      <c r="D4145" s="47">
        <f t="shared" si="307"/>
        <v>4584</v>
      </c>
      <c r="E4145" s="1">
        <f>1+1</f>
        <v>2</v>
      </c>
      <c r="F4145" s="47">
        <f t="shared" si="308"/>
        <v>44</v>
      </c>
    </row>
    <row r="4146" spans="1:6" x14ac:dyDescent="0.25">
      <c r="A4146" s="5" t="s">
        <v>34</v>
      </c>
      <c r="B4146" s="2">
        <v>44065</v>
      </c>
      <c r="C4146" s="1">
        <v>150</v>
      </c>
      <c r="D4146" s="47">
        <f>C4146+D4122</f>
        <v>1740</v>
      </c>
      <c r="E4146" s="1">
        <f>2+1</f>
        <v>3</v>
      </c>
      <c r="F4146" s="47">
        <f>E4146+F4122</f>
        <v>28</v>
      </c>
    </row>
    <row r="4147" spans="1:6" x14ac:dyDescent="0.25">
      <c r="A4147" s="5" t="s">
        <v>35</v>
      </c>
      <c r="B4147" s="2">
        <v>44065</v>
      </c>
      <c r="C4147" s="1">
        <v>3</v>
      </c>
      <c r="D4147" s="47">
        <f t="shared" ref="D4147:D4153" si="309">C4147+D4123</f>
        <v>39</v>
      </c>
      <c r="F4147" s="47">
        <f>E4147+F4123</f>
        <v>0</v>
      </c>
    </row>
    <row r="4148" spans="1:6" x14ac:dyDescent="0.25">
      <c r="A4148" s="5" t="s">
        <v>36</v>
      </c>
      <c r="B4148" s="2">
        <v>44065</v>
      </c>
      <c r="C4148" s="1">
        <v>2</v>
      </c>
      <c r="D4148" s="47">
        <f t="shared" si="309"/>
        <v>41</v>
      </c>
      <c r="F4148" s="47">
        <f t="shared" si="308"/>
        <v>0</v>
      </c>
    </row>
    <row r="4149" spans="1:6" x14ac:dyDescent="0.25">
      <c r="A4149" s="5" t="s">
        <v>37</v>
      </c>
      <c r="B4149" s="2">
        <v>44065</v>
      </c>
      <c r="C4149" s="1">
        <v>47</v>
      </c>
      <c r="D4149" s="47">
        <f t="shared" si="309"/>
        <v>1293</v>
      </c>
      <c r="F4149" s="47">
        <f t="shared" ref="F4149:F4154" si="310">E4149+F4125</f>
        <v>9</v>
      </c>
    </row>
    <row r="4150" spans="1:6" x14ac:dyDescent="0.25">
      <c r="A4150" s="5" t="s">
        <v>22</v>
      </c>
      <c r="B4150" s="2">
        <v>44065</v>
      </c>
      <c r="C4150" s="1">
        <v>294</v>
      </c>
      <c r="D4150" s="47">
        <f t="shared" si="309"/>
        <v>4609</v>
      </c>
      <c r="E4150" s="1">
        <f>2+2</f>
        <v>4</v>
      </c>
      <c r="F4150" s="47">
        <f t="shared" si="310"/>
        <v>49</v>
      </c>
    </row>
    <row r="4151" spans="1:6" x14ac:dyDescent="0.25">
      <c r="A4151" s="5" t="s">
        <v>38</v>
      </c>
      <c r="B4151" s="2">
        <v>44065</v>
      </c>
      <c r="C4151" s="1">
        <v>34</v>
      </c>
      <c r="D4151" s="47">
        <f t="shared" si="309"/>
        <v>489</v>
      </c>
      <c r="F4151" s="47">
        <f t="shared" si="310"/>
        <v>2</v>
      </c>
    </row>
    <row r="4152" spans="1:6" x14ac:dyDescent="0.25">
      <c r="A4152" s="5" t="s">
        <v>39</v>
      </c>
      <c r="B4152" s="2">
        <v>44065</v>
      </c>
      <c r="C4152" s="1">
        <v>34</v>
      </c>
      <c r="D4152" s="47">
        <f t="shared" si="309"/>
        <v>1670</v>
      </c>
      <c r="F4152" s="47">
        <f t="shared" si="310"/>
        <v>19</v>
      </c>
    </row>
    <row r="4153" spans="1:6" x14ac:dyDescent="0.25">
      <c r="A4153" s="5" t="s">
        <v>40</v>
      </c>
      <c r="B4153" s="2">
        <v>44065</v>
      </c>
      <c r="C4153" s="1">
        <v>72</v>
      </c>
      <c r="D4153" s="47">
        <f t="shared" si="309"/>
        <v>976</v>
      </c>
      <c r="F4153" s="47">
        <f t="shared" si="310"/>
        <v>6</v>
      </c>
    </row>
    <row r="4154" spans="1:6" x14ac:dyDescent="0.25">
      <c r="A4154" s="34" t="s">
        <v>16</v>
      </c>
      <c r="B4154" s="2">
        <v>44066</v>
      </c>
      <c r="C4154" s="1">
        <v>2829</v>
      </c>
      <c r="D4154" s="47">
        <f>C4154+D4130</f>
        <v>212736</v>
      </c>
      <c r="E4154" s="1">
        <v>100</v>
      </c>
      <c r="F4154" s="47">
        <f t="shared" si="310"/>
        <v>4092</v>
      </c>
    </row>
    <row r="4155" spans="1:6" x14ac:dyDescent="0.25">
      <c r="A4155" s="5" t="s">
        <v>43</v>
      </c>
      <c r="B4155" s="2">
        <v>44066</v>
      </c>
      <c r="C4155" s="1">
        <v>1020</v>
      </c>
      <c r="D4155" s="47">
        <f t="shared" ref="D4155:D4167" si="311">C4155+D4131</f>
        <v>84925</v>
      </c>
      <c r="E4155" s="1">
        <f>5+3</f>
        <v>8</v>
      </c>
      <c r="F4155" s="47">
        <f t="shared" si="308"/>
        <v>1947</v>
      </c>
    </row>
    <row r="4156" spans="1:6" x14ac:dyDescent="0.25">
      <c r="A4156" s="5" t="s">
        <v>28</v>
      </c>
      <c r="B4156" s="2">
        <v>44066</v>
      </c>
      <c r="C4156" s="1">
        <v>-1</v>
      </c>
      <c r="D4156" s="47">
        <f t="shared" si="311"/>
        <v>63</v>
      </c>
      <c r="F4156" s="47">
        <f t="shared" si="308"/>
        <v>0</v>
      </c>
    </row>
    <row r="4157" spans="1:6" x14ac:dyDescent="0.25">
      <c r="A4157" s="5" t="s">
        <v>15</v>
      </c>
      <c r="B4157" s="2">
        <v>44066</v>
      </c>
      <c r="C4157" s="1">
        <v>27</v>
      </c>
      <c r="D4157" s="47">
        <f t="shared" si="311"/>
        <v>4861</v>
      </c>
      <c r="F4157" s="47">
        <f t="shared" si="308"/>
        <v>192</v>
      </c>
    </row>
    <row r="4158" spans="1:6" x14ac:dyDescent="0.25">
      <c r="A4158" s="5" t="s">
        <v>29</v>
      </c>
      <c r="B4158" s="2">
        <v>44066</v>
      </c>
      <c r="C4158" s="1">
        <v>24</v>
      </c>
      <c r="D4158" s="47">
        <f t="shared" si="311"/>
        <v>534</v>
      </c>
      <c r="F4158" s="47">
        <f t="shared" si="308"/>
        <v>7</v>
      </c>
    </row>
    <row r="4159" spans="1:6" x14ac:dyDescent="0.25">
      <c r="A4159" s="5" t="s">
        <v>20</v>
      </c>
      <c r="B4159" s="2">
        <v>44066</v>
      </c>
      <c r="C4159" s="1">
        <v>233</v>
      </c>
      <c r="D4159" s="47">
        <f t="shared" si="311"/>
        <v>5906</v>
      </c>
      <c r="E4159" s="1">
        <f>2</f>
        <v>2</v>
      </c>
      <c r="F4159" s="47">
        <f t="shared" si="308"/>
        <v>97</v>
      </c>
    </row>
    <row r="4160" spans="1:6" x14ac:dyDescent="0.25">
      <c r="A4160" s="5" t="s">
        <v>30</v>
      </c>
      <c r="B4160" s="2">
        <v>44066</v>
      </c>
      <c r="C4160" s="1">
        <v>5</v>
      </c>
      <c r="D4160" s="47">
        <f t="shared" si="311"/>
        <v>252</v>
      </c>
      <c r="E4160" s="1">
        <f>1</f>
        <v>1</v>
      </c>
      <c r="F4160" s="47">
        <f>E4160+F4136</f>
        <v>4</v>
      </c>
    </row>
    <row r="4161" spans="1:6" x14ac:dyDescent="0.25">
      <c r="A4161" s="5" t="s">
        <v>31</v>
      </c>
      <c r="B4161" s="2">
        <v>44066</v>
      </c>
      <c r="C4161" s="1">
        <v>126</v>
      </c>
      <c r="D4161" s="47">
        <f t="shared" si="311"/>
        <v>2258</v>
      </c>
      <c r="F4161" s="47">
        <f t="shared" si="308"/>
        <v>29</v>
      </c>
    </row>
    <row r="4162" spans="1:6" x14ac:dyDescent="0.25">
      <c r="A4162" s="5" t="s">
        <v>41</v>
      </c>
      <c r="B4162" s="2">
        <v>44066</v>
      </c>
      <c r="C4162" s="1">
        <v>2</v>
      </c>
      <c r="D4162" s="47">
        <f t="shared" si="311"/>
        <v>82</v>
      </c>
      <c r="F4162" s="47">
        <f>E4162+F4138</f>
        <v>1</v>
      </c>
    </row>
    <row r="4163" spans="1:6" x14ac:dyDescent="0.25">
      <c r="A4163" s="5" t="s">
        <v>32</v>
      </c>
      <c r="B4163" s="2">
        <v>44066</v>
      </c>
      <c r="C4163" s="1">
        <v>185</v>
      </c>
      <c r="D4163" s="47">
        <f t="shared" si="311"/>
        <v>6271</v>
      </c>
      <c r="F4163" s="47">
        <f t="shared" si="308"/>
        <v>141</v>
      </c>
    </row>
    <row r="4164" spans="1:6" x14ac:dyDescent="0.25">
      <c r="A4164" s="5" t="s">
        <v>33</v>
      </c>
      <c r="B4164" s="2">
        <v>44066</v>
      </c>
      <c r="C4164" s="1">
        <v>4</v>
      </c>
      <c r="D4164" s="47">
        <f t="shared" si="311"/>
        <v>195</v>
      </c>
      <c r="F4164" s="47">
        <f t="shared" si="308"/>
        <v>1</v>
      </c>
    </row>
    <row r="4165" spans="1:6" x14ac:dyDescent="0.25">
      <c r="A4165" s="5" t="s">
        <v>21</v>
      </c>
      <c r="B4165" s="2">
        <v>44066</v>
      </c>
      <c r="C4165" s="1">
        <v>34</v>
      </c>
      <c r="D4165" s="47">
        <f t="shared" si="311"/>
        <v>1040</v>
      </c>
      <c r="E4165" s="1">
        <f>9+1</f>
        <v>10</v>
      </c>
      <c r="F4165" s="47">
        <f t="shared" si="308"/>
        <v>11</v>
      </c>
    </row>
    <row r="4166" spans="1:6" x14ac:dyDescent="0.25">
      <c r="A4166" s="5" t="s">
        <v>17</v>
      </c>
      <c r="B4166" s="2">
        <v>44066</v>
      </c>
      <c r="C4166" s="1">
        <v>140</v>
      </c>
      <c r="D4166" s="47">
        <f t="shared" si="311"/>
        <v>4637</v>
      </c>
      <c r="E4166" s="1">
        <f>1+2</f>
        <v>3</v>
      </c>
      <c r="F4166" s="47">
        <f t="shared" si="308"/>
        <v>55</v>
      </c>
    </row>
    <row r="4167" spans="1:6" x14ac:dyDescent="0.25">
      <c r="A4167" s="5" t="s">
        <v>23</v>
      </c>
      <c r="B4167" s="2">
        <v>44066</v>
      </c>
      <c r="C4167" s="1">
        <v>-3</v>
      </c>
      <c r="D4167" s="47">
        <f t="shared" si="311"/>
        <v>56</v>
      </c>
      <c r="F4167" s="47">
        <f t="shared" si="308"/>
        <v>2</v>
      </c>
    </row>
    <row r="4168" spans="1:6" x14ac:dyDescent="0.25">
      <c r="A4168" s="5" t="s">
        <v>19</v>
      </c>
      <c r="B4168" s="2">
        <v>44066</v>
      </c>
      <c r="C4168" s="10">
        <v>108</v>
      </c>
      <c r="D4168" s="47">
        <f>C4168+D4144</f>
        <v>2278</v>
      </c>
      <c r="F4168" s="47">
        <f t="shared" si="308"/>
        <v>11</v>
      </c>
    </row>
    <row r="4169" spans="1:6" x14ac:dyDescent="0.25">
      <c r="A4169" s="5" t="s">
        <v>18</v>
      </c>
      <c r="B4169" s="2">
        <v>44066</v>
      </c>
      <c r="C4169" s="1">
        <v>119</v>
      </c>
      <c r="D4169" s="47">
        <f>C4169+D4145</f>
        <v>4703</v>
      </c>
      <c r="E4169" s="1">
        <f>4</f>
        <v>4</v>
      </c>
      <c r="F4169" s="47">
        <f t="shared" si="308"/>
        <v>48</v>
      </c>
    </row>
    <row r="4170" spans="1:6" x14ac:dyDescent="0.25">
      <c r="A4170" s="5" t="s">
        <v>34</v>
      </c>
      <c r="B4170" s="2">
        <v>44066</v>
      </c>
      <c r="C4170" s="1">
        <v>97</v>
      </c>
      <c r="D4170" s="47">
        <f>C4170+D4146</f>
        <v>1837</v>
      </c>
      <c r="E4170" s="1">
        <f>1</f>
        <v>1</v>
      </c>
      <c r="F4170" s="47">
        <f>E4170+F4146</f>
        <v>29</v>
      </c>
    </row>
    <row r="4171" spans="1:6" x14ac:dyDescent="0.25">
      <c r="A4171" s="5" t="s">
        <v>35</v>
      </c>
      <c r="B4171" s="2">
        <v>44066</v>
      </c>
      <c r="C4171" s="1">
        <v>19</v>
      </c>
      <c r="D4171" s="47">
        <f t="shared" ref="D4171:D4177" si="312">C4171+D4147</f>
        <v>58</v>
      </c>
      <c r="F4171" s="47">
        <f>E4171+F4147</f>
        <v>0</v>
      </c>
    </row>
    <row r="4172" spans="1:6" x14ac:dyDescent="0.25">
      <c r="A4172" s="5" t="s">
        <v>36</v>
      </c>
      <c r="B4172" s="2">
        <v>44066</v>
      </c>
      <c r="C4172" s="1">
        <v>2</v>
      </c>
      <c r="D4172" s="47">
        <f t="shared" si="312"/>
        <v>43</v>
      </c>
      <c r="F4172" s="47">
        <f>E4172+F4148</f>
        <v>0</v>
      </c>
    </row>
    <row r="4173" spans="1:6" x14ac:dyDescent="0.25">
      <c r="A4173" s="5" t="s">
        <v>37</v>
      </c>
      <c r="B4173" s="2">
        <v>44066</v>
      </c>
      <c r="C4173" s="1">
        <v>41</v>
      </c>
      <c r="D4173" s="47">
        <f t="shared" si="312"/>
        <v>1334</v>
      </c>
      <c r="F4173" s="47">
        <f t="shared" ref="F4173:F4178" si="313">E4173+F4149</f>
        <v>9</v>
      </c>
    </row>
    <row r="4174" spans="1:6" x14ac:dyDescent="0.25">
      <c r="A4174" s="5" t="s">
        <v>22</v>
      </c>
      <c r="B4174" s="2">
        <v>44066</v>
      </c>
      <c r="C4174" s="1">
        <v>208</v>
      </c>
      <c r="D4174" s="47">
        <f t="shared" si="312"/>
        <v>4817</v>
      </c>
      <c r="E4174" s="1">
        <f>2+1</f>
        <v>3</v>
      </c>
      <c r="F4174" s="47">
        <f t="shared" si="313"/>
        <v>52</v>
      </c>
    </row>
    <row r="4175" spans="1:6" x14ac:dyDescent="0.25">
      <c r="A4175" s="5" t="s">
        <v>38</v>
      </c>
      <c r="B4175" s="2">
        <v>44066</v>
      </c>
      <c r="C4175" s="1">
        <v>28</v>
      </c>
      <c r="D4175" s="47">
        <f t="shared" si="312"/>
        <v>517</v>
      </c>
      <c r="F4175" s="47">
        <f t="shared" si="313"/>
        <v>2</v>
      </c>
    </row>
    <row r="4176" spans="1:6" x14ac:dyDescent="0.25">
      <c r="A4176" s="5" t="s">
        <v>39</v>
      </c>
      <c r="B4176" s="2">
        <v>44066</v>
      </c>
      <c r="C4176" s="1">
        <v>28</v>
      </c>
      <c r="D4176" s="47">
        <f t="shared" si="312"/>
        <v>1698</v>
      </c>
      <c r="E4176" s="1">
        <f>1</f>
        <v>1</v>
      </c>
      <c r="F4176" s="47">
        <f t="shared" si="313"/>
        <v>20</v>
      </c>
    </row>
    <row r="4177" spans="1:6" x14ac:dyDescent="0.25">
      <c r="A4177" s="5" t="s">
        <v>40</v>
      </c>
      <c r="B4177" s="2">
        <v>44066</v>
      </c>
      <c r="C4177" s="1">
        <v>77</v>
      </c>
      <c r="D4177" s="47">
        <f t="shared" si="312"/>
        <v>1053</v>
      </c>
      <c r="F4177" s="47">
        <f t="shared" si="313"/>
        <v>6</v>
      </c>
    </row>
    <row r="4178" spans="1:6" x14ac:dyDescent="0.25">
      <c r="A4178" s="34" t="s">
        <v>16</v>
      </c>
      <c r="B4178" s="2">
        <v>44067</v>
      </c>
      <c r="C4178" s="1">
        <v>5656</v>
      </c>
      <c r="D4178" s="47">
        <f>C4178+D4154</f>
        <v>218392</v>
      </c>
      <c r="E4178" s="1">
        <v>270</v>
      </c>
      <c r="F4178" s="47">
        <f t="shared" si="313"/>
        <v>4362</v>
      </c>
    </row>
    <row r="4179" spans="1:6" x14ac:dyDescent="0.25">
      <c r="A4179" s="5" t="s">
        <v>43</v>
      </c>
      <c r="B4179" s="2">
        <v>44067</v>
      </c>
      <c r="C4179" s="1">
        <v>1333</v>
      </c>
      <c r="D4179" s="47">
        <f t="shared" ref="D4179:D4191" si="314">C4179+D4155</f>
        <v>86258</v>
      </c>
      <c r="E4179" s="1">
        <f>3+5+22+22</f>
        <v>52</v>
      </c>
      <c r="F4179" s="47">
        <f t="shared" ref="F4179:F4217" si="315">E4179+F4155</f>
        <v>1999</v>
      </c>
    </row>
    <row r="4180" spans="1:6" x14ac:dyDescent="0.25">
      <c r="A4180" s="5" t="s">
        <v>28</v>
      </c>
      <c r="B4180" s="2">
        <v>44067</v>
      </c>
      <c r="C4180" s="1">
        <v>1</v>
      </c>
      <c r="D4180" s="47">
        <f t="shared" si="314"/>
        <v>64</v>
      </c>
      <c r="F4180" s="47">
        <f t="shared" si="315"/>
        <v>0</v>
      </c>
    </row>
    <row r="4181" spans="1:6" x14ac:dyDescent="0.25">
      <c r="A4181" s="5" t="s">
        <v>15</v>
      </c>
      <c r="B4181" s="2">
        <v>44067</v>
      </c>
      <c r="C4181" s="1">
        <v>53</v>
      </c>
      <c r="D4181" s="47">
        <f t="shared" si="314"/>
        <v>4914</v>
      </c>
      <c r="E4181" s="1">
        <f>1+2+1</f>
        <v>4</v>
      </c>
      <c r="F4181" s="47">
        <f t="shared" si="315"/>
        <v>196</v>
      </c>
    </row>
    <row r="4182" spans="1:6" x14ac:dyDescent="0.25">
      <c r="A4182" s="5" t="s">
        <v>29</v>
      </c>
      <c r="B4182" s="2">
        <v>44067</v>
      </c>
      <c r="C4182" s="1">
        <v>12</v>
      </c>
      <c r="D4182" s="47">
        <f t="shared" si="314"/>
        <v>546</v>
      </c>
      <c r="F4182" s="47">
        <f t="shared" si="315"/>
        <v>7</v>
      </c>
    </row>
    <row r="4183" spans="1:6" x14ac:dyDescent="0.25">
      <c r="A4183" s="5" t="s">
        <v>20</v>
      </c>
      <c r="B4183" s="2">
        <v>44067</v>
      </c>
      <c r="C4183" s="1">
        <v>208</v>
      </c>
      <c r="D4183" s="47">
        <f t="shared" si="314"/>
        <v>6114</v>
      </c>
      <c r="E4183" s="1">
        <f>3+1</f>
        <v>4</v>
      </c>
      <c r="F4183" s="47">
        <f t="shared" si="315"/>
        <v>101</v>
      </c>
    </row>
    <row r="4184" spans="1:6" x14ac:dyDescent="0.25">
      <c r="A4184" s="5" t="s">
        <v>30</v>
      </c>
      <c r="B4184" s="2">
        <v>44067</v>
      </c>
      <c r="C4184" s="1">
        <v>7</v>
      </c>
      <c r="D4184" s="47">
        <f t="shared" si="314"/>
        <v>259</v>
      </c>
      <c r="E4184" s="1">
        <f>1</f>
        <v>1</v>
      </c>
      <c r="F4184" s="47">
        <f t="shared" si="315"/>
        <v>5</v>
      </c>
    </row>
    <row r="4185" spans="1:6" x14ac:dyDescent="0.25">
      <c r="A4185" s="5" t="s">
        <v>31</v>
      </c>
      <c r="B4185" s="2">
        <v>44067</v>
      </c>
      <c r="C4185" s="1">
        <v>124</v>
      </c>
      <c r="D4185" s="47">
        <f t="shared" si="314"/>
        <v>2382</v>
      </c>
      <c r="F4185" s="47">
        <f t="shared" si="315"/>
        <v>29</v>
      </c>
    </row>
    <row r="4186" spans="1:6" x14ac:dyDescent="0.25">
      <c r="A4186" s="5" t="s">
        <v>41</v>
      </c>
      <c r="B4186" s="2">
        <v>44067</v>
      </c>
      <c r="C4186" s="1">
        <v>2</v>
      </c>
      <c r="D4186" s="47">
        <f t="shared" si="314"/>
        <v>84</v>
      </c>
      <c r="F4186" s="47">
        <f>E4186+F4162</f>
        <v>1</v>
      </c>
    </row>
    <row r="4187" spans="1:6" x14ac:dyDescent="0.25">
      <c r="A4187" s="5" t="s">
        <v>32</v>
      </c>
      <c r="B4187" s="2">
        <v>44067</v>
      </c>
      <c r="C4187" s="1">
        <v>352</v>
      </c>
      <c r="D4187" s="47">
        <f t="shared" si="314"/>
        <v>6623</v>
      </c>
      <c r="E4187" s="1">
        <f>1+2+4+5</f>
        <v>12</v>
      </c>
      <c r="F4187" s="47">
        <f t="shared" si="315"/>
        <v>153</v>
      </c>
    </row>
    <row r="4188" spans="1:6" x14ac:dyDescent="0.25">
      <c r="A4188" s="5" t="s">
        <v>33</v>
      </c>
      <c r="B4188" s="2">
        <v>44067</v>
      </c>
      <c r="C4188" s="1">
        <v>-2</v>
      </c>
      <c r="D4188" s="47">
        <f t="shared" si="314"/>
        <v>193</v>
      </c>
      <c r="F4188" s="47">
        <f t="shared" si="315"/>
        <v>1</v>
      </c>
    </row>
    <row r="4189" spans="1:6" x14ac:dyDescent="0.25">
      <c r="A4189" s="5" t="s">
        <v>21</v>
      </c>
      <c r="B4189" s="2">
        <v>44067</v>
      </c>
      <c r="C4189" s="1">
        <v>98</v>
      </c>
      <c r="D4189" s="47">
        <f t="shared" si="314"/>
        <v>1138</v>
      </c>
      <c r="E4189" s="1">
        <f>6+4</f>
        <v>10</v>
      </c>
      <c r="F4189" s="47">
        <f t="shared" si="315"/>
        <v>21</v>
      </c>
    </row>
    <row r="4190" spans="1:6" x14ac:dyDescent="0.25">
      <c r="A4190" s="5" t="s">
        <v>17</v>
      </c>
      <c r="B4190" s="2">
        <v>44067</v>
      </c>
      <c r="C4190" s="1">
        <v>172</v>
      </c>
      <c r="D4190" s="47">
        <f t="shared" si="314"/>
        <v>4809</v>
      </c>
      <c r="E4190" s="1">
        <f>1+1+1</f>
        <v>3</v>
      </c>
      <c r="F4190" s="47">
        <f t="shared" si="315"/>
        <v>58</v>
      </c>
    </row>
    <row r="4191" spans="1:6" x14ac:dyDescent="0.25">
      <c r="A4191" s="5" t="s">
        <v>23</v>
      </c>
      <c r="B4191" s="2">
        <v>44067</v>
      </c>
      <c r="C4191" s="1">
        <v>2</v>
      </c>
      <c r="D4191" s="47">
        <f t="shared" si="314"/>
        <v>58</v>
      </c>
      <c r="F4191" s="47">
        <f t="shared" si="315"/>
        <v>2</v>
      </c>
    </row>
    <row r="4192" spans="1:6" x14ac:dyDescent="0.25">
      <c r="A4192" s="5" t="s">
        <v>19</v>
      </c>
      <c r="B4192" s="2">
        <v>44067</v>
      </c>
      <c r="C4192" s="1">
        <v>15</v>
      </c>
      <c r="D4192" s="47">
        <f>C4192+D4168</f>
        <v>2293</v>
      </c>
      <c r="E4192" s="1">
        <f>2</f>
        <v>2</v>
      </c>
      <c r="F4192" s="47">
        <f t="shared" si="315"/>
        <v>13</v>
      </c>
    </row>
    <row r="4193" spans="1:6" x14ac:dyDescent="0.25">
      <c r="A4193" s="5" t="s">
        <v>18</v>
      </c>
      <c r="B4193" s="2">
        <v>44067</v>
      </c>
      <c r="C4193" s="1">
        <v>61</v>
      </c>
      <c r="D4193" s="47">
        <f>C4193+D4169</f>
        <v>4764</v>
      </c>
      <c r="E4193" s="1">
        <f>3+1</f>
        <v>4</v>
      </c>
      <c r="F4193" s="47">
        <f t="shared" si="315"/>
        <v>52</v>
      </c>
    </row>
    <row r="4194" spans="1:6" x14ac:dyDescent="0.25">
      <c r="A4194" s="5" t="s">
        <v>34</v>
      </c>
      <c r="B4194" s="2">
        <v>44067</v>
      </c>
      <c r="C4194" s="1">
        <v>95</v>
      </c>
      <c r="D4194" s="47">
        <f>C4194+D4170</f>
        <v>1932</v>
      </c>
      <c r="E4194" s="1">
        <f>1</f>
        <v>1</v>
      </c>
      <c r="F4194" s="47">
        <f>E4194+F4170</f>
        <v>30</v>
      </c>
    </row>
    <row r="4195" spans="1:6" x14ac:dyDescent="0.25">
      <c r="A4195" s="5" t="s">
        <v>35</v>
      </c>
      <c r="B4195" s="2">
        <v>44067</v>
      </c>
      <c r="C4195" s="1">
        <v>38</v>
      </c>
      <c r="D4195" s="47">
        <f t="shared" ref="D4195:D4201" si="316">C4195+D4171</f>
        <v>96</v>
      </c>
      <c r="F4195" s="47">
        <f>E4195+F4171</f>
        <v>0</v>
      </c>
    </row>
    <row r="4196" spans="1:6" x14ac:dyDescent="0.25">
      <c r="A4196" s="5" t="s">
        <v>36</v>
      </c>
      <c r="B4196" s="2">
        <v>44067</v>
      </c>
      <c r="C4196" s="1">
        <v>-2</v>
      </c>
      <c r="D4196" s="47">
        <f t="shared" si="316"/>
        <v>41</v>
      </c>
      <c r="F4196" s="47">
        <f t="shared" si="315"/>
        <v>0</v>
      </c>
    </row>
    <row r="4197" spans="1:6" x14ac:dyDescent="0.25">
      <c r="A4197" s="5" t="s">
        <v>37</v>
      </c>
      <c r="B4197" s="2">
        <v>44067</v>
      </c>
      <c r="C4197" s="1">
        <v>44</v>
      </c>
      <c r="D4197" s="47">
        <f t="shared" si="316"/>
        <v>1378</v>
      </c>
      <c r="E4197" s="1">
        <f>2</f>
        <v>2</v>
      </c>
      <c r="F4197" s="47">
        <f t="shared" ref="F4197:F4203" si="317">E4197+F4173</f>
        <v>11</v>
      </c>
    </row>
    <row r="4198" spans="1:6" x14ac:dyDescent="0.25">
      <c r="A4198" s="5" t="s">
        <v>22</v>
      </c>
      <c r="B4198" s="2">
        <v>44067</v>
      </c>
      <c r="C4198" s="1">
        <v>209</v>
      </c>
      <c r="D4198" s="47">
        <f t="shared" si="316"/>
        <v>5026</v>
      </c>
      <c r="E4198" s="1">
        <f>5+2</f>
        <v>7</v>
      </c>
      <c r="F4198" s="47">
        <f t="shared" si="317"/>
        <v>59</v>
      </c>
    </row>
    <row r="4199" spans="1:6" x14ac:dyDescent="0.25">
      <c r="A4199" s="5" t="s">
        <v>38</v>
      </c>
      <c r="B4199" s="2">
        <v>44067</v>
      </c>
      <c r="C4199" s="1">
        <v>66</v>
      </c>
      <c r="D4199" s="47">
        <f t="shared" si="316"/>
        <v>583</v>
      </c>
      <c r="E4199" s="1">
        <f>2</f>
        <v>2</v>
      </c>
      <c r="F4199" s="47">
        <f t="shared" si="317"/>
        <v>4</v>
      </c>
    </row>
    <row r="4200" spans="1:6" x14ac:dyDescent="0.25">
      <c r="A4200" s="5" t="s">
        <v>39</v>
      </c>
      <c r="B4200" s="2">
        <v>44067</v>
      </c>
      <c r="C4200" s="1">
        <v>54</v>
      </c>
      <c r="D4200" s="47">
        <f t="shared" si="316"/>
        <v>1752</v>
      </c>
      <c r="E4200" s="1">
        <f>1</f>
        <v>1</v>
      </c>
      <c r="F4200" s="47">
        <f t="shared" si="317"/>
        <v>21</v>
      </c>
    </row>
    <row r="4201" spans="1:6" x14ac:dyDescent="0.25">
      <c r="A4201" s="5" t="s">
        <v>40</v>
      </c>
      <c r="B4201" s="2">
        <v>44067</v>
      </c>
      <c r="C4201" s="1">
        <v>115</v>
      </c>
      <c r="D4201" s="47">
        <f t="shared" si="316"/>
        <v>1168</v>
      </c>
      <c r="F4201" s="47">
        <f t="shared" si="317"/>
        <v>6</v>
      </c>
    </row>
    <row r="4202" spans="1:6" x14ac:dyDescent="0.25">
      <c r="A4202" s="34" t="s">
        <v>16</v>
      </c>
      <c r="B4202" s="2">
        <v>44068</v>
      </c>
      <c r="C4202" s="1">
        <v>5312</v>
      </c>
      <c r="D4202" s="47">
        <f>C4202+D4178</f>
        <v>223704</v>
      </c>
      <c r="E4202" s="1">
        <f>14+11+55+41</f>
        <v>121</v>
      </c>
      <c r="F4202" s="47">
        <f t="shared" si="317"/>
        <v>4483</v>
      </c>
    </row>
    <row r="4203" spans="1:6" x14ac:dyDescent="0.25">
      <c r="A4203" s="5" t="s">
        <v>43</v>
      </c>
      <c r="B4203" s="2">
        <v>44068</v>
      </c>
      <c r="C4203" s="1">
        <v>1311</v>
      </c>
      <c r="D4203" s="47">
        <f t="shared" ref="D4203:D4215" si="318">C4203+D4179</f>
        <v>87569</v>
      </c>
      <c r="E4203" s="1">
        <f>3+14+16</f>
        <v>33</v>
      </c>
      <c r="F4203" s="47">
        <f t="shared" si="317"/>
        <v>2032</v>
      </c>
    </row>
    <row r="4204" spans="1:6" x14ac:dyDescent="0.25">
      <c r="A4204" s="5" t="s">
        <v>28</v>
      </c>
      <c r="B4204" s="2">
        <v>44068</v>
      </c>
      <c r="C4204" s="1">
        <v>0</v>
      </c>
      <c r="D4204" s="47">
        <f t="shared" si="318"/>
        <v>64</v>
      </c>
      <c r="F4204" s="47">
        <f t="shared" si="315"/>
        <v>0</v>
      </c>
    </row>
    <row r="4205" spans="1:6" x14ac:dyDescent="0.25">
      <c r="A4205" s="5" t="s">
        <v>15</v>
      </c>
      <c r="B4205" s="2">
        <v>44068</v>
      </c>
      <c r="C4205" s="1">
        <v>53</v>
      </c>
      <c r="D4205" s="47">
        <f t="shared" si="318"/>
        <v>4967</v>
      </c>
      <c r="E4205" s="1">
        <v>2</v>
      </c>
      <c r="F4205" s="47">
        <f t="shared" si="315"/>
        <v>198</v>
      </c>
    </row>
    <row r="4206" spans="1:6" x14ac:dyDescent="0.25">
      <c r="A4206" s="5" t="s">
        <v>29</v>
      </c>
      <c r="B4206" s="2">
        <v>44068</v>
      </c>
      <c r="C4206" s="1">
        <v>35</v>
      </c>
      <c r="D4206" s="47">
        <f t="shared" si="318"/>
        <v>581</v>
      </c>
      <c r="F4206" s="47">
        <f t="shared" si="315"/>
        <v>7</v>
      </c>
    </row>
    <row r="4207" spans="1:6" x14ac:dyDescent="0.25">
      <c r="A4207" s="5" t="s">
        <v>20</v>
      </c>
      <c r="B4207" s="2">
        <v>44068</v>
      </c>
      <c r="C4207" s="1">
        <v>298</v>
      </c>
      <c r="D4207" s="47">
        <f t="shared" si="318"/>
        <v>6412</v>
      </c>
      <c r="E4207" s="1">
        <v>3</v>
      </c>
      <c r="F4207" s="47">
        <f t="shared" si="315"/>
        <v>104</v>
      </c>
    </row>
    <row r="4208" spans="1:6" x14ac:dyDescent="0.25">
      <c r="A4208" s="5" t="s">
        <v>30</v>
      </c>
      <c r="B4208" s="2">
        <v>44068</v>
      </c>
      <c r="C4208" s="1">
        <v>1</v>
      </c>
      <c r="D4208" s="47">
        <f t="shared" si="318"/>
        <v>260</v>
      </c>
      <c r="F4208" s="47">
        <f t="shared" si="315"/>
        <v>5</v>
      </c>
    </row>
    <row r="4209" spans="1:6" x14ac:dyDescent="0.25">
      <c r="A4209" s="5" t="s">
        <v>31</v>
      </c>
      <c r="B4209" s="2">
        <v>44068</v>
      </c>
      <c r="C4209" s="1">
        <v>127</v>
      </c>
      <c r="D4209" s="47">
        <f t="shared" si="318"/>
        <v>2509</v>
      </c>
      <c r="E4209" s="1">
        <v>3</v>
      </c>
      <c r="F4209" s="47">
        <f t="shared" si="315"/>
        <v>32</v>
      </c>
    </row>
    <row r="4210" spans="1:6" x14ac:dyDescent="0.25">
      <c r="A4210" s="5" t="s">
        <v>41</v>
      </c>
      <c r="B4210" s="2">
        <v>44068</v>
      </c>
      <c r="C4210" s="1">
        <v>-1</v>
      </c>
      <c r="D4210" s="47">
        <f t="shared" si="318"/>
        <v>83</v>
      </c>
      <c r="F4210" s="47">
        <f>E4210+F4186</f>
        <v>1</v>
      </c>
    </row>
    <row r="4211" spans="1:6" x14ac:dyDescent="0.25">
      <c r="A4211" s="5" t="s">
        <v>32</v>
      </c>
      <c r="B4211" s="2">
        <v>44068</v>
      </c>
      <c r="C4211" s="1">
        <v>215</v>
      </c>
      <c r="D4211" s="47">
        <f t="shared" si="318"/>
        <v>6838</v>
      </c>
      <c r="E4211" s="1">
        <v>10</v>
      </c>
      <c r="F4211" s="47">
        <f t="shared" si="315"/>
        <v>163</v>
      </c>
    </row>
    <row r="4212" spans="1:6" x14ac:dyDescent="0.25">
      <c r="A4212" s="5" t="s">
        <v>33</v>
      </c>
      <c r="B4212" s="2">
        <v>44068</v>
      </c>
      <c r="C4212" s="1">
        <v>1</v>
      </c>
      <c r="D4212" s="47">
        <f t="shared" si="318"/>
        <v>194</v>
      </c>
      <c r="E4212" s="1">
        <v>1</v>
      </c>
      <c r="F4212" s="47">
        <f t="shared" si="315"/>
        <v>2</v>
      </c>
    </row>
    <row r="4213" spans="1:6" x14ac:dyDescent="0.25">
      <c r="A4213" s="5" t="s">
        <v>21</v>
      </c>
      <c r="B4213" s="2">
        <v>44068</v>
      </c>
      <c r="C4213" s="1">
        <v>39</v>
      </c>
      <c r="D4213" s="47">
        <f t="shared" si="318"/>
        <v>1177</v>
      </c>
      <c r="E4213" s="1">
        <v>6</v>
      </c>
      <c r="F4213" s="47">
        <f t="shared" si="315"/>
        <v>27</v>
      </c>
    </row>
    <row r="4214" spans="1:6" x14ac:dyDescent="0.25">
      <c r="A4214" s="5" t="s">
        <v>17</v>
      </c>
      <c r="B4214" s="2">
        <v>44068</v>
      </c>
      <c r="C4214" s="1">
        <v>264</v>
      </c>
      <c r="D4214" s="47">
        <f t="shared" si="318"/>
        <v>5073</v>
      </c>
      <c r="E4214" s="1">
        <f>3+1</f>
        <v>4</v>
      </c>
      <c r="F4214" s="47">
        <f t="shared" si="315"/>
        <v>62</v>
      </c>
    </row>
    <row r="4215" spans="1:6" x14ac:dyDescent="0.25">
      <c r="A4215" s="5" t="s">
        <v>23</v>
      </c>
      <c r="B4215" s="2">
        <v>44068</v>
      </c>
      <c r="C4215" s="1">
        <v>1</v>
      </c>
      <c r="D4215" s="47">
        <f t="shared" si="318"/>
        <v>59</v>
      </c>
      <c r="F4215" s="47">
        <f t="shared" si="315"/>
        <v>2</v>
      </c>
    </row>
    <row r="4216" spans="1:6" x14ac:dyDescent="0.25">
      <c r="A4216" s="5" t="s">
        <v>19</v>
      </c>
      <c r="B4216" s="2">
        <v>44068</v>
      </c>
      <c r="C4216" s="1">
        <v>122</v>
      </c>
      <c r="D4216" s="47">
        <f>C4216+D4192</f>
        <v>2415</v>
      </c>
      <c r="E4216" s="1">
        <f>1</f>
        <v>1</v>
      </c>
      <c r="F4216" s="47">
        <f t="shared" si="315"/>
        <v>14</v>
      </c>
    </row>
    <row r="4217" spans="1:6" x14ac:dyDescent="0.25">
      <c r="A4217" s="5" t="s">
        <v>18</v>
      </c>
      <c r="B4217" s="2">
        <v>44068</v>
      </c>
      <c r="C4217" s="1">
        <v>174</v>
      </c>
      <c r="D4217" s="47">
        <f>C4217+D4193</f>
        <v>4938</v>
      </c>
      <c r="E4217" s="1">
        <f>1+2+1</f>
        <v>4</v>
      </c>
      <c r="F4217" s="47">
        <f t="shared" si="315"/>
        <v>56</v>
      </c>
    </row>
    <row r="4218" spans="1:6" x14ac:dyDescent="0.25">
      <c r="A4218" s="5" t="s">
        <v>34</v>
      </c>
      <c r="B4218" s="2">
        <v>44068</v>
      </c>
      <c r="C4218" s="1">
        <v>177</v>
      </c>
      <c r="D4218" s="47">
        <f>C4218+D4194</f>
        <v>2109</v>
      </c>
      <c r="E4218" s="1">
        <f>2</f>
        <v>2</v>
      </c>
      <c r="F4218" s="47">
        <f>E4218+F4194</f>
        <v>32</v>
      </c>
    </row>
    <row r="4219" spans="1:6" x14ac:dyDescent="0.25">
      <c r="A4219" s="5" t="s">
        <v>35</v>
      </c>
      <c r="B4219" s="2">
        <v>44068</v>
      </c>
      <c r="C4219" s="1">
        <v>14</v>
      </c>
      <c r="D4219" s="47">
        <f t="shared" ref="D4219:D4225" si="319">C4219+D4195</f>
        <v>110</v>
      </c>
      <c r="F4219" s="47">
        <f>E4219+F4195</f>
        <v>0</v>
      </c>
    </row>
    <row r="4220" spans="1:6" x14ac:dyDescent="0.25">
      <c r="A4220" s="5" t="s">
        <v>36</v>
      </c>
      <c r="B4220" s="2">
        <v>44068</v>
      </c>
      <c r="C4220" s="1">
        <v>-1</v>
      </c>
      <c r="D4220" s="47">
        <f t="shared" si="319"/>
        <v>40</v>
      </c>
      <c r="F4220" s="47">
        <f>E4220+F4196</f>
        <v>0</v>
      </c>
    </row>
    <row r="4221" spans="1:6" x14ac:dyDescent="0.25">
      <c r="A4221" s="5" t="s">
        <v>37</v>
      </c>
      <c r="B4221" s="2">
        <v>44068</v>
      </c>
      <c r="C4221" s="1">
        <v>38</v>
      </c>
      <c r="D4221" s="47">
        <f t="shared" si="319"/>
        <v>1416</v>
      </c>
      <c r="F4221" s="47">
        <f t="shared" ref="F4221:F4226" si="320">E4221+F4197</f>
        <v>11</v>
      </c>
    </row>
    <row r="4222" spans="1:6" x14ac:dyDescent="0.25">
      <c r="A4222" s="5" t="s">
        <v>22</v>
      </c>
      <c r="B4222" s="2">
        <v>44068</v>
      </c>
      <c r="C4222" s="1">
        <v>356</v>
      </c>
      <c r="D4222" s="47">
        <f t="shared" si="319"/>
        <v>5382</v>
      </c>
      <c r="E4222" s="1">
        <f>2+3</f>
        <v>5</v>
      </c>
      <c r="F4222" s="47">
        <f t="shared" si="320"/>
        <v>64</v>
      </c>
    </row>
    <row r="4223" spans="1:6" x14ac:dyDescent="0.25">
      <c r="A4223" s="5" t="s">
        <v>38</v>
      </c>
      <c r="B4223" s="2">
        <v>44068</v>
      </c>
      <c r="C4223" s="1">
        <v>71</v>
      </c>
      <c r="D4223" s="47">
        <f t="shared" si="319"/>
        <v>654</v>
      </c>
      <c r="E4223" s="1">
        <f>1+1</f>
        <v>2</v>
      </c>
      <c r="F4223" s="47">
        <f t="shared" si="320"/>
        <v>6</v>
      </c>
    </row>
    <row r="4224" spans="1:6" x14ac:dyDescent="0.25">
      <c r="A4224" s="5" t="s">
        <v>39</v>
      </c>
      <c r="B4224" s="2">
        <v>44068</v>
      </c>
      <c r="C4224" s="1">
        <v>51</v>
      </c>
      <c r="D4224" s="47">
        <f t="shared" si="319"/>
        <v>1803</v>
      </c>
      <c r="E4224" s="1">
        <f>1</f>
        <v>1</v>
      </c>
      <c r="F4224" s="47">
        <f t="shared" si="320"/>
        <v>22</v>
      </c>
    </row>
    <row r="4225" spans="1:6" x14ac:dyDescent="0.25">
      <c r="A4225" s="5" t="s">
        <v>40</v>
      </c>
      <c r="B4225" s="2">
        <v>44068</v>
      </c>
      <c r="C4225" s="1">
        <v>113</v>
      </c>
      <c r="D4225" s="47">
        <f t="shared" si="319"/>
        <v>1281</v>
      </c>
      <c r="E4225" s="1">
        <f>1</f>
        <v>1</v>
      </c>
      <c r="F4225" s="47">
        <f t="shared" si="320"/>
        <v>7</v>
      </c>
    </row>
    <row r="4226" spans="1:6" x14ac:dyDescent="0.25">
      <c r="A4226" s="34" t="s">
        <v>16</v>
      </c>
      <c r="B4226" s="2">
        <v>44069</v>
      </c>
      <c r="C4226" s="1">
        <v>6628</v>
      </c>
      <c r="D4226" s="47">
        <f>C4226+D4202</f>
        <v>230332</v>
      </c>
      <c r="E4226" s="1">
        <f>41+27+77+42</f>
        <v>187</v>
      </c>
      <c r="F4226" s="47">
        <f t="shared" si="320"/>
        <v>4670</v>
      </c>
    </row>
    <row r="4227" spans="1:6" x14ac:dyDescent="0.25">
      <c r="A4227" s="5" t="s">
        <v>43</v>
      </c>
      <c r="B4227" s="2">
        <v>44069</v>
      </c>
      <c r="C4227" s="1">
        <v>1568</v>
      </c>
      <c r="D4227" s="47">
        <f t="shared" ref="D4227:D4239" si="321">C4227+D4203</f>
        <v>89137</v>
      </c>
      <c r="E4227" s="1">
        <f>1+6+15+18</f>
        <v>40</v>
      </c>
      <c r="F4227" s="47">
        <f t="shared" ref="F4227:F4265" si="322">E4227+F4203</f>
        <v>2072</v>
      </c>
    </row>
    <row r="4228" spans="1:6" x14ac:dyDescent="0.25">
      <c r="A4228" s="5" t="s">
        <v>28</v>
      </c>
      <c r="B4228" s="2">
        <v>44069</v>
      </c>
      <c r="C4228" s="1">
        <v>-1</v>
      </c>
      <c r="D4228" s="47">
        <f t="shared" si="321"/>
        <v>63</v>
      </c>
      <c r="F4228" s="47">
        <f t="shared" si="322"/>
        <v>0</v>
      </c>
    </row>
    <row r="4229" spans="1:6" x14ac:dyDescent="0.25">
      <c r="A4229" s="5" t="s">
        <v>15</v>
      </c>
      <c r="B4229" s="2">
        <v>44069</v>
      </c>
      <c r="C4229" s="1">
        <v>74</v>
      </c>
      <c r="D4229" s="47">
        <f t="shared" si="321"/>
        <v>5041</v>
      </c>
      <c r="E4229" s="1">
        <f>1+2+1</f>
        <v>4</v>
      </c>
      <c r="F4229" s="47">
        <f t="shared" si="322"/>
        <v>202</v>
      </c>
    </row>
    <row r="4230" spans="1:6" x14ac:dyDescent="0.25">
      <c r="A4230" s="5" t="s">
        <v>29</v>
      </c>
      <c r="B4230" s="2">
        <v>44069</v>
      </c>
      <c r="C4230" s="1">
        <v>69</v>
      </c>
      <c r="D4230" s="47">
        <f t="shared" si="321"/>
        <v>650</v>
      </c>
      <c r="F4230" s="47">
        <f t="shared" si="322"/>
        <v>7</v>
      </c>
    </row>
    <row r="4231" spans="1:6" x14ac:dyDescent="0.25">
      <c r="A4231" s="5" t="s">
        <v>20</v>
      </c>
      <c r="B4231" s="2">
        <v>44069</v>
      </c>
      <c r="C4231" s="1">
        <v>355</v>
      </c>
      <c r="D4231" s="47">
        <f t="shared" si="321"/>
        <v>6767</v>
      </c>
      <c r="E4231" s="1">
        <f>4</f>
        <v>4</v>
      </c>
      <c r="F4231" s="47">
        <f t="shared" si="322"/>
        <v>108</v>
      </c>
    </row>
    <row r="4232" spans="1:6" x14ac:dyDescent="0.25">
      <c r="A4232" s="5" t="s">
        <v>30</v>
      </c>
      <c r="B4232" s="2">
        <v>44069</v>
      </c>
      <c r="C4232" s="1">
        <v>12</v>
      </c>
      <c r="D4232" s="47">
        <f t="shared" si="321"/>
        <v>272</v>
      </c>
      <c r="F4232" s="47">
        <f t="shared" si="322"/>
        <v>5</v>
      </c>
    </row>
    <row r="4233" spans="1:6" x14ac:dyDescent="0.25">
      <c r="A4233" s="5" t="s">
        <v>31</v>
      </c>
      <c r="B4233" s="2">
        <v>44069</v>
      </c>
      <c r="C4233" s="1">
        <v>112</v>
      </c>
      <c r="D4233" s="47">
        <f t="shared" si="321"/>
        <v>2621</v>
      </c>
      <c r="E4233" s="1">
        <f>1</f>
        <v>1</v>
      </c>
      <c r="F4233" s="47">
        <f t="shared" si="322"/>
        <v>33</v>
      </c>
    </row>
    <row r="4234" spans="1:6" x14ac:dyDescent="0.25">
      <c r="A4234" s="5" t="s">
        <v>41</v>
      </c>
      <c r="B4234" s="2">
        <v>44069</v>
      </c>
      <c r="C4234" s="1">
        <v>-1</v>
      </c>
      <c r="D4234" s="47">
        <f t="shared" si="321"/>
        <v>82</v>
      </c>
      <c r="F4234" s="47">
        <f>E4234+F4210</f>
        <v>1</v>
      </c>
    </row>
    <row r="4235" spans="1:6" x14ac:dyDescent="0.25">
      <c r="A4235" s="5" t="s">
        <v>32</v>
      </c>
      <c r="B4235" s="2">
        <v>44069</v>
      </c>
      <c r="C4235" s="1">
        <v>236</v>
      </c>
      <c r="D4235" s="47">
        <f t="shared" si="321"/>
        <v>7074</v>
      </c>
      <c r="E4235" s="1">
        <f>9+4</f>
        <v>13</v>
      </c>
      <c r="F4235" s="47">
        <f t="shared" si="322"/>
        <v>176</v>
      </c>
    </row>
    <row r="4236" spans="1:6" x14ac:dyDescent="0.25">
      <c r="A4236" s="5" t="s">
        <v>33</v>
      </c>
      <c r="B4236" s="2">
        <v>44069</v>
      </c>
      <c r="C4236" s="1">
        <v>1</v>
      </c>
      <c r="D4236" s="47">
        <f t="shared" si="321"/>
        <v>195</v>
      </c>
      <c r="F4236" s="47">
        <f t="shared" si="322"/>
        <v>2</v>
      </c>
    </row>
    <row r="4237" spans="1:6" x14ac:dyDescent="0.25">
      <c r="A4237" s="5" t="s">
        <v>21</v>
      </c>
      <c r="B4237" s="2">
        <v>44069</v>
      </c>
      <c r="C4237" s="1">
        <v>37</v>
      </c>
      <c r="D4237" s="47">
        <f t="shared" si="321"/>
        <v>1214</v>
      </c>
      <c r="E4237" s="1">
        <f>1</f>
        <v>1</v>
      </c>
      <c r="F4237" s="47">
        <f t="shared" si="322"/>
        <v>28</v>
      </c>
    </row>
    <row r="4238" spans="1:6" x14ac:dyDescent="0.25">
      <c r="A4238" s="5" t="s">
        <v>17</v>
      </c>
      <c r="B4238" s="2">
        <v>44069</v>
      </c>
      <c r="C4238" s="1">
        <v>276</v>
      </c>
      <c r="D4238" s="47">
        <f t="shared" si="321"/>
        <v>5349</v>
      </c>
      <c r="E4238" s="1">
        <f>3+1</f>
        <v>4</v>
      </c>
      <c r="F4238" s="47">
        <f t="shared" si="322"/>
        <v>66</v>
      </c>
    </row>
    <row r="4239" spans="1:6" x14ac:dyDescent="0.25">
      <c r="A4239" s="5" t="s">
        <v>23</v>
      </c>
      <c r="B4239" s="2">
        <v>44069</v>
      </c>
      <c r="C4239" s="1">
        <v>0</v>
      </c>
      <c r="D4239" s="47">
        <f t="shared" si="321"/>
        <v>59</v>
      </c>
      <c r="F4239" s="47">
        <f t="shared" si="322"/>
        <v>2</v>
      </c>
    </row>
    <row r="4240" spans="1:6" x14ac:dyDescent="0.25">
      <c r="A4240" s="5" t="s">
        <v>19</v>
      </c>
      <c r="B4240" s="2">
        <v>44069</v>
      </c>
      <c r="C4240" s="1">
        <v>132</v>
      </c>
      <c r="D4240" s="47">
        <f>C4240+D4216</f>
        <v>2547</v>
      </c>
      <c r="F4240" s="47">
        <f t="shared" si="322"/>
        <v>14</v>
      </c>
    </row>
    <row r="4241" spans="1:6" x14ac:dyDescent="0.25">
      <c r="A4241" s="5" t="s">
        <v>18</v>
      </c>
      <c r="B4241" s="2">
        <v>44069</v>
      </c>
      <c r="C4241" s="1">
        <v>235</v>
      </c>
      <c r="D4241" s="47">
        <f>C4241+D4217</f>
        <v>5173</v>
      </c>
      <c r="E4241" s="1">
        <f>3+1+2+5</f>
        <v>11</v>
      </c>
      <c r="F4241" s="47">
        <f t="shared" si="322"/>
        <v>67</v>
      </c>
    </row>
    <row r="4242" spans="1:6" x14ac:dyDescent="0.25">
      <c r="A4242" s="5" t="s">
        <v>34</v>
      </c>
      <c r="B4242" s="2">
        <v>44069</v>
      </c>
      <c r="C4242" s="1">
        <v>176</v>
      </c>
      <c r="D4242" s="47">
        <f>C4242+D4218</f>
        <v>2285</v>
      </c>
      <c r="E4242" s="1">
        <f>4+1</f>
        <v>5</v>
      </c>
      <c r="F4242" s="47">
        <f>E4242+F4218</f>
        <v>37</v>
      </c>
    </row>
    <row r="4243" spans="1:6" x14ac:dyDescent="0.25">
      <c r="A4243" s="5" t="s">
        <v>35</v>
      </c>
      <c r="B4243" s="2">
        <v>44069</v>
      </c>
      <c r="C4243" s="1">
        <v>36</v>
      </c>
      <c r="D4243" s="47">
        <f t="shared" ref="D4243:D4249" si="323">C4243+D4219</f>
        <v>146</v>
      </c>
      <c r="F4243" s="47">
        <f>E4243+F4219</f>
        <v>0</v>
      </c>
    </row>
    <row r="4244" spans="1:6" x14ac:dyDescent="0.25">
      <c r="A4244" s="5" t="s">
        <v>36</v>
      </c>
      <c r="B4244" s="2">
        <v>44069</v>
      </c>
      <c r="C4244" s="1">
        <v>4</v>
      </c>
      <c r="D4244" s="47">
        <f t="shared" si="323"/>
        <v>44</v>
      </c>
      <c r="F4244" s="47">
        <f t="shared" si="322"/>
        <v>0</v>
      </c>
    </row>
    <row r="4245" spans="1:6" x14ac:dyDescent="0.25">
      <c r="A4245" s="5" t="s">
        <v>37</v>
      </c>
      <c r="B4245" s="2">
        <v>44069</v>
      </c>
      <c r="C4245" s="1">
        <v>63</v>
      </c>
      <c r="D4245" s="47">
        <f t="shared" si="323"/>
        <v>1479</v>
      </c>
      <c r="F4245" s="47">
        <f t="shared" ref="F4245:F4250" si="324">E4245+F4221</f>
        <v>11</v>
      </c>
    </row>
    <row r="4246" spans="1:6" x14ac:dyDescent="0.25">
      <c r="A4246" s="5" t="s">
        <v>22</v>
      </c>
      <c r="B4246" s="2">
        <v>44069</v>
      </c>
      <c r="C4246" s="1">
        <v>381</v>
      </c>
      <c r="D4246" s="47">
        <f t="shared" si="323"/>
        <v>5763</v>
      </c>
      <c r="E4246" s="1">
        <f>2+2</f>
        <v>4</v>
      </c>
      <c r="F4246" s="47">
        <f t="shared" si="324"/>
        <v>68</v>
      </c>
    </row>
    <row r="4247" spans="1:6" x14ac:dyDescent="0.25">
      <c r="A4247" s="5" t="s">
        <v>38</v>
      </c>
      <c r="B4247" s="2">
        <v>44069</v>
      </c>
      <c r="C4247" s="1">
        <v>38</v>
      </c>
      <c r="D4247" s="47">
        <f t="shared" si="323"/>
        <v>692</v>
      </c>
      <c r="F4247" s="47">
        <f t="shared" si="324"/>
        <v>6</v>
      </c>
    </row>
    <row r="4248" spans="1:6" x14ac:dyDescent="0.25">
      <c r="A4248" s="5" t="s">
        <v>39</v>
      </c>
      <c r="B4248" s="2">
        <v>44069</v>
      </c>
      <c r="C4248" s="1">
        <v>51</v>
      </c>
      <c r="D4248" s="47">
        <f t="shared" si="323"/>
        <v>1854</v>
      </c>
      <c r="E4248" s="1">
        <f>1+1</f>
        <v>2</v>
      </c>
      <c r="F4248" s="47">
        <f t="shared" si="324"/>
        <v>24</v>
      </c>
    </row>
    <row r="4249" spans="1:6" x14ac:dyDescent="0.25">
      <c r="A4249" s="5" t="s">
        <v>40</v>
      </c>
      <c r="B4249" s="2">
        <v>44069</v>
      </c>
      <c r="C4249" s="1">
        <v>68</v>
      </c>
      <c r="D4249" s="47">
        <f t="shared" si="323"/>
        <v>1349</v>
      </c>
      <c r="F4249" s="47">
        <f t="shared" si="324"/>
        <v>7</v>
      </c>
    </row>
    <row r="4250" spans="1:6" x14ac:dyDescent="0.25">
      <c r="A4250" s="34" t="s">
        <v>16</v>
      </c>
      <c r="B4250" s="2">
        <v>44070</v>
      </c>
      <c r="C4250" s="1">
        <v>6402</v>
      </c>
      <c r="D4250" s="47">
        <f>C4250+D4226</f>
        <v>236734</v>
      </c>
      <c r="E4250" s="1">
        <v>141</v>
      </c>
      <c r="F4250" s="47">
        <f t="shared" si="324"/>
        <v>4811</v>
      </c>
    </row>
    <row r="4251" spans="1:6" x14ac:dyDescent="0.25">
      <c r="A4251" s="5" t="s">
        <v>43</v>
      </c>
      <c r="B4251" s="2">
        <v>44070</v>
      </c>
      <c r="C4251" s="1">
        <v>1220</v>
      </c>
      <c r="D4251" s="47">
        <f t="shared" ref="D4251:D4263" si="325">C4251+D4227</f>
        <v>90357</v>
      </c>
      <c r="E4251" s="1">
        <v>35</v>
      </c>
      <c r="F4251" s="47">
        <f t="shared" si="322"/>
        <v>2107</v>
      </c>
    </row>
    <row r="4252" spans="1:6" x14ac:dyDescent="0.25">
      <c r="A4252" s="5" t="s">
        <v>28</v>
      </c>
      <c r="B4252" s="2">
        <v>44070</v>
      </c>
      <c r="C4252" s="1">
        <v>1</v>
      </c>
      <c r="D4252" s="47">
        <f t="shared" si="325"/>
        <v>64</v>
      </c>
      <c r="F4252" s="47">
        <f t="shared" si="322"/>
        <v>0</v>
      </c>
    </row>
    <row r="4253" spans="1:6" x14ac:dyDescent="0.25">
      <c r="A4253" s="5" t="s">
        <v>15</v>
      </c>
      <c r="B4253" s="2">
        <v>44070</v>
      </c>
      <c r="C4253" s="1">
        <v>63</v>
      </c>
      <c r="D4253" s="47">
        <f t="shared" si="325"/>
        <v>5104</v>
      </c>
      <c r="E4253" s="1">
        <f>1</f>
        <v>1</v>
      </c>
      <c r="F4253" s="47">
        <f t="shared" si="322"/>
        <v>203</v>
      </c>
    </row>
    <row r="4254" spans="1:6" x14ac:dyDescent="0.25">
      <c r="A4254" s="5" t="s">
        <v>29</v>
      </c>
      <c r="B4254" s="2">
        <v>44070</v>
      </c>
      <c r="C4254" s="1">
        <v>49</v>
      </c>
      <c r="D4254" s="47">
        <f t="shared" si="325"/>
        <v>699</v>
      </c>
      <c r="F4254" s="47">
        <f t="shared" si="322"/>
        <v>7</v>
      </c>
    </row>
    <row r="4255" spans="1:6" x14ac:dyDescent="0.25">
      <c r="A4255" s="5" t="s">
        <v>20</v>
      </c>
      <c r="B4255" s="2">
        <v>44070</v>
      </c>
      <c r="C4255" s="1">
        <v>363</v>
      </c>
      <c r="D4255" s="47">
        <f t="shared" si="325"/>
        <v>7130</v>
      </c>
      <c r="E4255" s="1">
        <v>1</v>
      </c>
      <c r="F4255" s="47">
        <f t="shared" si="322"/>
        <v>109</v>
      </c>
    </row>
    <row r="4256" spans="1:6" x14ac:dyDescent="0.25">
      <c r="A4256" s="5" t="s">
        <v>30</v>
      </c>
      <c r="B4256" s="2">
        <v>44070</v>
      </c>
      <c r="C4256" s="1">
        <v>6</v>
      </c>
      <c r="D4256" s="47">
        <f t="shared" si="325"/>
        <v>278</v>
      </c>
      <c r="F4256" s="47">
        <f t="shared" si="322"/>
        <v>5</v>
      </c>
    </row>
    <row r="4257" spans="1:6" x14ac:dyDescent="0.25">
      <c r="A4257" s="5" t="s">
        <v>31</v>
      </c>
      <c r="B4257" s="2">
        <v>44070</v>
      </c>
      <c r="C4257" s="1">
        <v>160</v>
      </c>
      <c r="D4257" s="47">
        <f t="shared" si="325"/>
        <v>2781</v>
      </c>
      <c r="E4257" s="1">
        <f>1</f>
        <v>1</v>
      </c>
      <c r="F4257" s="47">
        <f t="shared" si="322"/>
        <v>34</v>
      </c>
    </row>
    <row r="4258" spans="1:6" x14ac:dyDescent="0.25">
      <c r="A4258" s="5" t="s">
        <v>41</v>
      </c>
      <c r="B4258" s="2">
        <v>44070</v>
      </c>
      <c r="C4258" s="1">
        <v>0</v>
      </c>
      <c r="D4258" s="47">
        <f t="shared" si="325"/>
        <v>82</v>
      </c>
      <c r="F4258" s="47">
        <f>E4258+F4234</f>
        <v>1</v>
      </c>
    </row>
    <row r="4259" spans="1:6" x14ac:dyDescent="0.25">
      <c r="A4259" s="5" t="s">
        <v>32</v>
      </c>
      <c r="B4259" s="2">
        <v>44070</v>
      </c>
      <c r="C4259" s="1">
        <v>200</v>
      </c>
      <c r="D4259" s="47">
        <f t="shared" si="325"/>
        <v>7274</v>
      </c>
      <c r="E4259" s="1">
        <f>4+2+3</f>
        <v>9</v>
      </c>
      <c r="F4259" s="47">
        <f t="shared" si="322"/>
        <v>185</v>
      </c>
    </row>
    <row r="4260" spans="1:6" x14ac:dyDescent="0.25">
      <c r="A4260" s="5" t="s">
        <v>33</v>
      </c>
      <c r="B4260" s="2">
        <v>44070</v>
      </c>
      <c r="C4260" s="1">
        <v>-1</v>
      </c>
      <c r="D4260" s="47">
        <f t="shared" si="325"/>
        <v>194</v>
      </c>
      <c r="F4260" s="47">
        <f t="shared" si="322"/>
        <v>2</v>
      </c>
    </row>
    <row r="4261" spans="1:6" x14ac:dyDescent="0.25">
      <c r="A4261" s="5" t="s">
        <v>21</v>
      </c>
      <c r="B4261" s="2">
        <v>44070</v>
      </c>
      <c r="C4261" s="1">
        <v>58</v>
      </c>
      <c r="D4261" s="47">
        <f t="shared" si="325"/>
        <v>1272</v>
      </c>
      <c r="E4261" s="1">
        <v>3</v>
      </c>
      <c r="F4261" s="47">
        <f t="shared" si="322"/>
        <v>31</v>
      </c>
    </row>
    <row r="4262" spans="1:6" x14ac:dyDescent="0.25">
      <c r="A4262" s="5" t="s">
        <v>17</v>
      </c>
      <c r="B4262" s="2">
        <v>44070</v>
      </c>
      <c r="C4262" s="1">
        <v>252</v>
      </c>
      <c r="D4262" s="47">
        <f t="shared" si="325"/>
        <v>5601</v>
      </c>
      <c r="E4262" s="1">
        <f>2</f>
        <v>2</v>
      </c>
      <c r="F4262" s="47">
        <f t="shared" si="322"/>
        <v>68</v>
      </c>
    </row>
    <row r="4263" spans="1:6" x14ac:dyDescent="0.25">
      <c r="A4263" s="5" t="s">
        <v>23</v>
      </c>
      <c r="B4263" s="2">
        <v>44070</v>
      </c>
      <c r="C4263" s="1">
        <v>-1</v>
      </c>
      <c r="D4263" s="47">
        <f t="shared" si="325"/>
        <v>58</v>
      </c>
      <c r="F4263" s="47">
        <f t="shared" si="322"/>
        <v>2</v>
      </c>
    </row>
    <row r="4264" spans="1:6" x14ac:dyDescent="0.25">
      <c r="A4264" s="5" t="s">
        <v>19</v>
      </c>
      <c r="B4264" s="2">
        <v>44070</v>
      </c>
      <c r="C4264" s="1">
        <v>122</v>
      </c>
      <c r="D4264" s="47">
        <f>C4264+D4240</f>
        <v>2669</v>
      </c>
      <c r="E4264" s="1">
        <f>1+2</f>
        <v>3</v>
      </c>
      <c r="F4264" s="47">
        <f t="shared" si="322"/>
        <v>17</v>
      </c>
    </row>
    <row r="4265" spans="1:6" x14ac:dyDescent="0.25">
      <c r="A4265" s="5" t="s">
        <v>18</v>
      </c>
      <c r="B4265" s="2">
        <v>44070</v>
      </c>
      <c r="C4265" s="1">
        <v>268</v>
      </c>
      <c r="D4265" s="47">
        <f>C4265+D4241</f>
        <v>5441</v>
      </c>
      <c r="E4265" s="1">
        <f>1+1+2+4</f>
        <v>8</v>
      </c>
      <c r="F4265" s="47">
        <f t="shared" si="322"/>
        <v>75</v>
      </c>
    </row>
    <row r="4266" spans="1:6" x14ac:dyDescent="0.25">
      <c r="A4266" s="5" t="s">
        <v>34</v>
      </c>
      <c r="B4266" s="2">
        <v>44070</v>
      </c>
      <c r="C4266" s="1">
        <v>179</v>
      </c>
      <c r="D4266" s="47">
        <f>C4266+D4242</f>
        <v>2464</v>
      </c>
      <c r="E4266" s="1">
        <f>1</f>
        <v>1</v>
      </c>
      <c r="F4266" s="47">
        <f>E4266+F4242</f>
        <v>38</v>
      </c>
    </row>
    <row r="4267" spans="1:6" x14ac:dyDescent="0.25">
      <c r="A4267" s="5" t="s">
        <v>35</v>
      </c>
      <c r="B4267" s="2">
        <v>44070</v>
      </c>
      <c r="C4267" s="1">
        <v>36</v>
      </c>
      <c r="D4267" s="47">
        <f t="shared" ref="D4267:D4273" si="326">C4267+D4243</f>
        <v>182</v>
      </c>
      <c r="F4267" s="47">
        <f>E4267+F4243</f>
        <v>0</v>
      </c>
    </row>
    <row r="4268" spans="1:6" x14ac:dyDescent="0.25">
      <c r="A4268" s="5" t="s">
        <v>36</v>
      </c>
      <c r="B4268" s="2">
        <v>44070</v>
      </c>
      <c r="C4268" s="1">
        <v>7</v>
      </c>
      <c r="D4268" s="47">
        <f t="shared" si="326"/>
        <v>51</v>
      </c>
      <c r="F4268" s="47">
        <f>E4268+F4244</f>
        <v>0</v>
      </c>
    </row>
    <row r="4269" spans="1:6" x14ac:dyDescent="0.25">
      <c r="A4269" s="5" t="s">
        <v>37</v>
      </c>
      <c r="B4269" s="2">
        <v>44070</v>
      </c>
      <c r="C4269" s="1">
        <v>51</v>
      </c>
      <c r="D4269" s="47">
        <f t="shared" si="326"/>
        <v>1530</v>
      </c>
      <c r="F4269" s="47">
        <f t="shared" ref="F4269:F4274" si="327">E4269+F4245</f>
        <v>11</v>
      </c>
    </row>
    <row r="4270" spans="1:6" x14ac:dyDescent="0.25">
      <c r="A4270" s="5" t="s">
        <v>22</v>
      </c>
      <c r="B4270" s="2">
        <v>44070</v>
      </c>
      <c r="C4270" s="1">
        <v>471</v>
      </c>
      <c r="D4270" s="47">
        <f t="shared" si="326"/>
        <v>6234</v>
      </c>
      <c r="E4270" s="1">
        <f>3+1</f>
        <v>4</v>
      </c>
      <c r="F4270" s="47">
        <f t="shared" si="327"/>
        <v>72</v>
      </c>
    </row>
    <row r="4271" spans="1:6" x14ac:dyDescent="0.25">
      <c r="A4271" s="5" t="s">
        <v>38</v>
      </c>
      <c r="B4271" s="2">
        <v>44070</v>
      </c>
      <c r="C4271" s="1">
        <v>53</v>
      </c>
      <c r="D4271" s="47">
        <f t="shared" si="326"/>
        <v>745</v>
      </c>
      <c r="F4271" s="47">
        <f t="shared" si="327"/>
        <v>6</v>
      </c>
    </row>
    <row r="4272" spans="1:6" x14ac:dyDescent="0.25">
      <c r="A4272" s="5" t="s">
        <v>39</v>
      </c>
      <c r="B4272" s="2">
        <v>44070</v>
      </c>
      <c r="C4272" s="1">
        <v>25</v>
      </c>
      <c r="D4272" s="47">
        <f t="shared" si="326"/>
        <v>1879</v>
      </c>
      <c r="F4272" s="47">
        <f t="shared" si="327"/>
        <v>24</v>
      </c>
    </row>
    <row r="4273" spans="1:6" x14ac:dyDescent="0.25">
      <c r="A4273" s="5" t="s">
        <v>40</v>
      </c>
      <c r="B4273" s="2">
        <v>44070</v>
      </c>
      <c r="C4273" s="1">
        <v>120</v>
      </c>
      <c r="D4273" s="47">
        <f t="shared" si="326"/>
        <v>1469</v>
      </c>
      <c r="E4273" s="1">
        <f>1</f>
        <v>1</v>
      </c>
      <c r="F4273" s="47">
        <f t="shared" si="327"/>
        <v>8</v>
      </c>
    </row>
    <row r="4274" spans="1:6" x14ac:dyDescent="0.25">
      <c r="A4274" s="34" t="s">
        <v>16</v>
      </c>
      <c r="B4274" s="2">
        <v>44071</v>
      </c>
      <c r="C4274" s="1">
        <v>7486</v>
      </c>
      <c r="D4274" s="47">
        <f>C4274+D4250</f>
        <v>244220</v>
      </c>
      <c r="E4274" s="1">
        <f>26+24+54+39+1</f>
        <v>144</v>
      </c>
      <c r="F4274" s="47">
        <f t="shared" si="327"/>
        <v>4955</v>
      </c>
    </row>
    <row r="4275" spans="1:6" x14ac:dyDescent="0.25">
      <c r="A4275" s="5" t="s">
        <v>43</v>
      </c>
      <c r="B4275" s="2">
        <v>44071</v>
      </c>
      <c r="C4275" s="1">
        <v>1430</v>
      </c>
      <c r="D4275" s="47">
        <f t="shared" ref="D4275:D4287" si="328">C4275+D4251</f>
        <v>91787</v>
      </c>
      <c r="E4275" s="1">
        <f>8+5+14+7+1</f>
        <v>35</v>
      </c>
      <c r="F4275" s="47">
        <f t="shared" ref="F4275:F4313" si="329">E4275+F4251</f>
        <v>2142</v>
      </c>
    </row>
    <row r="4276" spans="1:6" x14ac:dyDescent="0.25">
      <c r="A4276" s="5" t="s">
        <v>28</v>
      </c>
      <c r="B4276" s="2">
        <v>44071</v>
      </c>
      <c r="C4276" s="1">
        <v>1</v>
      </c>
      <c r="D4276" s="47">
        <f t="shared" si="328"/>
        <v>65</v>
      </c>
      <c r="F4276" s="47">
        <f t="shared" si="329"/>
        <v>0</v>
      </c>
    </row>
    <row r="4277" spans="1:6" x14ac:dyDescent="0.25">
      <c r="A4277" s="5" t="s">
        <v>15</v>
      </c>
      <c r="B4277" s="2">
        <v>44071</v>
      </c>
      <c r="C4277" s="1">
        <v>79</v>
      </c>
      <c r="D4277" s="47">
        <f t="shared" si="328"/>
        <v>5183</v>
      </c>
      <c r="E4277" s="1">
        <f>2</f>
        <v>2</v>
      </c>
      <c r="F4277" s="47">
        <f t="shared" si="329"/>
        <v>205</v>
      </c>
    </row>
    <row r="4278" spans="1:6" x14ac:dyDescent="0.25">
      <c r="A4278" s="5" t="s">
        <v>29</v>
      </c>
      <c r="B4278" s="2">
        <v>44071</v>
      </c>
      <c r="C4278" s="1">
        <v>66</v>
      </c>
      <c r="D4278" s="47">
        <f t="shared" si="328"/>
        <v>765</v>
      </c>
      <c r="F4278" s="47">
        <f t="shared" si="329"/>
        <v>7</v>
      </c>
    </row>
    <row r="4279" spans="1:6" x14ac:dyDescent="0.25">
      <c r="A4279" s="5" t="s">
        <v>20</v>
      </c>
      <c r="B4279" s="2">
        <v>44071</v>
      </c>
      <c r="C4279" s="1">
        <v>375</v>
      </c>
      <c r="D4279" s="47">
        <f t="shared" si="328"/>
        <v>7505</v>
      </c>
      <c r="E4279" s="1">
        <f>2</f>
        <v>2</v>
      </c>
      <c r="F4279" s="47">
        <f t="shared" si="329"/>
        <v>111</v>
      </c>
    </row>
    <row r="4280" spans="1:6" x14ac:dyDescent="0.25">
      <c r="A4280" s="5" t="s">
        <v>30</v>
      </c>
      <c r="B4280" s="2">
        <v>44071</v>
      </c>
      <c r="C4280" s="1">
        <v>35</v>
      </c>
      <c r="D4280" s="47">
        <f t="shared" si="328"/>
        <v>313</v>
      </c>
      <c r="F4280" s="47">
        <f t="shared" si="329"/>
        <v>5</v>
      </c>
    </row>
    <row r="4281" spans="1:6" x14ac:dyDescent="0.25">
      <c r="A4281" s="5" t="s">
        <v>31</v>
      </c>
      <c r="B4281" s="2">
        <v>44071</v>
      </c>
      <c r="C4281" s="1">
        <v>155</v>
      </c>
      <c r="D4281" s="47">
        <f t="shared" si="328"/>
        <v>2936</v>
      </c>
      <c r="E4281" s="1">
        <f>1+3</f>
        <v>4</v>
      </c>
      <c r="F4281" s="47">
        <f t="shared" si="329"/>
        <v>38</v>
      </c>
    </row>
    <row r="4282" spans="1:6" x14ac:dyDescent="0.25">
      <c r="A4282" s="5" t="s">
        <v>41</v>
      </c>
      <c r="B4282" s="2">
        <v>44071</v>
      </c>
      <c r="C4282" s="1">
        <v>2</v>
      </c>
      <c r="D4282" s="47">
        <f t="shared" si="328"/>
        <v>84</v>
      </c>
      <c r="F4282" s="47">
        <f>E4282+F4258</f>
        <v>1</v>
      </c>
    </row>
    <row r="4283" spans="1:6" x14ac:dyDescent="0.25">
      <c r="A4283" s="5" t="s">
        <v>32</v>
      </c>
      <c r="B4283" s="2">
        <v>44071</v>
      </c>
      <c r="C4283" s="1">
        <v>347</v>
      </c>
      <c r="D4283" s="47">
        <f t="shared" si="328"/>
        <v>7621</v>
      </c>
      <c r="E4283" s="1">
        <f>3+3+2+3</f>
        <v>11</v>
      </c>
      <c r="F4283" s="47">
        <f t="shared" si="329"/>
        <v>196</v>
      </c>
    </row>
    <row r="4284" spans="1:6" x14ac:dyDescent="0.25">
      <c r="A4284" s="5" t="s">
        <v>33</v>
      </c>
      <c r="B4284" s="2">
        <v>44071</v>
      </c>
      <c r="C4284" s="1">
        <v>0</v>
      </c>
      <c r="D4284" s="47">
        <f t="shared" si="328"/>
        <v>194</v>
      </c>
      <c r="F4284" s="47">
        <f t="shared" si="329"/>
        <v>2</v>
      </c>
    </row>
    <row r="4285" spans="1:6" x14ac:dyDescent="0.25">
      <c r="A4285" s="5" t="s">
        <v>21</v>
      </c>
      <c r="B4285" s="2">
        <v>44071</v>
      </c>
      <c r="C4285" s="1">
        <v>60</v>
      </c>
      <c r="D4285" s="47">
        <f t="shared" si="328"/>
        <v>1332</v>
      </c>
      <c r="F4285" s="47">
        <f t="shared" si="329"/>
        <v>31</v>
      </c>
    </row>
    <row r="4286" spans="1:6" x14ac:dyDescent="0.25">
      <c r="A4286" s="5" t="s">
        <v>17</v>
      </c>
      <c r="B4286" s="2">
        <v>44071</v>
      </c>
      <c r="C4286" s="1">
        <v>342</v>
      </c>
      <c r="D4286" s="47">
        <f t="shared" si="328"/>
        <v>5943</v>
      </c>
      <c r="E4286" s="1">
        <f>2+1</f>
        <v>3</v>
      </c>
      <c r="F4286" s="47">
        <f t="shared" si="329"/>
        <v>71</v>
      </c>
    </row>
    <row r="4287" spans="1:6" x14ac:dyDescent="0.25">
      <c r="A4287" s="5" t="s">
        <v>23</v>
      </c>
      <c r="B4287" s="2">
        <v>44071</v>
      </c>
      <c r="C4287" s="1">
        <v>1</v>
      </c>
      <c r="D4287" s="47">
        <f t="shared" si="328"/>
        <v>59</v>
      </c>
      <c r="F4287" s="47">
        <f t="shared" si="329"/>
        <v>2</v>
      </c>
    </row>
    <row r="4288" spans="1:6" x14ac:dyDescent="0.25">
      <c r="A4288" s="5" t="s">
        <v>19</v>
      </c>
      <c r="B4288" s="2">
        <v>44071</v>
      </c>
      <c r="C4288" s="1">
        <v>99</v>
      </c>
      <c r="D4288" s="47">
        <f>C4288+D4264</f>
        <v>2768</v>
      </c>
      <c r="E4288" s="1">
        <f>3</f>
        <v>3</v>
      </c>
      <c r="F4288" s="47">
        <f t="shared" si="329"/>
        <v>20</v>
      </c>
    </row>
    <row r="4289" spans="1:6" x14ac:dyDescent="0.25">
      <c r="A4289" s="5" t="s">
        <v>18</v>
      </c>
      <c r="B4289" s="2">
        <v>44071</v>
      </c>
      <c r="C4289" s="1">
        <v>150</v>
      </c>
      <c r="D4289" s="47">
        <f>C4289+D4265</f>
        <v>5591</v>
      </c>
      <c r="E4289" s="1">
        <f>1+2+1</f>
        <v>4</v>
      </c>
      <c r="F4289" s="47">
        <f t="shared" si="329"/>
        <v>79</v>
      </c>
    </row>
    <row r="4290" spans="1:6" x14ac:dyDescent="0.25">
      <c r="A4290" s="5" t="s">
        <v>34</v>
      </c>
      <c r="B4290" s="2">
        <v>44071</v>
      </c>
      <c r="C4290" s="1">
        <v>265</v>
      </c>
      <c r="D4290" s="47">
        <f>C4290+D4266</f>
        <v>2729</v>
      </c>
      <c r="E4290" s="1">
        <f>1</f>
        <v>1</v>
      </c>
      <c r="F4290" s="47">
        <f>E4290+F4266</f>
        <v>39</v>
      </c>
    </row>
    <row r="4291" spans="1:6" x14ac:dyDescent="0.25">
      <c r="A4291" s="5" t="s">
        <v>35</v>
      </c>
      <c r="B4291" s="2">
        <v>44071</v>
      </c>
      <c r="C4291" s="1">
        <v>11</v>
      </c>
      <c r="D4291" s="47">
        <f t="shared" ref="D4291:D4297" si="330">C4291+D4267</f>
        <v>193</v>
      </c>
      <c r="F4291" s="47">
        <f>E4291+F4267</f>
        <v>0</v>
      </c>
    </row>
    <row r="4292" spans="1:6" x14ac:dyDescent="0.25">
      <c r="A4292" s="5" t="s">
        <v>36</v>
      </c>
      <c r="B4292" s="2">
        <v>44071</v>
      </c>
      <c r="C4292" s="1">
        <v>10</v>
      </c>
      <c r="D4292" s="47">
        <f t="shared" si="330"/>
        <v>61</v>
      </c>
      <c r="F4292" s="47">
        <f t="shared" si="329"/>
        <v>0</v>
      </c>
    </row>
    <row r="4293" spans="1:6" x14ac:dyDescent="0.25">
      <c r="A4293" s="5" t="s">
        <v>37</v>
      </c>
      <c r="B4293" s="2">
        <v>44071</v>
      </c>
      <c r="C4293" s="1">
        <v>88</v>
      </c>
      <c r="D4293" s="47">
        <f t="shared" si="330"/>
        <v>1618</v>
      </c>
      <c r="E4293" s="1">
        <f>2</f>
        <v>2</v>
      </c>
      <c r="F4293" s="47">
        <f t="shared" ref="F4293:F4298" si="331">E4293+F4269</f>
        <v>13</v>
      </c>
    </row>
    <row r="4294" spans="1:6" x14ac:dyDescent="0.25">
      <c r="A4294" s="5" t="s">
        <v>22</v>
      </c>
      <c r="B4294" s="2">
        <v>44071</v>
      </c>
      <c r="C4294" s="1">
        <v>507</v>
      </c>
      <c r="D4294" s="47">
        <f t="shared" si="330"/>
        <v>6741</v>
      </c>
      <c r="E4294" s="1">
        <f>2+2</f>
        <v>4</v>
      </c>
      <c r="F4294" s="47">
        <f t="shared" si="331"/>
        <v>76</v>
      </c>
    </row>
    <row r="4295" spans="1:6" x14ac:dyDescent="0.25">
      <c r="A4295" s="5" t="s">
        <v>38</v>
      </c>
      <c r="B4295" s="2">
        <v>44071</v>
      </c>
      <c r="C4295" s="1">
        <v>44</v>
      </c>
      <c r="D4295" s="47">
        <f t="shared" si="330"/>
        <v>789</v>
      </c>
      <c r="F4295" s="47">
        <f t="shared" si="331"/>
        <v>6</v>
      </c>
    </row>
    <row r="4296" spans="1:6" x14ac:dyDescent="0.25">
      <c r="A4296" s="5" t="s">
        <v>39</v>
      </c>
      <c r="B4296" s="2">
        <v>44071</v>
      </c>
      <c r="C4296" s="1">
        <v>29</v>
      </c>
      <c r="D4296" s="47">
        <f t="shared" si="330"/>
        <v>1908</v>
      </c>
      <c r="E4296" s="1">
        <f>1+1</f>
        <v>2</v>
      </c>
      <c r="F4296" s="47">
        <f t="shared" si="331"/>
        <v>26</v>
      </c>
    </row>
    <row r="4297" spans="1:6" x14ac:dyDescent="0.25">
      <c r="A4297" s="5" t="s">
        <v>40</v>
      </c>
      <c r="B4297" s="2">
        <v>44071</v>
      </c>
      <c r="C4297" s="1">
        <v>135</v>
      </c>
      <c r="D4297" s="47">
        <f t="shared" si="330"/>
        <v>1604</v>
      </c>
      <c r="E4297" s="1">
        <f>4+1</f>
        <v>5</v>
      </c>
      <c r="F4297" s="47">
        <f t="shared" si="331"/>
        <v>13</v>
      </c>
    </row>
    <row r="4298" spans="1:6" x14ac:dyDescent="0.25">
      <c r="A4298" s="34" t="s">
        <v>16</v>
      </c>
      <c r="B4298" s="2">
        <v>44072</v>
      </c>
      <c r="C4298" s="1">
        <v>5545</v>
      </c>
      <c r="D4298" s="47">
        <f>C4298+D4274</f>
        <v>249765</v>
      </c>
      <c r="E4298" s="1">
        <v>41</v>
      </c>
      <c r="F4298" s="47">
        <f t="shared" si="331"/>
        <v>4996</v>
      </c>
    </row>
    <row r="4299" spans="1:6" x14ac:dyDescent="0.25">
      <c r="A4299" s="5" t="s">
        <v>43</v>
      </c>
      <c r="B4299" s="2">
        <v>44072</v>
      </c>
      <c r="C4299" s="1">
        <v>1195</v>
      </c>
      <c r="D4299" s="47">
        <f t="shared" ref="D4299:D4311" si="332">C4299+D4275</f>
        <v>92982</v>
      </c>
      <c r="E4299" s="1">
        <f>7+5+10+3</f>
        <v>25</v>
      </c>
      <c r="F4299" s="47">
        <f t="shared" si="329"/>
        <v>2167</v>
      </c>
    </row>
    <row r="4300" spans="1:6" x14ac:dyDescent="0.25">
      <c r="A4300" s="5" t="s">
        <v>28</v>
      </c>
      <c r="B4300" s="2">
        <v>44072</v>
      </c>
      <c r="C4300" s="1">
        <v>0</v>
      </c>
      <c r="D4300" s="47">
        <f t="shared" si="332"/>
        <v>65</v>
      </c>
      <c r="F4300" s="47">
        <f t="shared" si="329"/>
        <v>0</v>
      </c>
    </row>
    <row r="4301" spans="1:6" x14ac:dyDescent="0.25">
      <c r="A4301" s="5" t="s">
        <v>15</v>
      </c>
      <c r="B4301" s="2">
        <v>44072</v>
      </c>
      <c r="C4301" s="1">
        <v>98</v>
      </c>
      <c r="D4301" s="47">
        <f t="shared" si="332"/>
        <v>5281</v>
      </c>
      <c r="E4301" s="1">
        <f>1+1</f>
        <v>2</v>
      </c>
      <c r="F4301" s="47">
        <f t="shared" si="329"/>
        <v>207</v>
      </c>
    </row>
    <row r="4302" spans="1:6" x14ac:dyDescent="0.25">
      <c r="A4302" s="5" t="s">
        <v>29</v>
      </c>
      <c r="B4302" s="2">
        <v>44072</v>
      </c>
      <c r="C4302" s="1">
        <v>43</v>
      </c>
      <c r="D4302" s="47">
        <f t="shared" si="332"/>
        <v>808</v>
      </c>
      <c r="F4302" s="47">
        <f t="shared" si="329"/>
        <v>7</v>
      </c>
    </row>
    <row r="4303" spans="1:6" x14ac:dyDescent="0.25">
      <c r="A4303" s="5" t="s">
        <v>20</v>
      </c>
      <c r="B4303" s="2">
        <v>44072</v>
      </c>
      <c r="C4303" s="1">
        <v>337</v>
      </c>
      <c r="D4303" s="47">
        <f t="shared" si="332"/>
        <v>7842</v>
      </c>
      <c r="E4303" s="1">
        <f>4+2</f>
        <v>6</v>
      </c>
      <c r="F4303" s="47">
        <f t="shared" si="329"/>
        <v>117</v>
      </c>
    </row>
    <row r="4304" spans="1:6" x14ac:dyDescent="0.25">
      <c r="A4304" s="5" t="s">
        <v>30</v>
      </c>
      <c r="B4304" s="2">
        <v>44072</v>
      </c>
      <c r="C4304" s="1">
        <v>8</v>
      </c>
      <c r="D4304" s="47">
        <f t="shared" si="332"/>
        <v>321</v>
      </c>
      <c r="F4304" s="47">
        <f t="shared" si="329"/>
        <v>5</v>
      </c>
    </row>
    <row r="4305" spans="1:6" x14ac:dyDescent="0.25">
      <c r="A4305" s="5" t="s">
        <v>31</v>
      </c>
      <c r="B4305" s="2">
        <v>44072</v>
      </c>
      <c r="C4305" s="1">
        <v>125</v>
      </c>
      <c r="D4305" s="47">
        <f t="shared" si="332"/>
        <v>3061</v>
      </c>
      <c r="F4305" s="47">
        <f t="shared" si="329"/>
        <v>38</v>
      </c>
    </row>
    <row r="4306" spans="1:6" x14ac:dyDescent="0.25">
      <c r="A4306" s="5" t="s">
        <v>41</v>
      </c>
      <c r="B4306" s="2">
        <v>44072</v>
      </c>
      <c r="C4306" s="1">
        <v>0</v>
      </c>
      <c r="D4306" s="47">
        <f t="shared" si="332"/>
        <v>84</v>
      </c>
      <c r="F4306" s="47">
        <f>E4306+F4282</f>
        <v>1</v>
      </c>
    </row>
    <row r="4307" spans="1:6" x14ac:dyDescent="0.25">
      <c r="A4307" s="5" t="s">
        <v>32</v>
      </c>
      <c r="B4307" s="2">
        <v>44072</v>
      </c>
      <c r="C4307" s="1">
        <v>321</v>
      </c>
      <c r="D4307" s="47">
        <f t="shared" si="332"/>
        <v>7942</v>
      </c>
      <c r="F4307" s="47">
        <f t="shared" si="329"/>
        <v>196</v>
      </c>
    </row>
    <row r="4308" spans="1:6" x14ac:dyDescent="0.25">
      <c r="A4308" s="5" t="s">
        <v>33</v>
      </c>
      <c r="B4308" s="2">
        <v>44072</v>
      </c>
      <c r="C4308" s="1">
        <v>6</v>
      </c>
      <c r="D4308" s="47">
        <f t="shared" si="332"/>
        <v>200</v>
      </c>
      <c r="F4308" s="47">
        <f t="shared" si="329"/>
        <v>2</v>
      </c>
    </row>
    <row r="4309" spans="1:6" x14ac:dyDescent="0.25">
      <c r="A4309" s="5" t="s">
        <v>21</v>
      </c>
      <c r="B4309" s="2">
        <v>44072</v>
      </c>
      <c r="C4309" s="1">
        <v>28</v>
      </c>
      <c r="D4309" s="47">
        <f t="shared" si="332"/>
        <v>1360</v>
      </c>
      <c r="F4309" s="47">
        <f t="shared" si="329"/>
        <v>31</v>
      </c>
    </row>
    <row r="4310" spans="1:6" x14ac:dyDescent="0.25">
      <c r="A4310" s="5" t="s">
        <v>17</v>
      </c>
      <c r="B4310" s="2">
        <v>44072</v>
      </c>
      <c r="C4310" s="1">
        <v>290</v>
      </c>
      <c r="D4310" s="47">
        <f t="shared" si="332"/>
        <v>6233</v>
      </c>
      <c r="F4310" s="47">
        <f t="shared" si="329"/>
        <v>71</v>
      </c>
    </row>
    <row r="4311" spans="1:6" x14ac:dyDescent="0.25">
      <c r="A4311" s="5" t="s">
        <v>23</v>
      </c>
      <c r="B4311" s="2">
        <v>44072</v>
      </c>
      <c r="C4311" s="1">
        <v>1</v>
      </c>
      <c r="D4311" s="47">
        <f t="shared" si="332"/>
        <v>60</v>
      </c>
      <c r="F4311" s="47">
        <f t="shared" si="329"/>
        <v>2</v>
      </c>
    </row>
    <row r="4312" spans="1:6" x14ac:dyDescent="0.25">
      <c r="A4312" s="5" t="s">
        <v>19</v>
      </c>
      <c r="B4312" s="2">
        <v>44072</v>
      </c>
      <c r="C4312" s="1">
        <v>77</v>
      </c>
      <c r="D4312" s="47">
        <f>C4312+D4288</f>
        <v>2845</v>
      </c>
      <c r="F4312" s="47">
        <f t="shared" si="329"/>
        <v>20</v>
      </c>
    </row>
    <row r="4313" spans="1:6" x14ac:dyDescent="0.25">
      <c r="A4313" s="5" t="s">
        <v>18</v>
      </c>
      <c r="B4313" s="2">
        <v>44072</v>
      </c>
      <c r="C4313" s="1">
        <v>188</v>
      </c>
      <c r="D4313" s="47">
        <f>C4313+D4289</f>
        <v>5779</v>
      </c>
      <c r="E4313" s="1">
        <f>2</f>
        <v>2</v>
      </c>
      <c r="F4313" s="47">
        <f t="shared" si="329"/>
        <v>81</v>
      </c>
    </row>
    <row r="4314" spans="1:6" x14ac:dyDescent="0.25">
      <c r="A4314" s="5" t="s">
        <v>34</v>
      </c>
      <c r="B4314" s="2">
        <v>44072</v>
      </c>
      <c r="C4314" s="1">
        <v>182</v>
      </c>
      <c r="D4314" s="47">
        <f>C4314+D4290</f>
        <v>2911</v>
      </c>
      <c r="F4314" s="47">
        <f>E4314+F4290</f>
        <v>39</v>
      </c>
    </row>
    <row r="4315" spans="1:6" x14ac:dyDescent="0.25">
      <c r="A4315" s="5" t="s">
        <v>35</v>
      </c>
      <c r="B4315" s="2">
        <v>44072</v>
      </c>
      <c r="C4315" s="1">
        <v>13</v>
      </c>
      <c r="D4315" s="47">
        <f t="shared" ref="D4315:D4321" si="333">C4315+D4291</f>
        <v>206</v>
      </c>
      <c r="F4315" s="47">
        <f>E4315+F4291</f>
        <v>0</v>
      </c>
    </row>
    <row r="4316" spans="1:6" x14ac:dyDescent="0.25">
      <c r="A4316" s="5" t="s">
        <v>36</v>
      </c>
      <c r="B4316" s="2">
        <v>44072</v>
      </c>
      <c r="C4316" s="1">
        <v>25</v>
      </c>
      <c r="D4316" s="47">
        <f t="shared" si="333"/>
        <v>86</v>
      </c>
      <c r="F4316" s="47">
        <f>E4316+F4292</f>
        <v>0</v>
      </c>
    </row>
    <row r="4317" spans="1:6" x14ac:dyDescent="0.25">
      <c r="A4317" s="5" t="s">
        <v>37</v>
      </c>
      <c r="B4317" s="2">
        <v>44072</v>
      </c>
      <c r="C4317" s="1">
        <v>32</v>
      </c>
      <c r="D4317" s="47">
        <f t="shared" si="333"/>
        <v>1650</v>
      </c>
      <c r="F4317" s="47">
        <f t="shared" ref="F4317:F4322" si="334">E4317+F4293</f>
        <v>13</v>
      </c>
    </row>
    <row r="4318" spans="1:6" x14ac:dyDescent="0.25">
      <c r="A4318" s="5" t="s">
        <v>22</v>
      </c>
      <c r="B4318" s="2">
        <v>44072</v>
      </c>
      <c r="C4318" s="1">
        <v>406</v>
      </c>
      <c r="D4318" s="47">
        <f t="shared" si="333"/>
        <v>7147</v>
      </c>
      <c r="E4318" s="1">
        <f>1</f>
        <v>1</v>
      </c>
      <c r="F4318" s="47">
        <f t="shared" si="334"/>
        <v>77</v>
      </c>
    </row>
    <row r="4319" spans="1:6" x14ac:dyDescent="0.25">
      <c r="A4319" s="5" t="s">
        <v>38</v>
      </c>
      <c r="B4319" s="2">
        <v>44072</v>
      </c>
      <c r="C4319" s="1">
        <v>52</v>
      </c>
      <c r="D4319" s="47">
        <f t="shared" si="333"/>
        <v>841</v>
      </c>
      <c r="E4319" s="1">
        <f>1+2</f>
        <v>3</v>
      </c>
      <c r="F4319" s="47">
        <f t="shared" si="334"/>
        <v>9</v>
      </c>
    </row>
    <row r="4320" spans="1:6" x14ac:dyDescent="0.25">
      <c r="A4320" s="5" t="s">
        <v>39</v>
      </c>
      <c r="B4320" s="2">
        <v>44072</v>
      </c>
      <c r="C4320" s="1">
        <v>35</v>
      </c>
      <c r="D4320" s="47">
        <f t="shared" si="333"/>
        <v>1943</v>
      </c>
      <c r="E4320" s="1">
        <f>2</f>
        <v>2</v>
      </c>
      <c r="F4320" s="47">
        <f t="shared" si="334"/>
        <v>28</v>
      </c>
    </row>
    <row r="4321" spans="1:6" x14ac:dyDescent="0.25">
      <c r="A4321" s="5" t="s">
        <v>40</v>
      </c>
      <c r="B4321" s="2">
        <v>44072</v>
      </c>
      <c r="C4321" s="1">
        <v>223</v>
      </c>
      <c r="D4321" s="47">
        <f t="shared" si="333"/>
        <v>1827</v>
      </c>
      <c r="F4321" s="47">
        <f t="shared" si="334"/>
        <v>13</v>
      </c>
    </row>
    <row r="4322" spans="1:6" x14ac:dyDescent="0.25">
      <c r="A4322" s="34" t="s">
        <v>16</v>
      </c>
      <c r="B4322" s="2">
        <v>44073</v>
      </c>
      <c r="C4322" s="1">
        <v>3887</v>
      </c>
      <c r="D4322" s="47">
        <f>C4322+D4298</f>
        <v>253652</v>
      </c>
      <c r="E4322" s="1">
        <v>37</v>
      </c>
      <c r="F4322" s="47">
        <f t="shared" si="334"/>
        <v>5033</v>
      </c>
    </row>
    <row r="4323" spans="1:6" x14ac:dyDescent="0.25">
      <c r="A4323" s="5" t="s">
        <v>43</v>
      </c>
      <c r="B4323" s="2">
        <v>44073</v>
      </c>
      <c r="C4323" s="1">
        <v>1235</v>
      </c>
      <c r="D4323" s="47">
        <f t="shared" ref="D4323:D4335" si="335">C4323+D4299</f>
        <v>94217</v>
      </c>
      <c r="E4323" s="1">
        <v>27</v>
      </c>
      <c r="F4323" s="47">
        <f t="shared" ref="F4323:F4361" si="336">E4323+F4299</f>
        <v>2194</v>
      </c>
    </row>
    <row r="4324" spans="1:6" x14ac:dyDescent="0.25">
      <c r="A4324" s="5" t="s">
        <v>28</v>
      </c>
      <c r="B4324" s="2">
        <v>44073</v>
      </c>
      <c r="C4324" s="1">
        <v>0</v>
      </c>
      <c r="D4324" s="47">
        <f t="shared" si="335"/>
        <v>65</v>
      </c>
      <c r="F4324" s="47">
        <f t="shared" si="336"/>
        <v>0</v>
      </c>
    </row>
    <row r="4325" spans="1:6" x14ac:dyDescent="0.25">
      <c r="A4325" s="5" t="s">
        <v>15</v>
      </c>
      <c r="B4325" s="2">
        <v>44073</v>
      </c>
      <c r="C4325" s="1">
        <v>61</v>
      </c>
      <c r="D4325" s="47">
        <f t="shared" si="335"/>
        <v>5342</v>
      </c>
      <c r="E4325" s="1">
        <f>1+2</f>
        <v>3</v>
      </c>
      <c r="F4325" s="47">
        <f t="shared" si="336"/>
        <v>210</v>
      </c>
    </row>
    <row r="4326" spans="1:6" x14ac:dyDescent="0.25">
      <c r="A4326" s="5" t="s">
        <v>29</v>
      </c>
      <c r="B4326" s="2">
        <v>44073</v>
      </c>
      <c r="C4326" s="1">
        <v>12</v>
      </c>
      <c r="D4326" s="47">
        <f t="shared" si="335"/>
        <v>820</v>
      </c>
      <c r="F4326" s="47">
        <f t="shared" si="336"/>
        <v>7</v>
      </c>
    </row>
    <row r="4327" spans="1:6" x14ac:dyDescent="0.25">
      <c r="A4327" s="5" t="s">
        <v>20</v>
      </c>
      <c r="B4327" s="2">
        <v>44073</v>
      </c>
      <c r="C4327" s="1">
        <v>292</v>
      </c>
      <c r="D4327" s="47">
        <f t="shared" si="335"/>
        <v>8134</v>
      </c>
      <c r="E4327" s="1">
        <f>1+3+2</f>
        <v>6</v>
      </c>
      <c r="F4327" s="47">
        <f t="shared" si="336"/>
        <v>123</v>
      </c>
    </row>
    <row r="4328" spans="1:6" x14ac:dyDescent="0.25">
      <c r="A4328" s="5" t="s">
        <v>30</v>
      </c>
      <c r="B4328" s="2">
        <v>44073</v>
      </c>
      <c r="C4328" s="1">
        <v>-4</v>
      </c>
      <c r="D4328" s="47">
        <f t="shared" si="335"/>
        <v>317</v>
      </c>
      <c r="F4328" s="47">
        <f t="shared" si="336"/>
        <v>5</v>
      </c>
    </row>
    <row r="4329" spans="1:6" x14ac:dyDescent="0.25">
      <c r="A4329" s="5" t="s">
        <v>31</v>
      </c>
      <c r="B4329" s="2">
        <v>44073</v>
      </c>
      <c r="C4329" s="1">
        <v>110</v>
      </c>
      <c r="D4329" s="47">
        <f t="shared" si="335"/>
        <v>3171</v>
      </c>
      <c r="E4329" s="1">
        <f>1+5+1</f>
        <v>7</v>
      </c>
      <c r="F4329" s="47">
        <f t="shared" si="336"/>
        <v>45</v>
      </c>
    </row>
    <row r="4330" spans="1:6" x14ac:dyDescent="0.25">
      <c r="A4330" s="5" t="s">
        <v>41</v>
      </c>
      <c r="B4330" s="2">
        <v>44073</v>
      </c>
      <c r="C4330" s="1">
        <v>-1</v>
      </c>
      <c r="D4330" s="47">
        <f t="shared" si="335"/>
        <v>83</v>
      </c>
      <c r="F4330" s="47">
        <f>E4330+F4306</f>
        <v>1</v>
      </c>
    </row>
    <row r="4331" spans="1:6" x14ac:dyDescent="0.25">
      <c r="A4331" s="5" t="s">
        <v>32</v>
      </c>
      <c r="B4331" s="2">
        <v>44073</v>
      </c>
      <c r="C4331" s="1">
        <v>149</v>
      </c>
      <c r="D4331" s="47">
        <f t="shared" si="335"/>
        <v>8091</v>
      </c>
      <c r="F4331" s="47">
        <f t="shared" si="336"/>
        <v>196</v>
      </c>
    </row>
    <row r="4332" spans="1:6" x14ac:dyDescent="0.25">
      <c r="A4332" s="5" t="s">
        <v>33</v>
      </c>
      <c r="B4332" s="2">
        <v>44073</v>
      </c>
      <c r="C4332" s="1">
        <v>0</v>
      </c>
      <c r="D4332" s="47">
        <f t="shared" si="335"/>
        <v>200</v>
      </c>
      <c r="F4332" s="47">
        <f t="shared" si="336"/>
        <v>2</v>
      </c>
    </row>
    <row r="4333" spans="1:6" x14ac:dyDescent="0.25">
      <c r="A4333" s="5" t="s">
        <v>21</v>
      </c>
      <c r="B4333" s="2">
        <v>44073</v>
      </c>
      <c r="C4333" s="1">
        <v>57</v>
      </c>
      <c r="D4333" s="47">
        <f t="shared" si="335"/>
        <v>1417</v>
      </c>
      <c r="F4333" s="47">
        <f t="shared" si="336"/>
        <v>31</v>
      </c>
    </row>
    <row r="4334" spans="1:6" x14ac:dyDescent="0.25">
      <c r="A4334" s="5" t="s">
        <v>17</v>
      </c>
      <c r="B4334" s="2">
        <v>44073</v>
      </c>
      <c r="C4334" s="1">
        <v>316</v>
      </c>
      <c r="D4334" s="47">
        <f t="shared" si="335"/>
        <v>6549</v>
      </c>
      <c r="E4334" s="1">
        <f>1+3</f>
        <v>4</v>
      </c>
      <c r="F4334" s="47">
        <f t="shared" si="336"/>
        <v>75</v>
      </c>
    </row>
    <row r="4335" spans="1:6" x14ac:dyDescent="0.25">
      <c r="A4335" s="5" t="s">
        <v>23</v>
      </c>
      <c r="B4335" s="2">
        <v>44073</v>
      </c>
      <c r="C4335" s="1">
        <v>2</v>
      </c>
      <c r="D4335" s="47">
        <f t="shared" si="335"/>
        <v>62</v>
      </c>
      <c r="F4335" s="47">
        <f t="shared" si="336"/>
        <v>2</v>
      </c>
    </row>
    <row r="4336" spans="1:6" x14ac:dyDescent="0.25">
      <c r="A4336" s="5" t="s">
        <v>19</v>
      </c>
      <c r="B4336" s="2">
        <v>44073</v>
      </c>
      <c r="C4336" s="1">
        <v>87</v>
      </c>
      <c r="D4336" s="47">
        <f>C4336+D4312</f>
        <v>2932</v>
      </c>
      <c r="E4336" s="1">
        <f>1</f>
        <v>1</v>
      </c>
      <c r="F4336" s="47">
        <f t="shared" si="336"/>
        <v>21</v>
      </c>
    </row>
    <row r="4337" spans="1:6" x14ac:dyDescent="0.25">
      <c r="A4337" s="5" t="s">
        <v>18</v>
      </c>
      <c r="B4337" s="2">
        <v>44073</v>
      </c>
      <c r="C4337" s="1">
        <v>91</v>
      </c>
      <c r="D4337" s="47">
        <f>C4337+D4313</f>
        <v>5870</v>
      </c>
      <c r="E4337" s="1">
        <f>2+4+4+2</f>
        <v>12</v>
      </c>
      <c r="F4337" s="47">
        <f t="shared" si="336"/>
        <v>93</v>
      </c>
    </row>
    <row r="4338" spans="1:6" x14ac:dyDescent="0.25">
      <c r="A4338" s="5" t="s">
        <v>34</v>
      </c>
      <c r="B4338" s="2">
        <v>44073</v>
      </c>
      <c r="C4338" s="1">
        <v>250</v>
      </c>
      <c r="D4338" s="47">
        <f>C4338+D4314</f>
        <v>3161</v>
      </c>
      <c r="E4338" s="1">
        <f>2</f>
        <v>2</v>
      </c>
      <c r="F4338" s="47">
        <f>E4338+F4314</f>
        <v>41</v>
      </c>
    </row>
    <row r="4339" spans="1:6" x14ac:dyDescent="0.25">
      <c r="A4339" s="5" t="s">
        <v>35</v>
      </c>
      <c r="B4339" s="2">
        <v>44073</v>
      </c>
      <c r="C4339" s="1">
        <v>15</v>
      </c>
      <c r="D4339" s="47">
        <f t="shared" ref="D4339:D4345" si="337">C4339+D4315</f>
        <v>221</v>
      </c>
      <c r="F4339" s="47">
        <f>E4339+F4315</f>
        <v>0</v>
      </c>
    </row>
    <row r="4340" spans="1:6" x14ac:dyDescent="0.25">
      <c r="A4340" s="5" t="s">
        <v>36</v>
      </c>
      <c r="B4340" s="2">
        <v>44073</v>
      </c>
      <c r="C4340" s="1">
        <v>-1</v>
      </c>
      <c r="D4340" s="47">
        <f t="shared" si="337"/>
        <v>85</v>
      </c>
      <c r="F4340" s="47">
        <f t="shared" si="336"/>
        <v>0</v>
      </c>
    </row>
    <row r="4341" spans="1:6" x14ac:dyDescent="0.25">
      <c r="A4341" s="5" t="s">
        <v>37</v>
      </c>
      <c r="B4341" s="2">
        <v>44073</v>
      </c>
      <c r="C4341" s="1">
        <v>84</v>
      </c>
      <c r="D4341" s="47">
        <f t="shared" si="337"/>
        <v>1734</v>
      </c>
      <c r="F4341" s="47">
        <f t="shared" ref="F4341:F4346" si="338">E4341+F4317</f>
        <v>13</v>
      </c>
    </row>
    <row r="4342" spans="1:6" x14ac:dyDescent="0.25">
      <c r="A4342" s="5" t="s">
        <v>22</v>
      </c>
      <c r="B4342" s="2">
        <v>44073</v>
      </c>
      <c r="C4342" s="1">
        <v>283</v>
      </c>
      <c r="D4342" s="47">
        <f t="shared" si="337"/>
        <v>7430</v>
      </c>
      <c r="E4342" s="1">
        <f>1+2</f>
        <v>3</v>
      </c>
      <c r="F4342" s="47">
        <f t="shared" si="338"/>
        <v>80</v>
      </c>
    </row>
    <row r="4343" spans="1:6" x14ac:dyDescent="0.25">
      <c r="A4343" s="5" t="s">
        <v>38</v>
      </c>
      <c r="B4343" s="2">
        <v>44073</v>
      </c>
      <c r="C4343" s="1">
        <v>57</v>
      </c>
      <c r="D4343" s="47">
        <f t="shared" si="337"/>
        <v>898</v>
      </c>
      <c r="E4343" s="1">
        <f>1</f>
        <v>1</v>
      </c>
      <c r="F4343" s="47">
        <f t="shared" si="338"/>
        <v>10</v>
      </c>
    </row>
    <row r="4344" spans="1:6" x14ac:dyDescent="0.25">
      <c r="A4344" s="5" t="s">
        <v>39</v>
      </c>
      <c r="B4344" s="2">
        <v>44073</v>
      </c>
      <c r="C4344" s="1">
        <v>39</v>
      </c>
      <c r="D4344" s="47">
        <f t="shared" si="337"/>
        <v>1982</v>
      </c>
      <c r="F4344" s="47">
        <f t="shared" si="338"/>
        <v>28</v>
      </c>
    </row>
    <row r="4345" spans="1:6" x14ac:dyDescent="0.25">
      <c r="A4345" s="5" t="s">
        <v>40</v>
      </c>
      <c r="B4345" s="2">
        <v>44073</v>
      </c>
      <c r="C4345" s="1">
        <v>166</v>
      </c>
      <c r="D4345" s="47">
        <f t="shared" si="337"/>
        <v>1993</v>
      </c>
      <c r="F4345" s="47">
        <f t="shared" si="338"/>
        <v>13</v>
      </c>
    </row>
    <row r="4346" spans="1:6" x14ac:dyDescent="0.25">
      <c r="A4346" s="34" t="s">
        <v>16</v>
      </c>
      <c r="B4346" s="2">
        <v>44074</v>
      </c>
      <c r="C4346" s="1">
        <v>5141</v>
      </c>
      <c r="D4346" s="47">
        <f>C4346+D4322</f>
        <v>258793</v>
      </c>
      <c r="E4346" s="1">
        <f>14+12+1+55+40+2</f>
        <v>124</v>
      </c>
      <c r="F4346" s="47">
        <f t="shared" si="338"/>
        <v>5157</v>
      </c>
    </row>
    <row r="4347" spans="1:6" x14ac:dyDescent="0.25">
      <c r="A4347" s="5" t="s">
        <v>43</v>
      </c>
      <c r="B4347" s="2">
        <v>44074</v>
      </c>
      <c r="C4347" s="1">
        <v>1387</v>
      </c>
      <c r="D4347" s="47">
        <f t="shared" ref="D4347:D4359" si="339">C4347+D4323</f>
        <v>95604</v>
      </c>
      <c r="E4347" s="1">
        <f>2+2+1+18+21+1</f>
        <v>45</v>
      </c>
      <c r="F4347" s="47">
        <f t="shared" si="336"/>
        <v>2239</v>
      </c>
    </row>
    <row r="4348" spans="1:6" x14ac:dyDescent="0.25">
      <c r="A4348" s="5" t="s">
        <v>28</v>
      </c>
      <c r="B4348" s="2">
        <v>44074</v>
      </c>
      <c r="C4348" s="1">
        <v>1</v>
      </c>
      <c r="D4348" s="47">
        <f t="shared" si="339"/>
        <v>66</v>
      </c>
      <c r="F4348" s="47">
        <f t="shared" si="336"/>
        <v>0</v>
      </c>
    </row>
    <row r="4349" spans="1:6" x14ac:dyDescent="0.25">
      <c r="A4349" s="5" t="s">
        <v>15</v>
      </c>
      <c r="B4349" s="2">
        <v>44074</v>
      </c>
      <c r="C4349" s="1">
        <v>75</v>
      </c>
      <c r="D4349" s="47">
        <f t="shared" si="339"/>
        <v>5417</v>
      </c>
      <c r="E4349" s="1">
        <f>2+1+2+1</f>
        <v>6</v>
      </c>
      <c r="F4349" s="47">
        <f t="shared" si="336"/>
        <v>216</v>
      </c>
    </row>
    <row r="4350" spans="1:6" x14ac:dyDescent="0.25">
      <c r="A4350" s="5" t="s">
        <v>29</v>
      </c>
      <c r="B4350" s="2">
        <v>44074</v>
      </c>
      <c r="C4350" s="1">
        <v>79</v>
      </c>
      <c r="D4350" s="47">
        <f t="shared" si="339"/>
        <v>899</v>
      </c>
      <c r="F4350" s="47">
        <f t="shared" si="336"/>
        <v>7</v>
      </c>
    </row>
    <row r="4351" spans="1:6" x14ac:dyDescent="0.25">
      <c r="A4351" s="5" t="s">
        <v>20</v>
      </c>
      <c r="B4351" s="2">
        <v>44074</v>
      </c>
      <c r="C4351" s="1">
        <v>388</v>
      </c>
      <c r="D4351" s="47">
        <f t="shared" si="339"/>
        <v>8522</v>
      </c>
      <c r="E4351" s="1">
        <f>1+1</f>
        <v>2</v>
      </c>
      <c r="F4351" s="47">
        <f>E4351+F4327</f>
        <v>125</v>
      </c>
    </row>
    <row r="4352" spans="1:6" x14ac:dyDescent="0.25">
      <c r="A4352" s="5" t="s">
        <v>30</v>
      </c>
      <c r="B4352" s="2">
        <v>44074</v>
      </c>
      <c r="C4352" s="1">
        <v>-6</v>
      </c>
      <c r="D4352" s="47">
        <f t="shared" si="339"/>
        <v>311</v>
      </c>
      <c r="F4352" s="47">
        <f t="shared" si="336"/>
        <v>5</v>
      </c>
    </row>
    <row r="4353" spans="1:6" x14ac:dyDescent="0.25">
      <c r="A4353" s="5" t="s">
        <v>31</v>
      </c>
      <c r="B4353" s="2">
        <v>44074</v>
      </c>
      <c r="C4353" s="1">
        <v>167</v>
      </c>
      <c r="D4353" s="47">
        <f t="shared" si="339"/>
        <v>3338</v>
      </c>
      <c r="E4353" s="1">
        <f>1+1</f>
        <v>2</v>
      </c>
      <c r="F4353" s="47">
        <f t="shared" si="336"/>
        <v>47</v>
      </c>
    </row>
    <row r="4354" spans="1:6" x14ac:dyDescent="0.25">
      <c r="A4354" s="5" t="s">
        <v>41</v>
      </c>
      <c r="B4354" s="2">
        <v>44074</v>
      </c>
      <c r="C4354" s="1">
        <v>1</v>
      </c>
      <c r="D4354" s="47">
        <f t="shared" si="339"/>
        <v>84</v>
      </c>
      <c r="F4354" s="47">
        <f>E4354+F4330</f>
        <v>1</v>
      </c>
    </row>
    <row r="4355" spans="1:6" x14ac:dyDescent="0.25">
      <c r="A4355" s="5" t="s">
        <v>32</v>
      </c>
      <c r="B4355" s="2">
        <v>44074</v>
      </c>
      <c r="C4355" s="1">
        <v>327</v>
      </c>
      <c r="D4355" s="47">
        <f t="shared" si="339"/>
        <v>8418</v>
      </c>
      <c r="F4355" s="47">
        <f t="shared" si="336"/>
        <v>196</v>
      </c>
    </row>
    <row r="4356" spans="1:6" x14ac:dyDescent="0.25">
      <c r="A4356" s="5" t="s">
        <v>33</v>
      </c>
      <c r="B4356" s="2">
        <v>44074</v>
      </c>
      <c r="C4356" s="1">
        <v>4</v>
      </c>
      <c r="D4356" s="47">
        <f t="shared" si="339"/>
        <v>204</v>
      </c>
      <c r="F4356" s="47">
        <f t="shared" si="336"/>
        <v>2</v>
      </c>
    </row>
    <row r="4357" spans="1:6" x14ac:dyDescent="0.25">
      <c r="A4357" s="5" t="s">
        <v>21</v>
      </c>
      <c r="B4357" s="2">
        <v>44074</v>
      </c>
      <c r="C4357" s="1">
        <v>171</v>
      </c>
      <c r="D4357" s="47">
        <f t="shared" si="339"/>
        <v>1588</v>
      </c>
      <c r="F4357" s="47">
        <f t="shared" si="336"/>
        <v>31</v>
      </c>
    </row>
    <row r="4358" spans="1:6" x14ac:dyDescent="0.25">
      <c r="A4358" s="5" t="s">
        <v>17</v>
      </c>
      <c r="B4358" s="2">
        <v>44074</v>
      </c>
      <c r="C4358" s="1">
        <v>281</v>
      </c>
      <c r="D4358" s="47">
        <f t="shared" si="339"/>
        <v>6830</v>
      </c>
      <c r="E4358" s="1">
        <f>1+1+1</f>
        <v>3</v>
      </c>
      <c r="F4358" s="47">
        <f t="shared" si="336"/>
        <v>78</v>
      </c>
    </row>
    <row r="4359" spans="1:6" x14ac:dyDescent="0.25">
      <c r="A4359" s="5" t="s">
        <v>23</v>
      </c>
      <c r="B4359" s="2">
        <v>44074</v>
      </c>
      <c r="C4359" s="1">
        <v>0</v>
      </c>
      <c r="D4359" s="47">
        <f t="shared" si="339"/>
        <v>62</v>
      </c>
      <c r="F4359" s="47">
        <f t="shared" si="336"/>
        <v>2</v>
      </c>
    </row>
    <row r="4360" spans="1:6" x14ac:dyDescent="0.25">
      <c r="A4360" s="5" t="s">
        <v>19</v>
      </c>
      <c r="B4360" s="2">
        <v>44074</v>
      </c>
      <c r="C4360" s="1">
        <v>104</v>
      </c>
      <c r="D4360" s="47">
        <f>C4360+D4336</f>
        <v>3036</v>
      </c>
      <c r="E4360" s="1">
        <f>2</f>
        <v>2</v>
      </c>
      <c r="F4360" s="47">
        <f t="shared" si="336"/>
        <v>23</v>
      </c>
    </row>
    <row r="4361" spans="1:6" x14ac:dyDescent="0.25">
      <c r="A4361" s="5" t="s">
        <v>18</v>
      </c>
      <c r="B4361" s="2">
        <v>44074</v>
      </c>
      <c r="C4361" s="1">
        <v>126</v>
      </c>
      <c r="D4361" s="47">
        <f>C4361+D4337</f>
        <v>5996</v>
      </c>
      <c r="E4361" s="1">
        <f>2</f>
        <v>2</v>
      </c>
      <c r="F4361" s="47">
        <f t="shared" si="336"/>
        <v>95</v>
      </c>
    </row>
    <row r="4362" spans="1:6" x14ac:dyDescent="0.25">
      <c r="A4362" s="5" t="s">
        <v>34</v>
      </c>
      <c r="B4362" s="2">
        <v>44074</v>
      </c>
      <c r="C4362" s="1">
        <v>159</v>
      </c>
      <c r="D4362" s="47">
        <f>C4362+D4338</f>
        <v>3320</v>
      </c>
      <c r="E4362" s="1">
        <f>1+2+1</f>
        <v>4</v>
      </c>
      <c r="F4362" s="47">
        <f>E4362+F4338</f>
        <v>45</v>
      </c>
    </row>
    <row r="4363" spans="1:6" x14ac:dyDescent="0.25">
      <c r="A4363" s="5" t="s">
        <v>35</v>
      </c>
      <c r="B4363" s="2">
        <v>44074</v>
      </c>
      <c r="C4363" s="1">
        <v>2</v>
      </c>
      <c r="D4363" s="47">
        <f t="shared" ref="D4363:D4369" si="340">C4363+D4339</f>
        <v>223</v>
      </c>
      <c r="F4363" s="47">
        <f>E4363+F4339</f>
        <v>0</v>
      </c>
    </row>
    <row r="4364" spans="1:6" x14ac:dyDescent="0.25">
      <c r="A4364" s="5" t="s">
        <v>36</v>
      </c>
      <c r="B4364" s="2">
        <v>44074</v>
      </c>
      <c r="C4364" s="1">
        <v>62</v>
      </c>
      <c r="D4364" s="47">
        <f t="shared" si="340"/>
        <v>147</v>
      </c>
      <c r="F4364" s="47">
        <f>E4364+F4340</f>
        <v>0</v>
      </c>
    </row>
    <row r="4365" spans="1:6" x14ac:dyDescent="0.25">
      <c r="A4365" s="5" t="s">
        <v>37</v>
      </c>
      <c r="B4365" s="2">
        <v>44074</v>
      </c>
      <c r="C4365" s="1">
        <v>37</v>
      </c>
      <c r="D4365" s="47">
        <f t="shared" si="340"/>
        <v>1771</v>
      </c>
      <c r="F4365" s="47">
        <f t="shared" ref="F4365:F4370" si="341">E4365+F4341</f>
        <v>13</v>
      </c>
    </row>
    <row r="4366" spans="1:6" x14ac:dyDescent="0.25">
      <c r="A4366" s="5" t="s">
        <v>22</v>
      </c>
      <c r="B4366" s="2">
        <v>44074</v>
      </c>
      <c r="C4366" s="1">
        <v>475</v>
      </c>
      <c r="D4366" s="47">
        <f t="shared" si="340"/>
        <v>7905</v>
      </c>
      <c r="E4366" s="1">
        <f>1+6+3</f>
        <v>10</v>
      </c>
      <c r="F4366" s="47">
        <f t="shared" si="341"/>
        <v>90</v>
      </c>
    </row>
    <row r="4367" spans="1:6" x14ac:dyDescent="0.25">
      <c r="A4367" s="5" t="s">
        <v>38</v>
      </c>
      <c r="B4367" s="2">
        <v>44074</v>
      </c>
      <c r="C4367" s="1">
        <v>40</v>
      </c>
      <c r="D4367" s="47">
        <f t="shared" si="340"/>
        <v>938</v>
      </c>
      <c r="E4367" s="1">
        <f>1</f>
        <v>1</v>
      </c>
      <c r="F4367" s="47">
        <f t="shared" si="341"/>
        <v>11</v>
      </c>
    </row>
    <row r="4368" spans="1:6" x14ac:dyDescent="0.25">
      <c r="A4368" s="5" t="s">
        <v>39</v>
      </c>
      <c r="B4368" s="2">
        <v>44074</v>
      </c>
      <c r="C4368" s="1">
        <v>38</v>
      </c>
      <c r="D4368" s="47">
        <f t="shared" si="340"/>
        <v>2020</v>
      </c>
      <c r="E4368" s="1">
        <f>1</f>
        <v>1</v>
      </c>
      <c r="F4368" s="47">
        <f t="shared" si="341"/>
        <v>29</v>
      </c>
    </row>
    <row r="4369" spans="1:6" x14ac:dyDescent="0.25">
      <c r="A4369" s="5" t="s">
        <v>40</v>
      </c>
      <c r="B4369" s="2">
        <v>44074</v>
      </c>
      <c r="C4369" s="1">
        <v>250</v>
      </c>
      <c r="D4369" s="47">
        <f t="shared" si="340"/>
        <v>2243</v>
      </c>
      <c r="E4369" s="1">
        <f>1</f>
        <v>1</v>
      </c>
      <c r="F4369" s="47">
        <f t="shared" si="341"/>
        <v>14</v>
      </c>
    </row>
    <row r="4370" spans="1:6" x14ac:dyDescent="0.25">
      <c r="A4370" s="34" t="s">
        <v>16</v>
      </c>
      <c r="B4370" s="2">
        <v>44075</v>
      </c>
      <c r="C4370" s="1">
        <v>6157</v>
      </c>
      <c r="D4370" s="47">
        <f>C4370+D4346</f>
        <v>264950</v>
      </c>
      <c r="E4370" s="1">
        <v>176</v>
      </c>
      <c r="F4370" s="47">
        <f t="shared" si="341"/>
        <v>5333</v>
      </c>
    </row>
    <row r="4371" spans="1:6" x14ac:dyDescent="0.25">
      <c r="A4371" s="5" t="s">
        <v>43</v>
      </c>
      <c r="B4371" s="2">
        <v>44075</v>
      </c>
      <c r="C4371" s="1">
        <v>1395</v>
      </c>
      <c r="D4371" s="47">
        <f t="shared" ref="D4371:D4383" si="342">C4371+D4347</f>
        <v>96999</v>
      </c>
      <c r="E4371" s="1">
        <v>53</v>
      </c>
      <c r="F4371" s="47">
        <f t="shared" ref="F4371:F4409" si="343">E4371+F4347</f>
        <v>2292</v>
      </c>
    </row>
    <row r="4372" spans="1:6" x14ac:dyDescent="0.25">
      <c r="A4372" s="5" t="s">
        <v>28</v>
      </c>
      <c r="B4372" s="2">
        <v>44075</v>
      </c>
      <c r="C4372" s="1">
        <v>1</v>
      </c>
      <c r="D4372" s="47">
        <f t="shared" si="342"/>
        <v>67</v>
      </c>
      <c r="F4372" s="47">
        <f t="shared" si="343"/>
        <v>0</v>
      </c>
    </row>
    <row r="4373" spans="1:6" x14ac:dyDescent="0.25">
      <c r="A4373" s="5" t="s">
        <v>15</v>
      </c>
      <c r="B4373" s="2">
        <v>44075</v>
      </c>
      <c r="C4373" s="1">
        <v>75</v>
      </c>
      <c r="D4373" s="47">
        <f t="shared" si="342"/>
        <v>5492</v>
      </c>
      <c r="F4373" s="47">
        <f t="shared" si="343"/>
        <v>216</v>
      </c>
    </row>
    <row r="4374" spans="1:6" x14ac:dyDescent="0.25">
      <c r="A4374" s="5" t="s">
        <v>29</v>
      </c>
      <c r="B4374" s="2">
        <v>44075</v>
      </c>
      <c r="C4374" s="1">
        <v>56</v>
      </c>
      <c r="D4374" s="47">
        <f t="shared" si="342"/>
        <v>955</v>
      </c>
      <c r="F4374" s="47">
        <f t="shared" si="343"/>
        <v>7</v>
      </c>
    </row>
    <row r="4375" spans="1:6" x14ac:dyDescent="0.25">
      <c r="A4375" s="5" t="s">
        <v>20</v>
      </c>
      <c r="B4375" s="2">
        <v>44075</v>
      </c>
      <c r="C4375" s="1">
        <v>392</v>
      </c>
      <c r="D4375" s="47">
        <f t="shared" si="342"/>
        <v>8914</v>
      </c>
      <c r="E4375" s="1">
        <f>1+1</f>
        <v>2</v>
      </c>
      <c r="F4375" s="47">
        <f t="shared" si="343"/>
        <v>127</v>
      </c>
    </row>
    <row r="4376" spans="1:6" x14ac:dyDescent="0.25">
      <c r="A4376" s="5" t="s">
        <v>30</v>
      </c>
      <c r="B4376" s="2">
        <v>44075</v>
      </c>
      <c r="C4376" s="1">
        <v>3</v>
      </c>
      <c r="D4376" s="47">
        <f t="shared" si="342"/>
        <v>314</v>
      </c>
      <c r="F4376" s="47">
        <f t="shared" si="343"/>
        <v>5</v>
      </c>
    </row>
    <row r="4377" spans="1:6" x14ac:dyDescent="0.25">
      <c r="A4377" s="5" t="s">
        <v>31</v>
      </c>
      <c r="B4377" s="2">
        <v>44075</v>
      </c>
      <c r="C4377" s="1">
        <v>312</v>
      </c>
      <c r="D4377" s="47">
        <f t="shared" si="342"/>
        <v>3650</v>
      </c>
      <c r="E4377" s="1">
        <f>1+1</f>
        <v>2</v>
      </c>
      <c r="F4377" s="47">
        <f t="shared" si="343"/>
        <v>49</v>
      </c>
    </row>
    <row r="4378" spans="1:6" x14ac:dyDescent="0.25">
      <c r="A4378" s="5" t="s">
        <v>41</v>
      </c>
      <c r="B4378" s="2">
        <v>44075</v>
      </c>
      <c r="C4378" s="1">
        <v>-1</v>
      </c>
      <c r="D4378" s="47">
        <f t="shared" si="342"/>
        <v>83</v>
      </c>
      <c r="F4378" s="47">
        <f>E4378+F4354</f>
        <v>1</v>
      </c>
    </row>
    <row r="4379" spans="1:6" x14ac:dyDescent="0.25">
      <c r="A4379" s="5" t="s">
        <v>32</v>
      </c>
      <c r="B4379" s="2">
        <v>44075</v>
      </c>
      <c r="C4379" s="1">
        <v>124</v>
      </c>
      <c r="D4379" s="47">
        <f t="shared" si="342"/>
        <v>8542</v>
      </c>
      <c r="F4379" s="47">
        <f t="shared" si="343"/>
        <v>196</v>
      </c>
    </row>
    <row r="4380" spans="1:6" x14ac:dyDescent="0.25">
      <c r="A4380" s="5" t="s">
        <v>33</v>
      </c>
      <c r="B4380" s="2">
        <v>44075</v>
      </c>
      <c r="C4380" s="1">
        <v>8</v>
      </c>
      <c r="D4380" s="47">
        <f t="shared" si="342"/>
        <v>212</v>
      </c>
      <c r="E4380" s="1">
        <f>1</f>
        <v>1</v>
      </c>
      <c r="F4380" s="47">
        <f t="shared" si="343"/>
        <v>3</v>
      </c>
    </row>
    <row r="4381" spans="1:6" x14ac:dyDescent="0.25">
      <c r="A4381" s="5" t="s">
        <v>21</v>
      </c>
      <c r="B4381" s="2">
        <v>44075</v>
      </c>
      <c r="C4381" s="1">
        <v>40</v>
      </c>
      <c r="D4381" s="47">
        <f t="shared" si="342"/>
        <v>1628</v>
      </c>
      <c r="E4381" s="1">
        <f>2+6</f>
        <v>8</v>
      </c>
      <c r="F4381" s="47">
        <f t="shared" si="343"/>
        <v>39</v>
      </c>
    </row>
    <row r="4382" spans="1:6" x14ac:dyDescent="0.25">
      <c r="A4382" s="5" t="s">
        <v>17</v>
      </c>
      <c r="B4382" s="2">
        <v>44075</v>
      </c>
      <c r="C4382" s="1">
        <v>361</v>
      </c>
      <c r="D4382" s="47">
        <f t="shared" si="342"/>
        <v>7191</v>
      </c>
      <c r="E4382" s="1">
        <f>2+1</f>
        <v>3</v>
      </c>
      <c r="F4382" s="47">
        <f t="shared" si="343"/>
        <v>81</v>
      </c>
    </row>
    <row r="4383" spans="1:6" x14ac:dyDescent="0.25">
      <c r="A4383" s="5" t="s">
        <v>23</v>
      </c>
      <c r="B4383" s="2">
        <v>44075</v>
      </c>
      <c r="C4383" s="1">
        <v>4</v>
      </c>
      <c r="D4383" s="47">
        <f t="shared" si="342"/>
        <v>66</v>
      </c>
      <c r="F4383" s="47">
        <f t="shared" si="343"/>
        <v>2</v>
      </c>
    </row>
    <row r="4384" spans="1:6" x14ac:dyDescent="0.25">
      <c r="A4384" s="5" t="s">
        <v>19</v>
      </c>
      <c r="B4384" s="2">
        <v>44075</v>
      </c>
      <c r="C4384" s="1">
        <v>136</v>
      </c>
      <c r="D4384" s="47">
        <f>C4384+D4360</f>
        <v>3172</v>
      </c>
      <c r="E4384" s="1">
        <f>1+1+1</f>
        <v>3</v>
      </c>
      <c r="F4384" s="47">
        <f t="shared" si="343"/>
        <v>26</v>
      </c>
    </row>
    <row r="4385" spans="1:6" x14ac:dyDescent="0.25">
      <c r="A4385" s="5" t="s">
        <v>18</v>
      </c>
      <c r="B4385" s="2">
        <v>44075</v>
      </c>
      <c r="C4385" s="1">
        <v>179</v>
      </c>
      <c r="D4385" s="47">
        <f>C4385+D4361</f>
        <v>6175</v>
      </c>
      <c r="E4385" s="1">
        <f>2+1</f>
        <v>3</v>
      </c>
      <c r="F4385" s="47">
        <f t="shared" si="343"/>
        <v>98</v>
      </c>
    </row>
    <row r="4386" spans="1:6" x14ac:dyDescent="0.25">
      <c r="A4386" s="5" t="s">
        <v>34</v>
      </c>
      <c r="B4386" s="2">
        <v>44075</v>
      </c>
      <c r="C4386" s="1">
        <v>183</v>
      </c>
      <c r="D4386" s="47">
        <f>C4386+D4362</f>
        <v>3503</v>
      </c>
      <c r="F4386" s="47">
        <f>E4386+F4362</f>
        <v>45</v>
      </c>
    </row>
    <row r="4387" spans="1:6" x14ac:dyDescent="0.25">
      <c r="A4387" s="5" t="s">
        <v>35</v>
      </c>
      <c r="B4387" s="2">
        <v>44075</v>
      </c>
      <c r="C4387" s="1">
        <v>0</v>
      </c>
      <c r="D4387" s="47">
        <f t="shared" ref="D4387:D4393" si="344">C4387+D4363</f>
        <v>223</v>
      </c>
      <c r="F4387" s="47">
        <f>E4387+F4363</f>
        <v>0</v>
      </c>
    </row>
    <row r="4388" spans="1:6" x14ac:dyDescent="0.25">
      <c r="A4388" s="5" t="s">
        <v>36</v>
      </c>
      <c r="B4388" s="2">
        <v>44075</v>
      </c>
      <c r="C4388" s="1">
        <v>9</v>
      </c>
      <c r="D4388" s="47">
        <f t="shared" si="344"/>
        <v>156</v>
      </c>
      <c r="F4388" s="47">
        <f t="shared" si="343"/>
        <v>0</v>
      </c>
    </row>
    <row r="4389" spans="1:6" x14ac:dyDescent="0.25">
      <c r="A4389" s="5" t="s">
        <v>37</v>
      </c>
      <c r="B4389" s="2">
        <v>44075</v>
      </c>
      <c r="C4389" s="1">
        <v>37</v>
      </c>
      <c r="D4389" s="47">
        <f t="shared" si="344"/>
        <v>1808</v>
      </c>
      <c r="E4389" s="1">
        <f>1</f>
        <v>1</v>
      </c>
      <c r="F4389" s="47">
        <f t="shared" ref="F4389:F4395" si="345">E4389+F4365</f>
        <v>14</v>
      </c>
    </row>
    <row r="4390" spans="1:6" x14ac:dyDescent="0.25">
      <c r="A4390" s="5" t="s">
        <v>22</v>
      </c>
      <c r="B4390" s="2">
        <v>44075</v>
      </c>
      <c r="C4390" s="1">
        <v>677</v>
      </c>
      <c r="D4390" s="47">
        <f t="shared" si="344"/>
        <v>8582</v>
      </c>
      <c r="E4390" s="1">
        <f>1+1+1+2</f>
        <v>5</v>
      </c>
      <c r="F4390" s="47">
        <f t="shared" si="345"/>
        <v>95</v>
      </c>
    </row>
    <row r="4391" spans="1:6" x14ac:dyDescent="0.25">
      <c r="A4391" s="5" t="s">
        <v>38</v>
      </c>
      <c r="B4391" s="2">
        <v>44075</v>
      </c>
      <c r="C4391" s="1">
        <v>38</v>
      </c>
      <c r="D4391" s="47">
        <f t="shared" si="344"/>
        <v>976</v>
      </c>
      <c r="E4391" s="1">
        <f>1+1</f>
        <v>2</v>
      </c>
      <c r="F4391" s="47">
        <f t="shared" si="345"/>
        <v>13</v>
      </c>
    </row>
    <row r="4392" spans="1:6" x14ac:dyDescent="0.25">
      <c r="A4392" s="5" t="s">
        <v>39</v>
      </c>
      <c r="B4392" s="2">
        <v>44075</v>
      </c>
      <c r="C4392" s="1">
        <v>82</v>
      </c>
      <c r="D4392" s="47">
        <f t="shared" si="344"/>
        <v>2102</v>
      </c>
      <c r="F4392" s="47">
        <f t="shared" si="345"/>
        <v>29</v>
      </c>
    </row>
    <row r="4393" spans="1:6" x14ac:dyDescent="0.25">
      <c r="A4393" s="5" t="s">
        <v>40</v>
      </c>
      <c r="B4393" s="2">
        <v>44075</v>
      </c>
      <c r="C4393" s="1">
        <v>236</v>
      </c>
      <c r="D4393" s="47">
        <f t="shared" si="344"/>
        <v>2479</v>
      </c>
      <c r="F4393" s="47">
        <f t="shared" si="345"/>
        <v>14</v>
      </c>
    </row>
    <row r="4394" spans="1:6" x14ac:dyDescent="0.25">
      <c r="A4394" s="34" t="s">
        <v>16</v>
      </c>
      <c r="B4394" s="2">
        <v>44076</v>
      </c>
      <c r="C4394" s="1">
        <v>6235</v>
      </c>
      <c r="D4394" s="47">
        <f>C4394+D4370</f>
        <v>271185</v>
      </c>
      <c r="E4394" s="1">
        <f>22+12+45+30</f>
        <v>109</v>
      </c>
      <c r="F4394" s="47">
        <f t="shared" si="345"/>
        <v>5442</v>
      </c>
    </row>
    <row r="4395" spans="1:6" x14ac:dyDescent="0.25">
      <c r="A4395" s="5" t="s">
        <v>43</v>
      </c>
      <c r="B4395" s="2">
        <v>44076</v>
      </c>
      <c r="C4395" s="1">
        <v>1346</v>
      </c>
      <c r="D4395" s="47">
        <f t="shared" ref="D4395:D4407" si="346">C4395+D4371</f>
        <v>98345</v>
      </c>
      <c r="E4395" s="1">
        <v>47</v>
      </c>
      <c r="F4395" s="47">
        <f t="shared" si="345"/>
        <v>2339</v>
      </c>
    </row>
    <row r="4396" spans="1:6" x14ac:dyDescent="0.25">
      <c r="A4396" s="5" t="s">
        <v>28</v>
      </c>
      <c r="B4396" s="2">
        <v>44076</v>
      </c>
      <c r="C4396" s="1">
        <v>0</v>
      </c>
      <c r="D4396" s="47">
        <f t="shared" si="346"/>
        <v>67</v>
      </c>
      <c r="F4396" s="47">
        <f t="shared" si="343"/>
        <v>0</v>
      </c>
    </row>
    <row r="4397" spans="1:6" x14ac:dyDescent="0.25">
      <c r="A4397" s="5" t="s">
        <v>15</v>
      </c>
      <c r="B4397" s="2">
        <v>44076</v>
      </c>
      <c r="C4397" s="1">
        <v>84</v>
      </c>
      <c r="D4397" s="47">
        <f t="shared" si="346"/>
        <v>5576</v>
      </c>
      <c r="F4397" s="47">
        <f t="shared" si="343"/>
        <v>216</v>
      </c>
    </row>
    <row r="4398" spans="1:6" x14ac:dyDescent="0.25">
      <c r="A4398" s="5" t="s">
        <v>29</v>
      </c>
      <c r="B4398" s="2">
        <v>44076</v>
      </c>
      <c r="C4398" s="1">
        <v>28</v>
      </c>
      <c r="D4398" s="47">
        <f t="shared" si="346"/>
        <v>983</v>
      </c>
      <c r="F4398" s="47">
        <f t="shared" si="343"/>
        <v>7</v>
      </c>
    </row>
    <row r="4399" spans="1:6" x14ac:dyDescent="0.25">
      <c r="A4399" s="5" t="s">
        <v>20</v>
      </c>
      <c r="B4399" s="2">
        <v>44076</v>
      </c>
      <c r="C4399" s="1">
        <v>480</v>
      </c>
      <c r="D4399" s="47">
        <f t="shared" si="346"/>
        <v>9394</v>
      </c>
      <c r="E4399" s="1">
        <f>1+1+3</f>
        <v>5</v>
      </c>
      <c r="F4399" s="47">
        <f t="shared" si="343"/>
        <v>132</v>
      </c>
    </row>
    <row r="4400" spans="1:6" x14ac:dyDescent="0.25">
      <c r="A4400" s="5" t="s">
        <v>30</v>
      </c>
      <c r="B4400" s="2">
        <v>44076</v>
      </c>
      <c r="C4400" s="1">
        <v>7</v>
      </c>
      <c r="D4400" s="47">
        <f t="shared" si="346"/>
        <v>321</v>
      </c>
      <c r="F4400" s="47">
        <f t="shared" si="343"/>
        <v>5</v>
      </c>
    </row>
    <row r="4401" spans="1:6" x14ac:dyDescent="0.25">
      <c r="A4401" s="5" t="s">
        <v>31</v>
      </c>
      <c r="B4401" s="2">
        <v>44076</v>
      </c>
      <c r="C4401" s="1">
        <v>188</v>
      </c>
      <c r="D4401" s="47">
        <f t="shared" si="346"/>
        <v>3838</v>
      </c>
      <c r="E4401" s="1">
        <f>4+1</f>
        <v>5</v>
      </c>
      <c r="F4401" s="47">
        <f t="shared" si="343"/>
        <v>54</v>
      </c>
    </row>
    <row r="4402" spans="1:6" x14ac:dyDescent="0.25">
      <c r="A4402" s="5" t="s">
        <v>41</v>
      </c>
      <c r="B4402" s="2">
        <v>44076</v>
      </c>
      <c r="C4402" s="1">
        <v>1</v>
      </c>
      <c r="D4402" s="47">
        <f t="shared" si="346"/>
        <v>84</v>
      </c>
      <c r="F4402" s="47">
        <f>E4402+F4378</f>
        <v>1</v>
      </c>
    </row>
    <row r="4403" spans="1:6" x14ac:dyDescent="0.25">
      <c r="A4403" s="5" t="s">
        <v>32</v>
      </c>
      <c r="B4403" s="2">
        <v>44076</v>
      </c>
      <c r="C4403" s="1">
        <v>318</v>
      </c>
      <c r="D4403" s="47">
        <f t="shared" si="346"/>
        <v>8860</v>
      </c>
      <c r="E4403" s="1">
        <f>2+3+6</f>
        <v>11</v>
      </c>
      <c r="F4403" s="47">
        <f t="shared" si="343"/>
        <v>207</v>
      </c>
    </row>
    <row r="4404" spans="1:6" x14ac:dyDescent="0.25">
      <c r="A4404" s="5" t="s">
        <v>33</v>
      </c>
      <c r="B4404" s="2">
        <v>44076</v>
      </c>
      <c r="C4404" s="1">
        <v>1</v>
      </c>
      <c r="D4404" s="47">
        <f t="shared" si="346"/>
        <v>213</v>
      </c>
      <c r="F4404" s="47">
        <f t="shared" si="343"/>
        <v>3</v>
      </c>
    </row>
    <row r="4405" spans="1:6" x14ac:dyDescent="0.25">
      <c r="A4405" s="5" t="s">
        <v>21</v>
      </c>
      <c r="B4405" s="2">
        <v>44076</v>
      </c>
      <c r="C4405" s="1">
        <v>67</v>
      </c>
      <c r="D4405" s="47">
        <f t="shared" si="346"/>
        <v>1695</v>
      </c>
      <c r="F4405" s="47">
        <f t="shared" si="343"/>
        <v>39</v>
      </c>
    </row>
    <row r="4406" spans="1:6" x14ac:dyDescent="0.25">
      <c r="A4406" s="5" t="s">
        <v>17</v>
      </c>
      <c r="B4406" s="2">
        <v>44076</v>
      </c>
      <c r="C4406" s="1">
        <v>413</v>
      </c>
      <c r="D4406" s="47">
        <f t="shared" si="346"/>
        <v>7604</v>
      </c>
      <c r="E4406" s="1">
        <f>1+2+1</f>
        <v>4</v>
      </c>
      <c r="F4406" s="47">
        <f t="shared" si="343"/>
        <v>85</v>
      </c>
    </row>
    <row r="4407" spans="1:6" x14ac:dyDescent="0.25">
      <c r="A4407" s="5" t="s">
        <v>23</v>
      </c>
      <c r="B4407" s="2">
        <v>44076</v>
      </c>
      <c r="C4407" s="1">
        <v>-2</v>
      </c>
      <c r="D4407" s="47">
        <f t="shared" si="346"/>
        <v>64</v>
      </c>
      <c r="F4407" s="47">
        <f t="shared" si="343"/>
        <v>2</v>
      </c>
    </row>
    <row r="4408" spans="1:6" x14ac:dyDescent="0.25">
      <c r="A4408" s="5" t="s">
        <v>19</v>
      </c>
      <c r="B4408" s="2">
        <v>44076</v>
      </c>
      <c r="C4408" s="1">
        <v>91</v>
      </c>
      <c r="D4408" s="47">
        <f>C4408+D4384</f>
        <v>3263</v>
      </c>
      <c r="F4408" s="47">
        <f t="shared" si="343"/>
        <v>26</v>
      </c>
    </row>
    <row r="4409" spans="1:6" x14ac:dyDescent="0.25">
      <c r="A4409" s="5" t="s">
        <v>18</v>
      </c>
      <c r="B4409" s="2">
        <v>44076</v>
      </c>
      <c r="C4409" s="1">
        <v>173</v>
      </c>
      <c r="D4409" s="47">
        <f>C4409+D4385</f>
        <v>6348</v>
      </c>
      <c r="E4409" s="1">
        <f>1+6</f>
        <v>7</v>
      </c>
      <c r="F4409" s="47">
        <f t="shared" si="343"/>
        <v>105</v>
      </c>
    </row>
    <row r="4410" spans="1:6" x14ac:dyDescent="0.25">
      <c r="A4410" s="5" t="s">
        <v>34</v>
      </c>
      <c r="B4410" s="2">
        <v>44076</v>
      </c>
      <c r="C4410" s="1">
        <v>184</v>
      </c>
      <c r="D4410" s="47">
        <f>C4410+D4386</f>
        <v>3687</v>
      </c>
      <c r="E4410" s="1">
        <f>1</f>
        <v>1</v>
      </c>
      <c r="F4410" s="47">
        <f>E4410+F4386</f>
        <v>46</v>
      </c>
    </row>
    <row r="4411" spans="1:6" x14ac:dyDescent="0.25">
      <c r="A4411" s="5" t="s">
        <v>35</v>
      </c>
      <c r="B4411" s="2">
        <v>44076</v>
      </c>
      <c r="C4411" s="1">
        <v>32</v>
      </c>
      <c r="D4411" s="47">
        <f t="shared" ref="D4411:D4417" si="347">C4411+D4387</f>
        <v>255</v>
      </c>
      <c r="F4411" s="47">
        <f>E4411+F4387</f>
        <v>0</v>
      </c>
    </row>
    <row r="4412" spans="1:6" x14ac:dyDescent="0.25">
      <c r="A4412" s="5" t="s">
        <v>36</v>
      </c>
      <c r="B4412" s="2">
        <v>44076</v>
      </c>
      <c r="C4412" s="1">
        <v>21</v>
      </c>
      <c r="D4412" s="47">
        <f t="shared" si="347"/>
        <v>177</v>
      </c>
      <c r="F4412" s="47">
        <f>E4412+F4388</f>
        <v>0</v>
      </c>
    </row>
    <row r="4413" spans="1:6" x14ac:dyDescent="0.25">
      <c r="A4413" s="5" t="s">
        <v>37</v>
      </c>
      <c r="B4413" s="2">
        <v>44076</v>
      </c>
      <c r="C4413" s="1">
        <v>107</v>
      </c>
      <c r="D4413" s="47">
        <f t="shared" si="347"/>
        <v>1915</v>
      </c>
      <c r="E4413" s="1">
        <f>1</f>
        <v>1</v>
      </c>
      <c r="F4413" s="47">
        <f t="shared" ref="F4413:F4418" si="348">E4413+F4389</f>
        <v>15</v>
      </c>
    </row>
    <row r="4414" spans="1:6" x14ac:dyDescent="0.25">
      <c r="A4414" s="5" t="s">
        <v>22</v>
      </c>
      <c r="B4414" s="2">
        <v>44076</v>
      </c>
      <c r="C4414" s="1">
        <v>747</v>
      </c>
      <c r="D4414" s="47">
        <f t="shared" si="347"/>
        <v>9329</v>
      </c>
      <c r="E4414" s="1">
        <f>1+3+2</f>
        <v>6</v>
      </c>
      <c r="F4414" s="47">
        <f t="shared" si="348"/>
        <v>101</v>
      </c>
    </row>
    <row r="4415" spans="1:6" x14ac:dyDescent="0.25">
      <c r="A4415" s="5" t="s">
        <v>38</v>
      </c>
      <c r="B4415" s="2">
        <v>44076</v>
      </c>
      <c r="C4415" s="1">
        <v>55</v>
      </c>
      <c r="D4415" s="47">
        <f t="shared" si="347"/>
        <v>1031</v>
      </c>
      <c r="F4415" s="47">
        <f t="shared" si="348"/>
        <v>13</v>
      </c>
    </row>
    <row r="4416" spans="1:6" x14ac:dyDescent="0.25">
      <c r="A4416" s="5" t="s">
        <v>39</v>
      </c>
      <c r="B4416" s="2">
        <v>44076</v>
      </c>
      <c r="C4416" s="1">
        <v>33</v>
      </c>
      <c r="D4416" s="47">
        <f t="shared" si="347"/>
        <v>2135</v>
      </c>
      <c r="E4416" s="1">
        <f>2</f>
        <v>2</v>
      </c>
      <c r="F4416" s="47">
        <f t="shared" si="348"/>
        <v>31</v>
      </c>
    </row>
    <row r="4417" spans="1:6" x14ac:dyDescent="0.25">
      <c r="A4417" s="5" t="s">
        <v>40</v>
      </c>
      <c r="B4417" s="2">
        <v>44076</v>
      </c>
      <c r="C4417" s="1">
        <v>324</v>
      </c>
      <c r="D4417" s="47">
        <f t="shared" si="347"/>
        <v>2803</v>
      </c>
      <c r="F4417" s="47">
        <f t="shared" si="348"/>
        <v>14</v>
      </c>
    </row>
    <row r="4418" spans="1:6" x14ac:dyDescent="0.25">
      <c r="A4418" s="34" t="s">
        <v>16</v>
      </c>
      <c r="B4418" s="2">
        <v>44077</v>
      </c>
      <c r="C4418" s="1">
        <v>6990</v>
      </c>
      <c r="D4418" s="47">
        <f>C4418+D4394</f>
        <v>278175</v>
      </c>
      <c r="E4418" s="1">
        <v>182</v>
      </c>
      <c r="F4418" s="47">
        <f t="shared" si="348"/>
        <v>5624</v>
      </c>
    </row>
    <row r="4419" spans="1:6" x14ac:dyDescent="0.25">
      <c r="A4419" s="5" t="s">
        <v>43</v>
      </c>
      <c r="B4419" s="2">
        <v>44077</v>
      </c>
      <c r="C4419" s="1">
        <v>1411</v>
      </c>
      <c r="D4419" s="47">
        <f t="shared" ref="D4419:D4431" si="349">C4419+D4395</f>
        <v>99756</v>
      </c>
      <c r="E4419" s="1">
        <f>4+10+17</f>
        <v>31</v>
      </c>
      <c r="F4419" s="47">
        <f t="shared" ref="F4419:F4457" si="350">E4419+F4395</f>
        <v>2370</v>
      </c>
    </row>
    <row r="4420" spans="1:6" x14ac:dyDescent="0.25">
      <c r="A4420" s="5" t="s">
        <v>28</v>
      </c>
      <c r="B4420" s="2">
        <v>44077</v>
      </c>
      <c r="C4420" s="1">
        <v>3</v>
      </c>
      <c r="D4420" s="47">
        <f t="shared" si="349"/>
        <v>70</v>
      </c>
      <c r="F4420" s="47">
        <f t="shared" si="350"/>
        <v>0</v>
      </c>
    </row>
    <row r="4421" spans="1:6" x14ac:dyDescent="0.25">
      <c r="A4421" s="5" t="s">
        <v>15</v>
      </c>
      <c r="B4421" s="2">
        <v>44077</v>
      </c>
      <c r="C4421" s="1">
        <v>106</v>
      </c>
      <c r="D4421" s="47">
        <f t="shared" si="349"/>
        <v>5682</v>
      </c>
      <c r="E4421" s="1">
        <v>3</v>
      </c>
      <c r="F4421" s="47">
        <f t="shared" si="350"/>
        <v>219</v>
      </c>
    </row>
    <row r="4422" spans="1:6" x14ac:dyDescent="0.25">
      <c r="A4422" s="5" t="s">
        <v>29</v>
      </c>
      <c r="B4422" s="2">
        <v>44077</v>
      </c>
      <c r="C4422" s="1">
        <v>79</v>
      </c>
      <c r="D4422" s="47">
        <f t="shared" si="349"/>
        <v>1062</v>
      </c>
      <c r="F4422" s="47">
        <f t="shared" si="350"/>
        <v>7</v>
      </c>
    </row>
    <row r="4423" spans="1:6" x14ac:dyDescent="0.25">
      <c r="A4423" s="5" t="s">
        <v>20</v>
      </c>
      <c r="B4423" s="2">
        <v>44077</v>
      </c>
      <c r="C4423" s="1">
        <v>449</v>
      </c>
      <c r="D4423" s="47">
        <f t="shared" si="349"/>
        <v>9843</v>
      </c>
      <c r="E4423" s="1">
        <f>1+5+1</f>
        <v>7</v>
      </c>
      <c r="F4423" s="47">
        <f t="shared" si="350"/>
        <v>139</v>
      </c>
    </row>
    <row r="4424" spans="1:6" x14ac:dyDescent="0.25">
      <c r="A4424" s="5" t="s">
        <v>30</v>
      </c>
      <c r="B4424" s="2">
        <v>44077</v>
      </c>
      <c r="C4424" s="1">
        <v>9</v>
      </c>
      <c r="D4424" s="47">
        <f t="shared" si="349"/>
        <v>330</v>
      </c>
      <c r="F4424" s="47">
        <f t="shared" si="350"/>
        <v>5</v>
      </c>
    </row>
    <row r="4425" spans="1:6" x14ac:dyDescent="0.25">
      <c r="A4425" s="5" t="s">
        <v>31</v>
      </c>
      <c r="B4425" s="2">
        <v>44077</v>
      </c>
      <c r="C4425" s="1">
        <v>109</v>
      </c>
      <c r="D4425" s="47">
        <f t="shared" si="349"/>
        <v>3947</v>
      </c>
      <c r="F4425" s="47">
        <f t="shared" si="350"/>
        <v>54</v>
      </c>
    </row>
    <row r="4426" spans="1:6" x14ac:dyDescent="0.25">
      <c r="A4426" s="5" t="s">
        <v>41</v>
      </c>
      <c r="B4426" s="2">
        <v>44077</v>
      </c>
      <c r="C4426" s="1">
        <v>4</v>
      </c>
      <c r="D4426" s="47">
        <f t="shared" si="349"/>
        <v>88</v>
      </c>
      <c r="F4426" s="47">
        <f>E4426+F4402</f>
        <v>1</v>
      </c>
    </row>
    <row r="4427" spans="1:6" x14ac:dyDescent="0.25">
      <c r="A4427" s="5" t="s">
        <v>32</v>
      </c>
      <c r="B4427" s="2">
        <v>44077</v>
      </c>
      <c r="C4427" s="1">
        <v>357</v>
      </c>
      <c r="D4427" s="47">
        <f t="shared" si="349"/>
        <v>9217</v>
      </c>
      <c r="E4427" s="1">
        <f>2+1</f>
        <v>3</v>
      </c>
      <c r="F4427" s="47">
        <f t="shared" si="350"/>
        <v>210</v>
      </c>
    </row>
    <row r="4428" spans="1:6" x14ac:dyDescent="0.25">
      <c r="A4428" s="5" t="s">
        <v>33</v>
      </c>
      <c r="B4428" s="2">
        <v>44077</v>
      </c>
      <c r="C4428" s="1">
        <v>1</v>
      </c>
      <c r="D4428" s="47">
        <f t="shared" si="349"/>
        <v>214</v>
      </c>
      <c r="E4428" s="1">
        <f>1</f>
        <v>1</v>
      </c>
      <c r="F4428" s="47">
        <f t="shared" si="350"/>
        <v>4</v>
      </c>
    </row>
    <row r="4429" spans="1:6" x14ac:dyDescent="0.25">
      <c r="A4429" s="5" t="s">
        <v>21</v>
      </c>
      <c r="B4429" s="2">
        <v>44077</v>
      </c>
      <c r="C4429" s="1">
        <v>93</v>
      </c>
      <c r="D4429" s="47">
        <f t="shared" si="349"/>
        <v>1788</v>
      </c>
      <c r="F4429" s="47">
        <f t="shared" si="350"/>
        <v>39</v>
      </c>
    </row>
    <row r="4430" spans="1:6" x14ac:dyDescent="0.25">
      <c r="A4430" s="5" t="s">
        <v>17</v>
      </c>
      <c r="B4430" s="2">
        <v>44077</v>
      </c>
      <c r="C4430" s="1">
        <v>544</v>
      </c>
      <c r="D4430" s="47">
        <f t="shared" si="349"/>
        <v>8148</v>
      </c>
      <c r="E4430" s="1">
        <f>1</f>
        <v>1</v>
      </c>
      <c r="F4430" s="47">
        <f t="shared" si="350"/>
        <v>86</v>
      </c>
    </row>
    <row r="4431" spans="1:6" x14ac:dyDescent="0.25">
      <c r="A4431" s="5" t="s">
        <v>23</v>
      </c>
      <c r="B4431" s="2">
        <v>44077</v>
      </c>
      <c r="C4431" s="1">
        <v>0</v>
      </c>
      <c r="D4431" s="47">
        <f t="shared" si="349"/>
        <v>64</v>
      </c>
      <c r="F4431" s="47">
        <f t="shared" si="350"/>
        <v>2</v>
      </c>
    </row>
    <row r="4432" spans="1:6" x14ac:dyDescent="0.25">
      <c r="A4432" s="5" t="s">
        <v>19</v>
      </c>
      <c r="B4432" s="2">
        <v>44077</v>
      </c>
      <c r="C4432" s="1">
        <v>135</v>
      </c>
      <c r="D4432" s="47">
        <f>C4432+D4408</f>
        <v>3398</v>
      </c>
      <c r="E4432" s="1">
        <f>1+1+1</f>
        <v>3</v>
      </c>
      <c r="F4432" s="47">
        <f t="shared" si="350"/>
        <v>29</v>
      </c>
    </row>
    <row r="4433" spans="1:6" x14ac:dyDescent="0.25">
      <c r="A4433" s="5" t="s">
        <v>18</v>
      </c>
      <c r="B4433" s="2">
        <v>44077</v>
      </c>
      <c r="C4433" s="1">
        <v>158</v>
      </c>
      <c r="D4433" s="47">
        <f>C4433+D4409</f>
        <v>6506</v>
      </c>
      <c r="E4433" s="1">
        <f>2+4</f>
        <v>6</v>
      </c>
      <c r="F4433" s="47">
        <f t="shared" si="350"/>
        <v>111</v>
      </c>
    </row>
    <row r="4434" spans="1:6" x14ac:dyDescent="0.25">
      <c r="A4434" s="5" t="s">
        <v>34</v>
      </c>
      <c r="B4434" s="2">
        <v>44077</v>
      </c>
      <c r="C4434" s="1">
        <v>241</v>
      </c>
      <c r="D4434" s="47">
        <f>C4434+D4410</f>
        <v>3928</v>
      </c>
      <c r="E4434" s="1">
        <f>1</f>
        <v>1</v>
      </c>
      <c r="F4434" s="47">
        <f>E4434+F4410</f>
        <v>47</v>
      </c>
    </row>
    <row r="4435" spans="1:6" x14ac:dyDescent="0.25">
      <c r="A4435" s="5" t="s">
        <v>35</v>
      </c>
      <c r="B4435" s="2">
        <v>44077</v>
      </c>
      <c r="C4435" s="1">
        <v>74</v>
      </c>
      <c r="D4435" s="47">
        <f t="shared" ref="D4435:D4441" si="351">C4435+D4411</f>
        <v>329</v>
      </c>
      <c r="F4435" s="47">
        <f>E4435+F4411</f>
        <v>0</v>
      </c>
    </row>
    <row r="4436" spans="1:6" x14ac:dyDescent="0.25">
      <c r="A4436" s="5" t="s">
        <v>36</v>
      </c>
      <c r="B4436" s="2">
        <v>44077</v>
      </c>
      <c r="C4436" s="1">
        <v>18</v>
      </c>
      <c r="D4436" s="47">
        <f t="shared" si="351"/>
        <v>195</v>
      </c>
      <c r="F4436" s="47">
        <f t="shared" si="350"/>
        <v>0</v>
      </c>
    </row>
    <row r="4437" spans="1:6" x14ac:dyDescent="0.25">
      <c r="A4437" s="5" t="s">
        <v>37</v>
      </c>
      <c r="B4437" s="2">
        <v>44077</v>
      </c>
      <c r="C4437" s="1">
        <v>47</v>
      </c>
      <c r="D4437" s="47">
        <f t="shared" si="351"/>
        <v>1962</v>
      </c>
      <c r="F4437" s="47">
        <f t="shared" ref="F4437:F4442" si="352">E4437+F4413</f>
        <v>15</v>
      </c>
    </row>
    <row r="4438" spans="1:6" x14ac:dyDescent="0.25">
      <c r="A4438" s="5" t="s">
        <v>22</v>
      </c>
      <c r="B4438" s="2">
        <v>44077</v>
      </c>
      <c r="C4438" s="1">
        <v>764</v>
      </c>
      <c r="D4438" s="47">
        <f t="shared" si="351"/>
        <v>10093</v>
      </c>
      <c r="E4438" s="1">
        <f>3+2</f>
        <v>5</v>
      </c>
      <c r="F4438" s="47">
        <f t="shared" si="352"/>
        <v>106</v>
      </c>
    </row>
    <row r="4439" spans="1:6" x14ac:dyDescent="0.25">
      <c r="A4439" s="5" t="s">
        <v>38</v>
      </c>
      <c r="B4439" s="2">
        <v>44077</v>
      </c>
      <c r="C4439" s="1">
        <v>64</v>
      </c>
      <c r="D4439" s="47">
        <f t="shared" si="351"/>
        <v>1095</v>
      </c>
      <c r="F4439" s="47">
        <f t="shared" si="352"/>
        <v>13</v>
      </c>
    </row>
    <row r="4440" spans="1:6" x14ac:dyDescent="0.25">
      <c r="A4440" s="5" t="s">
        <v>39</v>
      </c>
      <c r="B4440" s="2">
        <v>44077</v>
      </c>
      <c r="C4440" s="1">
        <v>98</v>
      </c>
      <c r="D4440" s="47">
        <f t="shared" si="351"/>
        <v>2233</v>
      </c>
      <c r="E4440" s="1">
        <f>1</f>
        <v>1</v>
      </c>
      <c r="F4440" s="47">
        <f t="shared" si="352"/>
        <v>32</v>
      </c>
    </row>
    <row r="4441" spans="1:6" x14ac:dyDescent="0.25">
      <c r="A4441" s="5" t="s">
        <v>40</v>
      </c>
      <c r="B4441" s="2">
        <v>44077</v>
      </c>
      <c r="C4441" s="1">
        <v>272</v>
      </c>
      <c r="D4441" s="47">
        <f t="shared" si="351"/>
        <v>3075</v>
      </c>
      <c r="F4441" s="47">
        <f t="shared" si="352"/>
        <v>14</v>
      </c>
    </row>
    <row r="4442" spans="1:6" x14ac:dyDescent="0.25">
      <c r="A4442" s="34" t="s">
        <v>16</v>
      </c>
      <c r="B4442" s="2">
        <v>44078</v>
      </c>
      <c r="C4442" s="1">
        <v>5682</v>
      </c>
      <c r="D4442" s="47">
        <f>C4442+D4418</f>
        <v>283857</v>
      </c>
      <c r="E4442" s="1">
        <v>175</v>
      </c>
      <c r="F4442" s="47">
        <f t="shared" si="352"/>
        <v>5799</v>
      </c>
    </row>
    <row r="4443" spans="1:6" x14ac:dyDescent="0.25">
      <c r="A4443" s="5" t="s">
        <v>43</v>
      </c>
      <c r="B4443" s="2">
        <v>44078</v>
      </c>
      <c r="C4443" s="1">
        <v>1278</v>
      </c>
      <c r="D4443" s="47">
        <f t="shared" ref="D4443:D4455" si="353">C4443+D4419</f>
        <v>101034</v>
      </c>
      <c r="E4443" s="1">
        <v>43</v>
      </c>
      <c r="F4443" s="47">
        <f t="shared" si="350"/>
        <v>2413</v>
      </c>
    </row>
    <row r="4444" spans="1:6" x14ac:dyDescent="0.25">
      <c r="A4444" s="5" t="s">
        <v>28</v>
      </c>
      <c r="B4444" s="2">
        <v>44078</v>
      </c>
      <c r="C4444" s="1">
        <v>1</v>
      </c>
      <c r="D4444" s="47">
        <f t="shared" si="353"/>
        <v>71</v>
      </c>
      <c r="F4444" s="47">
        <f t="shared" si="350"/>
        <v>0</v>
      </c>
    </row>
    <row r="4445" spans="1:6" x14ac:dyDescent="0.25">
      <c r="A4445" s="5" t="s">
        <v>15</v>
      </c>
      <c r="B4445" s="2">
        <v>44078</v>
      </c>
      <c r="C4445" s="1">
        <v>89</v>
      </c>
      <c r="D4445" s="47">
        <f t="shared" si="353"/>
        <v>5771</v>
      </c>
      <c r="E4445" s="1">
        <f>1+1</f>
        <v>2</v>
      </c>
      <c r="F4445" s="47">
        <f t="shared" si="350"/>
        <v>221</v>
      </c>
    </row>
    <row r="4446" spans="1:6" x14ac:dyDescent="0.25">
      <c r="A4446" s="5" t="s">
        <v>29</v>
      </c>
      <c r="B4446" s="2">
        <v>44078</v>
      </c>
      <c r="C4446" s="1">
        <v>39</v>
      </c>
      <c r="D4446" s="47">
        <f t="shared" si="353"/>
        <v>1101</v>
      </c>
      <c r="F4446" s="47">
        <f t="shared" si="350"/>
        <v>7</v>
      </c>
    </row>
    <row r="4447" spans="1:6" x14ac:dyDescent="0.25">
      <c r="A4447" s="5" t="s">
        <v>20</v>
      </c>
      <c r="B4447" s="2">
        <v>44078</v>
      </c>
      <c r="C4447" s="1">
        <v>498</v>
      </c>
      <c r="D4447" s="47">
        <f t="shared" si="353"/>
        <v>10341</v>
      </c>
      <c r="E4447" s="1">
        <f>1+4+2</f>
        <v>7</v>
      </c>
      <c r="F4447" s="47">
        <f t="shared" si="350"/>
        <v>146</v>
      </c>
    </row>
    <row r="4448" spans="1:6" x14ac:dyDescent="0.25">
      <c r="A4448" s="5" t="s">
        <v>30</v>
      </c>
      <c r="B4448" s="2">
        <v>44078</v>
      </c>
      <c r="C4448" s="1">
        <v>3</v>
      </c>
      <c r="D4448" s="47">
        <f t="shared" si="353"/>
        <v>333</v>
      </c>
      <c r="F4448" s="47">
        <f t="shared" si="350"/>
        <v>5</v>
      </c>
    </row>
    <row r="4449" spans="1:6" x14ac:dyDescent="0.25">
      <c r="A4449" s="5" t="s">
        <v>31</v>
      </c>
      <c r="B4449" s="2">
        <v>44078</v>
      </c>
      <c r="C4449" s="1">
        <v>166</v>
      </c>
      <c r="D4449" s="47">
        <f t="shared" si="353"/>
        <v>4113</v>
      </c>
      <c r="E4449" s="1">
        <v>1</v>
      </c>
      <c r="F4449" s="47">
        <f t="shared" si="350"/>
        <v>55</v>
      </c>
    </row>
    <row r="4450" spans="1:6" x14ac:dyDescent="0.25">
      <c r="A4450" s="5" t="s">
        <v>41</v>
      </c>
      <c r="B4450" s="2">
        <v>44078</v>
      </c>
      <c r="C4450" s="1">
        <v>2</v>
      </c>
      <c r="D4450" s="47">
        <f t="shared" si="353"/>
        <v>90</v>
      </c>
      <c r="F4450" s="47">
        <f>E4450+F4426</f>
        <v>1</v>
      </c>
    </row>
    <row r="4451" spans="1:6" x14ac:dyDescent="0.25">
      <c r="A4451" s="5" t="s">
        <v>32</v>
      </c>
      <c r="B4451" s="2">
        <v>44078</v>
      </c>
      <c r="C4451" s="1">
        <v>332</v>
      </c>
      <c r="D4451" s="47">
        <f t="shared" si="353"/>
        <v>9549</v>
      </c>
      <c r="E4451" s="1">
        <f>4+1</f>
        <v>5</v>
      </c>
      <c r="F4451" s="47">
        <f t="shared" si="350"/>
        <v>215</v>
      </c>
    </row>
    <row r="4452" spans="1:6" x14ac:dyDescent="0.25">
      <c r="A4452" s="5" t="s">
        <v>33</v>
      </c>
      <c r="B4452" s="2">
        <v>44078</v>
      </c>
      <c r="C4452" s="1">
        <v>7</v>
      </c>
      <c r="D4452" s="47">
        <f t="shared" si="353"/>
        <v>221</v>
      </c>
      <c r="F4452" s="47">
        <f t="shared" si="350"/>
        <v>4</v>
      </c>
    </row>
    <row r="4453" spans="1:6" x14ac:dyDescent="0.25">
      <c r="A4453" s="5" t="s">
        <v>21</v>
      </c>
      <c r="B4453" s="2">
        <v>44078</v>
      </c>
      <c r="C4453" s="1">
        <v>99</v>
      </c>
      <c r="D4453" s="47">
        <f t="shared" si="353"/>
        <v>1887</v>
      </c>
      <c r="F4453" s="47">
        <f t="shared" si="350"/>
        <v>39</v>
      </c>
    </row>
    <row r="4454" spans="1:6" x14ac:dyDescent="0.25">
      <c r="A4454" s="5" t="s">
        <v>17</v>
      </c>
      <c r="B4454" s="2">
        <v>44078</v>
      </c>
      <c r="C4454" s="1">
        <v>653</v>
      </c>
      <c r="D4454" s="47">
        <f t="shared" si="353"/>
        <v>8801</v>
      </c>
      <c r="E4454" s="1">
        <f>1+1</f>
        <v>2</v>
      </c>
      <c r="F4454" s="47">
        <f t="shared" si="350"/>
        <v>88</v>
      </c>
    </row>
    <row r="4455" spans="1:6" x14ac:dyDescent="0.25">
      <c r="A4455" s="5" t="s">
        <v>23</v>
      </c>
      <c r="B4455" s="2">
        <v>44078</v>
      </c>
      <c r="C4455" s="1">
        <v>1</v>
      </c>
      <c r="D4455" s="47">
        <f t="shared" si="353"/>
        <v>65</v>
      </c>
      <c r="F4455" s="47">
        <f t="shared" si="350"/>
        <v>2</v>
      </c>
    </row>
    <row r="4456" spans="1:6" x14ac:dyDescent="0.25">
      <c r="A4456" s="5" t="s">
        <v>19</v>
      </c>
      <c r="B4456" s="2">
        <v>44078</v>
      </c>
      <c r="C4456" s="1">
        <v>73</v>
      </c>
      <c r="D4456" s="47">
        <f>C4456+D4432</f>
        <v>3471</v>
      </c>
      <c r="F4456" s="47">
        <f t="shared" si="350"/>
        <v>29</v>
      </c>
    </row>
    <row r="4457" spans="1:6" x14ac:dyDescent="0.25">
      <c r="A4457" s="5" t="s">
        <v>18</v>
      </c>
      <c r="B4457" s="2">
        <v>44078</v>
      </c>
      <c r="C4457" s="1">
        <v>262</v>
      </c>
      <c r="D4457" s="47">
        <f>C4457+D4433</f>
        <v>6768</v>
      </c>
      <c r="E4457" s="1">
        <f>1+1+3+2</f>
        <v>7</v>
      </c>
      <c r="F4457" s="47">
        <f t="shared" si="350"/>
        <v>118</v>
      </c>
    </row>
    <row r="4458" spans="1:6" x14ac:dyDescent="0.25">
      <c r="A4458" s="5" t="s">
        <v>34</v>
      </c>
      <c r="B4458" s="2">
        <v>44078</v>
      </c>
      <c r="C4458" s="1">
        <v>269</v>
      </c>
      <c r="D4458" s="47">
        <f>C4458+D4434</f>
        <v>4197</v>
      </c>
      <c r="E4458" s="1">
        <f>5+3</f>
        <v>8</v>
      </c>
      <c r="F4458" s="47">
        <f>E4458+F4434</f>
        <v>55</v>
      </c>
    </row>
    <row r="4459" spans="1:6" x14ac:dyDescent="0.25">
      <c r="A4459" s="5" t="s">
        <v>35</v>
      </c>
      <c r="B4459" s="2">
        <v>44078</v>
      </c>
      <c r="C4459" s="1">
        <v>29</v>
      </c>
      <c r="D4459" s="47">
        <f t="shared" ref="D4459:D4465" si="354">C4459+D4435</f>
        <v>358</v>
      </c>
      <c r="F4459" s="47">
        <f>E4459+F4435</f>
        <v>0</v>
      </c>
    </row>
    <row r="4460" spans="1:6" x14ac:dyDescent="0.25">
      <c r="A4460" s="5" t="s">
        <v>36</v>
      </c>
      <c r="B4460" s="2">
        <v>44078</v>
      </c>
      <c r="C4460" s="1">
        <v>15</v>
      </c>
      <c r="D4460" s="47">
        <f t="shared" si="354"/>
        <v>210</v>
      </c>
      <c r="F4460" s="47">
        <f>E4460+F4436</f>
        <v>0</v>
      </c>
    </row>
    <row r="4461" spans="1:6" x14ac:dyDescent="0.25">
      <c r="A4461" s="5" t="s">
        <v>37</v>
      </c>
      <c r="B4461" s="2">
        <v>44078</v>
      </c>
      <c r="C4461" s="1">
        <v>67</v>
      </c>
      <c r="D4461" s="47">
        <f t="shared" si="354"/>
        <v>2029</v>
      </c>
      <c r="E4461" s="1">
        <v>1</v>
      </c>
      <c r="F4461" s="47">
        <f t="shared" ref="F4461:F4466" si="355">E4461+F4437</f>
        <v>16</v>
      </c>
    </row>
    <row r="4462" spans="1:6" x14ac:dyDescent="0.25">
      <c r="A4462" s="5" t="s">
        <v>22</v>
      </c>
      <c r="B4462" s="2">
        <v>44078</v>
      </c>
      <c r="C4462" s="1">
        <v>713</v>
      </c>
      <c r="D4462" s="47">
        <f t="shared" si="354"/>
        <v>10806</v>
      </c>
      <c r="E4462" s="1">
        <f>2+2+2+1</f>
        <v>7</v>
      </c>
      <c r="F4462" s="47">
        <f t="shared" si="355"/>
        <v>113</v>
      </c>
    </row>
    <row r="4463" spans="1:6" x14ac:dyDescent="0.25">
      <c r="A4463" s="5" t="s">
        <v>38</v>
      </c>
      <c r="B4463" s="2">
        <v>44078</v>
      </c>
      <c r="C4463" s="1">
        <v>57</v>
      </c>
      <c r="D4463" s="47">
        <f t="shared" si="354"/>
        <v>1152</v>
      </c>
      <c r="F4463" s="47">
        <f t="shared" si="355"/>
        <v>13</v>
      </c>
    </row>
    <row r="4464" spans="1:6" x14ac:dyDescent="0.25">
      <c r="A4464" s="5" t="s">
        <v>39</v>
      </c>
      <c r="B4464" s="2">
        <v>44078</v>
      </c>
      <c r="C4464" s="1">
        <v>39</v>
      </c>
      <c r="D4464" s="47">
        <f t="shared" si="354"/>
        <v>2272</v>
      </c>
      <c r="E4464" s="1">
        <f>1+1+1</f>
        <v>3</v>
      </c>
      <c r="F4464" s="47">
        <f t="shared" si="355"/>
        <v>35</v>
      </c>
    </row>
    <row r="4465" spans="1:6" x14ac:dyDescent="0.25">
      <c r="A4465" s="5" t="s">
        <v>40</v>
      </c>
      <c r="B4465" s="2">
        <v>44078</v>
      </c>
      <c r="C4465" s="1">
        <v>310</v>
      </c>
      <c r="D4465" s="47">
        <f t="shared" si="354"/>
        <v>3385</v>
      </c>
      <c r="F4465" s="47">
        <f t="shared" si="355"/>
        <v>14</v>
      </c>
    </row>
    <row r="4466" spans="1:6" x14ac:dyDescent="0.25">
      <c r="A4466" s="34" t="s">
        <v>16</v>
      </c>
      <c r="B4466" s="2">
        <v>44079</v>
      </c>
      <c r="C4466" s="1">
        <v>5320</v>
      </c>
      <c r="D4466" s="47">
        <f>C4466+D4442</f>
        <v>289177</v>
      </c>
      <c r="E4466" s="1">
        <f>24+17+1+14+15</f>
        <v>71</v>
      </c>
      <c r="F4466" s="47">
        <f t="shared" si="355"/>
        <v>5870</v>
      </c>
    </row>
    <row r="4467" spans="1:6" x14ac:dyDescent="0.25">
      <c r="A4467" s="5" t="s">
        <v>43</v>
      </c>
      <c r="B4467" s="2">
        <v>44079</v>
      </c>
      <c r="C4467" s="1">
        <v>1084</v>
      </c>
      <c r="D4467" s="47">
        <f t="shared" ref="D4467:D4479" si="356">C4467+D4443</f>
        <v>102118</v>
      </c>
      <c r="E4467" s="1">
        <f>6+4+3</f>
        <v>13</v>
      </c>
      <c r="F4467" s="47">
        <f t="shared" ref="F4467:F4505" si="357">E4467+F4443</f>
        <v>2426</v>
      </c>
    </row>
    <row r="4468" spans="1:6" x14ac:dyDescent="0.25">
      <c r="A4468" s="5" t="s">
        <v>28</v>
      </c>
      <c r="B4468" s="2">
        <v>44079</v>
      </c>
      <c r="C4468" s="1">
        <v>10</v>
      </c>
      <c r="D4468" s="47">
        <f t="shared" si="356"/>
        <v>81</v>
      </c>
      <c r="F4468" s="47">
        <f t="shared" si="357"/>
        <v>0</v>
      </c>
    </row>
    <row r="4469" spans="1:6" x14ac:dyDescent="0.25">
      <c r="A4469" s="5" t="s">
        <v>15</v>
      </c>
      <c r="B4469" s="2">
        <v>44079</v>
      </c>
      <c r="C4469" s="1">
        <v>141</v>
      </c>
      <c r="D4469" s="47">
        <f t="shared" si="356"/>
        <v>5912</v>
      </c>
      <c r="E4469" s="1">
        <f>1</f>
        <v>1</v>
      </c>
      <c r="F4469" s="47">
        <f t="shared" si="357"/>
        <v>222</v>
      </c>
    </row>
    <row r="4470" spans="1:6" x14ac:dyDescent="0.25">
      <c r="A4470" s="5" t="s">
        <v>29</v>
      </c>
      <c r="B4470" s="2">
        <v>44079</v>
      </c>
      <c r="C4470" s="1">
        <v>77</v>
      </c>
      <c r="D4470" s="47">
        <f t="shared" si="356"/>
        <v>1178</v>
      </c>
      <c r="F4470" s="47">
        <f t="shared" si="357"/>
        <v>7</v>
      </c>
    </row>
    <row r="4471" spans="1:6" x14ac:dyDescent="0.25">
      <c r="A4471" s="5" t="s">
        <v>20</v>
      </c>
      <c r="B4471" s="2">
        <v>44079</v>
      </c>
      <c r="C4471" s="1">
        <v>424</v>
      </c>
      <c r="D4471" s="47">
        <f t="shared" si="356"/>
        <v>10765</v>
      </c>
      <c r="E4471" s="1">
        <f>1+4+3</f>
        <v>8</v>
      </c>
      <c r="F4471" s="47">
        <f t="shared" si="357"/>
        <v>154</v>
      </c>
    </row>
    <row r="4472" spans="1:6" x14ac:dyDescent="0.25">
      <c r="A4472" s="5" t="s">
        <v>30</v>
      </c>
      <c r="B4472" s="2">
        <v>44079</v>
      </c>
      <c r="C4472" s="1">
        <v>2</v>
      </c>
      <c r="D4472" s="47">
        <f t="shared" si="356"/>
        <v>335</v>
      </c>
      <c r="F4472" s="47">
        <f t="shared" si="357"/>
        <v>5</v>
      </c>
    </row>
    <row r="4473" spans="1:6" x14ac:dyDescent="0.25">
      <c r="A4473" s="5" t="s">
        <v>31</v>
      </c>
      <c r="B4473" s="2">
        <v>44079</v>
      </c>
      <c r="C4473" s="1">
        <v>88</v>
      </c>
      <c r="D4473" s="47">
        <f t="shared" si="356"/>
        <v>4201</v>
      </c>
      <c r="E4473" s="1">
        <f>2+1+1</f>
        <v>4</v>
      </c>
      <c r="F4473" s="47">
        <f t="shared" si="357"/>
        <v>59</v>
      </c>
    </row>
    <row r="4474" spans="1:6" x14ac:dyDescent="0.25">
      <c r="A4474" s="5" t="s">
        <v>41</v>
      </c>
      <c r="B4474" s="2">
        <v>44079</v>
      </c>
      <c r="C4474" s="1">
        <v>-1</v>
      </c>
      <c r="D4474" s="47">
        <f t="shared" si="356"/>
        <v>89</v>
      </c>
      <c r="F4474" s="47">
        <f>E4474+F4450</f>
        <v>1</v>
      </c>
    </row>
    <row r="4475" spans="1:6" x14ac:dyDescent="0.25">
      <c r="A4475" s="5" t="s">
        <v>32</v>
      </c>
      <c r="B4475" s="2">
        <v>44079</v>
      </c>
      <c r="C4475" s="1">
        <v>326</v>
      </c>
      <c r="D4475" s="47">
        <f t="shared" si="356"/>
        <v>9875</v>
      </c>
      <c r="F4475" s="47">
        <f t="shared" si="357"/>
        <v>215</v>
      </c>
    </row>
    <row r="4476" spans="1:6" x14ac:dyDescent="0.25">
      <c r="A4476" s="5" t="s">
        <v>33</v>
      </c>
      <c r="B4476" s="2">
        <v>44079</v>
      </c>
      <c r="C4476" s="1">
        <v>9</v>
      </c>
      <c r="D4476" s="47">
        <f t="shared" si="356"/>
        <v>230</v>
      </c>
      <c r="F4476" s="47">
        <f t="shared" si="357"/>
        <v>4</v>
      </c>
    </row>
    <row r="4477" spans="1:6" x14ac:dyDescent="0.25">
      <c r="A4477" s="5" t="s">
        <v>21</v>
      </c>
      <c r="B4477" s="2">
        <v>44079</v>
      </c>
      <c r="C4477" s="1">
        <v>58</v>
      </c>
      <c r="D4477" s="47">
        <f t="shared" si="356"/>
        <v>1945</v>
      </c>
      <c r="F4477" s="47">
        <f t="shared" si="357"/>
        <v>39</v>
      </c>
    </row>
    <row r="4478" spans="1:6" x14ac:dyDescent="0.25">
      <c r="A4478" s="5" t="s">
        <v>17</v>
      </c>
      <c r="B4478" s="2">
        <v>44079</v>
      </c>
      <c r="C4478" s="1">
        <v>483</v>
      </c>
      <c r="D4478" s="47">
        <f t="shared" si="356"/>
        <v>9284</v>
      </c>
      <c r="E4478" s="1">
        <f>1</f>
        <v>1</v>
      </c>
      <c r="F4478" s="47">
        <f t="shared" si="357"/>
        <v>89</v>
      </c>
    </row>
    <row r="4479" spans="1:6" x14ac:dyDescent="0.25">
      <c r="A4479" s="5" t="s">
        <v>23</v>
      </c>
      <c r="B4479" s="2">
        <v>44079</v>
      </c>
      <c r="C4479" s="1">
        <v>0</v>
      </c>
      <c r="D4479" s="47">
        <f t="shared" si="356"/>
        <v>65</v>
      </c>
      <c r="F4479" s="47">
        <f t="shared" si="357"/>
        <v>2</v>
      </c>
    </row>
    <row r="4480" spans="1:6" x14ac:dyDescent="0.25">
      <c r="A4480" s="5" t="s">
        <v>19</v>
      </c>
      <c r="B4480" s="2">
        <v>44079</v>
      </c>
      <c r="C4480" s="1">
        <v>171</v>
      </c>
      <c r="D4480" s="47">
        <f>C4480+D4456</f>
        <v>3642</v>
      </c>
      <c r="E4480" s="1">
        <f>1</f>
        <v>1</v>
      </c>
      <c r="F4480" s="47">
        <f t="shared" si="357"/>
        <v>30</v>
      </c>
    </row>
    <row r="4481" spans="1:6" x14ac:dyDescent="0.25">
      <c r="A4481" s="5" t="s">
        <v>18</v>
      </c>
      <c r="B4481" s="2">
        <v>44079</v>
      </c>
      <c r="C4481" s="1">
        <v>169</v>
      </c>
      <c r="D4481" s="47">
        <f>C4481+D4457</f>
        <v>6937</v>
      </c>
      <c r="E4481" s="1">
        <f>2+2+1</f>
        <v>5</v>
      </c>
      <c r="F4481" s="47">
        <f t="shared" si="357"/>
        <v>123</v>
      </c>
    </row>
    <row r="4482" spans="1:6" x14ac:dyDescent="0.25">
      <c r="A4482" s="5" t="s">
        <v>34</v>
      </c>
      <c r="B4482" s="2">
        <v>44079</v>
      </c>
      <c r="C4482" s="1">
        <v>279</v>
      </c>
      <c r="D4482" s="47">
        <f>C4482+D4458</f>
        <v>4476</v>
      </c>
      <c r="E4482" s="1">
        <f>1</f>
        <v>1</v>
      </c>
      <c r="F4482" s="47">
        <f>E4482+F4458</f>
        <v>56</v>
      </c>
    </row>
    <row r="4483" spans="1:6" x14ac:dyDescent="0.25">
      <c r="A4483" s="5" t="s">
        <v>35</v>
      </c>
      <c r="B4483" s="2">
        <v>44079</v>
      </c>
      <c r="C4483" s="1">
        <v>15</v>
      </c>
      <c r="D4483" s="47">
        <f t="shared" ref="D4483:D4489" si="358">C4483+D4459</f>
        <v>373</v>
      </c>
      <c r="F4483" s="47">
        <f>E4483+F4459</f>
        <v>0</v>
      </c>
    </row>
    <row r="4484" spans="1:6" x14ac:dyDescent="0.25">
      <c r="A4484" s="5" t="s">
        <v>36</v>
      </c>
      <c r="B4484" s="2">
        <v>44079</v>
      </c>
      <c r="C4484" s="1">
        <v>35</v>
      </c>
      <c r="D4484" s="47">
        <f t="shared" si="358"/>
        <v>245</v>
      </c>
      <c r="F4484" s="47">
        <f t="shared" si="357"/>
        <v>0</v>
      </c>
    </row>
    <row r="4485" spans="1:6" x14ac:dyDescent="0.25">
      <c r="A4485" s="5" t="s">
        <v>37</v>
      </c>
      <c r="B4485" s="2">
        <v>44079</v>
      </c>
      <c r="C4485" s="1">
        <v>138</v>
      </c>
      <c r="D4485" s="47">
        <f t="shared" si="358"/>
        <v>2167</v>
      </c>
      <c r="F4485" s="47">
        <f t="shared" ref="F4485:F4490" si="359">E4485+F4461</f>
        <v>16</v>
      </c>
    </row>
    <row r="4486" spans="1:6" x14ac:dyDescent="0.25">
      <c r="A4486" s="5" t="s">
        <v>22</v>
      </c>
      <c r="B4486" s="2">
        <v>44079</v>
      </c>
      <c r="C4486" s="1">
        <v>698</v>
      </c>
      <c r="D4486" s="47">
        <f t="shared" si="358"/>
        <v>11504</v>
      </c>
      <c r="E4486" s="1">
        <v>6</v>
      </c>
      <c r="F4486" s="47">
        <f t="shared" si="359"/>
        <v>119</v>
      </c>
    </row>
    <row r="4487" spans="1:6" x14ac:dyDescent="0.25">
      <c r="A4487" s="5" t="s">
        <v>38</v>
      </c>
      <c r="B4487" s="2">
        <v>44079</v>
      </c>
      <c r="C4487" s="1">
        <v>67</v>
      </c>
      <c r="D4487" s="47">
        <f t="shared" si="358"/>
        <v>1219</v>
      </c>
      <c r="E4487" s="1">
        <f>3</f>
        <v>3</v>
      </c>
      <c r="F4487" s="47">
        <f t="shared" si="359"/>
        <v>16</v>
      </c>
    </row>
    <row r="4488" spans="1:6" x14ac:dyDescent="0.25">
      <c r="A4488" s="5" t="s">
        <v>39</v>
      </c>
      <c r="B4488" s="2">
        <v>44079</v>
      </c>
      <c r="C4488" s="1">
        <v>24</v>
      </c>
      <c r="D4488" s="47">
        <f t="shared" si="358"/>
        <v>2296</v>
      </c>
      <c r="E4488" s="1">
        <f>1+1</f>
        <v>2</v>
      </c>
      <c r="F4488" s="47">
        <f t="shared" si="359"/>
        <v>37</v>
      </c>
    </row>
    <row r="4489" spans="1:6" x14ac:dyDescent="0.25">
      <c r="A4489" s="5" t="s">
        <v>40</v>
      </c>
      <c r="B4489" s="2">
        <v>44079</v>
      </c>
      <c r="C4489" s="1">
        <v>307</v>
      </c>
      <c r="D4489" s="47">
        <f t="shared" si="358"/>
        <v>3692</v>
      </c>
      <c r="E4489" s="1">
        <f>1</f>
        <v>1</v>
      </c>
      <c r="F4489" s="47">
        <f t="shared" si="359"/>
        <v>15</v>
      </c>
    </row>
    <row r="4490" spans="1:6" x14ac:dyDescent="0.25">
      <c r="A4490" s="34" t="s">
        <v>16</v>
      </c>
      <c r="B4490" s="2">
        <v>44080</v>
      </c>
      <c r="C4490" s="1">
        <v>3269</v>
      </c>
      <c r="D4490" s="47">
        <f>C4490+D4466</f>
        <v>292446</v>
      </c>
      <c r="E4490" s="1">
        <v>68</v>
      </c>
      <c r="F4490" s="47">
        <f t="shared" si="359"/>
        <v>5938</v>
      </c>
    </row>
    <row r="4491" spans="1:6" x14ac:dyDescent="0.25">
      <c r="A4491" s="5" t="s">
        <v>43</v>
      </c>
      <c r="B4491" s="2">
        <v>44080</v>
      </c>
      <c r="C4491" s="1">
        <v>802</v>
      </c>
      <c r="D4491" s="47">
        <f t="shared" ref="D4491:D4503" si="360">C4491+D4467</f>
        <v>102920</v>
      </c>
      <c r="E4491" s="1">
        <f>7+3+1</f>
        <v>11</v>
      </c>
      <c r="F4491" s="47">
        <f t="shared" si="357"/>
        <v>2437</v>
      </c>
    </row>
    <row r="4492" spans="1:6" x14ac:dyDescent="0.25">
      <c r="A4492" s="5" t="s">
        <v>28</v>
      </c>
      <c r="B4492" s="2">
        <v>44080</v>
      </c>
      <c r="C4492" s="1">
        <v>5</v>
      </c>
      <c r="D4492" s="47">
        <f t="shared" si="360"/>
        <v>86</v>
      </c>
      <c r="F4492" s="47">
        <f t="shared" si="357"/>
        <v>0</v>
      </c>
    </row>
    <row r="4493" spans="1:6" x14ac:dyDescent="0.25">
      <c r="A4493" s="5" t="s">
        <v>15</v>
      </c>
      <c r="B4493" s="2">
        <v>44080</v>
      </c>
      <c r="C4493" s="1">
        <v>102</v>
      </c>
      <c r="D4493" s="47">
        <f t="shared" si="360"/>
        <v>6014</v>
      </c>
      <c r="E4493" s="1">
        <f>2+1</f>
        <v>3</v>
      </c>
      <c r="F4493" s="47">
        <f t="shared" si="357"/>
        <v>225</v>
      </c>
    </row>
    <row r="4494" spans="1:6" x14ac:dyDescent="0.25">
      <c r="A4494" s="5" t="s">
        <v>29</v>
      </c>
      <c r="B4494" s="2">
        <v>44080</v>
      </c>
      <c r="C4494" s="1">
        <v>39</v>
      </c>
      <c r="D4494" s="47">
        <f t="shared" si="360"/>
        <v>1217</v>
      </c>
      <c r="F4494" s="47">
        <f t="shared" si="357"/>
        <v>7</v>
      </c>
    </row>
    <row r="4495" spans="1:6" x14ac:dyDescent="0.25">
      <c r="A4495" s="5" t="s">
        <v>20</v>
      </c>
      <c r="B4495" s="2">
        <v>44080</v>
      </c>
      <c r="C4495" s="1">
        <v>387</v>
      </c>
      <c r="D4495" s="47">
        <f t="shared" si="360"/>
        <v>11152</v>
      </c>
      <c r="E4495" s="1">
        <f>1+4</f>
        <v>5</v>
      </c>
      <c r="F4495" s="47">
        <f t="shared" si="357"/>
        <v>159</v>
      </c>
    </row>
    <row r="4496" spans="1:6" x14ac:dyDescent="0.25">
      <c r="A4496" s="5" t="s">
        <v>30</v>
      </c>
      <c r="B4496" s="2">
        <v>44080</v>
      </c>
      <c r="C4496" s="1">
        <v>10</v>
      </c>
      <c r="D4496" s="47">
        <f t="shared" si="360"/>
        <v>345</v>
      </c>
      <c r="F4496" s="47">
        <f t="shared" si="357"/>
        <v>5</v>
      </c>
    </row>
    <row r="4497" spans="1:6" x14ac:dyDescent="0.25">
      <c r="A4497" s="5" t="s">
        <v>31</v>
      </c>
      <c r="B4497" s="2">
        <v>44080</v>
      </c>
      <c r="C4497" s="1">
        <v>92</v>
      </c>
      <c r="D4497" s="47">
        <f t="shared" si="360"/>
        <v>4293</v>
      </c>
      <c r="E4497" s="1">
        <f>1</f>
        <v>1</v>
      </c>
      <c r="F4497" s="47">
        <f t="shared" si="357"/>
        <v>60</v>
      </c>
    </row>
    <row r="4498" spans="1:6" x14ac:dyDescent="0.25">
      <c r="A4498" s="5" t="s">
        <v>41</v>
      </c>
      <c r="B4498" s="2">
        <v>44080</v>
      </c>
      <c r="C4498" s="1">
        <v>1</v>
      </c>
      <c r="D4498" s="47">
        <f t="shared" si="360"/>
        <v>90</v>
      </c>
      <c r="F4498" s="47">
        <f>E4498+F4474</f>
        <v>1</v>
      </c>
    </row>
    <row r="4499" spans="1:6" x14ac:dyDescent="0.25">
      <c r="A4499" s="5" t="s">
        <v>32</v>
      </c>
      <c r="B4499" s="2">
        <v>44080</v>
      </c>
      <c r="C4499" s="1">
        <v>250</v>
      </c>
      <c r="D4499" s="47">
        <f t="shared" si="360"/>
        <v>10125</v>
      </c>
      <c r="E4499" s="1">
        <f>3+1</f>
        <v>4</v>
      </c>
      <c r="F4499" s="47">
        <f t="shared" si="357"/>
        <v>219</v>
      </c>
    </row>
    <row r="4500" spans="1:6" x14ac:dyDescent="0.25">
      <c r="A4500" s="5" t="s">
        <v>33</v>
      </c>
      <c r="B4500" s="2">
        <v>44080</v>
      </c>
      <c r="C4500" s="1">
        <v>4</v>
      </c>
      <c r="D4500" s="47">
        <f t="shared" si="360"/>
        <v>234</v>
      </c>
      <c r="F4500" s="47">
        <f t="shared" si="357"/>
        <v>4</v>
      </c>
    </row>
    <row r="4501" spans="1:6" x14ac:dyDescent="0.25">
      <c r="A4501" s="5" t="s">
        <v>21</v>
      </c>
      <c r="B4501" s="2">
        <v>44080</v>
      </c>
      <c r="C4501" s="1">
        <v>94</v>
      </c>
      <c r="D4501" s="47">
        <f t="shared" si="360"/>
        <v>2039</v>
      </c>
      <c r="E4501" s="1">
        <f>2+1</f>
        <v>3</v>
      </c>
      <c r="F4501" s="47">
        <f t="shared" si="357"/>
        <v>42</v>
      </c>
    </row>
    <row r="4502" spans="1:6" x14ac:dyDescent="0.25">
      <c r="A4502" s="5" t="s">
        <v>17</v>
      </c>
      <c r="B4502" s="2">
        <v>44080</v>
      </c>
      <c r="C4502" s="1">
        <v>413</v>
      </c>
      <c r="D4502" s="47">
        <f t="shared" si="360"/>
        <v>9697</v>
      </c>
      <c r="E4502" s="1">
        <f>1</f>
        <v>1</v>
      </c>
      <c r="F4502" s="47">
        <f t="shared" si="357"/>
        <v>90</v>
      </c>
    </row>
    <row r="4503" spans="1:6" x14ac:dyDescent="0.25">
      <c r="A4503" s="5" t="s">
        <v>23</v>
      </c>
      <c r="B4503" s="2">
        <v>44080</v>
      </c>
      <c r="C4503" s="1">
        <v>2</v>
      </c>
      <c r="D4503" s="47">
        <f t="shared" si="360"/>
        <v>67</v>
      </c>
      <c r="F4503" s="47">
        <f t="shared" si="357"/>
        <v>2</v>
      </c>
    </row>
    <row r="4504" spans="1:6" x14ac:dyDescent="0.25">
      <c r="A4504" s="5" t="s">
        <v>19</v>
      </c>
      <c r="B4504" s="2">
        <v>44080</v>
      </c>
      <c r="C4504" s="1">
        <v>177</v>
      </c>
      <c r="D4504" s="47">
        <f>C4504+D4480</f>
        <v>3819</v>
      </c>
      <c r="E4504" s="1">
        <f>2+2</f>
        <v>4</v>
      </c>
      <c r="F4504" s="47">
        <f t="shared" si="357"/>
        <v>34</v>
      </c>
    </row>
    <row r="4505" spans="1:6" x14ac:dyDescent="0.25">
      <c r="A4505" s="5" t="s">
        <v>18</v>
      </c>
      <c r="B4505" s="2">
        <v>44080</v>
      </c>
      <c r="C4505" s="1">
        <v>54</v>
      </c>
      <c r="D4505" s="47">
        <f>C4505+D4481</f>
        <v>6991</v>
      </c>
      <c r="E4505" s="1">
        <f>1+1</f>
        <v>2</v>
      </c>
      <c r="F4505" s="47">
        <f t="shared" si="357"/>
        <v>125</v>
      </c>
    </row>
    <row r="4506" spans="1:6" x14ac:dyDescent="0.25">
      <c r="A4506" s="5" t="s">
        <v>34</v>
      </c>
      <c r="B4506" s="2">
        <v>44080</v>
      </c>
      <c r="C4506" s="1">
        <v>156</v>
      </c>
      <c r="D4506" s="47">
        <f>C4506+D4482</f>
        <v>4632</v>
      </c>
      <c r="E4506" s="1">
        <f>1+2</f>
        <v>3</v>
      </c>
      <c r="F4506" s="47">
        <f>E4506+F4482</f>
        <v>59</v>
      </c>
    </row>
    <row r="4507" spans="1:6" x14ac:dyDescent="0.25">
      <c r="A4507" s="5" t="s">
        <v>35</v>
      </c>
      <c r="B4507" s="2">
        <v>44080</v>
      </c>
      <c r="C4507" s="1">
        <v>4</v>
      </c>
      <c r="D4507" s="47">
        <f t="shared" ref="D4507:D4513" si="361">C4507+D4483</f>
        <v>377</v>
      </c>
      <c r="F4507" s="47">
        <f>E4507+F4483</f>
        <v>0</v>
      </c>
    </row>
    <row r="4508" spans="1:6" x14ac:dyDescent="0.25">
      <c r="A4508" s="5" t="s">
        <v>36</v>
      </c>
      <c r="B4508" s="2">
        <v>44080</v>
      </c>
      <c r="C4508" s="1">
        <v>2</v>
      </c>
      <c r="D4508" s="47">
        <f t="shared" si="361"/>
        <v>247</v>
      </c>
      <c r="F4508" s="47">
        <f>E4508+F4484</f>
        <v>0</v>
      </c>
    </row>
    <row r="4509" spans="1:6" x14ac:dyDescent="0.25">
      <c r="A4509" s="5" t="s">
        <v>37</v>
      </c>
      <c r="B4509" s="2">
        <v>44080</v>
      </c>
      <c r="C4509" s="1">
        <v>121</v>
      </c>
      <c r="D4509" s="47">
        <f t="shared" si="361"/>
        <v>2288</v>
      </c>
      <c r="F4509" s="47">
        <f t="shared" ref="F4509:F4515" si="362">E4509+F4485</f>
        <v>16</v>
      </c>
    </row>
    <row r="4510" spans="1:6" x14ac:dyDescent="0.25">
      <c r="A4510" s="5" t="s">
        <v>22</v>
      </c>
      <c r="B4510" s="2">
        <v>44080</v>
      </c>
      <c r="C4510" s="1">
        <v>615</v>
      </c>
      <c r="D4510" s="47">
        <f t="shared" si="361"/>
        <v>12119</v>
      </c>
      <c r="E4510" s="1">
        <f>1+4+6</f>
        <v>11</v>
      </c>
      <c r="F4510" s="47">
        <f t="shared" si="362"/>
        <v>130</v>
      </c>
    </row>
    <row r="4511" spans="1:6" x14ac:dyDescent="0.25">
      <c r="A4511" s="5" t="s">
        <v>38</v>
      </c>
      <c r="B4511" s="2">
        <v>44080</v>
      </c>
      <c r="C4511" s="1">
        <v>76</v>
      </c>
      <c r="D4511" s="47">
        <f t="shared" si="361"/>
        <v>1295</v>
      </c>
      <c r="E4511" s="1">
        <f>1</f>
        <v>1</v>
      </c>
      <c r="F4511" s="47">
        <f t="shared" si="362"/>
        <v>17</v>
      </c>
    </row>
    <row r="4512" spans="1:6" x14ac:dyDescent="0.25">
      <c r="A4512" s="5" t="s">
        <v>39</v>
      </c>
      <c r="B4512" s="2">
        <v>44080</v>
      </c>
      <c r="C4512" s="1">
        <v>49</v>
      </c>
      <c r="D4512" s="47">
        <f t="shared" si="361"/>
        <v>2345</v>
      </c>
      <c r="E4512" s="1">
        <f>1</f>
        <v>1</v>
      </c>
      <c r="F4512" s="47">
        <f t="shared" si="362"/>
        <v>38</v>
      </c>
    </row>
    <row r="4513" spans="1:6" x14ac:dyDescent="0.25">
      <c r="A4513" s="5" t="s">
        <v>40</v>
      </c>
      <c r="B4513" s="2">
        <v>44080</v>
      </c>
      <c r="C4513" s="1">
        <v>262</v>
      </c>
      <c r="D4513" s="47">
        <f t="shared" si="361"/>
        <v>3954</v>
      </c>
      <c r="F4513" s="47">
        <f t="shared" si="362"/>
        <v>15</v>
      </c>
    </row>
    <row r="4514" spans="1:6" x14ac:dyDescent="0.25">
      <c r="A4514" s="34" t="s">
        <v>16</v>
      </c>
      <c r="B4514" s="2">
        <v>44081</v>
      </c>
      <c r="C4514" s="1">
        <v>4633</v>
      </c>
      <c r="D4514" s="47">
        <f>C4514+D4490</f>
        <v>297079</v>
      </c>
      <c r="E4514" s="1">
        <f>7+9+64+60</f>
        <v>140</v>
      </c>
      <c r="F4514" s="47">
        <f t="shared" si="362"/>
        <v>6078</v>
      </c>
    </row>
    <row r="4515" spans="1:6" x14ac:dyDescent="0.25">
      <c r="A4515" s="5" t="s">
        <v>43</v>
      </c>
      <c r="B4515" s="2">
        <v>44081</v>
      </c>
      <c r="C4515" s="1">
        <v>1089</v>
      </c>
      <c r="D4515" s="47">
        <f t="shared" ref="D4515:D4527" si="363">C4515+D4491</f>
        <v>104009</v>
      </c>
      <c r="E4515" s="1">
        <v>64</v>
      </c>
      <c r="F4515" s="47">
        <f t="shared" si="362"/>
        <v>2501</v>
      </c>
    </row>
    <row r="4516" spans="1:6" x14ac:dyDescent="0.25">
      <c r="A4516" s="5" t="s">
        <v>28</v>
      </c>
      <c r="B4516" s="2">
        <v>44081</v>
      </c>
      <c r="C4516" s="1">
        <v>2</v>
      </c>
      <c r="D4516" s="47">
        <f t="shared" si="363"/>
        <v>88</v>
      </c>
      <c r="F4516" s="47">
        <f t="shared" ref="F4516:F4553" si="364">E4516+F4492</f>
        <v>0</v>
      </c>
    </row>
    <row r="4517" spans="1:6" x14ac:dyDescent="0.25">
      <c r="A4517" s="5" t="s">
        <v>15</v>
      </c>
      <c r="B4517" s="2">
        <v>44081</v>
      </c>
      <c r="C4517" s="1">
        <v>42</v>
      </c>
      <c r="D4517" s="47">
        <f t="shared" si="363"/>
        <v>6056</v>
      </c>
      <c r="E4517" s="1">
        <v>1</v>
      </c>
      <c r="F4517" s="47">
        <f t="shared" si="364"/>
        <v>226</v>
      </c>
    </row>
    <row r="4518" spans="1:6" x14ac:dyDescent="0.25">
      <c r="A4518" s="5" t="s">
        <v>29</v>
      </c>
      <c r="B4518" s="2">
        <v>44081</v>
      </c>
      <c r="C4518" s="1">
        <v>57</v>
      </c>
      <c r="D4518" s="47">
        <f t="shared" si="363"/>
        <v>1274</v>
      </c>
      <c r="E4518" s="1">
        <v>1</v>
      </c>
      <c r="F4518" s="47">
        <f t="shared" si="364"/>
        <v>8</v>
      </c>
    </row>
    <row r="4519" spans="1:6" x14ac:dyDescent="0.25">
      <c r="A4519" s="5" t="s">
        <v>20</v>
      </c>
      <c r="B4519" s="2">
        <v>44081</v>
      </c>
      <c r="C4519" s="1">
        <v>456</v>
      </c>
      <c r="D4519" s="47">
        <f t="shared" si="363"/>
        <v>11608</v>
      </c>
      <c r="E4519" s="1">
        <f>4+1</f>
        <v>5</v>
      </c>
      <c r="F4519" s="47">
        <f t="shared" si="364"/>
        <v>164</v>
      </c>
    </row>
    <row r="4520" spans="1:6" x14ac:dyDescent="0.25">
      <c r="A4520" s="5" t="s">
        <v>30</v>
      </c>
      <c r="B4520" s="2">
        <v>44081</v>
      </c>
      <c r="C4520" s="1">
        <v>41</v>
      </c>
      <c r="D4520" s="47">
        <f t="shared" si="363"/>
        <v>386</v>
      </c>
      <c r="F4520" s="47">
        <f t="shared" si="364"/>
        <v>5</v>
      </c>
    </row>
    <row r="4521" spans="1:6" x14ac:dyDescent="0.25">
      <c r="A4521" s="5" t="s">
        <v>31</v>
      </c>
      <c r="B4521" s="2">
        <v>44081</v>
      </c>
      <c r="C4521" s="1">
        <v>60</v>
      </c>
      <c r="D4521" s="47">
        <f t="shared" si="363"/>
        <v>4353</v>
      </c>
      <c r="E4521" s="1">
        <f>1+2</f>
        <v>3</v>
      </c>
      <c r="F4521" s="47">
        <f t="shared" si="364"/>
        <v>63</v>
      </c>
    </row>
    <row r="4522" spans="1:6" x14ac:dyDescent="0.25">
      <c r="A4522" s="5" t="s">
        <v>41</v>
      </c>
      <c r="B4522" s="2">
        <v>44081</v>
      </c>
      <c r="C4522" s="1">
        <v>0</v>
      </c>
      <c r="D4522" s="47">
        <f t="shared" si="363"/>
        <v>90</v>
      </c>
      <c r="F4522" s="47">
        <f>E4522+F4498</f>
        <v>1</v>
      </c>
    </row>
    <row r="4523" spans="1:6" x14ac:dyDescent="0.25">
      <c r="A4523" s="5" t="s">
        <v>32</v>
      </c>
      <c r="B4523" s="2">
        <v>44081</v>
      </c>
      <c r="C4523" s="1">
        <v>355</v>
      </c>
      <c r="D4523" s="47">
        <f t="shared" si="363"/>
        <v>10480</v>
      </c>
      <c r="E4523" s="1">
        <f>3+3</f>
        <v>6</v>
      </c>
      <c r="F4523" s="47">
        <f t="shared" si="364"/>
        <v>225</v>
      </c>
    </row>
    <row r="4524" spans="1:6" x14ac:dyDescent="0.25">
      <c r="A4524" s="5" t="s">
        <v>33</v>
      </c>
      <c r="B4524" s="2">
        <v>44081</v>
      </c>
      <c r="C4524" s="1">
        <v>9</v>
      </c>
      <c r="D4524" s="47">
        <f t="shared" si="363"/>
        <v>243</v>
      </c>
      <c r="F4524" s="47">
        <f t="shared" si="364"/>
        <v>4</v>
      </c>
    </row>
    <row r="4525" spans="1:6" x14ac:dyDescent="0.25">
      <c r="A4525" s="5" t="s">
        <v>21</v>
      </c>
      <c r="B4525" s="2">
        <v>44081</v>
      </c>
      <c r="C4525" s="1">
        <v>92</v>
      </c>
      <c r="D4525" s="47">
        <f t="shared" si="363"/>
        <v>2131</v>
      </c>
      <c r="E4525" s="1">
        <f>6+3</f>
        <v>9</v>
      </c>
      <c r="F4525" s="47">
        <f t="shared" si="364"/>
        <v>51</v>
      </c>
    </row>
    <row r="4526" spans="1:6" x14ac:dyDescent="0.25">
      <c r="A4526" s="5" t="s">
        <v>17</v>
      </c>
      <c r="B4526" s="2">
        <v>44081</v>
      </c>
      <c r="C4526" s="1">
        <v>623</v>
      </c>
      <c r="D4526" s="47">
        <f t="shared" si="363"/>
        <v>10320</v>
      </c>
      <c r="E4526" s="1">
        <f>1+1+3+2</f>
        <v>7</v>
      </c>
      <c r="F4526" s="47">
        <f t="shared" si="364"/>
        <v>97</v>
      </c>
    </row>
    <row r="4527" spans="1:6" x14ac:dyDescent="0.25">
      <c r="A4527" s="5" t="s">
        <v>23</v>
      </c>
      <c r="B4527" s="2">
        <v>44081</v>
      </c>
      <c r="C4527" s="1">
        <v>4</v>
      </c>
      <c r="D4527" s="47">
        <f t="shared" si="363"/>
        <v>71</v>
      </c>
      <c r="F4527" s="47">
        <f t="shared" si="364"/>
        <v>2</v>
      </c>
    </row>
    <row r="4528" spans="1:6" x14ac:dyDescent="0.25">
      <c r="A4528" s="5" t="s">
        <v>19</v>
      </c>
      <c r="B4528" s="2">
        <v>44081</v>
      </c>
      <c r="C4528" s="1">
        <v>140</v>
      </c>
      <c r="D4528" s="47">
        <f>C4528+D4504</f>
        <v>3959</v>
      </c>
      <c r="E4528" s="1">
        <f>2+2</f>
        <v>4</v>
      </c>
      <c r="F4528" s="47">
        <f t="shared" si="364"/>
        <v>38</v>
      </c>
    </row>
    <row r="4529" spans="1:6" x14ac:dyDescent="0.25">
      <c r="A4529" s="5" t="s">
        <v>18</v>
      </c>
      <c r="B4529" s="2">
        <v>44081</v>
      </c>
      <c r="C4529" s="1">
        <v>207</v>
      </c>
      <c r="D4529" s="47">
        <f>C4529+D4505</f>
        <v>7198</v>
      </c>
      <c r="E4529" s="1">
        <f>3+2</f>
        <v>5</v>
      </c>
      <c r="F4529" s="47">
        <f t="shared" si="364"/>
        <v>130</v>
      </c>
    </row>
    <row r="4530" spans="1:6" x14ac:dyDescent="0.25">
      <c r="A4530" s="5" t="s">
        <v>34</v>
      </c>
      <c r="B4530" s="2">
        <v>44081</v>
      </c>
      <c r="C4530" s="1">
        <v>195</v>
      </c>
      <c r="D4530" s="47">
        <f>C4530+D4506</f>
        <v>4827</v>
      </c>
      <c r="E4530" s="1">
        <f>2+2</f>
        <v>4</v>
      </c>
      <c r="F4530" s="47">
        <f>E4530+F4506</f>
        <v>63</v>
      </c>
    </row>
    <row r="4531" spans="1:6" x14ac:dyDescent="0.25">
      <c r="A4531" s="5" t="s">
        <v>35</v>
      </c>
      <c r="B4531" s="2">
        <v>44081</v>
      </c>
      <c r="C4531" s="1">
        <v>-13</v>
      </c>
      <c r="D4531" s="47">
        <f t="shared" ref="D4531:D4537" si="365">C4531+D4507</f>
        <v>364</v>
      </c>
      <c r="F4531" s="47">
        <f>E4531+F4507</f>
        <v>0</v>
      </c>
    </row>
    <row r="4532" spans="1:6" x14ac:dyDescent="0.25">
      <c r="A4532" s="5" t="s">
        <v>36</v>
      </c>
      <c r="B4532" s="2">
        <v>44081</v>
      </c>
      <c r="C4532" s="1">
        <v>60</v>
      </c>
      <c r="D4532" s="47">
        <f t="shared" si="365"/>
        <v>307</v>
      </c>
      <c r="F4532" s="47">
        <f t="shared" si="364"/>
        <v>0</v>
      </c>
    </row>
    <row r="4533" spans="1:6" x14ac:dyDescent="0.25">
      <c r="A4533" s="5" t="s">
        <v>37</v>
      </c>
      <c r="B4533" s="2">
        <v>44081</v>
      </c>
      <c r="C4533" s="1">
        <v>34</v>
      </c>
      <c r="D4533" s="47">
        <f t="shared" si="365"/>
        <v>2322</v>
      </c>
      <c r="E4533" s="1">
        <f>1+1+2</f>
        <v>4</v>
      </c>
      <c r="F4533" s="47">
        <f t="shared" ref="F4533:F4538" si="366">E4533+F4509</f>
        <v>20</v>
      </c>
    </row>
    <row r="4534" spans="1:6" x14ac:dyDescent="0.25">
      <c r="A4534" s="5" t="s">
        <v>22</v>
      </c>
      <c r="B4534" s="2">
        <v>44081</v>
      </c>
      <c r="C4534" s="1">
        <v>517</v>
      </c>
      <c r="D4534" s="47">
        <f t="shared" si="365"/>
        <v>12636</v>
      </c>
      <c r="E4534" s="1">
        <f>2+1+5+4</f>
        <v>12</v>
      </c>
      <c r="F4534" s="47">
        <f t="shared" si="366"/>
        <v>142</v>
      </c>
    </row>
    <row r="4535" spans="1:6" x14ac:dyDescent="0.25">
      <c r="A4535" s="5" t="s">
        <v>38</v>
      </c>
      <c r="B4535" s="2">
        <v>44081</v>
      </c>
      <c r="C4535" s="1">
        <v>48</v>
      </c>
      <c r="D4535" s="47">
        <f t="shared" si="365"/>
        <v>1343</v>
      </c>
      <c r="E4535" s="1">
        <f>1+1+1</f>
        <v>3</v>
      </c>
      <c r="F4535" s="47">
        <f t="shared" si="366"/>
        <v>20</v>
      </c>
    </row>
    <row r="4536" spans="1:6" x14ac:dyDescent="0.25">
      <c r="A4536" s="5" t="s">
        <v>39</v>
      </c>
      <c r="B4536" s="2">
        <v>44081</v>
      </c>
      <c r="C4536" s="1">
        <v>55</v>
      </c>
      <c r="D4536" s="47">
        <f t="shared" si="365"/>
        <v>2400</v>
      </c>
      <c r="F4536" s="47">
        <f t="shared" si="366"/>
        <v>38</v>
      </c>
    </row>
    <row r="4537" spans="1:6" x14ac:dyDescent="0.25">
      <c r="A4537" s="5" t="s">
        <v>40</v>
      </c>
      <c r="B4537" s="2">
        <v>44081</v>
      </c>
      <c r="C4537" s="1">
        <v>509</v>
      </c>
      <c r="D4537" s="47">
        <f t="shared" si="365"/>
        <v>4463</v>
      </c>
      <c r="E4537" s="1">
        <f>1</f>
        <v>1</v>
      </c>
      <c r="F4537" s="47">
        <f t="shared" si="366"/>
        <v>16</v>
      </c>
    </row>
    <row r="4538" spans="1:6" x14ac:dyDescent="0.25">
      <c r="A4538" s="34" t="s">
        <v>16</v>
      </c>
      <c r="B4538" s="2">
        <v>44082</v>
      </c>
      <c r="C4538" s="1">
        <v>6909</v>
      </c>
      <c r="D4538" s="47">
        <f>C4538+D4514</f>
        <v>303988</v>
      </c>
      <c r="E4538" s="1">
        <v>185</v>
      </c>
      <c r="F4538" s="47">
        <f t="shared" si="366"/>
        <v>6263</v>
      </c>
    </row>
    <row r="4539" spans="1:6" x14ac:dyDescent="0.25">
      <c r="A4539" s="5" t="s">
        <v>43</v>
      </c>
      <c r="B4539" s="2">
        <v>44082</v>
      </c>
      <c r="C4539" s="1">
        <v>1300</v>
      </c>
      <c r="D4539" s="47">
        <f t="shared" ref="D4539:D4551" si="367">C4539+D4515</f>
        <v>105309</v>
      </c>
      <c r="E4539" s="1">
        <v>29</v>
      </c>
      <c r="F4539" s="47">
        <f t="shared" si="364"/>
        <v>2530</v>
      </c>
    </row>
    <row r="4540" spans="1:6" x14ac:dyDescent="0.25">
      <c r="A4540" s="5" t="s">
        <v>28</v>
      </c>
      <c r="B4540" s="2">
        <v>44082</v>
      </c>
      <c r="C4540" s="1">
        <v>8</v>
      </c>
      <c r="D4540" s="47">
        <f t="shared" si="367"/>
        <v>96</v>
      </c>
      <c r="F4540" s="47">
        <f t="shared" si="364"/>
        <v>0</v>
      </c>
    </row>
    <row r="4541" spans="1:6" x14ac:dyDescent="0.25">
      <c r="A4541" s="5" t="s">
        <v>15</v>
      </c>
      <c r="B4541" s="2">
        <v>44082</v>
      </c>
      <c r="C4541" s="1">
        <v>94</v>
      </c>
      <c r="D4541" s="47">
        <f t="shared" si="367"/>
        <v>6150</v>
      </c>
      <c r="E4541" s="1">
        <f>1+1+1</f>
        <v>3</v>
      </c>
      <c r="F4541" s="47">
        <f>E4541+F4517</f>
        <v>229</v>
      </c>
    </row>
    <row r="4542" spans="1:6" x14ac:dyDescent="0.25">
      <c r="A4542" s="5" t="s">
        <v>29</v>
      </c>
      <c r="B4542" s="2">
        <v>44082</v>
      </c>
      <c r="C4542" s="1">
        <v>48</v>
      </c>
      <c r="D4542" s="47">
        <f t="shared" si="367"/>
        <v>1322</v>
      </c>
      <c r="F4542" s="47">
        <f t="shared" si="364"/>
        <v>8</v>
      </c>
    </row>
    <row r="4543" spans="1:6" x14ac:dyDescent="0.25">
      <c r="A4543" s="5" t="s">
        <v>20</v>
      </c>
      <c r="B4543" s="2">
        <v>44082</v>
      </c>
      <c r="C4543" s="1">
        <v>381</v>
      </c>
      <c r="D4543" s="47">
        <f t="shared" si="367"/>
        <v>11989</v>
      </c>
      <c r="E4543" s="1">
        <f>3+3</f>
        <v>6</v>
      </c>
      <c r="F4543" s="47">
        <f t="shared" si="364"/>
        <v>170</v>
      </c>
    </row>
    <row r="4544" spans="1:6" x14ac:dyDescent="0.25">
      <c r="A4544" s="5" t="s">
        <v>30</v>
      </c>
      <c r="B4544" s="2">
        <v>44082</v>
      </c>
      <c r="C4544" s="1">
        <v>20</v>
      </c>
      <c r="D4544" s="47">
        <f t="shared" si="367"/>
        <v>406</v>
      </c>
      <c r="F4544" s="47">
        <f t="shared" si="364"/>
        <v>5</v>
      </c>
    </row>
    <row r="4545" spans="1:6" x14ac:dyDescent="0.25">
      <c r="A4545" s="5" t="s">
        <v>31</v>
      </c>
      <c r="B4545" s="2">
        <v>44082</v>
      </c>
      <c r="C4545" s="1">
        <v>224</v>
      </c>
      <c r="D4545" s="47">
        <f t="shared" si="367"/>
        <v>4577</v>
      </c>
      <c r="E4545" s="1">
        <f>1+1+3</f>
        <v>5</v>
      </c>
      <c r="F4545" s="47">
        <f t="shared" si="364"/>
        <v>68</v>
      </c>
    </row>
    <row r="4546" spans="1:6" x14ac:dyDescent="0.25">
      <c r="A4546" s="5" t="s">
        <v>41</v>
      </c>
      <c r="B4546" s="2">
        <v>44082</v>
      </c>
      <c r="C4546" s="1">
        <v>0</v>
      </c>
      <c r="D4546" s="47">
        <f t="shared" si="367"/>
        <v>90</v>
      </c>
      <c r="F4546" s="47">
        <f>E4546+F4522</f>
        <v>1</v>
      </c>
    </row>
    <row r="4547" spans="1:6" x14ac:dyDescent="0.25">
      <c r="A4547" s="5" t="s">
        <v>32</v>
      </c>
      <c r="B4547" s="2">
        <v>44082</v>
      </c>
      <c r="C4547" s="1">
        <v>294</v>
      </c>
      <c r="D4547" s="47">
        <f t="shared" si="367"/>
        <v>10774</v>
      </c>
      <c r="E4547" s="1">
        <f>4+2</f>
        <v>6</v>
      </c>
      <c r="F4547" s="47">
        <f t="shared" si="364"/>
        <v>231</v>
      </c>
    </row>
    <row r="4548" spans="1:6" x14ac:dyDescent="0.25">
      <c r="A4548" s="5" t="s">
        <v>33</v>
      </c>
      <c r="B4548" s="2">
        <v>44082</v>
      </c>
      <c r="C4548" s="1">
        <v>4</v>
      </c>
      <c r="D4548" s="47">
        <f t="shared" si="367"/>
        <v>247</v>
      </c>
      <c r="F4548" s="47">
        <f t="shared" si="364"/>
        <v>4</v>
      </c>
    </row>
    <row r="4549" spans="1:6" x14ac:dyDescent="0.25">
      <c r="A4549" s="5" t="s">
        <v>21</v>
      </c>
      <c r="B4549" s="2">
        <v>44082</v>
      </c>
      <c r="C4549" s="1">
        <v>84</v>
      </c>
      <c r="D4549" s="47">
        <f t="shared" si="367"/>
        <v>2215</v>
      </c>
      <c r="F4549" s="47">
        <f t="shared" si="364"/>
        <v>51</v>
      </c>
    </row>
    <row r="4550" spans="1:6" x14ac:dyDescent="0.25">
      <c r="A4550" s="5" t="s">
        <v>17</v>
      </c>
      <c r="B4550" s="2">
        <v>44082</v>
      </c>
      <c r="C4550" s="1">
        <v>516</v>
      </c>
      <c r="D4550" s="47">
        <f t="shared" si="367"/>
        <v>10836</v>
      </c>
      <c r="E4550" s="1">
        <f>6+5+1+5</f>
        <v>17</v>
      </c>
      <c r="F4550" s="47">
        <f t="shared" si="364"/>
        <v>114</v>
      </c>
    </row>
    <row r="4551" spans="1:6" x14ac:dyDescent="0.25">
      <c r="A4551" s="5" t="s">
        <v>23</v>
      </c>
      <c r="B4551" s="2">
        <v>44082</v>
      </c>
      <c r="C4551" s="1">
        <v>-2</v>
      </c>
      <c r="D4551" s="47">
        <f t="shared" si="367"/>
        <v>69</v>
      </c>
      <c r="F4551" s="47">
        <f t="shared" si="364"/>
        <v>2</v>
      </c>
    </row>
    <row r="4552" spans="1:6" x14ac:dyDescent="0.25">
      <c r="A4552" s="5" t="s">
        <v>19</v>
      </c>
      <c r="B4552" s="2">
        <v>44082</v>
      </c>
      <c r="C4552" s="1">
        <v>90</v>
      </c>
      <c r="D4552" s="47">
        <f>C4552+D4528</f>
        <v>4049</v>
      </c>
      <c r="E4552" s="1">
        <f>1+2</f>
        <v>3</v>
      </c>
      <c r="F4552" s="47">
        <f t="shared" si="364"/>
        <v>41</v>
      </c>
    </row>
    <row r="4553" spans="1:6" x14ac:dyDescent="0.25">
      <c r="A4553" s="5" t="s">
        <v>18</v>
      </c>
      <c r="B4553" s="2">
        <v>44082</v>
      </c>
      <c r="C4553" s="1">
        <v>299</v>
      </c>
      <c r="D4553" s="47">
        <f>C4553+D4529</f>
        <v>7497</v>
      </c>
      <c r="E4553" s="1">
        <f>4+4</f>
        <v>8</v>
      </c>
      <c r="F4553" s="47">
        <f t="shared" si="364"/>
        <v>138</v>
      </c>
    </row>
    <row r="4554" spans="1:6" x14ac:dyDescent="0.25">
      <c r="A4554" s="5" t="s">
        <v>34</v>
      </c>
      <c r="B4554" s="2">
        <v>44082</v>
      </c>
      <c r="C4554" s="1">
        <v>282</v>
      </c>
      <c r="D4554" s="47">
        <f>C4554+D4530</f>
        <v>5109</v>
      </c>
      <c r="F4554" s="47">
        <f>E4554+F4530</f>
        <v>63</v>
      </c>
    </row>
    <row r="4555" spans="1:6" x14ac:dyDescent="0.25">
      <c r="A4555" s="5" t="s">
        <v>35</v>
      </c>
      <c r="B4555" s="2">
        <v>44082</v>
      </c>
      <c r="C4555" s="1">
        <v>16</v>
      </c>
      <c r="D4555" s="47">
        <f t="shared" ref="D4555:D4561" si="368">C4555+D4531</f>
        <v>380</v>
      </c>
      <c r="E4555" s="1">
        <f>5+2</f>
        <v>7</v>
      </c>
      <c r="F4555" s="47">
        <f>E4555+F4531</f>
        <v>7</v>
      </c>
    </row>
    <row r="4556" spans="1:6" x14ac:dyDescent="0.25">
      <c r="A4556" s="5" t="s">
        <v>36</v>
      </c>
      <c r="B4556" s="2">
        <v>44082</v>
      </c>
      <c r="C4556" s="1">
        <v>18</v>
      </c>
      <c r="D4556" s="47">
        <f t="shared" si="368"/>
        <v>325</v>
      </c>
      <c r="F4556" s="47">
        <f>E4556+F4532</f>
        <v>0</v>
      </c>
    </row>
    <row r="4557" spans="1:6" x14ac:dyDescent="0.25">
      <c r="A4557" s="5" t="s">
        <v>37</v>
      </c>
      <c r="B4557" s="2">
        <v>44082</v>
      </c>
      <c r="C4557" s="1">
        <v>76</v>
      </c>
      <c r="D4557" s="47">
        <f t="shared" si="368"/>
        <v>2398</v>
      </c>
      <c r="F4557" s="47">
        <f t="shared" ref="F4557:F4562" si="369">E4557+F4533</f>
        <v>20</v>
      </c>
    </row>
    <row r="4558" spans="1:6" x14ac:dyDescent="0.25">
      <c r="A4558" s="5" t="s">
        <v>22</v>
      </c>
      <c r="B4558" s="2">
        <v>44082</v>
      </c>
      <c r="C4558" s="1">
        <v>976</v>
      </c>
      <c r="D4558" s="47">
        <f t="shared" si="368"/>
        <v>13612</v>
      </c>
      <c r="E4558" s="1">
        <f>1+2+4</f>
        <v>7</v>
      </c>
      <c r="F4558" s="47">
        <f t="shared" si="369"/>
        <v>149</v>
      </c>
    </row>
    <row r="4559" spans="1:6" x14ac:dyDescent="0.25">
      <c r="A4559" s="5" t="s">
        <v>38</v>
      </c>
      <c r="B4559" s="2">
        <v>44082</v>
      </c>
      <c r="C4559" s="1">
        <v>46</v>
      </c>
      <c r="D4559" s="47">
        <f t="shared" si="368"/>
        <v>1389</v>
      </c>
      <c r="E4559" s="1">
        <f>1</f>
        <v>1</v>
      </c>
      <c r="F4559" s="47">
        <f t="shared" si="369"/>
        <v>21</v>
      </c>
    </row>
    <row r="4560" spans="1:6" x14ac:dyDescent="0.25">
      <c r="A4560" s="5" t="s">
        <v>39</v>
      </c>
      <c r="B4560" s="2">
        <v>44082</v>
      </c>
      <c r="C4560" s="1">
        <v>61</v>
      </c>
      <c r="D4560" s="47">
        <f t="shared" si="368"/>
        <v>2461</v>
      </c>
      <c r="F4560" s="47">
        <f t="shared" si="369"/>
        <v>38</v>
      </c>
    </row>
    <row r="4561" spans="1:6" ht="15.75" thickBot="1" x14ac:dyDescent="0.3">
      <c r="A4561" s="27" t="s">
        <v>40</v>
      </c>
      <c r="B4561" s="42">
        <v>44082</v>
      </c>
      <c r="C4561" s="300">
        <v>283</v>
      </c>
      <c r="D4561" s="81">
        <f t="shared" si="368"/>
        <v>4746</v>
      </c>
      <c r="E4561" s="300">
        <f>1</f>
        <v>1</v>
      </c>
      <c r="F4561" s="47">
        <f t="shared" si="369"/>
        <v>17</v>
      </c>
    </row>
    <row r="4562" spans="1:6" x14ac:dyDescent="0.25">
      <c r="A4562" s="36" t="s">
        <v>16</v>
      </c>
      <c r="B4562" s="354">
        <v>44083</v>
      </c>
      <c r="C4562" s="53">
        <v>6266</v>
      </c>
      <c r="D4562" s="211">
        <f>C4562+D4538</f>
        <v>310254</v>
      </c>
      <c r="E4562" s="53">
        <v>152</v>
      </c>
      <c r="F4562" s="47">
        <f t="shared" si="369"/>
        <v>6415</v>
      </c>
    </row>
    <row r="4563" spans="1:6" x14ac:dyDescent="0.25">
      <c r="A4563" s="30" t="s">
        <v>43</v>
      </c>
      <c r="B4563" s="2">
        <v>44083</v>
      </c>
      <c r="C4563" s="1">
        <v>1264</v>
      </c>
      <c r="D4563" s="47">
        <f t="shared" ref="D4563:D4575" si="370">C4563+D4539</f>
        <v>106573</v>
      </c>
      <c r="E4563" s="1">
        <v>47</v>
      </c>
      <c r="F4563" s="78">
        <f t="shared" ref="F4563:F4604" si="371">E4563+F4539</f>
        <v>2577</v>
      </c>
    </row>
    <row r="4564" spans="1:6" x14ac:dyDescent="0.25">
      <c r="A4564" s="30" t="s">
        <v>28</v>
      </c>
      <c r="B4564" s="2">
        <v>44083</v>
      </c>
      <c r="C4564" s="1">
        <v>3</v>
      </c>
      <c r="D4564" s="47">
        <f t="shared" si="370"/>
        <v>99</v>
      </c>
      <c r="F4564" s="78">
        <f t="shared" si="371"/>
        <v>0</v>
      </c>
    </row>
    <row r="4565" spans="1:6" x14ac:dyDescent="0.25">
      <c r="A4565" s="30" t="s">
        <v>15</v>
      </c>
      <c r="B4565" s="2">
        <v>44083</v>
      </c>
      <c r="C4565" s="1">
        <v>140</v>
      </c>
      <c r="D4565" s="47">
        <f t="shared" si="370"/>
        <v>6290</v>
      </c>
      <c r="E4565" s="1">
        <v>2</v>
      </c>
      <c r="F4565" s="78">
        <f>E4565+F4541</f>
        <v>231</v>
      </c>
    </row>
    <row r="4566" spans="1:6" x14ac:dyDescent="0.25">
      <c r="A4566" s="30" t="s">
        <v>29</v>
      </c>
      <c r="B4566" s="2">
        <v>44083</v>
      </c>
      <c r="C4566" s="1">
        <v>39</v>
      </c>
      <c r="D4566" s="47">
        <f t="shared" si="370"/>
        <v>1361</v>
      </c>
      <c r="F4566" s="78">
        <f t="shared" si="371"/>
        <v>8</v>
      </c>
    </row>
    <row r="4567" spans="1:6" x14ac:dyDescent="0.25">
      <c r="A4567" s="30" t="s">
        <v>20</v>
      </c>
      <c r="B4567" s="2">
        <v>44083</v>
      </c>
      <c r="C4567" s="1">
        <v>577</v>
      </c>
      <c r="D4567" s="47">
        <f t="shared" si="370"/>
        <v>12566</v>
      </c>
      <c r="E4567" s="1">
        <f>5+3</f>
        <v>8</v>
      </c>
      <c r="F4567" s="78">
        <f t="shared" si="371"/>
        <v>178</v>
      </c>
    </row>
    <row r="4568" spans="1:6" x14ac:dyDescent="0.25">
      <c r="A4568" s="30" t="s">
        <v>30</v>
      </c>
      <c r="B4568" s="2">
        <v>44083</v>
      </c>
      <c r="C4568" s="1">
        <v>25</v>
      </c>
      <c r="D4568" s="47">
        <f t="shared" si="370"/>
        <v>431</v>
      </c>
      <c r="F4568" s="78">
        <f t="shared" si="371"/>
        <v>5</v>
      </c>
    </row>
    <row r="4569" spans="1:6" x14ac:dyDescent="0.25">
      <c r="A4569" s="30" t="s">
        <v>31</v>
      </c>
      <c r="B4569" s="2">
        <v>44083</v>
      </c>
      <c r="C4569" s="1">
        <v>130</v>
      </c>
      <c r="D4569" s="47">
        <f t="shared" si="370"/>
        <v>4707</v>
      </c>
      <c r="E4569" s="1">
        <v>1</v>
      </c>
      <c r="F4569" s="78">
        <f t="shared" si="371"/>
        <v>69</v>
      </c>
    </row>
    <row r="4570" spans="1:6" x14ac:dyDescent="0.25">
      <c r="A4570" s="30" t="s">
        <v>41</v>
      </c>
      <c r="B4570" s="2">
        <v>44083</v>
      </c>
      <c r="C4570" s="1">
        <v>1</v>
      </c>
      <c r="D4570" s="47">
        <f t="shared" si="370"/>
        <v>91</v>
      </c>
      <c r="F4570" s="47">
        <f>E4570+F4546</f>
        <v>1</v>
      </c>
    </row>
    <row r="4571" spans="1:6" x14ac:dyDescent="0.25">
      <c r="A4571" s="30" t="s">
        <v>32</v>
      </c>
      <c r="B4571" s="2">
        <v>44083</v>
      </c>
      <c r="C4571" s="1">
        <v>343</v>
      </c>
      <c r="D4571" s="47">
        <f t="shared" si="370"/>
        <v>11117</v>
      </c>
      <c r="E4571" s="1">
        <f>3+3</f>
        <v>6</v>
      </c>
      <c r="F4571" s="78">
        <f t="shared" si="371"/>
        <v>237</v>
      </c>
    </row>
    <row r="4572" spans="1:6" x14ac:dyDescent="0.25">
      <c r="A4572" s="30" t="s">
        <v>33</v>
      </c>
      <c r="B4572" s="2">
        <v>44083</v>
      </c>
      <c r="C4572" s="1">
        <v>20</v>
      </c>
      <c r="D4572" s="47">
        <f t="shared" si="370"/>
        <v>267</v>
      </c>
      <c r="F4572" s="78">
        <f t="shared" si="371"/>
        <v>4</v>
      </c>
    </row>
    <row r="4573" spans="1:6" x14ac:dyDescent="0.25">
      <c r="A4573" s="30" t="s">
        <v>21</v>
      </c>
      <c r="B4573" s="2">
        <v>44083</v>
      </c>
      <c r="C4573" s="1">
        <v>145</v>
      </c>
      <c r="D4573" s="47">
        <f t="shared" si="370"/>
        <v>2360</v>
      </c>
      <c r="E4573" s="1">
        <v>1</v>
      </c>
      <c r="F4573" s="78">
        <f t="shared" si="371"/>
        <v>52</v>
      </c>
    </row>
    <row r="4574" spans="1:6" x14ac:dyDescent="0.25">
      <c r="A4574" s="30" t="s">
        <v>17</v>
      </c>
      <c r="B4574" s="2">
        <v>44083</v>
      </c>
      <c r="C4574" s="1">
        <v>798</v>
      </c>
      <c r="D4574" s="47">
        <f t="shared" si="370"/>
        <v>11634</v>
      </c>
      <c r="E4574" s="1">
        <f>5+4+2</f>
        <v>11</v>
      </c>
      <c r="F4574" s="78">
        <f t="shared" si="371"/>
        <v>125</v>
      </c>
    </row>
    <row r="4575" spans="1:6" x14ac:dyDescent="0.25">
      <c r="A4575" s="30" t="s">
        <v>23</v>
      </c>
      <c r="B4575" s="2">
        <v>44083</v>
      </c>
      <c r="C4575" s="1">
        <v>2</v>
      </c>
      <c r="D4575" s="47">
        <f t="shared" si="370"/>
        <v>71</v>
      </c>
      <c r="F4575" s="78">
        <f t="shared" si="371"/>
        <v>2</v>
      </c>
    </row>
    <row r="4576" spans="1:6" x14ac:dyDescent="0.25">
      <c r="A4576" s="30" t="s">
        <v>19</v>
      </c>
      <c r="B4576" s="2">
        <v>44083</v>
      </c>
      <c r="C4576" s="1">
        <v>69</v>
      </c>
      <c r="D4576" s="47">
        <f>C4576+D4552</f>
        <v>4118</v>
      </c>
      <c r="E4576" s="1">
        <f>1+1</f>
        <v>2</v>
      </c>
      <c r="F4576" s="78">
        <f t="shared" si="371"/>
        <v>43</v>
      </c>
    </row>
    <row r="4577" spans="1:6" x14ac:dyDescent="0.25">
      <c r="A4577" s="30" t="s">
        <v>18</v>
      </c>
      <c r="B4577" s="2">
        <v>44083</v>
      </c>
      <c r="C4577" s="1">
        <v>280</v>
      </c>
      <c r="D4577" s="47">
        <f>C4577+D4553</f>
        <v>7777</v>
      </c>
      <c r="E4577" s="1">
        <f>2</f>
        <v>2</v>
      </c>
      <c r="F4577" s="78">
        <f t="shared" si="371"/>
        <v>140</v>
      </c>
    </row>
    <row r="4578" spans="1:6" x14ac:dyDescent="0.25">
      <c r="A4578" s="30" t="s">
        <v>34</v>
      </c>
      <c r="B4578" s="2">
        <v>44083</v>
      </c>
      <c r="C4578" s="1">
        <v>361</v>
      </c>
      <c r="D4578" s="47">
        <f>C4578+D4554</f>
        <v>5470</v>
      </c>
      <c r="E4578" s="1">
        <f>7+1</f>
        <v>8</v>
      </c>
      <c r="F4578" s="78">
        <f>E4578+F4554</f>
        <v>71</v>
      </c>
    </row>
    <row r="4579" spans="1:6" x14ac:dyDescent="0.25">
      <c r="A4579" s="30" t="s">
        <v>35</v>
      </c>
      <c r="B4579" s="2">
        <v>44083</v>
      </c>
      <c r="C4579" s="1">
        <v>4</v>
      </c>
      <c r="D4579" s="47">
        <f t="shared" ref="D4579:D4585" si="372">C4579+D4555</f>
        <v>384</v>
      </c>
      <c r="F4579" s="47">
        <f>E4579+F4555</f>
        <v>7</v>
      </c>
    </row>
    <row r="4580" spans="1:6" x14ac:dyDescent="0.25">
      <c r="A4580" s="30" t="s">
        <v>36</v>
      </c>
      <c r="B4580" s="2">
        <v>44083</v>
      </c>
      <c r="C4580" s="1">
        <v>21</v>
      </c>
      <c r="D4580" s="47">
        <f t="shared" si="372"/>
        <v>346</v>
      </c>
      <c r="F4580" s="78">
        <f t="shared" si="371"/>
        <v>0</v>
      </c>
    </row>
    <row r="4581" spans="1:6" x14ac:dyDescent="0.25">
      <c r="A4581" s="30" t="s">
        <v>37</v>
      </c>
      <c r="B4581" s="2">
        <v>44083</v>
      </c>
      <c r="C4581" s="1">
        <v>142</v>
      </c>
      <c r="D4581" s="47">
        <f t="shared" si="372"/>
        <v>2540</v>
      </c>
      <c r="E4581" s="1">
        <f>1</f>
        <v>1</v>
      </c>
      <c r="F4581" s="47">
        <f t="shared" ref="F4581:F4588" si="373">E4581+F4557</f>
        <v>21</v>
      </c>
    </row>
    <row r="4582" spans="1:6" x14ac:dyDescent="0.25">
      <c r="A4582" s="30" t="s">
        <v>22</v>
      </c>
      <c r="B4582" s="2">
        <v>44083</v>
      </c>
      <c r="C4582" s="1">
        <v>1089</v>
      </c>
      <c r="D4582" s="47">
        <f t="shared" si="372"/>
        <v>14701</v>
      </c>
      <c r="E4582" s="1">
        <f>1+2+4</f>
        <v>7</v>
      </c>
      <c r="F4582" s="47">
        <f t="shared" si="373"/>
        <v>156</v>
      </c>
    </row>
    <row r="4583" spans="1:6" x14ac:dyDescent="0.25">
      <c r="A4583" s="30" t="s">
        <v>38</v>
      </c>
      <c r="B4583" s="2">
        <v>44083</v>
      </c>
      <c r="C4583" s="1">
        <v>81</v>
      </c>
      <c r="D4583" s="47">
        <f t="shared" si="372"/>
        <v>1470</v>
      </c>
      <c r="E4583" s="1">
        <f>1</f>
        <v>1</v>
      </c>
      <c r="F4583" s="47">
        <f t="shared" si="373"/>
        <v>22</v>
      </c>
    </row>
    <row r="4584" spans="1:6" x14ac:dyDescent="0.25">
      <c r="A4584" s="30" t="s">
        <v>39</v>
      </c>
      <c r="B4584" s="2">
        <v>44083</v>
      </c>
      <c r="C4584" s="1">
        <v>69</v>
      </c>
      <c r="D4584" s="47">
        <f t="shared" si="372"/>
        <v>2530</v>
      </c>
      <c r="E4584" s="1">
        <f>1</f>
        <v>1</v>
      </c>
      <c r="F4584" s="47">
        <f t="shared" si="373"/>
        <v>39</v>
      </c>
    </row>
    <row r="4585" spans="1:6" ht="15.75" thickBot="1" x14ac:dyDescent="0.3">
      <c r="A4585" s="52" t="s">
        <v>40</v>
      </c>
      <c r="B4585" s="42">
        <v>44083</v>
      </c>
      <c r="C4585" s="300">
        <v>390</v>
      </c>
      <c r="D4585" s="81">
        <f t="shared" si="372"/>
        <v>5136</v>
      </c>
      <c r="E4585" s="300"/>
      <c r="F4585" s="47">
        <f t="shared" si="373"/>
        <v>17</v>
      </c>
    </row>
    <row r="4586" spans="1:6" x14ac:dyDescent="0.25">
      <c r="A4586" s="36" t="s">
        <v>16</v>
      </c>
      <c r="B4586" s="354">
        <v>44084</v>
      </c>
      <c r="C4586" s="53">
        <v>6252</v>
      </c>
      <c r="D4586" s="211">
        <f>C4586+D4562</f>
        <v>316506</v>
      </c>
      <c r="E4586" s="53">
        <f>29+9+62+41</f>
        <v>141</v>
      </c>
      <c r="F4586" s="47">
        <f t="shared" si="373"/>
        <v>6556</v>
      </c>
    </row>
    <row r="4587" spans="1:6" x14ac:dyDescent="0.25">
      <c r="A4587" s="30" t="s">
        <v>43</v>
      </c>
      <c r="B4587" s="2">
        <v>44084</v>
      </c>
      <c r="C4587" s="1">
        <v>1284</v>
      </c>
      <c r="D4587" s="47">
        <f t="shared" ref="D4587:D4599" si="374">C4587+D4563</f>
        <v>107857</v>
      </c>
      <c r="E4587" s="1">
        <v>34</v>
      </c>
      <c r="F4587" s="78">
        <f t="shared" si="373"/>
        <v>2611</v>
      </c>
    </row>
    <row r="4588" spans="1:6" x14ac:dyDescent="0.25">
      <c r="A4588" s="30" t="s">
        <v>28</v>
      </c>
      <c r="B4588" s="2">
        <v>44084</v>
      </c>
      <c r="C4588" s="1">
        <v>12</v>
      </c>
      <c r="D4588" s="47">
        <f t="shared" si="374"/>
        <v>111</v>
      </c>
      <c r="F4588" s="78">
        <f t="shared" si="373"/>
        <v>0</v>
      </c>
    </row>
    <row r="4589" spans="1:6" x14ac:dyDescent="0.25">
      <c r="A4589" s="30" t="s">
        <v>15</v>
      </c>
      <c r="B4589" s="2">
        <v>44084</v>
      </c>
      <c r="C4589" s="1">
        <v>128</v>
      </c>
      <c r="D4589" s="47">
        <f t="shared" si="374"/>
        <v>6418</v>
      </c>
      <c r="E4589" s="1">
        <f>1</f>
        <v>1</v>
      </c>
      <c r="F4589" s="78">
        <f t="shared" si="371"/>
        <v>232</v>
      </c>
    </row>
    <row r="4590" spans="1:6" x14ac:dyDescent="0.25">
      <c r="A4590" s="30" t="s">
        <v>29</v>
      </c>
      <c r="B4590" s="2">
        <v>44084</v>
      </c>
      <c r="C4590" s="1">
        <v>29</v>
      </c>
      <c r="D4590" s="47">
        <f t="shared" si="374"/>
        <v>1390</v>
      </c>
      <c r="F4590" s="78">
        <f t="shared" si="371"/>
        <v>8</v>
      </c>
    </row>
    <row r="4591" spans="1:6" x14ac:dyDescent="0.25">
      <c r="A4591" s="30" t="s">
        <v>20</v>
      </c>
      <c r="B4591" s="2">
        <v>44084</v>
      </c>
      <c r="C4591" s="1">
        <v>443</v>
      </c>
      <c r="D4591" s="47">
        <f t="shared" si="374"/>
        <v>13009</v>
      </c>
      <c r="E4591" s="1">
        <f>3+2</f>
        <v>5</v>
      </c>
      <c r="F4591" s="78">
        <f t="shared" si="371"/>
        <v>183</v>
      </c>
    </row>
    <row r="4592" spans="1:6" x14ac:dyDescent="0.25">
      <c r="A4592" s="30" t="s">
        <v>30</v>
      </c>
      <c r="B4592" s="2">
        <v>44084</v>
      </c>
      <c r="C4592" s="1">
        <v>60</v>
      </c>
      <c r="D4592" s="47">
        <f t="shared" si="374"/>
        <v>491</v>
      </c>
      <c r="F4592" s="78">
        <f t="shared" si="371"/>
        <v>5</v>
      </c>
    </row>
    <row r="4593" spans="1:6" x14ac:dyDescent="0.25">
      <c r="A4593" s="30" t="s">
        <v>31</v>
      </c>
      <c r="B4593" s="2">
        <v>44084</v>
      </c>
      <c r="C4593" s="1">
        <v>137</v>
      </c>
      <c r="D4593" s="47">
        <f t="shared" si="374"/>
        <v>4844</v>
      </c>
      <c r="E4593" s="1">
        <f>4+4</f>
        <v>8</v>
      </c>
      <c r="F4593" s="78">
        <f t="shared" si="371"/>
        <v>77</v>
      </c>
    </row>
    <row r="4594" spans="1:6" x14ac:dyDescent="0.25">
      <c r="A4594" s="30" t="s">
        <v>41</v>
      </c>
      <c r="B4594" s="2">
        <v>44084</v>
      </c>
      <c r="C4594" s="1">
        <v>1</v>
      </c>
      <c r="D4594" s="47">
        <f t="shared" si="374"/>
        <v>92</v>
      </c>
      <c r="F4594" s="47">
        <f>E4594+F4570</f>
        <v>1</v>
      </c>
    </row>
    <row r="4595" spans="1:6" x14ac:dyDescent="0.25">
      <c r="A4595" s="30" t="s">
        <v>32</v>
      </c>
      <c r="B4595" s="2">
        <v>44084</v>
      </c>
      <c r="C4595" s="1">
        <v>280</v>
      </c>
      <c r="D4595" s="47">
        <f t="shared" si="374"/>
        <v>11397</v>
      </c>
      <c r="E4595" s="1">
        <f>4+2</f>
        <v>6</v>
      </c>
      <c r="F4595" s="78">
        <f t="shared" si="371"/>
        <v>243</v>
      </c>
    </row>
    <row r="4596" spans="1:6" x14ac:dyDescent="0.25">
      <c r="A4596" s="30" t="s">
        <v>33</v>
      </c>
      <c r="B4596" s="2">
        <v>44084</v>
      </c>
      <c r="C4596" s="1">
        <v>27</v>
      </c>
      <c r="D4596" s="47">
        <f t="shared" si="374"/>
        <v>294</v>
      </c>
      <c r="F4596" s="78">
        <f t="shared" si="371"/>
        <v>4</v>
      </c>
    </row>
    <row r="4597" spans="1:6" x14ac:dyDescent="0.25">
      <c r="A4597" s="30" t="s">
        <v>21</v>
      </c>
      <c r="B4597" s="2">
        <v>44084</v>
      </c>
      <c r="C4597" s="1">
        <v>143</v>
      </c>
      <c r="D4597" s="47">
        <f t="shared" si="374"/>
        <v>2503</v>
      </c>
      <c r="E4597" s="1">
        <f>1+1</f>
        <v>2</v>
      </c>
      <c r="F4597" s="78">
        <f t="shared" si="371"/>
        <v>54</v>
      </c>
    </row>
    <row r="4598" spans="1:6" x14ac:dyDescent="0.25">
      <c r="A4598" s="30" t="s">
        <v>17</v>
      </c>
      <c r="B4598" s="2">
        <v>44084</v>
      </c>
      <c r="C4598" s="1">
        <v>731</v>
      </c>
      <c r="D4598" s="47">
        <f t="shared" si="374"/>
        <v>12365</v>
      </c>
      <c r="E4598" s="1">
        <f>5+3+5</f>
        <v>13</v>
      </c>
      <c r="F4598" s="78">
        <f t="shared" si="371"/>
        <v>138</v>
      </c>
    </row>
    <row r="4599" spans="1:6" x14ac:dyDescent="0.25">
      <c r="A4599" s="30" t="s">
        <v>23</v>
      </c>
      <c r="B4599" s="2">
        <v>44084</v>
      </c>
      <c r="C4599" s="1">
        <v>-6</v>
      </c>
      <c r="D4599" s="47">
        <f t="shared" si="374"/>
        <v>65</v>
      </c>
      <c r="F4599" s="78">
        <f t="shared" si="371"/>
        <v>2</v>
      </c>
    </row>
    <row r="4600" spans="1:6" x14ac:dyDescent="0.25">
      <c r="A4600" s="30" t="s">
        <v>19</v>
      </c>
      <c r="B4600" s="2">
        <v>44084</v>
      </c>
      <c r="C4600" s="1">
        <v>180</v>
      </c>
      <c r="D4600" s="47">
        <f>C4600+D4576</f>
        <v>4298</v>
      </c>
      <c r="E4600" s="1">
        <f>1+1</f>
        <v>2</v>
      </c>
      <c r="F4600" s="78">
        <f t="shared" si="371"/>
        <v>45</v>
      </c>
    </row>
    <row r="4601" spans="1:6" x14ac:dyDescent="0.25">
      <c r="A4601" s="30" t="s">
        <v>18</v>
      </c>
      <c r="B4601" s="2">
        <v>44084</v>
      </c>
      <c r="C4601" s="1">
        <v>265</v>
      </c>
      <c r="D4601" s="47">
        <f>C4601+D4577</f>
        <v>8042</v>
      </c>
      <c r="E4601" s="1">
        <f>3+1</f>
        <v>4</v>
      </c>
      <c r="F4601" s="78">
        <f t="shared" si="371"/>
        <v>144</v>
      </c>
    </row>
    <row r="4602" spans="1:6" x14ac:dyDescent="0.25">
      <c r="A4602" s="30" t="s">
        <v>34</v>
      </c>
      <c r="B4602" s="2">
        <v>44084</v>
      </c>
      <c r="C4602" s="1">
        <v>367</v>
      </c>
      <c r="D4602" s="47">
        <f>C4602+D4578</f>
        <v>5837</v>
      </c>
      <c r="E4602" s="1">
        <f>3+6</f>
        <v>9</v>
      </c>
      <c r="F4602" s="78">
        <f>E4602+F4578</f>
        <v>80</v>
      </c>
    </row>
    <row r="4603" spans="1:6" x14ac:dyDescent="0.25">
      <c r="A4603" s="30" t="s">
        <v>35</v>
      </c>
      <c r="B4603" s="2">
        <v>44084</v>
      </c>
      <c r="C4603" s="1">
        <v>1</v>
      </c>
      <c r="D4603" s="47">
        <f t="shared" ref="D4603:D4609" si="375">C4603+D4579</f>
        <v>385</v>
      </c>
      <c r="F4603" s="47">
        <f>E4603+F4579</f>
        <v>7</v>
      </c>
    </row>
    <row r="4604" spans="1:6" x14ac:dyDescent="0.25">
      <c r="A4604" s="30" t="s">
        <v>36</v>
      </c>
      <c r="B4604" s="2">
        <v>44084</v>
      </c>
      <c r="C4604" s="1">
        <v>10</v>
      </c>
      <c r="D4604" s="47">
        <f t="shared" si="375"/>
        <v>356</v>
      </c>
      <c r="F4604" s="78">
        <f t="shared" si="371"/>
        <v>0</v>
      </c>
    </row>
    <row r="4605" spans="1:6" x14ac:dyDescent="0.25">
      <c r="A4605" s="30" t="s">
        <v>37</v>
      </c>
      <c r="B4605" s="2">
        <v>44084</v>
      </c>
      <c r="C4605" s="1">
        <v>86</v>
      </c>
      <c r="D4605" s="47">
        <f t="shared" si="375"/>
        <v>2626</v>
      </c>
      <c r="F4605" s="47">
        <f t="shared" ref="F4605:F4612" si="376">E4605+F4581</f>
        <v>21</v>
      </c>
    </row>
    <row r="4606" spans="1:6" x14ac:dyDescent="0.25">
      <c r="A4606" s="30" t="s">
        <v>22</v>
      </c>
      <c r="B4606" s="2">
        <v>44084</v>
      </c>
      <c r="C4606" s="1">
        <v>1042</v>
      </c>
      <c r="D4606" s="47">
        <f t="shared" si="375"/>
        <v>15743</v>
      </c>
      <c r="E4606" s="1">
        <f>5+2+7+7</f>
        <v>21</v>
      </c>
      <c r="F4606" s="47">
        <f t="shared" si="376"/>
        <v>177</v>
      </c>
    </row>
    <row r="4607" spans="1:6" x14ac:dyDescent="0.25">
      <c r="A4607" s="30" t="s">
        <v>38</v>
      </c>
      <c r="B4607" s="2">
        <v>44084</v>
      </c>
      <c r="C4607" s="1">
        <v>88</v>
      </c>
      <c r="D4607" s="47">
        <f t="shared" si="375"/>
        <v>1558</v>
      </c>
      <c r="E4607" s="1">
        <f>1+2</f>
        <v>3</v>
      </c>
      <c r="F4607" s="47">
        <f t="shared" si="376"/>
        <v>25</v>
      </c>
    </row>
    <row r="4608" spans="1:6" x14ac:dyDescent="0.25">
      <c r="A4608" s="30" t="s">
        <v>39</v>
      </c>
      <c r="B4608" s="2">
        <v>44084</v>
      </c>
      <c r="C4608" s="1">
        <v>62</v>
      </c>
      <c r="D4608" s="47">
        <f t="shared" si="375"/>
        <v>2592</v>
      </c>
      <c r="E4608" s="1">
        <f>1</f>
        <v>1</v>
      </c>
      <c r="F4608" s="47">
        <f t="shared" si="376"/>
        <v>40</v>
      </c>
    </row>
    <row r="4609" spans="1:7" ht="15.75" thickBot="1" x14ac:dyDescent="0.3">
      <c r="A4609" s="31" t="s">
        <v>40</v>
      </c>
      <c r="B4609" s="355">
        <v>44084</v>
      </c>
      <c r="C4609" s="54">
        <v>283</v>
      </c>
      <c r="D4609" s="214">
        <f t="shared" si="375"/>
        <v>5419</v>
      </c>
      <c r="E4609" s="54"/>
      <c r="F4609" s="47">
        <f t="shared" si="376"/>
        <v>17</v>
      </c>
    </row>
    <row r="4610" spans="1:7" ht="15.75" thickBot="1" x14ac:dyDescent="0.3">
      <c r="A4610" s="36" t="s">
        <v>16</v>
      </c>
      <c r="B4610" s="355">
        <v>44085</v>
      </c>
      <c r="C4610" s="293">
        <v>5732</v>
      </c>
      <c r="D4610" s="211">
        <f>C4610+D4586</f>
        <v>322238</v>
      </c>
      <c r="E4610" s="293">
        <v>127</v>
      </c>
      <c r="F4610" s="47">
        <f t="shared" si="376"/>
        <v>6683</v>
      </c>
      <c r="G4610" s="376"/>
    </row>
    <row r="4611" spans="1:7" ht="15.75" thickBot="1" x14ac:dyDescent="0.3">
      <c r="A4611" s="30" t="s">
        <v>43</v>
      </c>
      <c r="B4611" s="355">
        <v>44085</v>
      </c>
      <c r="C4611" s="1">
        <v>1215</v>
      </c>
      <c r="D4611" s="47">
        <f t="shared" ref="D4611:D4623" si="377">C4611+D4587</f>
        <v>109072</v>
      </c>
      <c r="E4611" s="1">
        <f>19+18+9+13</f>
        <v>59</v>
      </c>
      <c r="F4611" s="78">
        <f t="shared" si="376"/>
        <v>2670</v>
      </c>
    </row>
    <row r="4612" spans="1:7" ht="15.75" thickBot="1" x14ac:dyDescent="0.3">
      <c r="A4612" s="30" t="s">
        <v>28</v>
      </c>
      <c r="B4612" s="355">
        <v>44085</v>
      </c>
      <c r="C4612" s="1">
        <v>3</v>
      </c>
      <c r="D4612" s="47">
        <f t="shared" si="377"/>
        <v>114</v>
      </c>
      <c r="F4612" s="78">
        <f t="shared" si="376"/>
        <v>0</v>
      </c>
    </row>
    <row r="4613" spans="1:7" ht="15.75" thickBot="1" x14ac:dyDescent="0.3">
      <c r="A4613" s="30" t="s">
        <v>15</v>
      </c>
      <c r="B4613" s="355">
        <v>44085</v>
      </c>
      <c r="C4613" s="1">
        <v>125</v>
      </c>
      <c r="D4613" s="47">
        <f t="shared" si="377"/>
        <v>6543</v>
      </c>
      <c r="E4613" s="1">
        <f>1+1</f>
        <v>2</v>
      </c>
      <c r="F4613" s="78">
        <f t="shared" ref="F4613:F4631" si="378">E4613+F4589</f>
        <v>234</v>
      </c>
    </row>
    <row r="4614" spans="1:7" ht="15.75" thickBot="1" x14ac:dyDescent="0.3">
      <c r="A4614" s="30" t="s">
        <v>29</v>
      </c>
      <c r="B4614" s="355">
        <v>44085</v>
      </c>
      <c r="C4614" s="1">
        <v>90</v>
      </c>
      <c r="D4614" s="47">
        <f t="shared" si="377"/>
        <v>1480</v>
      </c>
      <c r="E4614" s="1">
        <v>2</v>
      </c>
      <c r="F4614" s="78">
        <f t="shared" si="378"/>
        <v>10</v>
      </c>
    </row>
    <row r="4615" spans="1:7" ht="15.75" thickBot="1" x14ac:dyDescent="0.3">
      <c r="A4615" s="30" t="s">
        <v>20</v>
      </c>
      <c r="B4615" s="355">
        <v>44085</v>
      </c>
      <c r="C4615" s="1">
        <v>387</v>
      </c>
      <c r="D4615" s="47">
        <f t="shared" si="377"/>
        <v>13396</v>
      </c>
      <c r="E4615" s="1">
        <f>3+3</f>
        <v>6</v>
      </c>
      <c r="F4615" s="78">
        <f t="shared" si="378"/>
        <v>189</v>
      </c>
    </row>
    <row r="4616" spans="1:7" ht="15.75" thickBot="1" x14ac:dyDescent="0.3">
      <c r="A4616" s="30" t="s">
        <v>30</v>
      </c>
      <c r="B4616" s="355">
        <v>44085</v>
      </c>
      <c r="C4616" s="1">
        <v>112</v>
      </c>
      <c r="D4616" s="47">
        <f t="shared" si="377"/>
        <v>603</v>
      </c>
      <c r="E4616" s="1">
        <f>1</f>
        <v>1</v>
      </c>
      <c r="F4616" s="78">
        <f t="shared" si="378"/>
        <v>6</v>
      </c>
    </row>
    <row r="4617" spans="1:7" ht="15.75" thickBot="1" x14ac:dyDescent="0.3">
      <c r="A4617" s="30" t="s">
        <v>31</v>
      </c>
      <c r="B4617" s="355">
        <v>44085</v>
      </c>
      <c r="C4617" s="1">
        <v>151</v>
      </c>
      <c r="D4617" s="47">
        <f t="shared" si="377"/>
        <v>4995</v>
      </c>
      <c r="E4617" s="1">
        <v>11</v>
      </c>
      <c r="F4617" s="78">
        <f t="shared" si="378"/>
        <v>88</v>
      </c>
    </row>
    <row r="4618" spans="1:7" ht="15.75" thickBot="1" x14ac:dyDescent="0.3">
      <c r="A4618" s="30" t="s">
        <v>41</v>
      </c>
      <c r="B4618" s="355">
        <v>44085</v>
      </c>
      <c r="C4618" s="1">
        <v>4</v>
      </c>
      <c r="D4618" s="47">
        <f t="shared" si="377"/>
        <v>96</v>
      </c>
      <c r="F4618" s="47">
        <f>E4618+F4594</f>
        <v>1</v>
      </c>
    </row>
    <row r="4619" spans="1:7" ht="15.75" thickBot="1" x14ac:dyDescent="0.3">
      <c r="A4619" s="30" t="s">
        <v>32</v>
      </c>
      <c r="B4619" s="355">
        <v>44085</v>
      </c>
      <c r="C4619" s="1">
        <v>302</v>
      </c>
      <c r="D4619" s="47">
        <f t="shared" si="377"/>
        <v>11699</v>
      </c>
      <c r="E4619" s="1">
        <f>1</f>
        <v>1</v>
      </c>
      <c r="F4619" s="78">
        <f t="shared" si="378"/>
        <v>244</v>
      </c>
    </row>
    <row r="4620" spans="1:7" ht="15.75" thickBot="1" x14ac:dyDescent="0.3">
      <c r="A4620" s="30" t="s">
        <v>33</v>
      </c>
      <c r="B4620" s="355">
        <v>44085</v>
      </c>
      <c r="C4620" s="1">
        <v>27</v>
      </c>
      <c r="D4620" s="47">
        <f t="shared" si="377"/>
        <v>321</v>
      </c>
      <c r="F4620" s="78">
        <f t="shared" si="378"/>
        <v>4</v>
      </c>
    </row>
    <row r="4621" spans="1:7" ht="15.75" thickBot="1" x14ac:dyDescent="0.3">
      <c r="A4621" s="30" t="s">
        <v>21</v>
      </c>
      <c r="B4621" s="355">
        <v>44085</v>
      </c>
      <c r="C4621" s="1">
        <v>162</v>
      </c>
      <c r="D4621" s="47">
        <f t="shared" si="377"/>
        <v>2665</v>
      </c>
      <c r="F4621" s="78">
        <f t="shared" si="378"/>
        <v>54</v>
      </c>
    </row>
    <row r="4622" spans="1:7" ht="15.75" thickBot="1" x14ac:dyDescent="0.3">
      <c r="A4622" s="30" t="s">
        <v>17</v>
      </c>
      <c r="B4622" s="355">
        <v>44085</v>
      </c>
      <c r="C4622" s="1">
        <v>695</v>
      </c>
      <c r="D4622" s="47">
        <f t="shared" si="377"/>
        <v>13060</v>
      </c>
      <c r="E4622" s="1">
        <f>1+2+3+2</f>
        <v>8</v>
      </c>
      <c r="F4622" s="78">
        <f t="shared" si="378"/>
        <v>146</v>
      </c>
    </row>
    <row r="4623" spans="1:7" ht="15.75" thickBot="1" x14ac:dyDescent="0.3">
      <c r="A4623" s="30" t="s">
        <v>23</v>
      </c>
      <c r="B4623" s="355">
        <v>44085</v>
      </c>
      <c r="C4623" s="1">
        <v>0</v>
      </c>
      <c r="D4623" s="47">
        <f t="shared" si="377"/>
        <v>65</v>
      </c>
      <c r="F4623" s="78">
        <f t="shared" si="378"/>
        <v>2</v>
      </c>
    </row>
    <row r="4624" spans="1:7" ht="15.75" thickBot="1" x14ac:dyDescent="0.3">
      <c r="A4624" s="30" t="s">
        <v>19</v>
      </c>
      <c r="B4624" s="355">
        <v>44085</v>
      </c>
      <c r="C4624" s="1">
        <v>161</v>
      </c>
      <c r="D4624" s="47">
        <f>C4624+D4600</f>
        <v>4459</v>
      </c>
      <c r="E4624" s="1">
        <f>1</f>
        <v>1</v>
      </c>
      <c r="F4624" s="78">
        <f t="shared" si="378"/>
        <v>46</v>
      </c>
    </row>
    <row r="4625" spans="1:6" ht="15.75" thickBot="1" x14ac:dyDescent="0.3">
      <c r="A4625" s="30" t="s">
        <v>18</v>
      </c>
      <c r="B4625" s="355">
        <v>44085</v>
      </c>
      <c r="C4625" s="1">
        <v>318</v>
      </c>
      <c r="D4625" s="47">
        <f>C4625+D4601</f>
        <v>8360</v>
      </c>
      <c r="E4625" s="1">
        <f>1+2+4</f>
        <v>7</v>
      </c>
      <c r="F4625" s="78">
        <f t="shared" si="378"/>
        <v>151</v>
      </c>
    </row>
    <row r="4626" spans="1:6" ht="15.75" thickBot="1" x14ac:dyDescent="0.3">
      <c r="A4626" s="30" t="s">
        <v>34</v>
      </c>
      <c r="B4626" s="355">
        <v>44085</v>
      </c>
      <c r="C4626" s="1">
        <v>322</v>
      </c>
      <c r="D4626" s="47">
        <f>C4626+D4602</f>
        <v>6159</v>
      </c>
      <c r="E4626" s="1">
        <f>1+2+2</f>
        <v>5</v>
      </c>
      <c r="F4626" s="78">
        <f>E4626+F4602</f>
        <v>85</v>
      </c>
    </row>
    <row r="4627" spans="1:6" ht="15.75" thickBot="1" x14ac:dyDescent="0.3">
      <c r="A4627" s="30" t="s">
        <v>35</v>
      </c>
      <c r="B4627" s="355">
        <v>44085</v>
      </c>
      <c r="C4627" s="1">
        <v>14</v>
      </c>
      <c r="D4627" s="47">
        <f t="shared" ref="D4627:D4633" si="379">C4627+D4603</f>
        <v>399</v>
      </c>
      <c r="F4627" s="47">
        <f>E4627+F4603</f>
        <v>7</v>
      </c>
    </row>
    <row r="4628" spans="1:6" ht="15.75" thickBot="1" x14ac:dyDescent="0.3">
      <c r="A4628" s="30" t="s">
        <v>36</v>
      </c>
      <c r="B4628" s="355">
        <v>44085</v>
      </c>
      <c r="C4628" s="1">
        <v>23</v>
      </c>
      <c r="D4628" s="47">
        <f t="shared" si="379"/>
        <v>379</v>
      </c>
      <c r="F4628" s="78">
        <f t="shared" si="378"/>
        <v>0</v>
      </c>
    </row>
    <row r="4629" spans="1:6" ht="15.75" thickBot="1" x14ac:dyDescent="0.3">
      <c r="A4629" s="30" t="s">
        <v>37</v>
      </c>
      <c r="B4629" s="355">
        <v>44085</v>
      </c>
      <c r="C4629" s="1">
        <v>136</v>
      </c>
      <c r="D4629" s="47">
        <f t="shared" si="379"/>
        <v>2762</v>
      </c>
      <c r="F4629" s="47">
        <f>E4629+F4605</f>
        <v>21</v>
      </c>
    </row>
    <row r="4630" spans="1:6" ht="15.75" thickBot="1" x14ac:dyDescent="0.3">
      <c r="A4630" s="30" t="s">
        <v>22</v>
      </c>
      <c r="B4630" s="355">
        <v>44085</v>
      </c>
      <c r="C4630" s="1">
        <v>930</v>
      </c>
      <c r="D4630" s="47">
        <f t="shared" si="379"/>
        <v>16673</v>
      </c>
      <c r="E4630" s="1">
        <f>2+4+4</f>
        <v>10</v>
      </c>
      <c r="F4630" s="47">
        <f>E4630+F4606</f>
        <v>187</v>
      </c>
    </row>
    <row r="4631" spans="1:6" ht="15.75" thickBot="1" x14ac:dyDescent="0.3">
      <c r="A4631" s="30" t="s">
        <v>38</v>
      </c>
      <c r="B4631" s="355">
        <v>44085</v>
      </c>
      <c r="C4631" s="1">
        <v>83</v>
      </c>
      <c r="D4631" s="47">
        <f t="shared" si="379"/>
        <v>1641</v>
      </c>
      <c r="F4631" s="78">
        <f t="shared" si="378"/>
        <v>25</v>
      </c>
    </row>
    <row r="4632" spans="1:6" ht="15.75" thickBot="1" x14ac:dyDescent="0.3">
      <c r="A4632" s="30" t="s">
        <v>39</v>
      </c>
      <c r="B4632" s="355">
        <v>44085</v>
      </c>
      <c r="C4632" s="1">
        <v>43</v>
      </c>
      <c r="D4632" s="47">
        <f t="shared" si="379"/>
        <v>2635</v>
      </c>
      <c r="E4632" s="1">
        <f>1</f>
        <v>1</v>
      </c>
      <c r="F4632" s="78">
        <f>E4632+F4608</f>
        <v>41</v>
      </c>
    </row>
    <row r="4633" spans="1:6" ht="15.75" thickBot="1" x14ac:dyDescent="0.3">
      <c r="A4633" s="52" t="s">
        <v>40</v>
      </c>
      <c r="B4633" s="42">
        <v>44085</v>
      </c>
      <c r="C4633" s="300">
        <v>472</v>
      </c>
      <c r="D4633" s="81">
        <f t="shared" si="379"/>
        <v>5891</v>
      </c>
      <c r="E4633" s="300">
        <f>1</f>
        <v>1</v>
      </c>
      <c r="F4633" s="81">
        <f>E4633+F4609</f>
        <v>18</v>
      </c>
    </row>
    <row r="4634" spans="1:6" x14ac:dyDescent="0.25">
      <c r="A4634" s="36" t="s">
        <v>16</v>
      </c>
      <c r="B4634" s="354">
        <v>44086</v>
      </c>
      <c r="C4634" s="53">
        <v>5862</v>
      </c>
      <c r="D4634" s="211">
        <f>C4634+D4610</f>
        <v>328100</v>
      </c>
      <c r="E4634" s="53">
        <f>15+15+18+6</f>
        <v>54</v>
      </c>
      <c r="F4634" s="77">
        <f>E4634+F4610</f>
        <v>6737</v>
      </c>
    </row>
    <row r="4635" spans="1:6" x14ac:dyDescent="0.25">
      <c r="A4635" s="30" t="s">
        <v>43</v>
      </c>
      <c r="B4635" s="2">
        <v>44086</v>
      </c>
      <c r="C4635" s="1">
        <v>985</v>
      </c>
      <c r="D4635" s="47">
        <f t="shared" ref="D4635:D4647" si="380">C4635+D4611</f>
        <v>110057</v>
      </c>
      <c r="E4635" s="1">
        <f>9+5+5+4</f>
        <v>23</v>
      </c>
      <c r="F4635" s="78">
        <f>E4635+F4611</f>
        <v>2693</v>
      </c>
    </row>
    <row r="4636" spans="1:6" x14ac:dyDescent="0.25">
      <c r="A4636" s="30" t="s">
        <v>28</v>
      </c>
      <c r="B4636" s="2">
        <v>44086</v>
      </c>
      <c r="C4636" s="1">
        <v>6</v>
      </c>
      <c r="D4636" s="47">
        <f t="shared" si="380"/>
        <v>120</v>
      </c>
      <c r="F4636" s="78">
        <f>E4636+F4612</f>
        <v>0</v>
      </c>
    </row>
    <row r="4637" spans="1:6" x14ac:dyDescent="0.25">
      <c r="A4637" s="30" t="s">
        <v>15</v>
      </c>
      <c r="B4637" s="2">
        <v>44086</v>
      </c>
      <c r="C4637" s="1">
        <v>117</v>
      </c>
      <c r="D4637" s="47">
        <f t="shared" si="380"/>
        <v>6660</v>
      </c>
      <c r="E4637" s="1">
        <f>2+1</f>
        <v>3</v>
      </c>
      <c r="F4637" s="78">
        <f t="shared" ref="F4637:F4655" si="381">E4637+F4613</f>
        <v>237</v>
      </c>
    </row>
    <row r="4638" spans="1:6" x14ac:dyDescent="0.25">
      <c r="A4638" s="30" t="s">
        <v>29</v>
      </c>
      <c r="B4638" s="2">
        <v>44086</v>
      </c>
      <c r="C4638" s="1">
        <v>165</v>
      </c>
      <c r="D4638" s="47">
        <f t="shared" si="380"/>
        <v>1645</v>
      </c>
      <c r="E4638" s="1">
        <f>2+2</f>
        <v>4</v>
      </c>
      <c r="F4638" s="78">
        <f t="shared" si="381"/>
        <v>14</v>
      </c>
    </row>
    <row r="4639" spans="1:6" x14ac:dyDescent="0.25">
      <c r="A4639" s="30" t="s">
        <v>20</v>
      </c>
      <c r="B4639" s="2">
        <v>44086</v>
      </c>
      <c r="C4639" s="1">
        <v>491</v>
      </c>
      <c r="D4639" s="47">
        <f t="shared" si="380"/>
        <v>13887</v>
      </c>
      <c r="E4639" s="1">
        <f>4</f>
        <v>4</v>
      </c>
      <c r="F4639" s="78">
        <f t="shared" si="381"/>
        <v>193</v>
      </c>
    </row>
    <row r="4640" spans="1:6" x14ac:dyDescent="0.25">
      <c r="A4640" s="30" t="s">
        <v>30</v>
      </c>
      <c r="B4640" s="2">
        <v>44086</v>
      </c>
      <c r="C4640" s="1">
        <v>56</v>
      </c>
      <c r="D4640" s="47">
        <f t="shared" si="380"/>
        <v>659</v>
      </c>
      <c r="F4640" s="78">
        <f t="shared" si="381"/>
        <v>6</v>
      </c>
    </row>
    <row r="4641" spans="1:6" x14ac:dyDescent="0.25">
      <c r="A4641" s="30" t="s">
        <v>31</v>
      </c>
      <c r="B4641" s="2">
        <v>44086</v>
      </c>
      <c r="C4641" s="1">
        <v>138</v>
      </c>
      <c r="D4641" s="47">
        <f t="shared" si="380"/>
        <v>5133</v>
      </c>
      <c r="F4641" s="78">
        <f t="shared" si="381"/>
        <v>88</v>
      </c>
    </row>
    <row r="4642" spans="1:6" x14ac:dyDescent="0.25">
      <c r="A4642" s="30" t="s">
        <v>41</v>
      </c>
      <c r="B4642" s="2">
        <v>44086</v>
      </c>
      <c r="C4642" s="1">
        <v>-1</v>
      </c>
      <c r="D4642" s="47">
        <f t="shared" si="380"/>
        <v>95</v>
      </c>
      <c r="F4642" s="78">
        <f>E4642+F4618</f>
        <v>1</v>
      </c>
    </row>
    <row r="4643" spans="1:6" x14ac:dyDescent="0.25">
      <c r="A4643" s="30" t="s">
        <v>32</v>
      </c>
      <c r="B4643" s="2">
        <v>44086</v>
      </c>
      <c r="C4643" s="1">
        <v>254</v>
      </c>
      <c r="D4643" s="47">
        <f t="shared" si="380"/>
        <v>11953</v>
      </c>
      <c r="E4643" s="1">
        <f>4+2</f>
        <v>6</v>
      </c>
      <c r="F4643" s="78">
        <f t="shared" si="381"/>
        <v>250</v>
      </c>
    </row>
    <row r="4644" spans="1:6" x14ac:dyDescent="0.25">
      <c r="A4644" s="30" t="s">
        <v>33</v>
      </c>
      <c r="B4644" s="2">
        <v>44086</v>
      </c>
      <c r="C4644" s="1">
        <v>30</v>
      </c>
      <c r="D4644" s="47">
        <f t="shared" si="380"/>
        <v>351</v>
      </c>
      <c r="F4644" s="78">
        <f t="shared" si="381"/>
        <v>4</v>
      </c>
    </row>
    <row r="4645" spans="1:6" x14ac:dyDescent="0.25">
      <c r="A4645" s="30" t="s">
        <v>21</v>
      </c>
      <c r="B4645" s="2">
        <v>44086</v>
      </c>
      <c r="C4645" s="1">
        <v>47</v>
      </c>
      <c r="D4645" s="47">
        <f t="shared" si="380"/>
        <v>2712</v>
      </c>
      <c r="F4645" s="78">
        <f t="shared" si="381"/>
        <v>54</v>
      </c>
    </row>
    <row r="4646" spans="1:6" x14ac:dyDescent="0.25">
      <c r="A4646" s="30" t="s">
        <v>17</v>
      </c>
      <c r="B4646" s="2">
        <v>44086</v>
      </c>
      <c r="C4646" s="1">
        <v>718</v>
      </c>
      <c r="D4646" s="47">
        <f t="shared" si="380"/>
        <v>13778</v>
      </c>
      <c r="E4646" s="1">
        <f>2</f>
        <v>2</v>
      </c>
      <c r="F4646" s="78">
        <f t="shared" si="381"/>
        <v>148</v>
      </c>
    </row>
    <row r="4647" spans="1:6" x14ac:dyDescent="0.25">
      <c r="A4647" s="30" t="s">
        <v>23</v>
      </c>
      <c r="B4647" s="2">
        <v>44086</v>
      </c>
      <c r="C4647" s="1">
        <v>3</v>
      </c>
      <c r="D4647" s="47">
        <f t="shared" si="380"/>
        <v>68</v>
      </c>
      <c r="F4647" s="78">
        <f t="shared" si="381"/>
        <v>2</v>
      </c>
    </row>
    <row r="4648" spans="1:6" x14ac:dyDescent="0.25">
      <c r="A4648" s="30" t="s">
        <v>19</v>
      </c>
      <c r="B4648" s="2">
        <v>44086</v>
      </c>
      <c r="C4648" s="1">
        <v>67</v>
      </c>
      <c r="D4648" s="47">
        <f>C4648+D4624</f>
        <v>4526</v>
      </c>
      <c r="F4648" s="78">
        <f t="shared" si="381"/>
        <v>46</v>
      </c>
    </row>
    <row r="4649" spans="1:6" x14ac:dyDescent="0.25">
      <c r="A4649" s="30" t="s">
        <v>18</v>
      </c>
      <c r="B4649" s="2">
        <v>44086</v>
      </c>
      <c r="C4649" s="1">
        <v>229</v>
      </c>
      <c r="D4649" s="47">
        <f>C4649+D4625</f>
        <v>8589</v>
      </c>
      <c r="F4649" s="78">
        <f t="shared" si="381"/>
        <v>151</v>
      </c>
    </row>
    <row r="4650" spans="1:6" x14ac:dyDescent="0.25">
      <c r="A4650" s="30" t="s">
        <v>34</v>
      </c>
      <c r="B4650" s="2">
        <v>44086</v>
      </c>
      <c r="C4650" s="1">
        <v>266</v>
      </c>
      <c r="D4650" s="47">
        <f>C4650+D4626</f>
        <v>6425</v>
      </c>
      <c r="E4650" s="1">
        <f>2</f>
        <v>2</v>
      </c>
      <c r="F4650" s="78">
        <f>E4650+F4626</f>
        <v>87</v>
      </c>
    </row>
    <row r="4651" spans="1:6" x14ac:dyDescent="0.25">
      <c r="A4651" s="30" t="s">
        <v>35</v>
      </c>
      <c r="B4651" s="2">
        <v>44086</v>
      </c>
      <c r="C4651" s="1">
        <v>23</v>
      </c>
      <c r="D4651" s="47">
        <f t="shared" ref="D4651:D4657" si="382">C4651+D4627</f>
        <v>422</v>
      </c>
      <c r="E4651" s="1">
        <f>2+3</f>
        <v>5</v>
      </c>
      <c r="F4651" s="78">
        <f>E4651+F4627</f>
        <v>12</v>
      </c>
    </row>
    <row r="4652" spans="1:6" x14ac:dyDescent="0.25">
      <c r="A4652" s="30" t="s">
        <v>36</v>
      </c>
      <c r="B4652" s="2">
        <v>44086</v>
      </c>
      <c r="C4652" s="1">
        <v>3</v>
      </c>
      <c r="D4652" s="47">
        <f t="shared" si="382"/>
        <v>382</v>
      </c>
      <c r="F4652" s="78">
        <f t="shared" si="381"/>
        <v>0</v>
      </c>
    </row>
    <row r="4653" spans="1:6" x14ac:dyDescent="0.25">
      <c r="A4653" s="30" t="s">
        <v>37</v>
      </c>
      <c r="B4653" s="2">
        <v>44086</v>
      </c>
      <c r="C4653" s="1">
        <v>114</v>
      </c>
      <c r="D4653" s="47">
        <f t="shared" si="382"/>
        <v>2876</v>
      </c>
      <c r="F4653" s="78">
        <f>E4653+F4629</f>
        <v>21</v>
      </c>
    </row>
    <row r="4654" spans="1:6" x14ac:dyDescent="0.25">
      <c r="A4654" s="30" t="s">
        <v>22</v>
      </c>
      <c r="B4654" s="2">
        <v>44086</v>
      </c>
      <c r="C4654" s="1">
        <v>889</v>
      </c>
      <c r="D4654" s="47">
        <f t="shared" si="382"/>
        <v>17562</v>
      </c>
      <c r="E4654" s="1">
        <f>2+3+2</f>
        <v>7</v>
      </c>
      <c r="F4654" s="78">
        <f>E4654+F4630</f>
        <v>194</v>
      </c>
    </row>
    <row r="4655" spans="1:6" x14ac:dyDescent="0.25">
      <c r="A4655" s="30" t="s">
        <v>38</v>
      </c>
      <c r="B4655" s="2">
        <v>44086</v>
      </c>
      <c r="C4655" s="1">
        <v>112</v>
      </c>
      <c r="D4655" s="47">
        <f t="shared" si="382"/>
        <v>1753</v>
      </c>
      <c r="F4655" s="78">
        <f t="shared" si="381"/>
        <v>25</v>
      </c>
    </row>
    <row r="4656" spans="1:6" x14ac:dyDescent="0.25">
      <c r="A4656" s="30" t="s">
        <v>39</v>
      </c>
      <c r="B4656" s="2">
        <v>44086</v>
      </c>
      <c r="C4656" s="1">
        <v>48</v>
      </c>
      <c r="D4656" s="47">
        <f t="shared" si="382"/>
        <v>2683</v>
      </c>
      <c r="E4656" s="1">
        <f>1+1+1</f>
        <v>3</v>
      </c>
      <c r="F4656" s="78">
        <f>E4656+F4632</f>
        <v>44</v>
      </c>
    </row>
    <row r="4657" spans="1:6" ht="15.75" thickBot="1" x14ac:dyDescent="0.3">
      <c r="A4657" s="31" t="s">
        <v>40</v>
      </c>
      <c r="B4657" s="355">
        <v>44086</v>
      </c>
      <c r="C4657" s="54">
        <v>154</v>
      </c>
      <c r="D4657" s="214">
        <f t="shared" si="382"/>
        <v>6045</v>
      </c>
      <c r="E4657" s="54">
        <f>1</f>
        <v>1</v>
      </c>
      <c r="F4657" s="79">
        <f>E4657+F4633</f>
        <v>19</v>
      </c>
    </row>
    <row r="4658" spans="1:6" x14ac:dyDescent="0.25">
      <c r="A4658" s="36" t="s">
        <v>16</v>
      </c>
      <c r="B4658" s="356">
        <v>44087</v>
      </c>
      <c r="C4658" s="293">
        <v>3689</v>
      </c>
      <c r="D4658" s="211">
        <f>C4658+D4634</f>
        <v>331789</v>
      </c>
      <c r="E4658" s="293">
        <f>11+3+11+13</f>
        <v>38</v>
      </c>
      <c r="F4658" s="77">
        <f>E4658+F4634</f>
        <v>6775</v>
      </c>
    </row>
    <row r="4659" spans="1:6" x14ac:dyDescent="0.25">
      <c r="A4659" s="30" t="s">
        <v>43</v>
      </c>
      <c r="B4659" s="356">
        <v>44087</v>
      </c>
      <c r="C4659" s="1">
        <v>843</v>
      </c>
      <c r="D4659" s="47">
        <f t="shared" ref="D4659:D4671" si="383">C4659+D4635</f>
        <v>110900</v>
      </c>
      <c r="E4659" s="1">
        <f>6+7+4+2</f>
        <v>19</v>
      </c>
      <c r="F4659" s="78">
        <f>E4659+F4635</f>
        <v>2712</v>
      </c>
    </row>
    <row r="4660" spans="1:6" x14ac:dyDescent="0.25">
      <c r="A4660" s="30" t="s">
        <v>28</v>
      </c>
      <c r="B4660" s="356">
        <v>44087</v>
      </c>
      <c r="C4660" s="1">
        <v>4</v>
      </c>
      <c r="D4660" s="47">
        <f t="shared" si="383"/>
        <v>124</v>
      </c>
      <c r="F4660" s="78">
        <f>E4660+F4636</f>
        <v>0</v>
      </c>
    </row>
    <row r="4661" spans="1:6" x14ac:dyDescent="0.25">
      <c r="A4661" s="30" t="s">
        <v>15</v>
      </c>
      <c r="B4661" s="356">
        <v>44087</v>
      </c>
      <c r="C4661" s="1">
        <v>91</v>
      </c>
      <c r="D4661" s="47">
        <f t="shared" si="383"/>
        <v>6751</v>
      </c>
      <c r="E4661" s="1">
        <f>2</f>
        <v>2</v>
      </c>
      <c r="F4661" s="78">
        <f t="shared" ref="F4661:F4679" si="384">E4661+F4637</f>
        <v>239</v>
      </c>
    </row>
    <row r="4662" spans="1:6" x14ac:dyDescent="0.25">
      <c r="A4662" s="30" t="s">
        <v>29</v>
      </c>
      <c r="B4662" s="356">
        <v>44087</v>
      </c>
      <c r="C4662" s="1">
        <v>73</v>
      </c>
      <c r="D4662" s="47">
        <f t="shared" si="383"/>
        <v>1718</v>
      </c>
      <c r="F4662" s="78">
        <f t="shared" si="384"/>
        <v>14</v>
      </c>
    </row>
    <row r="4663" spans="1:6" x14ac:dyDescent="0.25">
      <c r="A4663" s="30" t="s">
        <v>20</v>
      </c>
      <c r="B4663" s="356">
        <v>44087</v>
      </c>
      <c r="C4663" s="1">
        <v>552</v>
      </c>
      <c r="D4663" s="47">
        <f t="shared" si="383"/>
        <v>14439</v>
      </c>
      <c r="E4663" s="1">
        <f>3+1</f>
        <v>4</v>
      </c>
      <c r="F4663" s="78">
        <f t="shared" si="384"/>
        <v>197</v>
      </c>
    </row>
    <row r="4664" spans="1:6" x14ac:dyDescent="0.25">
      <c r="A4664" s="30" t="s">
        <v>30</v>
      </c>
      <c r="B4664" s="356">
        <v>44087</v>
      </c>
      <c r="C4664" s="1">
        <v>1</v>
      </c>
      <c r="D4664" s="47">
        <f t="shared" si="383"/>
        <v>660</v>
      </c>
      <c r="F4664" s="78">
        <f t="shared" si="384"/>
        <v>6</v>
      </c>
    </row>
    <row r="4665" spans="1:6" x14ac:dyDescent="0.25">
      <c r="A4665" s="30" t="s">
        <v>31</v>
      </c>
      <c r="B4665" s="356">
        <v>44087</v>
      </c>
      <c r="C4665" s="1">
        <v>105</v>
      </c>
      <c r="D4665" s="47">
        <f t="shared" si="383"/>
        <v>5238</v>
      </c>
      <c r="E4665" s="1">
        <f>1</f>
        <v>1</v>
      </c>
      <c r="F4665" s="78">
        <f t="shared" si="384"/>
        <v>89</v>
      </c>
    </row>
    <row r="4666" spans="1:6" x14ac:dyDescent="0.25">
      <c r="A4666" s="30" t="s">
        <v>41</v>
      </c>
      <c r="B4666" s="356">
        <v>44087</v>
      </c>
      <c r="C4666" s="1">
        <v>-1</v>
      </c>
      <c r="D4666" s="47">
        <f t="shared" si="383"/>
        <v>94</v>
      </c>
      <c r="F4666" s="78">
        <f>E4666+F4642</f>
        <v>1</v>
      </c>
    </row>
    <row r="4667" spans="1:6" x14ac:dyDescent="0.25">
      <c r="A4667" s="30" t="s">
        <v>32</v>
      </c>
      <c r="B4667" s="356">
        <v>44087</v>
      </c>
      <c r="C4667" s="1">
        <v>169</v>
      </c>
      <c r="D4667" s="47">
        <f t="shared" si="383"/>
        <v>12122</v>
      </c>
      <c r="E4667" s="1">
        <f>3+2+1</f>
        <v>6</v>
      </c>
      <c r="F4667" s="78">
        <f t="shared" si="384"/>
        <v>256</v>
      </c>
    </row>
    <row r="4668" spans="1:6" x14ac:dyDescent="0.25">
      <c r="A4668" s="30" t="s">
        <v>33</v>
      </c>
      <c r="B4668" s="356">
        <v>44087</v>
      </c>
      <c r="C4668" s="1">
        <v>46</v>
      </c>
      <c r="D4668" s="47">
        <f t="shared" si="383"/>
        <v>397</v>
      </c>
      <c r="F4668" s="78">
        <f t="shared" si="384"/>
        <v>4</v>
      </c>
    </row>
    <row r="4669" spans="1:6" x14ac:dyDescent="0.25">
      <c r="A4669" s="30" t="s">
        <v>21</v>
      </c>
      <c r="B4669" s="356">
        <v>44087</v>
      </c>
      <c r="C4669" s="1">
        <v>96</v>
      </c>
      <c r="D4669" s="47">
        <f t="shared" si="383"/>
        <v>2808</v>
      </c>
      <c r="E4669" s="1">
        <f>1+3</f>
        <v>4</v>
      </c>
      <c r="F4669" s="78">
        <f t="shared" si="384"/>
        <v>58</v>
      </c>
    </row>
    <row r="4670" spans="1:6" x14ac:dyDescent="0.25">
      <c r="A4670" s="30" t="s">
        <v>17</v>
      </c>
      <c r="B4670" s="356">
        <v>44087</v>
      </c>
      <c r="C4670" s="1">
        <v>704</v>
      </c>
      <c r="D4670" s="47">
        <f t="shared" si="383"/>
        <v>14482</v>
      </c>
      <c r="E4670" s="1">
        <f>2</f>
        <v>2</v>
      </c>
      <c r="F4670" s="78">
        <f t="shared" si="384"/>
        <v>150</v>
      </c>
    </row>
    <row r="4671" spans="1:6" x14ac:dyDescent="0.25">
      <c r="A4671" s="30" t="s">
        <v>23</v>
      </c>
      <c r="B4671" s="356">
        <v>44087</v>
      </c>
      <c r="C4671" s="1">
        <v>0</v>
      </c>
      <c r="D4671" s="47">
        <f t="shared" si="383"/>
        <v>68</v>
      </c>
      <c r="F4671" s="78">
        <f t="shared" si="384"/>
        <v>2</v>
      </c>
    </row>
    <row r="4672" spans="1:6" x14ac:dyDescent="0.25">
      <c r="A4672" s="30" t="s">
        <v>19</v>
      </c>
      <c r="B4672" s="356">
        <v>44087</v>
      </c>
      <c r="C4672" s="1">
        <v>286</v>
      </c>
      <c r="D4672" s="47">
        <f>C4672+D4648</f>
        <v>4812</v>
      </c>
      <c r="E4672" s="1">
        <f>2+1+1</f>
        <v>4</v>
      </c>
      <c r="F4672" s="78">
        <f t="shared" si="384"/>
        <v>50</v>
      </c>
    </row>
    <row r="4673" spans="1:6" x14ac:dyDescent="0.25">
      <c r="A4673" s="30" t="s">
        <v>18</v>
      </c>
      <c r="B4673" s="356">
        <v>44087</v>
      </c>
      <c r="C4673" s="1">
        <v>130</v>
      </c>
      <c r="D4673" s="47">
        <f>C4673+D4649</f>
        <v>8719</v>
      </c>
      <c r="E4673" s="1">
        <f>2</f>
        <v>2</v>
      </c>
      <c r="F4673" s="78">
        <f t="shared" si="384"/>
        <v>153</v>
      </c>
    </row>
    <row r="4674" spans="1:6" x14ac:dyDescent="0.25">
      <c r="A4674" s="30" t="s">
        <v>34</v>
      </c>
      <c r="B4674" s="356">
        <v>44087</v>
      </c>
      <c r="C4674" s="1">
        <v>340</v>
      </c>
      <c r="D4674" s="47">
        <f>C4674+D4650</f>
        <v>6765</v>
      </c>
      <c r="E4674" s="1">
        <f>1+1</f>
        <v>2</v>
      </c>
      <c r="F4674" s="78">
        <f>E4674+F4650</f>
        <v>89</v>
      </c>
    </row>
    <row r="4675" spans="1:6" x14ac:dyDescent="0.25">
      <c r="A4675" s="30" t="s">
        <v>35</v>
      </c>
      <c r="B4675" s="356">
        <v>44087</v>
      </c>
      <c r="C4675" s="1">
        <v>-5</v>
      </c>
      <c r="D4675" s="47">
        <f t="shared" ref="D4675:D4681" si="385">C4675+D4651</f>
        <v>417</v>
      </c>
      <c r="F4675" s="78">
        <f>E4675+F4651</f>
        <v>12</v>
      </c>
    </row>
    <row r="4676" spans="1:6" x14ac:dyDescent="0.25">
      <c r="A4676" s="30" t="s">
        <v>36</v>
      </c>
      <c r="B4676" s="356">
        <v>44087</v>
      </c>
      <c r="C4676" s="1">
        <v>1</v>
      </c>
      <c r="D4676" s="47">
        <f t="shared" si="385"/>
        <v>383</v>
      </c>
      <c r="F4676" s="78">
        <f t="shared" si="384"/>
        <v>0</v>
      </c>
    </row>
    <row r="4677" spans="1:6" x14ac:dyDescent="0.25">
      <c r="A4677" s="30" t="s">
        <v>37</v>
      </c>
      <c r="B4677" s="356">
        <v>44087</v>
      </c>
      <c r="C4677" s="1">
        <v>193</v>
      </c>
      <c r="D4677" s="47">
        <f t="shared" si="385"/>
        <v>3069</v>
      </c>
      <c r="F4677" s="78">
        <f>E4677+F4653</f>
        <v>21</v>
      </c>
    </row>
    <row r="4678" spans="1:6" x14ac:dyDescent="0.25">
      <c r="A4678" s="30" t="s">
        <v>22</v>
      </c>
      <c r="B4678" s="356">
        <v>44087</v>
      </c>
      <c r="C4678" s="1">
        <v>1055</v>
      </c>
      <c r="D4678" s="47">
        <f t="shared" si="385"/>
        <v>18617</v>
      </c>
      <c r="E4678" s="1">
        <f>1+1</f>
        <v>2</v>
      </c>
      <c r="F4678" s="78">
        <f>E4678+F4654</f>
        <v>196</v>
      </c>
    </row>
    <row r="4679" spans="1:6" x14ac:dyDescent="0.25">
      <c r="A4679" s="30" t="s">
        <v>38</v>
      </c>
      <c r="B4679" s="356">
        <v>44087</v>
      </c>
      <c r="C4679" s="1">
        <v>79</v>
      </c>
      <c r="D4679" s="47">
        <f t="shared" si="385"/>
        <v>1832</v>
      </c>
      <c r="E4679" s="1">
        <f>1</f>
        <v>1</v>
      </c>
      <c r="F4679" s="78">
        <f t="shared" si="384"/>
        <v>26</v>
      </c>
    </row>
    <row r="4680" spans="1:6" x14ac:dyDescent="0.25">
      <c r="A4680" s="30" t="s">
        <v>39</v>
      </c>
      <c r="B4680" s="356">
        <v>44087</v>
      </c>
      <c r="C4680" s="1">
        <v>22</v>
      </c>
      <c r="D4680" s="47">
        <f t="shared" si="385"/>
        <v>2705</v>
      </c>
      <c r="E4680" s="1">
        <f>1</f>
        <v>1</v>
      </c>
      <c r="F4680" s="78">
        <f>E4680+F4656</f>
        <v>45</v>
      </c>
    </row>
    <row r="4681" spans="1:6" ht="15.75" thickBot="1" x14ac:dyDescent="0.3">
      <c r="A4681" s="31" t="s">
        <v>40</v>
      </c>
      <c r="B4681" s="356">
        <v>44087</v>
      </c>
      <c r="C4681" s="1">
        <v>583</v>
      </c>
      <c r="D4681" s="214">
        <f t="shared" si="385"/>
        <v>6628</v>
      </c>
      <c r="F4681" s="79">
        <f>E4681+F4657</f>
        <v>19</v>
      </c>
    </row>
    <row r="4682" spans="1:6" x14ac:dyDescent="0.25">
      <c r="A4682" s="36" t="s">
        <v>16</v>
      </c>
      <c r="B4682" s="356">
        <v>44088</v>
      </c>
      <c r="C4682" s="1">
        <v>4863</v>
      </c>
      <c r="D4682" s="211">
        <f>C4682+D4658</f>
        <v>336652</v>
      </c>
      <c r="E4682" s="1">
        <f>7+4+96+51</f>
        <v>158</v>
      </c>
      <c r="F4682" s="77">
        <f>E4682+F4658</f>
        <v>6933</v>
      </c>
    </row>
    <row r="4683" spans="1:6" x14ac:dyDescent="0.25">
      <c r="A4683" s="30" t="s">
        <v>43</v>
      </c>
      <c r="B4683" s="356">
        <v>44088</v>
      </c>
      <c r="C4683" s="1">
        <v>946</v>
      </c>
      <c r="D4683" s="47">
        <f t="shared" ref="D4683:D4695" si="386">C4683+D4659</f>
        <v>111846</v>
      </c>
      <c r="E4683" s="1">
        <f>5+9+25+14</f>
        <v>53</v>
      </c>
      <c r="F4683" s="78">
        <f>E4683+F4659</f>
        <v>2765</v>
      </c>
    </row>
    <row r="4684" spans="1:6" x14ac:dyDescent="0.25">
      <c r="A4684" s="30" t="s">
        <v>28</v>
      </c>
      <c r="B4684" s="356">
        <v>44088</v>
      </c>
      <c r="C4684" s="1">
        <v>5</v>
      </c>
      <c r="D4684" s="47">
        <f t="shared" si="386"/>
        <v>129</v>
      </c>
      <c r="F4684" s="78">
        <f>E4684+F4660</f>
        <v>0</v>
      </c>
    </row>
    <row r="4685" spans="1:6" x14ac:dyDescent="0.25">
      <c r="A4685" s="30" t="s">
        <v>15</v>
      </c>
      <c r="B4685" s="356">
        <v>44088</v>
      </c>
      <c r="C4685" s="1">
        <v>41</v>
      </c>
      <c r="D4685" s="47">
        <f t="shared" si="386"/>
        <v>6792</v>
      </c>
      <c r="E4685" s="1">
        <f>1+2</f>
        <v>3</v>
      </c>
      <c r="F4685" s="78">
        <f t="shared" ref="F4685:F4703" si="387">E4685+F4661</f>
        <v>242</v>
      </c>
    </row>
    <row r="4686" spans="1:6" x14ac:dyDescent="0.25">
      <c r="A4686" s="30" t="s">
        <v>29</v>
      </c>
      <c r="B4686" s="356">
        <v>44088</v>
      </c>
      <c r="C4686" s="1">
        <v>39</v>
      </c>
      <c r="D4686" s="47">
        <f t="shared" si="386"/>
        <v>1757</v>
      </c>
      <c r="E4686" s="1">
        <f>4+2</f>
        <v>6</v>
      </c>
      <c r="F4686" s="78">
        <f t="shared" si="387"/>
        <v>20</v>
      </c>
    </row>
    <row r="4687" spans="1:6" x14ac:dyDescent="0.25">
      <c r="A4687" s="30" t="s">
        <v>20</v>
      </c>
      <c r="B4687" s="356">
        <v>44088</v>
      </c>
      <c r="C4687" s="1">
        <v>535</v>
      </c>
      <c r="D4687" s="47">
        <f t="shared" si="386"/>
        <v>14974</v>
      </c>
      <c r="E4687" s="1">
        <f>4+3</f>
        <v>7</v>
      </c>
      <c r="F4687" s="78">
        <f t="shared" si="387"/>
        <v>204</v>
      </c>
    </row>
    <row r="4688" spans="1:6" x14ac:dyDescent="0.25">
      <c r="A4688" s="30" t="s">
        <v>30</v>
      </c>
      <c r="B4688" s="356">
        <v>44088</v>
      </c>
      <c r="C4688" s="1">
        <v>58</v>
      </c>
      <c r="D4688" s="47">
        <f t="shared" si="386"/>
        <v>718</v>
      </c>
      <c r="F4688" s="78">
        <f t="shared" si="387"/>
        <v>6</v>
      </c>
    </row>
    <row r="4689" spans="1:6" x14ac:dyDescent="0.25">
      <c r="A4689" s="30" t="s">
        <v>31</v>
      </c>
      <c r="B4689" s="356">
        <v>44088</v>
      </c>
      <c r="C4689" s="1">
        <v>72</v>
      </c>
      <c r="D4689" s="47">
        <f t="shared" si="386"/>
        <v>5310</v>
      </c>
      <c r="F4689" s="78">
        <f t="shared" si="387"/>
        <v>89</v>
      </c>
    </row>
    <row r="4690" spans="1:6" x14ac:dyDescent="0.25">
      <c r="A4690" s="30" t="s">
        <v>41</v>
      </c>
      <c r="B4690" s="356">
        <v>44088</v>
      </c>
      <c r="C4690" s="1">
        <v>1</v>
      </c>
      <c r="D4690" s="47">
        <f t="shared" si="386"/>
        <v>95</v>
      </c>
      <c r="F4690" s="78">
        <f>E4690+F4666</f>
        <v>1</v>
      </c>
    </row>
    <row r="4691" spans="1:6" x14ac:dyDescent="0.25">
      <c r="A4691" s="30" t="s">
        <v>32</v>
      </c>
      <c r="B4691" s="356">
        <v>44088</v>
      </c>
      <c r="C4691" s="1">
        <v>277</v>
      </c>
      <c r="D4691" s="47">
        <f t="shared" si="386"/>
        <v>12399</v>
      </c>
      <c r="E4691" s="1">
        <f>3+1+5+1</f>
        <v>10</v>
      </c>
      <c r="F4691" s="78">
        <f t="shared" si="387"/>
        <v>266</v>
      </c>
    </row>
    <row r="4692" spans="1:6" x14ac:dyDescent="0.25">
      <c r="A4692" s="30" t="s">
        <v>33</v>
      </c>
      <c r="B4692" s="356">
        <v>44088</v>
      </c>
      <c r="C4692" s="1">
        <v>45</v>
      </c>
      <c r="D4692" s="47">
        <f t="shared" si="386"/>
        <v>442</v>
      </c>
      <c r="F4692" s="78">
        <f t="shared" si="387"/>
        <v>4</v>
      </c>
    </row>
    <row r="4693" spans="1:6" x14ac:dyDescent="0.25">
      <c r="A4693" s="30" t="s">
        <v>21</v>
      </c>
      <c r="B4693" s="356">
        <v>44088</v>
      </c>
      <c r="C4693" s="1">
        <v>74</v>
      </c>
      <c r="D4693" s="47">
        <f t="shared" si="386"/>
        <v>2882</v>
      </c>
      <c r="E4693" s="1">
        <f>13+11</f>
        <v>24</v>
      </c>
      <c r="F4693" s="78">
        <f t="shared" si="387"/>
        <v>82</v>
      </c>
    </row>
    <row r="4694" spans="1:6" x14ac:dyDescent="0.25">
      <c r="A4694" s="30" t="s">
        <v>17</v>
      </c>
      <c r="B4694" s="356">
        <v>44088</v>
      </c>
      <c r="C4694" s="1">
        <v>650</v>
      </c>
      <c r="D4694" s="47">
        <f t="shared" si="386"/>
        <v>15132</v>
      </c>
      <c r="E4694" s="1">
        <f>2+1</f>
        <v>3</v>
      </c>
      <c r="F4694" s="78">
        <f t="shared" si="387"/>
        <v>153</v>
      </c>
    </row>
    <row r="4695" spans="1:6" x14ac:dyDescent="0.25">
      <c r="A4695" s="30" t="s">
        <v>23</v>
      </c>
      <c r="B4695" s="356">
        <v>44088</v>
      </c>
      <c r="C4695" s="1">
        <v>0</v>
      </c>
      <c r="D4695" s="47">
        <f t="shared" si="386"/>
        <v>68</v>
      </c>
      <c r="F4695" s="78">
        <f t="shared" si="387"/>
        <v>2</v>
      </c>
    </row>
    <row r="4696" spans="1:6" x14ac:dyDescent="0.25">
      <c r="A4696" s="30" t="s">
        <v>19</v>
      </c>
      <c r="B4696" s="356">
        <v>44088</v>
      </c>
      <c r="C4696" s="1">
        <v>227</v>
      </c>
      <c r="D4696" s="47">
        <f>C4696+D4672</f>
        <v>5039</v>
      </c>
      <c r="E4696" s="1">
        <f>1+1</f>
        <v>2</v>
      </c>
      <c r="F4696" s="78">
        <f t="shared" si="387"/>
        <v>52</v>
      </c>
    </row>
    <row r="4697" spans="1:6" x14ac:dyDescent="0.25">
      <c r="A4697" s="30" t="s">
        <v>18</v>
      </c>
      <c r="B4697" s="356">
        <v>44088</v>
      </c>
      <c r="C4697" s="1">
        <v>135</v>
      </c>
      <c r="D4697" s="47">
        <f>C4697+D4673</f>
        <v>8854</v>
      </c>
      <c r="E4697" s="1">
        <f>4+4</f>
        <v>8</v>
      </c>
      <c r="F4697" s="78">
        <f t="shared" si="387"/>
        <v>161</v>
      </c>
    </row>
    <row r="4698" spans="1:6" x14ac:dyDescent="0.25">
      <c r="A4698" s="30" t="s">
        <v>34</v>
      </c>
      <c r="B4698" s="356">
        <v>44088</v>
      </c>
      <c r="C4698" s="1">
        <v>229</v>
      </c>
      <c r="D4698" s="47">
        <f>C4698+D4674</f>
        <v>6994</v>
      </c>
      <c r="E4698" s="1">
        <f>4+1</f>
        <v>5</v>
      </c>
      <c r="F4698" s="78">
        <f>E4698+F4674</f>
        <v>94</v>
      </c>
    </row>
    <row r="4699" spans="1:6" x14ac:dyDescent="0.25">
      <c r="A4699" s="30" t="s">
        <v>35</v>
      </c>
      <c r="B4699" s="356">
        <v>44088</v>
      </c>
      <c r="C4699" s="1">
        <v>0</v>
      </c>
      <c r="D4699" s="47">
        <f t="shared" ref="D4699:D4705" si="388">C4699+D4675</f>
        <v>417</v>
      </c>
      <c r="F4699" s="78">
        <f>E4699+F4675</f>
        <v>12</v>
      </c>
    </row>
    <row r="4700" spans="1:6" x14ac:dyDescent="0.25">
      <c r="A4700" s="30" t="s">
        <v>36</v>
      </c>
      <c r="B4700" s="356">
        <v>44088</v>
      </c>
      <c r="C4700" s="1">
        <v>49</v>
      </c>
      <c r="D4700" s="47">
        <f t="shared" si="388"/>
        <v>432</v>
      </c>
      <c r="F4700" s="78">
        <f t="shared" si="387"/>
        <v>0</v>
      </c>
    </row>
    <row r="4701" spans="1:6" x14ac:dyDescent="0.25">
      <c r="A4701" s="30" t="s">
        <v>37</v>
      </c>
      <c r="B4701" s="356">
        <v>44088</v>
      </c>
      <c r="C4701" s="1">
        <v>39</v>
      </c>
      <c r="D4701" s="47">
        <f t="shared" si="388"/>
        <v>3108</v>
      </c>
      <c r="E4701" s="1">
        <f>1+11+3</f>
        <v>15</v>
      </c>
      <c r="F4701" s="78">
        <f>E4701+F4677</f>
        <v>36</v>
      </c>
    </row>
    <row r="4702" spans="1:6" x14ac:dyDescent="0.25">
      <c r="A4702" s="30" t="s">
        <v>22</v>
      </c>
      <c r="B4702" s="356">
        <v>44088</v>
      </c>
      <c r="C4702" s="1">
        <v>850</v>
      </c>
      <c r="D4702" s="47">
        <f t="shared" si="388"/>
        <v>19467</v>
      </c>
      <c r="E4702" s="1">
        <f>1+10+5</f>
        <v>16</v>
      </c>
      <c r="F4702" s="78">
        <f>E4702+F4678</f>
        <v>212</v>
      </c>
    </row>
    <row r="4703" spans="1:6" x14ac:dyDescent="0.25">
      <c r="A4703" s="30" t="s">
        <v>38</v>
      </c>
      <c r="B4703" s="356">
        <v>44088</v>
      </c>
      <c r="C4703" s="1">
        <v>81</v>
      </c>
      <c r="D4703" s="47">
        <f t="shared" si="388"/>
        <v>1913</v>
      </c>
      <c r="E4703" s="1">
        <f>2</f>
        <v>2</v>
      </c>
      <c r="F4703" s="78">
        <f t="shared" si="387"/>
        <v>28</v>
      </c>
    </row>
    <row r="4704" spans="1:6" x14ac:dyDescent="0.25">
      <c r="A4704" s="30" t="s">
        <v>39</v>
      </c>
      <c r="B4704" s="356">
        <v>44088</v>
      </c>
      <c r="C4704" s="1">
        <v>72</v>
      </c>
      <c r="D4704" s="47">
        <f t="shared" si="388"/>
        <v>2777</v>
      </c>
      <c r="E4704" s="1">
        <f>1+1</f>
        <v>2</v>
      </c>
      <c r="F4704" s="78">
        <f>E4704+F4680</f>
        <v>47</v>
      </c>
    </row>
    <row r="4705" spans="1:6" ht="15.75" thickBot="1" x14ac:dyDescent="0.3">
      <c r="A4705" s="52" t="s">
        <v>40</v>
      </c>
      <c r="B4705" s="357">
        <v>44088</v>
      </c>
      <c r="C4705" s="300">
        <v>621</v>
      </c>
      <c r="D4705" s="81">
        <f t="shared" si="388"/>
        <v>7249</v>
      </c>
      <c r="E4705" s="300"/>
      <c r="F4705" s="83">
        <f>E4705+F4681</f>
        <v>19</v>
      </c>
    </row>
    <row r="4706" spans="1:6" x14ac:dyDescent="0.25">
      <c r="A4706" s="36" t="s">
        <v>16</v>
      </c>
      <c r="B4706" s="354">
        <v>44089</v>
      </c>
      <c r="C4706" s="53">
        <v>6001</v>
      </c>
      <c r="D4706" s="211">
        <f>C4706+D4682</f>
        <v>342653</v>
      </c>
      <c r="E4706" s="53">
        <f>16+11+32+41</f>
        <v>100</v>
      </c>
      <c r="F4706" s="77">
        <f>E4706+F4682</f>
        <v>7033</v>
      </c>
    </row>
    <row r="4707" spans="1:6" x14ac:dyDescent="0.25">
      <c r="A4707" s="84" t="s">
        <v>43</v>
      </c>
      <c r="B4707" s="356">
        <v>44089</v>
      </c>
      <c r="C4707" s="1">
        <v>1010</v>
      </c>
      <c r="D4707" s="47">
        <f t="shared" ref="D4707:D4719" si="389">C4707+D4683</f>
        <v>112856</v>
      </c>
      <c r="E4707" s="1">
        <f>6+2+12+6</f>
        <v>26</v>
      </c>
      <c r="F4707" s="78">
        <f>E4707+F4683</f>
        <v>2791</v>
      </c>
    </row>
    <row r="4708" spans="1:6" x14ac:dyDescent="0.25">
      <c r="A4708" s="84" t="s">
        <v>28</v>
      </c>
      <c r="B4708" s="356">
        <v>44089</v>
      </c>
      <c r="C4708" s="1">
        <v>4</v>
      </c>
      <c r="D4708" s="47">
        <f t="shared" si="389"/>
        <v>133</v>
      </c>
      <c r="F4708" s="78">
        <f>E4708+F4684</f>
        <v>0</v>
      </c>
    </row>
    <row r="4709" spans="1:6" x14ac:dyDescent="0.25">
      <c r="A4709" s="84" t="s">
        <v>15</v>
      </c>
      <c r="B4709" s="356">
        <v>44089</v>
      </c>
      <c r="C4709" s="1">
        <v>87</v>
      </c>
      <c r="D4709" s="47">
        <f t="shared" si="389"/>
        <v>6879</v>
      </c>
      <c r="E4709" s="1">
        <f>1+1</f>
        <v>2</v>
      </c>
      <c r="F4709" s="78">
        <f t="shared" ref="F4709:F4727" si="390">E4709+F4685</f>
        <v>244</v>
      </c>
    </row>
    <row r="4710" spans="1:6" x14ac:dyDescent="0.25">
      <c r="A4710" s="84" t="s">
        <v>29</v>
      </c>
      <c r="B4710" s="356">
        <v>44089</v>
      </c>
      <c r="C4710" s="1">
        <v>98</v>
      </c>
      <c r="D4710" s="47">
        <f t="shared" si="389"/>
        <v>1855</v>
      </c>
      <c r="E4710" s="1">
        <f>1+2</f>
        <v>3</v>
      </c>
      <c r="F4710" s="78">
        <f t="shared" si="390"/>
        <v>23</v>
      </c>
    </row>
    <row r="4711" spans="1:6" x14ac:dyDescent="0.25">
      <c r="A4711" s="84" t="s">
        <v>20</v>
      </c>
      <c r="B4711" s="356">
        <v>44089</v>
      </c>
      <c r="C4711" s="1">
        <v>719</v>
      </c>
      <c r="D4711" s="47">
        <f t="shared" si="389"/>
        <v>15693</v>
      </c>
      <c r="E4711" s="1">
        <f>4+4</f>
        <v>8</v>
      </c>
      <c r="F4711" s="78">
        <f t="shared" si="390"/>
        <v>212</v>
      </c>
    </row>
    <row r="4712" spans="1:6" x14ac:dyDescent="0.25">
      <c r="A4712" s="84" t="s">
        <v>30</v>
      </c>
      <c r="B4712" s="356">
        <v>44089</v>
      </c>
      <c r="C4712" s="1">
        <v>60</v>
      </c>
      <c r="D4712" s="47">
        <f t="shared" si="389"/>
        <v>778</v>
      </c>
      <c r="F4712" s="78">
        <f t="shared" si="390"/>
        <v>6</v>
      </c>
    </row>
    <row r="4713" spans="1:6" x14ac:dyDescent="0.25">
      <c r="A4713" s="84" t="s">
        <v>31</v>
      </c>
      <c r="B4713" s="356">
        <v>44089</v>
      </c>
      <c r="C4713" s="1">
        <v>189</v>
      </c>
      <c r="D4713" s="47">
        <f t="shared" si="389"/>
        <v>5499</v>
      </c>
      <c r="E4713" s="1">
        <f>3+2</f>
        <v>5</v>
      </c>
      <c r="F4713" s="78">
        <f t="shared" si="390"/>
        <v>94</v>
      </c>
    </row>
    <row r="4714" spans="1:6" x14ac:dyDescent="0.25">
      <c r="A4714" s="84" t="s">
        <v>41</v>
      </c>
      <c r="B4714" s="356">
        <v>44089</v>
      </c>
      <c r="C4714" s="1">
        <v>3</v>
      </c>
      <c r="D4714" s="47">
        <f t="shared" si="389"/>
        <v>98</v>
      </c>
      <c r="F4714" s="78">
        <f>E4714+F4690</f>
        <v>1</v>
      </c>
    </row>
    <row r="4715" spans="1:6" x14ac:dyDescent="0.25">
      <c r="A4715" s="84" t="s">
        <v>32</v>
      </c>
      <c r="B4715" s="356">
        <v>44089</v>
      </c>
      <c r="C4715" s="1">
        <v>331</v>
      </c>
      <c r="D4715" s="47">
        <f t="shared" si="389"/>
        <v>12730</v>
      </c>
      <c r="E4715" s="1">
        <f>5+5</f>
        <v>10</v>
      </c>
      <c r="F4715" s="78">
        <f t="shared" si="390"/>
        <v>276</v>
      </c>
    </row>
    <row r="4716" spans="1:6" x14ac:dyDescent="0.25">
      <c r="A4716" s="84" t="s">
        <v>33</v>
      </c>
      <c r="B4716" s="356">
        <v>44089</v>
      </c>
      <c r="C4716" s="1">
        <v>24</v>
      </c>
      <c r="D4716" s="47">
        <f t="shared" si="389"/>
        <v>466</v>
      </c>
      <c r="F4716" s="78">
        <f t="shared" si="390"/>
        <v>4</v>
      </c>
    </row>
    <row r="4717" spans="1:6" x14ac:dyDescent="0.25">
      <c r="A4717" s="84" t="s">
        <v>21</v>
      </c>
      <c r="B4717" s="356">
        <v>44089</v>
      </c>
      <c r="C4717" s="1">
        <v>124</v>
      </c>
      <c r="D4717" s="47">
        <f t="shared" si="389"/>
        <v>3006</v>
      </c>
      <c r="E4717" s="1">
        <f>2+3</f>
        <v>5</v>
      </c>
      <c r="F4717" s="78">
        <f t="shared" si="390"/>
        <v>87</v>
      </c>
    </row>
    <row r="4718" spans="1:6" x14ac:dyDescent="0.25">
      <c r="A4718" s="84" t="s">
        <v>17</v>
      </c>
      <c r="B4718" s="356">
        <v>44089</v>
      </c>
      <c r="C4718" s="1">
        <v>629</v>
      </c>
      <c r="D4718" s="47">
        <f t="shared" si="389"/>
        <v>15761</v>
      </c>
      <c r="E4718" s="1">
        <f>2+1</f>
        <v>3</v>
      </c>
      <c r="F4718" s="78">
        <f t="shared" si="390"/>
        <v>156</v>
      </c>
    </row>
    <row r="4719" spans="1:6" x14ac:dyDescent="0.25">
      <c r="A4719" s="84" t="s">
        <v>23</v>
      </c>
      <c r="B4719" s="356">
        <v>44089</v>
      </c>
      <c r="C4719" s="1">
        <v>-8</v>
      </c>
      <c r="D4719" s="47">
        <f t="shared" si="389"/>
        <v>60</v>
      </c>
      <c r="F4719" s="78">
        <f t="shared" si="390"/>
        <v>2</v>
      </c>
    </row>
    <row r="4720" spans="1:6" x14ac:dyDescent="0.25">
      <c r="A4720" s="84" t="s">
        <v>19</v>
      </c>
      <c r="B4720" s="356">
        <v>44089</v>
      </c>
      <c r="C4720" s="1">
        <v>120</v>
      </c>
      <c r="D4720" s="47">
        <f>C4720+D4696</f>
        <v>5159</v>
      </c>
      <c r="E4720" s="1">
        <f>1</f>
        <v>1</v>
      </c>
      <c r="F4720" s="78">
        <f t="shared" si="390"/>
        <v>53</v>
      </c>
    </row>
    <row r="4721" spans="1:6" x14ac:dyDescent="0.25">
      <c r="A4721" s="84" t="s">
        <v>18</v>
      </c>
      <c r="B4721" s="356">
        <v>44089</v>
      </c>
      <c r="C4721" s="1">
        <v>375</v>
      </c>
      <c r="D4721" s="47">
        <f>C4721+D4697</f>
        <v>9229</v>
      </c>
      <c r="E4721" s="1">
        <f>3+4</f>
        <v>7</v>
      </c>
      <c r="F4721" s="78">
        <f t="shared" si="390"/>
        <v>168</v>
      </c>
    </row>
    <row r="4722" spans="1:6" x14ac:dyDescent="0.25">
      <c r="A4722" s="84" t="s">
        <v>34</v>
      </c>
      <c r="B4722" s="356">
        <v>44089</v>
      </c>
      <c r="C4722" s="1">
        <v>309</v>
      </c>
      <c r="D4722" s="47">
        <f>C4722+D4698</f>
        <v>7303</v>
      </c>
      <c r="E4722" s="1">
        <f>1+1+3</f>
        <v>5</v>
      </c>
      <c r="F4722" s="78">
        <f>E4722+F4698</f>
        <v>99</v>
      </c>
    </row>
    <row r="4723" spans="1:6" x14ac:dyDescent="0.25">
      <c r="A4723" s="84" t="s">
        <v>35</v>
      </c>
      <c r="B4723" s="356">
        <v>44089</v>
      </c>
      <c r="C4723" s="1">
        <v>11</v>
      </c>
      <c r="D4723" s="47">
        <f t="shared" ref="D4723:D4729" si="391">C4723+D4699</f>
        <v>428</v>
      </c>
      <c r="F4723" s="78">
        <f>E4723+F4699</f>
        <v>12</v>
      </c>
    </row>
    <row r="4724" spans="1:6" x14ac:dyDescent="0.25">
      <c r="A4724" s="84" t="s">
        <v>36</v>
      </c>
      <c r="B4724" s="356">
        <v>44089</v>
      </c>
      <c r="C4724" s="1">
        <v>51</v>
      </c>
      <c r="D4724" s="47">
        <f t="shared" si="391"/>
        <v>483</v>
      </c>
      <c r="F4724" s="78">
        <f t="shared" si="390"/>
        <v>0</v>
      </c>
    </row>
    <row r="4725" spans="1:6" x14ac:dyDescent="0.25">
      <c r="A4725" s="84" t="s">
        <v>37</v>
      </c>
      <c r="B4725" s="356">
        <v>44089</v>
      </c>
      <c r="C4725" s="1">
        <v>84</v>
      </c>
      <c r="D4725" s="47">
        <f t="shared" si="391"/>
        <v>3192</v>
      </c>
      <c r="F4725" s="78">
        <f>E4725+F4701</f>
        <v>36</v>
      </c>
    </row>
    <row r="4726" spans="1:6" x14ac:dyDescent="0.25">
      <c r="A4726" s="84" t="s">
        <v>22</v>
      </c>
      <c r="B4726" s="356">
        <v>44089</v>
      </c>
      <c r="C4726" s="1">
        <v>1056</v>
      </c>
      <c r="D4726" s="47">
        <f t="shared" si="391"/>
        <v>20523</v>
      </c>
      <c r="E4726" s="1">
        <f>3+4</f>
        <v>7</v>
      </c>
      <c r="F4726" s="78">
        <f>E4726+F4702</f>
        <v>219</v>
      </c>
    </row>
    <row r="4727" spans="1:6" x14ac:dyDescent="0.25">
      <c r="A4727" s="84" t="s">
        <v>38</v>
      </c>
      <c r="B4727" s="356">
        <v>44089</v>
      </c>
      <c r="C4727" s="1">
        <v>69</v>
      </c>
      <c r="D4727" s="47">
        <f t="shared" si="391"/>
        <v>1982</v>
      </c>
      <c r="F4727" s="78">
        <f t="shared" si="390"/>
        <v>28</v>
      </c>
    </row>
    <row r="4728" spans="1:6" x14ac:dyDescent="0.25">
      <c r="A4728" s="84" t="s">
        <v>39</v>
      </c>
      <c r="B4728" s="356">
        <v>44089</v>
      </c>
      <c r="C4728" s="1">
        <v>78</v>
      </c>
      <c r="D4728" s="47">
        <f t="shared" si="391"/>
        <v>2855</v>
      </c>
      <c r="F4728" s="78">
        <f>E4728+F4704</f>
        <v>47</v>
      </c>
    </row>
    <row r="4729" spans="1:6" ht="15.75" thickBot="1" x14ac:dyDescent="0.3">
      <c r="A4729" s="86" t="s">
        <v>40</v>
      </c>
      <c r="B4729" s="357">
        <v>44089</v>
      </c>
      <c r="C4729" s="300">
        <v>468</v>
      </c>
      <c r="D4729" s="81">
        <f t="shared" si="391"/>
        <v>7717</v>
      </c>
      <c r="E4729" s="300">
        <f>2+1</f>
        <v>3</v>
      </c>
      <c r="F4729" s="83">
        <f>E4729+F4705</f>
        <v>22</v>
      </c>
    </row>
    <row r="4730" spans="1:6" x14ac:dyDescent="0.25">
      <c r="A4730" s="36" t="s">
        <v>16</v>
      </c>
      <c r="B4730" s="354">
        <v>44090</v>
      </c>
      <c r="C4730" s="53">
        <v>6078</v>
      </c>
      <c r="D4730" s="211">
        <f>C4730+D4706</f>
        <v>348731</v>
      </c>
      <c r="E4730" s="53">
        <f>26+23+68+48</f>
        <v>165</v>
      </c>
      <c r="F4730" s="77">
        <f>E4730+F4706</f>
        <v>7198</v>
      </c>
    </row>
    <row r="4731" spans="1:6" x14ac:dyDescent="0.25">
      <c r="A4731" s="84" t="s">
        <v>43</v>
      </c>
      <c r="B4731" s="2">
        <v>44090</v>
      </c>
      <c r="C4731" s="1">
        <v>813</v>
      </c>
      <c r="D4731" s="47">
        <f t="shared" ref="D4731:D4743" si="392">C4731+D4707</f>
        <v>113669</v>
      </c>
      <c r="E4731" s="1">
        <f>2+21+17</f>
        <v>40</v>
      </c>
      <c r="F4731" s="78">
        <f>E4731+F4707</f>
        <v>2831</v>
      </c>
    </row>
    <row r="4732" spans="1:6" x14ac:dyDescent="0.25">
      <c r="A4732" s="84" t="s">
        <v>28</v>
      </c>
      <c r="B4732" s="2">
        <v>44090</v>
      </c>
      <c r="C4732" s="1">
        <v>21</v>
      </c>
      <c r="D4732" s="47">
        <f t="shared" si="392"/>
        <v>154</v>
      </c>
      <c r="F4732" s="78">
        <f>E4732+F4708</f>
        <v>0</v>
      </c>
    </row>
    <row r="4733" spans="1:6" x14ac:dyDescent="0.25">
      <c r="A4733" s="84" t="s">
        <v>15</v>
      </c>
      <c r="B4733" s="2">
        <v>44090</v>
      </c>
      <c r="C4733" s="1">
        <v>122</v>
      </c>
      <c r="D4733" s="47">
        <f t="shared" si="392"/>
        <v>7001</v>
      </c>
      <c r="F4733" s="78">
        <f t="shared" ref="F4733:F4751" si="393">E4733+F4709</f>
        <v>244</v>
      </c>
    </row>
    <row r="4734" spans="1:6" x14ac:dyDescent="0.25">
      <c r="A4734" s="84" t="s">
        <v>29</v>
      </c>
      <c r="B4734" s="2">
        <v>44090</v>
      </c>
      <c r="C4734" s="1">
        <v>94</v>
      </c>
      <c r="D4734" s="47">
        <f t="shared" si="392"/>
        <v>1949</v>
      </c>
      <c r="F4734" s="78">
        <f t="shared" si="393"/>
        <v>23</v>
      </c>
    </row>
    <row r="4735" spans="1:6" x14ac:dyDescent="0.25">
      <c r="A4735" s="84" t="s">
        <v>20</v>
      </c>
      <c r="B4735" s="2">
        <v>44090</v>
      </c>
      <c r="C4735" s="1">
        <v>691</v>
      </c>
      <c r="D4735" s="47">
        <f t="shared" si="392"/>
        <v>16384</v>
      </c>
      <c r="E4735" s="1">
        <f>5+4</f>
        <v>9</v>
      </c>
      <c r="F4735" s="78">
        <f t="shared" si="393"/>
        <v>221</v>
      </c>
    </row>
    <row r="4736" spans="1:6" x14ac:dyDescent="0.25">
      <c r="A4736" s="84" t="s">
        <v>30</v>
      </c>
      <c r="B4736" s="2">
        <v>44090</v>
      </c>
      <c r="C4736" s="1">
        <v>17</v>
      </c>
      <c r="D4736" s="47">
        <f t="shared" si="392"/>
        <v>795</v>
      </c>
      <c r="F4736" s="78">
        <f>E4736+F4712</f>
        <v>6</v>
      </c>
    </row>
    <row r="4737" spans="1:6" x14ac:dyDescent="0.25">
      <c r="A4737" s="84" t="s">
        <v>31</v>
      </c>
      <c r="B4737" s="2">
        <v>44090</v>
      </c>
      <c r="C4737" s="1">
        <v>125</v>
      </c>
      <c r="D4737" s="47">
        <f t="shared" si="392"/>
        <v>5624</v>
      </c>
      <c r="E4737" s="1">
        <f>1+2</f>
        <v>3</v>
      </c>
      <c r="F4737" s="78">
        <f>E4737+F4713</f>
        <v>97</v>
      </c>
    </row>
    <row r="4738" spans="1:6" x14ac:dyDescent="0.25">
      <c r="A4738" s="84" t="s">
        <v>41</v>
      </c>
      <c r="B4738" s="2">
        <v>44090</v>
      </c>
      <c r="C4738" s="1">
        <v>-2</v>
      </c>
      <c r="D4738" s="47">
        <f t="shared" si="392"/>
        <v>96</v>
      </c>
      <c r="F4738" s="78">
        <f>E4738+F4714</f>
        <v>1</v>
      </c>
    </row>
    <row r="4739" spans="1:6" x14ac:dyDescent="0.25">
      <c r="A4739" s="84" t="s">
        <v>32</v>
      </c>
      <c r="B4739" s="2">
        <v>44090</v>
      </c>
      <c r="C4739" s="1">
        <v>305</v>
      </c>
      <c r="D4739" s="47">
        <f t="shared" si="392"/>
        <v>13035</v>
      </c>
      <c r="F4739" s="78">
        <f t="shared" si="393"/>
        <v>276</v>
      </c>
    </row>
    <row r="4740" spans="1:6" x14ac:dyDescent="0.25">
      <c r="A4740" s="84" t="s">
        <v>33</v>
      </c>
      <c r="B4740" s="2">
        <v>44090</v>
      </c>
      <c r="C4740" s="1">
        <v>39</v>
      </c>
      <c r="D4740" s="47">
        <f t="shared" si="392"/>
        <v>505</v>
      </c>
      <c r="F4740" s="78">
        <f t="shared" si="393"/>
        <v>4</v>
      </c>
    </row>
    <row r="4741" spans="1:6" x14ac:dyDescent="0.25">
      <c r="A4741" s="84" t="s">
        <v>21</v>
      </c>
      <c r="B4741" s="2">
        <v>44090</v>
      </c>
      <c r="C4741" s="1">
        <v>125</v>
      </c>
      <c r="D4741" s="47">
        <f t="shared" si="392"/>
        <v>3131</v>
      </c>
      <c r="F4741" s="78">
        <f t="shared" si="393"/>
        <v>87</v>
      </c>
    </row>
    <row r="4742" spans="1:6" x14ac:dyDescent="0.25">
      <c r="A4742" s="84" t="s">
        <v>17</v>
      </c>
      <c r="B4742" s="2">
        <v>44090</v>
      </c>
      <c r="C4742" s="1">
        <v>682</v>
      </c>
      <c r="D4742" s="47">
        <f t="shared" si="392"/>
        <v>16443</v>
      </c>
      <c r="E4742" s="1">
        <f>1+1+1</f>
        <v>3</v>
      </c>
      <c r="F4742" s="78">
        <f t="shared" si="393"/>
        <v>159</v>
      </c>
    </row>
    <row r="4743" spans="1:6" x14ac:dyDescent="0.25">
      <c r="A4743" s="84" t="s">
        <v>23</v>
      </c>
      <c r="B4743" s="2">
        <v>44090</v>
      </c>
      <c r="C4743" s="1">
        <v>3</v>
      </c>
      <c r="D4743" s="47">
        <f t="shared" si="392"/>
        <v>63</v>
      </c>
      <c r="F4743" s="78">
        <f t="shared" si="393"/>
        <v>2</v>
      </c>
    </row>
    <row r="4744" spans="1:6" x14ac:dyDescent="0.25">
      <c r="A4744" s="84" t="s">
        <v>19</v>
      </c>
      <c r="B4744" s="2">
        <v>44090</v>
      </c>
      <c r="C4744" s="1">
        <v>189</v>
      </c>
      <c r="D4744" s="47">
        <f>C4744+D4720</f>
        <v>5348</v>
      </c>
      <c r="E4744" s="1">
        <f>1</f>
        <v>1</v>
      </c>
      <c r="F4744" s="78">
        <f t="shared" si="393"/>
        <v>54</v>
      </c>
    </row>
    <row r="4745" spans="1:6" x14ac:dyDescent="0.25">
      <c r="A4745" s="84" t="s">
        <v>18</v>
      </c>
      <c r="B4745" s="2">
        <v>44090</v>
      </c>
      <c r="C4745" s="1">
        <v>232</v>
      </c>
      <c r="D4745" s="47">
        <f>C4745+D4721</f>
        <v>9461</v>
      </c>
      <c r="E4745" s="1">
        <f>3+5</f>
        <v>8</v>
      </c>
      <c r="F4745" s="78">
        <f t="shared" si="393"/>
        <v>176</v>
      </c>
    </row>
    <row r="4746" spans="1:6" x14ac:dyDescent="0.25">
      <c r="A4746" s="84" t="s">
        <v>34</v>
      </c>
      <c r="B4746" s="2">
        <v>44090</v>
      </c>
      <c r="C4746" s="1">
        <v>319</v>
      </c>
      <c r="D4746" s="47">
        <f>C4746+D4722</f>
        <v>7622</v>
      </c>
      <c r="E4746" s="1">
        <f>1+1</f>
        <v>2</v>
      </c>
      <c r="F4746" s="78">
        <f>E4746+F4722</f>
        <v>101</v>
      </c>
    </row>
    <row r="4747" spans="1:6" x14ac:dyDescent="0.25">
      <c r="A4747" s="84" t="s">
        <v>35</v>
      </c>
      <c r="B4747" s="2">
        <v>44090</v>
      </c>
      <c r="C4747" s="1">
        <v>0</v>
      </c>
      <c r="D4747" s="47">
        <f t="shared" ref="D4747:D4753" si="394">C4747+D4723</f>
        <v>428</v>
      </c>
      <c r="E4747" s="1">
        <f>2</f>
        <v>2</v>
      </c>
      <c r="F4747" s="78">
        <f>E4747+F4723</f>
        <v>14</v>
      </c>
    </row>
    <row r="4748" spans="1:6" x14ac:dyDescent="0.25">
      <c r="A4748" s="84" t="s">
        <v>36</v>
      </c>
      <c r="B4748" s="2">
        <v>44090</v>
      </c>
      <c r="C4748" s="1">
        <v>25</v>
      </c>
      <c r="D4748" s="47">
        <f t="shared" si="394"/>
        <v>508</v>
      </c>
      <c r="F4748" s="78">
        <f t="shared" si="393"/>
        <v>0</v>
      </c>
    </row>
    <row r="4749" spans="1:6" x14ac:dyDescent="0.25">
      <c r="A4749" s="84" t="s">
        <v>37</v>
      </c>
      <c r="B4749" s="2">
        <v>44090</v>
      </c>
      <c r="C4749" s="1">
        <v>84</v>
      </c>
      <c r="D4749" s="47">
        <f t="shared" si="394"/>
        <v>3276</v>
      </c>
      <c r="E4749" s="1">
        <f>3</f>
        <v>3</v>
      </c>
      <c r="F4749" s="78">
        <f>E4749+F4725</f>
        <v>39</v>
      </c>
    </row>
    <row r="4750" spans="1:6" x14ac:dyDescent="0.25">
      <c r="A4750" s="84" t="s">
        <v>22</v>
      </c>
      <c r="B4750" s="2">
        <v>44090</v>
      </c>
      <c r="C4750" s="1">
        <v>1149</v>
      </c>
      <c r="D4750" s="47">
        <f t="shared" si="394"/>
        <v>21672</v>
      </c>
      <c r="E4750" s="1">
        <f>2+1+7+7</f>
        <v>17</v>
      </c>
      <c r="F4750" s="78">
        <f>E4750+F4726</f>
        <v>236</v>
      </c>
    </row>
    <row r="4751" spans="1:6" x14ac:dyDescent="0.25">
      <c r="A4751" s="84" t="s">
        <v>38</v>
      </c>
      <c r="B4751" s="2">
        <v>44090</v>
      </c>
      <c r="C4751" s="1">
        <v>59</v>
      </c>
      <c r="D4751" s="47">
        <f t="shared" si="394"/>
        <v>2041</v>
      </c>
      <c r="F4751" s="78">
        <f t="shared" si="393"/>
        <v>28</v>
      </c>
    </row>
    <row r="4752" spans="1:6" x14ac:dyDescent="0.25">
      <c r="A4752" s="84" t="s">
        <v>39</v>
      </c>
      <c r="B4752" s="2">
        <v>44090</v>
      </c>
      <c r="C4752" s="1">
        <v>46</v>
      </c>
      <c r="D4752" s="47">
        <f t="shared" si="394"/>
        <v>2901</v>
      </c>
      <c r="E4752" s="1">
        <f>1+2</f>
        <v>3</v>
      </c>
      <c r="F4752" s="78">
        <f>E4752+F4728</f>
        <v>50</v>
      </c>
    </row>
    <row r="4753" spans="1:6" ht="15.75" thickBot="1" x14ac:dyDescent="0.3">
      <c r="A4753" s="85" t="s">
        <v>40</v>
      </c>
      <c r="B4753" s="355">
        <v>44090</v>
      </c>
      <c r="C4753" s="54">
        <v>458</v>
      </c>
      <c r="D4753" s="214">
        <f t="shared" si="394"/>
        <v>8175</v>
      </c>
      <c r="E4753" s="54">
        <f>8</f>
        <v>8</v>
      </c>
      <c r="F4753" s="79">
        <f>E4753+F4729</f>
        <v>30</v>
      </c>
    </row>
    <row r="4754" spans="1:6" ht="15.75" thickBot="1" x14ac:dyDescent="0.3">
      <c r="A4754" s="36" t="s">
        <v>16</v>
      </c>
      <c r="B4754" s="355">
        <v>44091</v>
      </c>
      <c r="C4754" s="293">
        <v>6319</v>
      </c>
      <c r="D4754" s="211">
        <f>C4754+D4730</f>
        <v>355050</v>
      </c>
      <c r="E4754" s="293">
        <v>213</v>
      </c>
      <c r="F4754" s="77">
        <f>E4754+F4730</f>
        <v>7411</v>
      </c>
    </row>
    <row r="4755" spans="1:6" ht="15.75" thickBot="1" x14ac:dyDescent="0.3">
      <c r="A4755" s="84" t="s">
        <v>43</v>
      </c>
      <c r="B4755" s="355">
        <v>44091</v>
      </c>
      <c r="C4755" s="1">
        <v>1156</v>
      </c>
      <c r="D4755" s="47">
        <f t="shared" ref="D4755:D4767" si="395">C4755+D4731</f>
        <v>114825</v>
      </c>
      <c r="E4755" s="1">
        <f>6+1+10+7</f>
        <v>24</v>
      </c>
      <c r="F4755" s="78">
        <f>E4755+F4731</f>
        <v>2855</v>
      </c>
    </row>
    <row r="4756" spans="1:6" ht="15.75" thickBot="1" x14ac:dyDescent="0.3">
      <c r="A4756" s="84" t="s">
        <v>28</v>
      </c>
      <c r="B4756" s="355">
        <v>44091</v>
      </c>
      <c r="C4756" s="1">
        <v>23</v>
      </c>
      <c r="D4756" s="47">
        <f t="shared" si="395"/>
        <v>177</v>
      </c>
      <c r="F4756" s="78">
        <f>E4756+F4732</f>
        <v>0</v>
      </c>
    </row>
    <row r="4757" spans="1:6" ht="15.75" thickBot="1" x14ac:dyDescent="0.3">
      <c r="A4757" s="84" t="s">
        <v>15</v>
      </c>
      <c r="B4757" s="355">
        <v>44091</v>
      </c>
      <c r="C4757" s="1">
        <v>108</v>
      </c>
      <c r="D4757" s="47">
        <f t="shared" si="395"/>
        <v>7109</v>
      </c>
      <c r="E4757" s="1">
        <f>1+2</f>
        <v>3</v>
      </c>
      <c r="F4757" s="78">
        <f t="shared" ref="F4757:F4775" si="396">E4757+F4733</f>
        <v>247</v>
      </c>
    </row>
    <row r="4758" spans="1:6" ht="15.75" thickBot="1" x14ac:dyDescent="0.3">
      <c r="A4758" s="84" t="s">
        <v>29</v>
      </c>
      <c r="B4758" s="355">
        <v>44091</v>
      </c>
      <c r="C4758" s="1">
        <v>95</v>
      </c>
      <c r="D4758" s="47">
        <f t="shared" si="395"/>
        <v>2044</v>
      </c>
      <c r="E4758" s="1">
        <f>1</f>
        <v>1</v>
      </c>
      <c r="F4758" s="78">
        <f t="shared" si="396"/>
        <v>24</v>
      </c>
    </row>
    <row r="4759" spans="1:6" ht="15.75" thickBot="1" x14ac:dyDescent="0.3">
      <c r="A4759" s="84" t="s">
        <v>20</v>
      </c>
      <c r="B4759" s="355">
        <v>44091</v>
      </c>
      <c r="C4759" s="1">
        <v>757</v>
      </c>
      <c r="D4759" s="47">
        <f t="shared" si="395"/>
        <v>17141</v>
      </c>
      <c r="E4759" s="1">
        <f>1+4+2</f>
        <v>7</v>
      </c>
      <c r="F4759" s="78">
        <f t="shared" si="396"/>
        <v>228</v>
      </c>
    </row>
    <row r="4760" spans="1:6" ht="15.75" thickBot="1" x14ac:dyDescent="0.3">
      <c r="A4760" s="84" t="s">
        <v>30</v>
      </c>
      <c r="B4760" s="355">
        <v>44091</v>
      </c>
      <c r="C4760" s="1">
        <v>73</v>
      </c>
      <c r="D4760" s="47">
        <f t="shared" si="395"/>
        <v>868</v>
      </c>
      <c r="F4760" s="78">
        <f>E4760+F4736</f>
        <v>6</v>
      </c>
    </row>
    <row r="4761" spans="1:6" ht="15.75" thickBot="1" x14ac:dyDescent="0.3">
      <c r="A4761" s="84" t="s">
        <v>31</v>
      </c>
      <c r="B4761" s="355">
        <v>44091</v>
      </c>
      <c r="C4761" s="1">
        <v>150</v>
      </c>
      <c r="D4761" s="47">
        <f t="shared" si="395"/>
        <v>5774</v>
      </c>
      <c r="E4761" s="1">
        <f>4+1</f>
        <v>5</v>
      </c>
      <c r="F4761" s="78">
        <f>E4761+F4737</f>
        <v>102</v>
      </c>
    </row>
    <row r="4762" spans="1:6" ht="15.75" thickBot="1" x14ac:dyDescent="0.3">
      <c r="A4762" s="84" t="s">
        <v>41</v>
      </c>
      <c r="B4762" s="355">
        <v>44091</v>
      </c>
      <c r="C4762" s="1">
        <v>-3</v>
      </c>
      <c r="D4762" s="47">
        <f t="shared" si="395"/>
        <v>93</v>
      </c>
      <c r="F4762" s="78">
        <f>E4762+F4738</f>
        <v>1</v>
      </c>
    </row>
    <row r="4763" spans="1:6" ht="15.75" thickBot="1" x14ac:dyDescent="0.3">
      <c r="A4763" s="84" t="s">
        <v>32</v>
      </c>
      <c r="B4763" s="355">
        <v>44091</v>
      </c>
      <c r="C4763" s="1">
        <v>309</v>
      </c>
      <c r="D4763" s="47">
        <f t="shared" si="395"/>
        <v>13344</v>
      </c>
      <c r="E4763" s="1">
        <f>8+3+4+7</f>
        <v>22</v>
      </c>
      <c r="F4763" s="78">
        <f t="shared" si="396"/>
        <v>298</v>
      </c>
    </row>
    <row r="4764" spans="1:6" ht="15.75" thickBot="1" x14ac:dyDescent="0.3">
      <c r="A4764" s="84" t="s">
        <v>33</v>
      </c>
      <c r="B4764" s="355">
        <v>44091</v>
      </c>
      <c r="C4764" s="1">
        <v>15</v>
      </c>
      <c r="D4764" s="47">
        <f t="shared" si="395"/>
        <v>520</v>
      </c>
      <c r="F4764" s="78">
        <f t="shared" si="396"/>
        <v>4</v>
      </c>
    </row>
    <row r="4765" spans="1:6" ht="15.75" thickBot="1" x14ac:dyDescent="0.3">
      <c r="A4765" s="84" t="s">
        <v>21</v>
      </c>
      <c r="B4765" s="355">
        <v>44091</v>
      </c>
      <c r="C4765" s="1">
        <v>121</v>
      </c>
      <c r="D4765" s="47">
        <f t="shared" si="395"/>
        <v>3252</v>
      </c>
      <c r="E4765" s="1">
        <f>5+1</f>
        <v>6</v>
      </c>
      <c r="F4765" s="78">
        <f t="shared" si="396"/>
        <v>93</v>
      </c>
    </row>
    <row r="4766" spans="1:6" ht="15.75" thickBot="1" x14ac:dyDescent="0.3">
      <c r="A4766" s="84" t="s">
        <v>17</v>
      </c>
      <c r="B4766" s="355">
        <v>44091</v>
      </c>
      <c r="C4766" s="1">
        <v>566</v>
      </c>
      <c r="D4766" s="47">
        <f t="shared" si="395"/>
        <v>17009</v>
      </c>
      <c r="E4766" s="1">
        <f>1+1+3</f>
        <v>5</v>
      </c>
      <c r="F4766" s="78">
        <f t="shared" si="396"/>
        <v>164</v>
      </c>
    </row>
    <row r="4767" spans="1:6" ht="15.75" thickBot="1" x14ac:dyDescent="0.3">
      <c r="A4767" s="84" t="s">
        <v>23</v>
      </c>
      <c r="B4767" s="355">
        <v>44091</v>
      </c>
      <c r="C4767" s="1">
        <v>2</v>
      </c>
      <c r="D4767" s="47">
        <f t="shared" si="395"/>
        <v>65</v>
      </c>
      <c r="F4767" s="78">
        <f t="shared" si="396"/>
        <v>2</v>
      </c>
    </row>
    <row r="4768" spans="1:6" ht="15.75" thickBot="1" x14ac:dyDescent="0.3">
      <c r="A4768" s="84" t="s">
        <v>19</v>
      </c>
      <c r="B4768" s="355">
        <v>44091</v>
      </c>
      <c r="C4768" s="1">
        <v>218</v>
      </c>
      <c r="D4768" s="47">
        <f>C4768+D4744</f>
        <v>5566</v>
      </c>
      <c r="E4768" s="1">
        <f>5+2</f>
        <v>7</v>
      </c>
      <c r="F4768" s="78">
        <f t="shared" si="396"/>
        <v>61</v>
      </c>
    </row>
    <row r="4769" spans="1:6" ht="15.75" thickBot="1" x14ac:dyDescent="0.3">
      <c r="A4769" s="84" t="s">
        <v>18</v>
      </c>
      <c r="B4769" s="355">
        <v>44091</v>
      </c>
      <c r="C4769" s="1">
        <v>291</v>
      </c>
      <c r="D4769" s="47">
        <f>C4769+D4745</f>
        <v>9752</v>
      </c>
      <c r="E4769" s="1">
        <f>2+2+2</f>
        <v>6</v>
      </c>
      <c r="F4769" s="78">
        <f t="shared" si="396"/>
        <v>182</v>
      </c>
    </row>
    <row r="4770" spans="1:6" ht="15.75" thickBot="1" x14ac:dyDescent="0.3">
      <c r="A4770" s="84" t="s">
        <v>34</v>
      </c>
      <c r="B4770" s="355">
        <v>44091</v>
      </c>
      <c r="C4770" s="1">
        <v>419</v>
      </c>
      <c r="D4770" s="47">
        <f>C4770+D4746</f>
        <v>8041</v>
      </c>
      <c r="E4770" s="1">
        <f>2+5+8</f>
        <v>15</v>
      </c>
      <c r="F4770" s="78">
        <f>E4770+F4746</f>
        <v>116</v>
      </c>
    </row>
    <row r="4771" spans="1:6" ht="15.75" thickBot="1" x14ac:dyDescent="0.3">
      <c r="A4771" s="84" t="s">
        <v>35</v>
      </c>
      <c r="B4771" s="355">
        <v>44091</v>
      </c>
      <c r="C4771" s="1">
        <v>20</v>
      </c>
      <c r="D4771" s="47">
        <f t="shared" ref="D4771:D4777" si="397">C4771+D4747</f>
        <v>448</v>
      </c>
      <c r="F4771" s="78">
        <f>E4771+F4747</f>
        <v>14</v>
      </c>
    </row>
    <row r="4772" spans="1:6" ht="15.75" thickBot="1" x14ac:dyDescent="0.3">
      <c r="A4772" s="84" t="s">
        <v>36</v>
      </c>
      <c r="B4772" s="355">
        <v>44091</v>
      </c>
      <c r="C4772" s="1">
        <v>62</v>
      </c>
      <c r="D4772" s="47">
        <f t="shared" si="397"/>
        <v>570</v>
      </c>
      <c r="F4772" s="78">
        <f t="shared" si="396"/>
        <v>0</v>
      </c>
    </row>
    <row r="4773" spans="1:6" ht="15.75" thickBot="1" x14ac:dyDescent="0.3">
      <c r="A4773" s="84" t="s">
        <v>37</v>
      </c>
      <c r="B4773" s="355">
        <v>44091</v>
      </c>
      <c r="C4773" s="1">
        <v>86</v>
      </c>
      <c r="D4773" s="47">
        <f t="shared" si="397"/>
        <v>3362</v>
      </c>
      <c r="E4773" s="1">
        <f>3</f>
        <v>3</v>
      </c>
      <c r="F4773" s="78">
        <f>E4773+F4749</f>
        <v>42</v>
      </c>
    </row>
    <row r="4774" spans="1:6" ht="15.75" thickBot="1" x14ac:dyDescent="0.3">
      <c r="A4774" s="84" t="s">
        <v>22</v>
      </c>
      <c r="B4774" s="355">
        <v>44091</v>
      </c>
      <c r="C4774" s="1">
        <v>1362</v>
      </c>
      <c r="D4774" s="47">
        <f t="shared" si="397"/>
        <v>23034</v>
      </c>
      <c r="E4774" s="1">
        <f>3+2+8+3</f>
        <v>16</v>
      </c>
      <c r="F4774" s="78">
        <f>E4774+F4750</f>
        <v>252</v>
      </c>
    </row>
    <row r="4775" spans="1:6" ht="15.75" thickBot="1" x14ac:dyDescent="0.3">
      <c r="A4775" s="84" t="s">
        <v>38</v>
      </c>
      <c r="B4775" s="355">
        <v>44091</v>
      </c>
      <c r="C4775" s="1">
        <v>68</v>
      </c>
      <c r="D4775" s="47">
        <f t="shared" si="397"/>
        <v>2109</v>
      </c>
      <c r="E4775" s="1">
        <f>1+1</f>
        <v>2</v>
      </c>
      <c r="F4775" s="78">
        <f t="shared" si="396"/>
        <v>30</v>
      </c>
    </row>
    <row r="4776" spans="1:6" ht="15.75" thickBot="1" x14ac:dyDescent="0.3">
      <c r="A4776" s="84" t="s">
        <v>39</v>
      </c>
      <c r="B4776" s="355">
        <v>44091</v>
      </c>
      <c r="C4776" s="1">
        <v>49</v>
      </c>
      <c r="D4776" s="47">
        <f t="shared" si="397"/>
        <v>2950</v>
      </c>
      <c r="E4776" s="1">
        <f>1+1</f>
        <v>2</v>
      </c>
      <c r="F4776" s="78">
        <f>E4776+F4752</f>
        <v>52</v>
      </c>
    </row>
    <row r="4777" spans="1:6" ht="15.75" thickBot="1" x14ac:dyDescent="0.3">
      <c r="A4777" s="86" t="s">
        <v>40</v>
      </c>
      <c r="B4777" s="42">
        <v>44091</v>
      </c>
      <c r="C4777" s="300">
        <v>435</v>
      </c>
      <c r="D4777" s="81">
        <f t="shared" si="397"/>
        <v>8610</v>
      </c>
      <c r="E4777" s="300">
        <f>3+2+2</f>
        <v>7</v>
      </c>
      <c r="F4777" s="83">
        <f>E4777+F4753</f>
        <v>37</v>
      </c>
    </row>
    <row r="4778" spans="1:6" x14ac:dyDescent="0.25">
      <c r="A4778" s="36" t="s">
        <v>16</v>
      </c>
      <c r="B4778" s="354">
        <v>44092</v>
      </c>
      <c r="C4778" s="53">
        <v>5708</v>
      </c>
      <c r="D4778" s="211">
        <f>C4778+D4754</f>
        <v>360758</v>
      </c>
      <c r="E4778" s="53">
        <f>5+5+45+37</f>
        <v>92</v>
      </c>
      <c r="F4778" s="77">
        <f>E4778+F4754</f>
        <v>7503</v>
      </c>
    </row>
    <row r="4779" spans="1:6" x14ac:dyDescent="0.25">
      <c r="A4779" s="84" t="s">
        <v>43</v>
      </c>
      <c r="B4779" s="2">
        <v>44092</v>
      </c>
      <c r="C4779" s="1">
        <v>1070</v>
      </c>
      <c r="D4779" s="47">
        <f t="shared" ref="D4779:D4791" si="398">C4779+D4755</f>
        <v>115895</v>
      </c>
      <c r="E4779" s="1">
        <f>1+14+14</f>
        <v>29</v>
      </c>
      <c r="F4779" s="78">
        <f>E4779+F4755</f>
        <v>2884</v>
      </c>
    </row>
    <row r="4780" spans="1:6" x14ac:dyDescent="0.25">
      <c r="A4780" s="84" t="s">
        <v>28</v>
      </c>
      <c r="B4780" s="2">
        <v>44092</v>
      </c>
      <c r="C4780" s="1">
        <v>6</v>
      </c>
      <c r="D4780" s="47">
        <f t="shared" si="398"/>
        <v>183</v>
      </c>
      <c r="F4780" s="78">
        <f>E4780+F4756</f>
        <v>0</v>
      </c>
    </row>
    <row r="4781" spans="1:6" x14ac:dyDescent="0.25">
      <c r="A4781" s="84" t="s">
        <v>15</v>
      </c>
      <c r="B4781" s="2">
        <v>44092</v>
      </c>
      <c r="C4781" s="1">
        <v>104</v>
      </c>
      <c r="D4781" s="47">
        <f t="shared" si="398"/>
        <v>7213</v>
      </c>
      <c r="E4781" s="1">
        <f>1+2+1</f>
        <v>4</v>
      </c>
      <c r="F4781" s="78">
        <f t="shared" ref="F4781:F4799" si="399">E4781+F4757</f>
        <v>251</v>
      </c>
    </row>
    <row r="4782" spans="1:6" x14ac:dyDescent="0.25">
      <c r="A4782" s="84" t="s">
        <v>29</v>
      </c>
      <c r="B4782" s="2">
        <v>44092</v>
      </c>
      <c r="C4782" s="1">
        <v>56</v>
      </c>
      <c r="D4782" s="47">
        <f t="shared" si="398"/>
        <v>2100</v>
      </c>
      <c r="E4782" s="1">
        <f>1</f>
        <v>1</v>
      </c>
      <c r="F4782" s="78">
        <f t="shared" si="399"/>
        <v>25</v>
      </c>
    </row>
    <row r="4783" spans="1:6" x14ac:dyDescent="0.25">
      <c r="A4783" s="84" t="s">
        <v>20</v>
      </c>
      <c r="B4783" s="2">
        <v>44092</v>
      </c>
      <c r="C4783" s="1">
        <v>716</v>
      </c>
      <c r="D4783" s="47">
        <f t="shared" si="398"/>
        <v>17857</v>
      </c>
      <c r="E4783" s="1">
        <f>1+1+5+3</f>
        <v>10</v>
      </c>
      <c r="F4783" s="78">
        <f t="shared" si="399"/>
        <v>238</v>
      </c>
    </row>
    <row r="4784" spans="1:6" x14ac:dyDescent="0.25">
      <c r="A4784" s="84" t="s">
        <v>30</v>
      </c>
      <c r="B4784" s="2">
        <v>44092</v>
      </c>
      <c r="C4784" s="1">
        <v>35</v>
      </c>
      <c r="D4784" s="47">
        <f t="shared" si="398"/>
        <v>903</v>
      </c>
      <c r="F4784" s="78">
        <f>E4784+F4760</f>
        <v>6</v>
      </c>
    </row>
    <row r="4785" spans="1:6" x14ac:dyDescent="0.25">
      <c r="A4785" s="84" t="s">
        <v>31</v>
      </c>
      <c r="B4785" s="2">
        <v>44092</v>
      </c>
      <c r="C4785" s="1">
        <v>181</v>
      </c>
      <c r="D4785" s="47">
        <f t="shared" si="398"/>
        <v>5955</v>
      </c>
      <c r="E4785" s="1">
        <f>1+1</f>
        <v>2</v>
      </c>
      <c r="F4785" s="78">
        <f>E4785+F4761</f>
        <v>104</v>
      </c>
    </row>
    <row r="4786" spans="1:6" x14ac:dyDescent="0.25">
      <c r="A4786" s="84" t="s">
        <v>41</v>
      </c>
      <c r="B4786" s="2">
        <v>44092</v>
      </c>
      <c r="C4786" s="1">
        <v>-1</v>
      </c>
      <c r="D4786" s="47">
        <f t="shared" si="398"/>
        <v>92</v>
      </c>
      <c r="F4786" s="78">
        <f>E4786+F4762</f>
        <v>1</v>
      </c>
    </row>
    <row r="4787" spans="1:6" x14ac:dyDescent="0.25">
      <c r="A4787" s="84" t="s">
        <v>32</v>
      </c>
      <c r="B4787" s="2">
        <v>44092</v>
      </c>
      <c r="C4787" s="1">
        <v>256</v>
      </c>
      <c r="D4787" s="47">
        <f t="shared" si="398"/>
        <v>13600</v>
      </c>
      <c r="F4787" s="78">
        <f t="shared" si="399"/>
        <v>298</v>
      </c>
    </row>
    <row r="4788" spans="1:6" x14ac:dyDescent="0.25">
      <c r="A4788" s="84" t="s">
        <v>33</v>
      </c>
      <c r="B4788" s="2">
        <v>44092</v>
      </c>
      <c r="C4788" s="1">
        <v>14</v>
      </c>
      <c r="D4788" s="47">
        <f t="shared" si="398"/>
        <v>534</v>
      </c>
      <c r="F4788" s="78">
        <f t="shared" si="399"/>
        <v>4</v>
      </c>
    </row>
    <row r="4789" spans="1:6" x14ac:dyDescent="0.25">
      <c r="A4789" s="84" t="s">
        <v>21</v>
      </c>
      <c r="B4789" s="2">
        <v>44092</v>
      </c>
      <c r="C4789" s="1">
        <v>152</v>
      </c>
      <c r="D4789" s="47">
        <f t="shared" si="398"/>
        <v>3404</v>
      </c>
      <c r="E4789" s="1">
        <f>5</f>
        <v>5</v>
      </c>
      <c r="F4789" s="78">
        <f t="shared" si="399"/>
        <v>98</v>
      </c>
    </row>
    <row r="4790" spans="1:6" x14ac:dyDescent="0.25">
      <c r="A4790" s="84" t="s">
        <v>17</v>
      </c>
      <c r="B4790" s="2">
        <v>44092</v>
      </c>
      <c r="C4790" s="1">
        <v>578</v>
      </c>
      <c r="D4790" s="47">
        <f t="shared" si="398"/>
        <v>17587</v>
      </c>
      <c r="E4790" s="1">
        <f>3+2</f>
        <v>5</v>
      </c>
      <c r="F4790" s="78">
        <f t="shared" si="399"/>
        <v>169</v>
      </c>
    </row>
    <row r="4791" spans="1:6" x14ac:dyDescent="0.25">
      <c r="A4791" s="84" t="s">
        <v>23</v>
      </c>
      <c r="B4791" s="2">
        <v>44092</v>
      </c>
      <c r="C4791" s="1">
        <v>3</v>
      </c>
      <c r="D4791" s="47">
        <f t="shared" si="398"/>
        <v>68</v>
      </c>
      <c r="F4791" s="78">
        <f t="shared" si="399"/>
        <v>2</v>
      </c>
    </row>
    <row r="4792" spans="1:6" x14ac:dyDescent="0.25">
      <c r="A4792" s="84" t="s">
        <v>19</v>
      </c>
      <c r="B4792" s="2">
        <v>44092</v>
      </c>
      <c r="C4792" s="1">
        <v>150</v>
      </c>
      <c r="D4792" s="47">
        <f>C4792+D4768</f>
        <v>5716</v>
      </c>
      <c r="E4792" s="1">
        <f>4+2</f>
        <v>6</v>
      </c>
      <c r="F4792" s="78">
        <f t="shared" si="399"/>
        <v>67</v>
      </c>
    </row>
    <row r="4793" spans="1:6" x14ac:dyDescent="0.25">
      <c r="A4793" s="84" t="s">
        <v>18</v>
      </c>
      <c r="B4793" s="2">
        <v>44092</v>
      </c>
      <c r="C4793" s="1">
        <v>217</v>
      </c>
      <c r="D4793" s="47">
        <f>C4793+D4769</f>
        <v>9969</v>
      </c>
      <c r="E4793" s="1">
        <f>3+3</f>
        <v>6</v>
      </c>
      <c r="F4793" s="78">
        <f t="shared" si="399"/>
        <v>188</v>
      </c>
    </row>
    <row r="4794" spans="1:6" x14ac:dyDescent="0.25">
      <c r="A4794" s="84" t="s">
        <v>34</v>
      </c>
      <c r="B4794" s="2">
        <v>44092</v>
      </c>
      <c r="C4794" s="1">
        <v>450</v>
      </c>
      <c r="D4794" s="47">
        <f>C4794+D4770</f>
        <v>8491</v>
      </c>
      <c r="E4794" s="1">
        <f>2+4+8+4</f>
        <v>18</v>
      </c>
      <c r="F4794" s="78">
        <f>E4794+F4770</f>
        <v>134</v>
      </c>
    </row>
    <row r="4795" spans="1:6" x14ac:dyDescent="0.25">
      <c r="A4795" s="84" t="s">
        <v>35</v>
      </c>
      <c r="B4795" s="2">
        <v>44092</v>
      </c>
      <c r="C4795" s="1">
        <v>15</v>
      </c>
      <c r="D4795" s="47">
        <f t="shared" ref="D4795:D4801" si="400">C4795+D4771</f>
        <v>463</v>
      </c>
      <c r="E4795" s="1">
        <f>4+2</f>
        <v>6</v>
      </c>
      <c r="F4795" s="78">
        <f>E4795+F4771</f>
        <v>20</v>
      </c>
    </row>
    <row r="4796" spans="1:6" x14ac:dyDescent="0.25">
      <c r="A4796" s="84" t="s">
        <v>36</v>
      </c>
      <c r="B4796" s="2">
        <v>44092</v>
      </c>
      <c r="C4796" s="1">
        <v>78</v>
      </c>
      <c r="D4796" s="47">
        <f t="shared" si="400"/>
        <v>648</v>
      </c>
      <c r="F4796" s="78">
        <f t="shared" si="399"/>
        <v>0</v>
      </c>
    </row>
    <row r="4797" spans="1:6" x14ac:dyDescent="0.25">
      <c r="A4797" s="84" t="s">
        <v>37</v>
      </c>
      <c r="B4797" s="2">
        <v>44092</v>
      </c>
      <c r="C4797" s="1">
        <v>107</v>
      </c>
      <c r="D4797" s="47">
        <f t="shared" si="400"/>
        <v>3469</v>
      </c>
      <c r="E4797" s="1">
        <f>1+1</f>
        <v>2</v>
      </c>
      <c r="F4797" s="78">
        <f>E4797+F4773</f>
        <v>44</v>
      </c>
    </row>
    <row r="4798" spans="1:6" x14ac:dyDescent="0.25">
      <c r="A4798" s="84" t="s">
        <v>22</v>
      </c>
      <c r="B4798" s="2">
        <v>44092</v>
      </c>
      <c r="C4798" s="1">
        <v>1347</v>
      </c>
      <c r="D4798" s="47">
        <f t="shared" si="400"/>
        <v>24381</v>
      </c>
      <c r="E4798" s="1">
        <f>1+1+2+6</f>
        <v>10</v>
      </c>
      <c r="F4798" s="78">
        <f>E4798+F4774</f>
        <v>262</v>
      </c>
    </row>
    <row r="4799" spans="1:6" x14ac:dyDescent="0.25">
      <c r="A4799" s="84" t="s">
        <v>38</v>
      </c>
      <c r="B4799" s="2">
        <v>44092</v>
      </c>
      <c r="C4799" s="1">
        <v>137</v>
      </c>
      <c r="D4799" s="47">
        <f t="shared" si="400"/>
        <v>2246</v>
      </c>
      <c r="F4799" s="78">
        <f t="shared" si="399"/>
        <v>30</v>
      </c>
    </row>
    <row r="4800" spans="1:6" x14ac:dyDescent="0.25">
      <c r="A4800" s="84" t="s">
        <v>39</v>
      </c>
      <c r="B4800" s="2">
        <v>44092</v>
      </c>
      <c r="C4800" s="1">
        <v>70</v>
      </c>
      <c r="D4800" s="47">
        <f t="shared" si="400"/>
        <v>3020</v>
      </c>
      <c r="E4800" s="1">
        <f>1</f>
        <v>1</v>
      </c>
      <c r="F4800" s="78">
        <f>E4800+F4776</f>
        <v>53</v>
      </c>
    </row>
    <row r="4801" spans="1:6" ht="15.75" thickBot="1" x14ac:dyDescent="0.3">
      <c r="A4801" s="85" t="s">
        <v>40</v>
      </c>
      <c r="B4801" s="355">
        <v>44092</v>
      </c>
      <c r="C4801" s="54">
        <v>496</v>
      </c>
      <c r="D4801" s="214">
        <f t="shared" si="400"/>
        <v>9106</v>
      </c>
      <c r="E4801" s="54"/>
      <c r="F4801" s="79">
        <f>E4801+F4777</f>
        <v>37</v>
      </c>
    </row>
    <row r="4802" spans="1:6" ht="15.75" thickBot="1" x14ac:dyDescent="0.3">
      <c r="A4802" s="36" t="s">
        <v>16</v>
      </c>
      <c r="B4802" s="355">
        <v>44093</v>
      </c>
      <c r="C4802" s="293">
        <v>3877</v>
      </c>
      <c r="D4802" s="211">
        <f>C4802+D4778</f>
        <v>364635</v>
      </c>
      <c r="E4802" s="293">
        <f>10+14+13+19</f>
        <v>56</v>
      </c>
      <c r="F4802" s="77">
        <f>E4802+F4778</f>
        <v>7559</v>
      </c>
    </row>
    <row r="4803" spans="1:6" ht="15.75" thickBot="1" x14ac:dyDescent="0.3">
      <c r="A4803" s="84" t="s">
        <v>43</v>
      </c>
      <c r="B4803" s="355">
        <v>44093</v>
      </c>
      <c r="C4803" s="1">
        <v>683</v>
      </c>
      <c r="D4803" s="47">
        <f t="shared" ref="D4803:D4815" si="401">C4803+D4779</f>
        <v>116578</v>
      </c>
      <c r="E4803" s="1">
        <f>4+4+2</f>
        <v>10</v>
      </c>
      <c r="F4803" s="78">
        <f>E4803+F4779</f>
        <v>2894</v>
      </c>
    </row>
    <row r="4804" spans="1:6" ht="15.75" thickBot="1" x14ac:dyDescent="0.3">
      <c r="A4804" s="84" t="s">
        <v>28</v>
      </c>
      <c r="B4804" s="355">
        <v>44093</v>
      </c>
      <c r="C4804" s="1">
        <v>7</v>
      </c>
      <c r="D4804" s="47">
        <f t="shared" si="401"/>
        <v>190</v>
      </c>
      <c r="F4804" s="78">
        <f>E4804+F4780</f>
        <v>0</v>
      </c>
    </row>
    <row r="4805" spans="1:6" ht="15.75" thickBot="1" x14ac:dyDescent="0.3">
      <c r="A4805" s="84" t="s">
        <v>15</v>
      </c>
      <c r="B4805" s="355">
        <v>44093</v>
      </c>
      <c r="C4805" s="1">
        <v>132</v>
      </c>
      <c r="D4805" s="47">
        <f t="shared" si="401"/>
        <v>7345</v>
      </c>
      <c r="E4805" s="1">
        <f>1</f>
        <v>1</v>
      </c>
      <c r="F4805" s="78">
        <f t="shared" ref="F4805:F4823" si="402">E4805+F4781</f>
        <v>252</v>
      </c>
    </row>
    <row r="4806" spans="1:6" ht="15.75" thickBot="1" x14ac:dyDescent="0.3">
      <c r="A4806" s="84" t="s">
        <v>29</v>
      </c>
      <c r="B4806" s="355">
        <v>44093</v>
      </c>
      <c r="C4806" s="1">
        <v>81</v>
      </c>
      <c r="D4806" s="47">
        <f t="shared" si="401"/>
        <v>2181</v>
      </c>
      <c r="F4806" s="78">
        <f t="shared" si="402"/>
        <v>25</v>
      </c>
    </row>
    <row r="4807" spans="1:6" ht="15.75" thickBot="1" x14ac:dyDescent="0.3">
      <c r="A4807" s="84" t="s">
        <v>20</v>
      </c>
      <c r="B4807" s="355">
        <v>44093</v>
      </c>
      <c r="C4807" s="1">
        <v>751</v>
      </c>
      <c r="D4807" s="47">
        <f t="shared" si="401"/>
        <v>18608</v>
      </c>
      <c r="E4807" s="1">
        <f>1+1+7</f>
        <v>9</v>
      </c>
      <c r="F4807" s="78">
        <f t="shared" si="402"/>
        <v>247</v>
      </c>
    </row>
    <row r="4808" spans="1:6" ht="15.75" thickBot="1" x14ac:dyDescent="0.3">
      <c r="A4808" s="84" t="s">
        <v>30</v>
      </c>
      <c r="B4808" s="355">
        <v>44093</v>
      </c>
      <c r="C4808" s="1">
        <v>37</v>
      </c>
      <c r="D4808" s="47">
        <f t="shared" si="401"/>
        <v>940</v>
      </c>
      <c r="E4808" s="1">
        <f>5</f>
        <v>5</v>
      </c>
      <c r="F4808" s="78">
        <f>E4808+F4784</f>
        <v>11</v>
      </c>
    </row>
    <row r="4809" spans="1:6" ht="15.75" thickBot="1" x14ac:dyDescent="0.3">
      <c r="A4809" s="84" t="s">
        <v>31</v>
      </c>
      <c r="B4809" s="355">
        <v>44093</v>
      </c>
      <c r="C4809" s="1">
        <v>149</v>
      </c>
      <c r="D4809" s="47">
        <f t="shared" si="401"/>
        <v>6104</v>
      </c>
      <c r="E4809" s="1">
        <f>1+1</f>
        <v>2</v>
      </c>
      <c r="F4809" s="78">
        <f>E4809+F4785</f>
        <v>106</v>
      </c>
    </row>
    <row r="4810" spans="1:6" ht="15.75" thickBot="1" x14ac:dyDescent="0.3">
      <c r="A4810" s="84" t="s">
        <v>41</v>
      </c>
      <c r="B4810" s="355">
        <v>44093</v>
      </c>
      <c r="C4810" s="1">
        <v>9</v>
      </c>
      <c r="D4810" s="47">
        <f t="shared" si="401"/>
        <v>101</v>
      </c>
      <c r="F4810" s="78">
        <f>E4810+F4786</f>
        <v>1</v>
      </c>
    </row>
    <row r="4811" spans="1:6" ht="15.75" thickBot="1" x14ac:dyDescent="0.3">
      <c r="A4811" s="84" t="s">
        <v>32</v>
      </c>
      <c r="B4811" s="355">
        <v>44093</v>
      </c>
      <c r="C4811" s="1">
        <v>295</v>
      </c>
      <c r="D4811" s="47">
        <f t="shared" si="401"/>
        <v>13895</v>
      </c>
      <c r="E4811" s="1">
        <f>5+3</f>
        <v>8</v>
      </c>
      <c r="F4811" s="78">
        <f t="shared" si="402"/>
        <v>306</v>
      </c>
    </row>
    <row r="4812" spans="1:6" ht="15.75" thickBot="1" x14ac:dyDescent="0.3">
      <c r="A4812" s="84" t="s">
        <v>33</v>
      </c>
      <c r="B4812" s="355">
        <v>44093</v>
      </c>
      <c r="C4812" s="1">
        <v>13</v>
      </c>
      <c r="D4812" s="47">
        <f t="shared" si="401"/>
        <v>547</v>
      </c>
      <c r="F4812" s="78">
        <f t="shared" si="402"/>
        <v>4</v>
      </c>
    </row>
    <row r="4813" spans="1:6" ht="15.75" thickBot="1" x14ac:dyDescent="0.3">
      <c r="A4813" s="84" t="s">
        <v>21</v>
      </c>
      <c r="B4813" s="355">
        <v>44093</v>
      </c>
      <c r="C4813" s="1">
        <v>86</v>
      </c>
      <c r="D4813" s="47">
        <f t="shared" si="401"/>
        <v>3490</v>
      </c>
      <c r="F4813" s="78">
        <f t="shared" si="402"/>
        <v>98</v>
      </c>
    </row>
    <row r="4814" spans="1:6" ht="15.75" thickBot="1" x14ac:dyDescent="0.3">
      <c r="A4814" s="84" t="s">
        <v>17</v>
      </c>
      <c r="B4814" s="355">
        <v>44093</v>
      </c>
      <c r="C4814" s="1">
        <v>673</v>
      </c>
      <c r="D4814" s="47">
        <f t="shared" si="401"/>
        <v>18260</v>
      </c>
      <c r="E4814" s="1">
        <f>1+1</f>
        <v>2</v>
      </c>
      <c r="F4814" s="78">
        <f t="shared" si="402"/>
        <v>171</v>
      </c>
    </row>
    <row r="4815" spans="1:6" ht="15.75" thickBot="1" x14ac:dyDescent="0.3">
      <c r="A4815" s="84" t="s">
        <v>23</v>
      </c>
      <c r="B4815" s="355">
        <v>44093</v>
      </c>
      <c r="C4815" s="1">
        <v>1</v>
      </c>
      <c r="D4815" s="47">
        <f t="shared" si="401"/>
        <v>69</v>
      </c>
      <c r="F4815" s="78">
        <f t="shared" si="402"/>
        <v>2</v>
      </c>
    </row>
    <row r="4816" spans="1:6" ht="15.75" thickBot="1" x14ac:dyDescent="0.3">
      <c r="A4816" s="84" t="s">
        <v>19</v>
      </c>
      <c r="B4816" s="355">
        <v>44093</v>
      </c>
      <c r="C4816" s="1">
        <v>141</v>
      </c>
      <c r="D4816" s="47">
        <f>C4816+D4792</f>
        <v>5857</v>
      </c>
      <c r="E4816" s="1">
        <f>2+1</f>
        <v>3</v>
      </c>
      <c r="F4816" s="78">
        <f t="shared" si="402"/>
        <v>70</v>
      </c>
    </row>
    <row r="4817" spans="1:6" ht="15.75" thickBot="1" x14ac:dyDescent="0.3">
      <c r="A4817" s="84" t="s">
        <v>18</v>
      </c>
      <c r="B4817" s="355">
        <v>44093</v>
      </c>
      <c r="C4817" s="1">
        <v>245</v>
      </c>
      <c r="D4817" s="47">
        <f>C4817+D4793</f>
        <v>10214</v>
      </c>
      <c r="E4817" s="1">
        <f>3+2+2</f>
        <v>7</v>
      </c>
      <c r="F4817" s="78">
        <f t="shared" si="402"/>
        <v>195</v>
      </c>
    </row>
    <row r="4818" spans="1:6" ht="15.75" thickBot="1" x14ac:dyDescent="0.3">
      <c r="A4818" s="84" t="s">
        <v>34</v>
      </c>
      <c r="B4818" s="355">
        <v>44093</v>
      </c>
      <c r="C4818" s="1">
        <v>438</v>
      </c>
      <c r="D4818" s="47">
        <f>C4818+D4794</f>
        <v>8929</v>
      </c>
      <c r="E4818" s="1">
        <f>1+12+8</f>
        <v>21</v>
      </c>
      <c r="F4818" s="78">
        <f>E4818+F4794</f>
        <v>155</v>
      </c>
    </row>
    <row r="4819" spans="1:6" ht="15.75" thickBot="1" x14ac:dyDescent="0.3">
      <c r="A4819" s="84" t="s">
        <v>35</v>
      </c>
      <c r="B4819" s="355">
        <v>44093</v>
      </c>
      <c r="C4819" s="1">
        <v>1</v>
      </c>
      <c r="D4819" s="47">
        <f t="shared" ref="D4819:D4825" si="403">C4819+D4795</f>
        <v>464</v>
      </c>
      <c r="E4819" s="1">
        <f>1</f>
        <v>1</v>
      </c>
      <c r="F4819" s="78">
        <f>E4819+F4795</f>
        <v>21</v>
      </c>
    </row>
    <row r="4820" spans="1:6" ht="15.75" thickBot="1" x14ac:dyDescent="0.3">
      <c r="A4820" s="84" t="s">
        <v>36</v>
      </c>
      <c r="B4820" s="355">
        <v>44093</v>
      </c>
      <c r="C4820" s="1">
        <v>24</v>
      </c>
      <c r="D4820" s="47">
        <f t="shared" si="403"/>
        <v>672</v>
      </c>
      <c r="F4820" s="78">
        <f t="shared" si="402"/>
        <v>0</v>
      </c>
    </row>
    <row r="4821" spans="1:6" ht="15.75" thickBot="1" x14ac:dyDescent="0.3">
      <c r="A4821" s="84" t="s">
        <v>37</v>
      </c>
      <c r="B4821" s="355">
        <v>44093</v>
      </c>
      <c r="C4821" s="1">
        <v>195</v>
      </c>
      <c r="D4821" s="47">
        <f t="shared" si="403"/>
        <v>3664</v>
      </c>
      <c r="F4821" s="78">
        <f>E4821+F4797</f>
        <v>44</v>
      </c>
    </row>
    <row r="4822" spans="1:6" ht="15.75" thickBot="1" x14ac:dyDescent="0.3">
      <c r="A4822" s="84" t="s">
        <v>22</v>
      </c>
      <c r="B4822" s="355">
        <v>44093</v>
      </c>
      <c r="C4822" s="1">
        <v>1137</v>
      </c>
      <c r="D4822" s="47">
        <f t="shared" si="403"/>
        <v>25518</v>
      </c>
      <c r="E4822" s="1">
        <f>3+1</f>
        <v>4</v>
      </c>
      <c r="F4822" s="78">
        <f>E4822+F4798</f>
        <v>266</v>
      </c>
    </row>
    <row r="4823" spans="1:6" ht="15.75" thickBot="1" x14ac:dyDescent="0.3">
      <c r="A4823" s="84" t="s">
        <v>38</v>
      </c>
      <c r="B4823" s="355">
        <v>44093</v>
      </c>
      <c r="C4823" s="1">
        <v>56</v>
      </c>
      <c r="D4823" s="47">
        <f t="shared" si="403"/>
        <v>2302</v>
      </c>
      <c r="F4823" s="78">
        <f t="shared" si="402"/>
        <v>30</v>
      </c>
    </row>
    <row r="4824" spans="1:6" ht="15.75" thickBot="1" x14ac:dyDescent="0.3">
      <c r="A4824" s="84" t="s">
        <v>39</v>
      </c>
      <c r="B4824" s="355">
        <v>44093</v>
      </c>
      <c r="C4824" s="1">
        <v>98</v>
      </c>
      <c r="D4824" s="47">
        <f t="shared" si="403"/>
        <v>3118</v>
      </c>
      <c r="F4824" s="78">
        <f>E4824+F4800</f>
        <v>53</v>
      </c>
    </row>
    <row r="4825" spans="1:6" ht="15.75" thickBot="1" x14ac:dyDescent="0.3">
      <c r="A4825" s="85" t="s">
        <v>40</v>
      </c>
      <c r="B4825" s="355">
        <v>44093</v>
      </c>
      <c r="C4825" s="1">
        <v>147</v>
      </c>
      <c r="D4825" s="214">
        <f t="shared" si="403"/>
        <v>9253</v>
      </c>
      <c r="E4825" s="1">
        <f>1+7+6</f>
        <v>14</v>
      </c>
      <c r="F4825" s="79">
        <f>E4825+F4801</f>
        <v>51</v>
      </c>
    </row>
    <row r="4826" spans="1:6" ht="15.75" thickBot="1" x14ac:dyDescent="0.3">
      <c r="A4826" s="36" t="s">
        <v>16</v>
      </c>
      <c r="B4826" s="355">
        <v>44094</v>
      </c>
      <c r="C4826" s="1">
        <v>3645</v>
      </c>
      <c r="D4826" s="211">
        <f>C4826+D4802</f>
        <v>368280</v>
      </c>
      <c r="E4826" s="1">
        <f>16+19+47+35+1</f>
        <v>118</v>
      </c>
      <c r="F4826" s="77">
        <f>E4826+F4802</f>
        <v>7677</v>
      </c>
    </row>
    <row r="4827" spans="1:6" ht="15.75" thickBot="1" x14ac:dyDescent="0.3">
      <c r="A4827" s="84" t="s">
        <v>43</v>
      </c>
      <c r="B4827" s="355">
        <v>44094</v>
      </c>
      <c r="C4827" s="1">
        <v>696</v>
      </c>
      <c r="D4827" s="47">
        <f t="shared" ref="D4827:D4839" si="404">C4827+D4803</f>
        <v>117274</v>
      </c>
      <c r="E4827" s="1">
        <f>1+3+3+2</f>
        <v>9</v>
      </c>
      <c r="F4827" s="78">
        <f>E4827+F4803</f>
        <v>2903</v>
      </c>
    </row>
    <row r="4828" spans="1:6" ht="15.75" thickBot="1" x14ac:dyDescent="0.3">
      <c r="A4828" s="84" t="s">
        <v>28</v>
      </c>
      <c r="B4828" s="355">
        <v>44094</v>
      </c>
      <c r="C4828" s="1">
        <v>1</v>
      </c>
      <c r="D4828" s="47">
        <f t="shared" si="404"/>
        <v>191</v>
      </c>
      <c r="F4828" s="78">
        <f>E4828+F4804</f>
        <v>0</v>
      </c>
    </row>
    <row r="4829" spans="1:6" ht="15.75" thickBot="1" x14ac:dyDescent="0.3">
      <c r="A4829" s="84" t="s">
        <v>15</v>
      </c>
      <c r="B4829" s="355">
        <v>44094</v>
      </c>
      <c r="C4829" s="1">
        <v>65</v>
      </c>
      <c r="D4829" s="47">
        <f t="shared" si="404"/>
        <v>7410</v>
      </c>
      <c r="E4829" s="1">
        <v>3</v>
      </c>
      <c r="F4829" s="78">
        <f t="shared" ref="F4829:F4847" si="405">E4829+F4805</f>
        <v>255</v>
      </c>
    </row>
    <row r="4830" spans="1:6" ht="15.75" thickBot="1" x14ac:dyDescent="0.3">
      <c r="A4830" s="84" t="s">
        <v>29</v>
      </c>
      <c r="B4830" s="355">
        <v>44094</v>
      </c>
      <c r="C4830" s="1">
        <v>126</v>
      </c>
      <c r="D4830" s="47">
        <f t="shared" si="404"/>
        <v>2307</v>
      </c>
      <c r="F4830" s="78">
        <f t="shared" si="405"/>
        <v>25</v>
      </c>
    </row>
    <row r="4831" spans="1:6" ht="15.75" thickBot="1" x14ac:dyDescent="0.3">
      <c r="A4831" s="84" t="s">
        <v>20</v>
      </c>
      <c r="B4831" s="355">
        <v>44094</v>
      </c>
      <c r="C4831" s="1">
        <v>600</v>
      </c>
      <c r="D4831" s="47">
        <f t="shared" si="404"/>
        <v>19208</v>
      </c>
      <c r="E4831" s="1">
        <f>5+3</f>
        <v>8</v>
      </c>
      <c r="F4831" s="78">
        <f t="shared" si="405"/>
        <v>255</v>
      </c>
    </row>
    <row r="4832" spans="1:6" ht="15.75" thickBot="1" x14ac:dyDescent="0.3">
      <c r="A4832" s="84" t="s">
        <v>30</v>
      </c>
      <c r="B4832" s="355">
        <v>44094</v>
      </c>
      <c r="C4832" s="1">
        <v>28</v>
      </c>
      <c r="D4832" s="47">
        <f t="shared" si="404"/>
        <v>968</v>
      </c>
      <c r="E4832" s="1">
        <f>1+2</f>
        <v>3</v>
      </c>
      <c r="F4832" s="78">
        <f>E4832+F4808</f>
        <v>14</v>
      </c>
    </row>
    <row r="4833" spans="1:6" ht="15.75" thickBot="1" x14ac:dyDescent="0.3">
      <c r="A4833" s="84" t="s">
        <v>31</v>
      </c>
      <c r="B4833" s="355">
        <v>44094</v>
      </c>
      <c r="C4833" s="1">
        <v>102</v>
      </c>
      <c r="D4833" s="47">
        <f t="shared" si="404"/>
        <v>6206</v>
      </c>
      <c r="E4833" s="1">
        <f>2</f>
        <v>2</v>
      </c>
      <c r="F4833" s="78">
        <f>E4833+F4809</f>
        <v>108</v>
      </c>
    </row>
    <row r="4834" spans="1:6" ht="15.75" thickBot="1" x14ac:dyDescent="0.3">
      <c r="A4834" s="84" t="s">
        <v>41</v>
      </c>
      <c r="B4834" s="355">
        <v>44094</v>
      </c>
      <c r="C4834" s="1">
        <v>0</v>
      </c>
      <c r="D4834" s="47">
        <f t="shared" si="404"/>
        <v>101</v>
      </c>
      <c r="F4834" s="78">
        <f>E4834+F4810</f>
        <v>1</v>
      </c>
    </row>
    <row r="4835" spans="1:6" ht="15.75" thickBot="1" x14ac:dyDescent="0.3">
      <c r="A4835" s="84" t="s">
        <v>32</v>
      </c>
      <c r="B4835" s="355">
        <v>44094</v>
      </c>
      <c r="C4835" s="1">
        <v>255</v>
      </c>
      <c r="D4835" s="47">
        <f t="shared" si="404"/>
        <v>14150</v>
      </c>
      <c r="E4835" s="1">
        <f>7+7+5+1+1</f>
        <v>21</v>
      </c>
      <c r="F4835" s="78">
        <f t="shared" si="405"/>
        <v>327</v>
      </c>
    </row>
    <row r="4836" spans="1:6" ht="15.75" thickBot="1" x14ac:dyDescent="0.3">
      <c r="A4836" s="84" t="s">
        <v>33</v>
      </c>
      <c r="B4836" s="355">
        <v>44094</v>
      </c>
      <c r="C4836" s="1">
        <v>21</v>
      </c>
      <c r="D4836" s="47">
        <f t="shared" si="404"/>
        <v>568</v>
      </c>
      <c r="F4836" s="78">
        <f t="shared" si="405"/>
        <v>4</v>
      </c>
    </row>
    <row r="4837" spans="1:6" ht="15.75" thickBot="1" x14ac:dyDescent="0.3">
      <c r="A4837" s="84" t="s">
        <v>21</v>
      </c>
      <c r="B4837" s="355">
        <v>44094</v>
      </c>
      <c r="C4837" s="1">
        <v>260</v>
      </c>
      <c r="D4837" s="47">
        <f t="shared" si="404"/>
        <v>3750</v>
      </c>
      <c r="E4837" s="1">
        <f>1</f>
        <v>1</v>
      </c>
      <c r="F4837" s="78">
        <f t="shared" si="405"/>
        <v>99</v>
      </c>
    </row>
    <row r="4838" spans="1:6" ht="15.75" thickBot="1" x14ac:dyDescent="0.3">
      <c r="A4838" s="84" t="s">
        <v>17</v>
      </c>
      <c r="B4838" s="355">
        <v>44094</v>
      </c>
      <c r="C4838" s="1">
        <v>590</v>
      </c>
      <c r="D4838" s="47">
        <f t="shared" si="404"/>
        <v>18850</v>
      </c>
      <c r="E4838" s="1">
        <f>2+2+2+2</f>
        <v>8</v>
      </c>
      <c r="F4838" s="78">
        <f t="shared" si="405"/>
        <v>179</v>
      </c>
    </row>
    <row r="4839" spans="1:6" ht="15.75" thickBot="1" x14ac:dyDescent="0.3">
      <c r="A4839" s="84" t="s">
        <v>23</v>
      </c>
      <c r="B4839" s="355">
        <v>44094</v>
      </c>
      <c r="C4839" s="1">
        <v>1</v>
      </c>
      <c r="D4839" s="47">
        <f t="shared" si="404"/>
        <v>70</v>
      </c>
      <c r="F4839" s="78">
        <f t="shared" si="405"/>
        <v>2</v>
      </c>
    </row>
    <row r="4840" spans="1:6" ht="15.75" thickBot="1" x14ac:dyDescent="0.3">
      <c r="A4840" s="84" t="s">
        <v>19</v>
      </c>
      <c r="B4840" s="355">
        <v>44094</v>
      </c>
      <c r="C4840" s="1">
        <v>155</v>
      </c>
      <c r="D4840" s="47">
        <f>C4840+D4816</f>
        <v>6012</v>
      </c>
      <c r="E4840" s="1">
        <f>2+1</f>
        <v>3</v>
      </c>
      <c r="F4840" s="78">
        <f t="shared" si="405"/>
        <v>73</v>
      </c>
    </row>
    <row r="4841" spans="1:6" ht="15.75" thickBot="1" x14ac:dyDescent="0.3">
      <c r="A4841" s="84" t="s">
        <v>18</v>
      </c>
      <c r="B4841" s="355">
        <v>44094</v>
      </c>
      <c r="C4841" s="1">
        <v>132</v>
      </c>
      <c r="D4841" s="47">
        <f>C4841+D4817</f>
        <v>10346</v>
      </c>
      <c r="F4841" s="78">
        <f t="shared" si="405"/>
        <v>195</v>
      </c>
    </row>
    <row r="4842" spans="1:6" ht="15.75" thickBot="1" x14ac:dyDescent="0.3">
      <c r="A4842" s="84" t="s">
        <v>34</v>
      </c>
      <c r="B4842" s="355">
        <v>44094</v>
      </c>
      <c r="C4842" s="1">
        <v>339</v>
      </c>
      <c r="D4842" s="47">
        <f>C4842+D4818</f>
        <v>9268</v>
      </c>
      <c r="E4842" s="1">
        <f>2+3+8+3</f>
        <v>16</v>
      </c>
      <c r="F4842" s="78">
        <f>E4842+F4818</f>
        <v>171</v>
      </c>
    </row>
    <row r="4843" spans="1:6" ht="15.75" thickBot="1" x14ac:dyDescent="0.3">
      <c r="A4843" s="84" t="s">
        <v>35</v>
      </c>
      <c r="B4843" s="355">
        <v>44094</v>
      </c>
      <c r="C4843" s="1">
        <v>8</v>
      </c>
      <c r="D4843" s="47">
        <f t="shared" ref="D4843:D4849" si="406">C4843+D4819</f>
        <v>472</v>
      </c>
      <c r="F4843" s="78">
        <f>E4843+F4819</f>
        <v>21</v>
      </c>
    </row>
    <row r="4844" spans="1:6" ht="15.75" thickBot="1" x14ac:dyDescent="0.3">
      <c r="A4844" s="84" t="s">
        <v>36</v>
      </c>
      <c r="B4844" s="355">
        <v>44094</v>
      </c>
      <c r="C4844" s="1">
        <v>26</v>
      </c>
      <c r="D4844" s="47">
        <f t="shared" si="406"/>
        <v>698</v>
      </c>
      <c r="F4844" s="78">
        <f t="shared" si="405"/>
        <v>0</v>
      </c>
    </row>
    <row r="4845" spans="1:6" ht="15.75" thickBot="1" x14ac:dyDescent="0.3">
      <c r="A4845" s="84" t="s">
        <v>37</v>
      </c>
      <c r="B4845" s="355">
        <v>44094</v>
      </c>
      <c r="C4845" s="1">
        <v>83</v>
      </c>
      <c r="D4845" s="47">
        <f t="shared" si="406"/>
        <v>3747</v>
      </c>
      <c r="F4845" s="78">
        <f>E4845+F4821</f>
        <v>44</v>
      </c>
    </row>
    <row r="4846" spans="1:6" ht="15.75" thickBot="1" x14ac:dyDescent="0.3">
      <c r="A4846" s="84" t="s">
        <v>22</v>
      </c>
      <c r="B4846" s="355">
        <v>44094</v>
      </c>
      <c r="C4846" s="1">
        <v>877</v>
      </c>
      <c r="D4846" s="47">
        <f t="shared" si="406"/>
        <v>26395</v>
      </c>
      <c r="E4846" s="1">
        <f>1+1+3</f>
        <v>5</v>
      </c>
      <c r="F4846" s="78">
        <f>E4846+F4822</f>
        <v>271</v>
      </c>
    </row>
    <row r="4847" spans="1:6" ht="15.75" thickBot="1" x14ac:dyDescent="0.3">
      <c r="A4847" s="84" t="s">
        <v>38</v>
      </c>
      <c r="B4847" s="355">
        <v>44094</v>
      </c>
      <c r="C4847" s="1">
        <v>70</v>
      </c>
      <c r="D4847" s="47">
        <f t="shared" si="406"/>
        <v>2372</v>
      </c>
      <c r="E4847" s="1">
        <f>3+1+1</f>
        <v>5</v>
      </c>
      <c r="F4847" s="78">
        <f t="shared" si="405"/>
        <v>35</v>
      </c>
    </row>
    <row r="4848" spans="1:6" ht="15.75" thickBot="1" x14ac:dyDescent="0.3">
      <c r="A4848" s="84" t="s">
        <v>39</v>
      </c>
      <c r="B4848" s="355">
        <v>44094</v>
      </c>
      <c r="C4848" s="1">
        <v>79</v>
      </c>
      <c r="D4848" s="47">
        <f t="shared" si="406"/>
        <v>3197</v>
      </c>
      <c r="E4848" s="1">
        <f>1</f>
        <v>1</v>
      </c>
      <c r="F4848" s="78">
        <f>E4848+F4824</f>
        <v>54</v>
      </c>
    </row>
    <row r="4849" spans="1:6" ht="15.75" thickBot="1" x14ac:dyDescent="0.3">
      <c r="A4849" s="85" t="s">
        <v>40</v>
      </c>
      <c r="B4849" s="355">
        <v>44094</v>
      </c>
      <c r="C4849" s="1">
        <v>272</v>
      </c>
      <c r="D4849" s="214">
        <f t="shared" si="406"/>
        <v>9525</v>
      </c>
      <c r="E4849" s="1">
        <f>21+14+11+4</f>
        <v>50</v>
      </c>
      <c r="F4849" s="79">
        <f>E4849+F4825</f>
        <v>101</v>
      </c>
    </row>
    <row r="4850" spans="1:6" ht="15.75" thickBot="1" x14ac:dyDescent="0.3">
      <c r="A4850" s="36" t="s">
        <v>16</v>
      </c>
      <c r="B4850" s="355">
        <v>44095</v>
      </c>
      <c r="C4850" s="1">
        <v>3700</v>
      </c>
      <c r="D4850" s="211">
        <f>C4850+D4826</f>
        <v>371980</v>
      </c>
      <c r="E4850" s="1">
        <v>276</v>
      </c>
      <c r="F4850" s="77">
        <f>E4850+F4826</f>
        <v>7953</v>
      </c>
    </row>
    <row r="4851" spans="1:6" ht="15.75" thickBot="1" x14ac:dyDescent="0.3">
      <c r="A4851" s="84" t="s">
        <v>43</v>
      </c>
      <c r="B4851" s="355">
        <v>44095</v>
      </c>
      <c r="C4851" s="1">
        <v>678</v>
      </c>
      <c r="D4851" s="47">
        <f t="shared" ref="D4851:D4863" si="407">C4851+D4827</f>
        <v>117952</v>
      </c>
      <c r="E4851" s="1">
        <v>30</v>
      </c>
      <c r="F4851" s="78">
        <f>E4851+F4827</f>
        <v>2933</v>
      </c>
    </row>
    <row r="4852" spans="1:6" ht="15.75" thickBot="1" x14ac:dyDescent="0.3">
      <c r="A4852" s="84" t="s">
        <v>28</v>
      </c>
      <c r="B4852" s="355">
        <v>44095</v>
      </c>
      <c r="C4852" s="1">
        <v>1</v>
      </c>
      <c r="D4852" s="47">
        <f t="shared" si="407"/>
        <v>192</v>
      </c>
      <c r="F4852" s="78">
        <f>E4852+F4828</f>
        <v>0</v>
      </c>
    </row>
    <row r="4853" spans="1:6" ht="15.75" thickBot="1" x14ac:dyDescent="0.3">
      <c r="A4853" s="84" t="s">
        <v>15</v>
      </c>
      <c r="B4853" s="355">
        <v>44095</v>
      </c>
      <c r="C4853" s="1">
        <v>69</v>
      </c>
      <c r="D4853" s="47">
        <f t="shared" si="407"/>
        <v>7479</v>
      </c>
      <c r="E4853" s="1">
        <v>7</v>
      </c>
      <c r="F4853" s="78">
        <f t="shared" ref="F4853:F4871" si="408">E4853+F4829</f>
        <v>262</v>
      </c>
    </row>
    <row r="4854" spans="1:6" ht="15.75" thickBot="1" x14ac:dyDescent="0.3">
      <c r="A4854" s="84" t="s">
        <v>29</v>
      </c>
      <c r="B4854" s="355">
        <v>44095</v>
      </c>
      <c r="C4854" s="1">
        <v>116</v>
      </c>
      <c r="D4854" s="47">
        <f t="shared" si="407"/>
        <v>2423</v>
      </c>
      <c r="F4854" s="78">
        <f t="shared" si="408"/>
        <v>25</v>
      </c>
    </row>
    <row r="4855" spans="1:6" ht="15.75" thickBot="1" x14ac:dyDescent="0.3">
      <c r="A4855" s="84" t="s">
        <v>20</v>
      </c>
      <c r="B4855" s="355">
        <v>44095</v>
      </c>
      <c r="C4855" s="1">
        <v>770</v>
      </c>
      <c r="D4855" s="47">
        <f t="shared" si="407"/>
        <v>19978</v>
      </c>
      <c r="E4855" s="1">
        <v>5</v>
      </c>
      <c r="F4855" s="78">
        <f t="shared" si="408"/>
        <v>260</v>
      </c>
    </row>
    <row r="4856" spans="1:6" ht="15.75" thickBot="1" x14ac:dyDescent="0.3">
      <c r="A4856" s="84" t="s">
        <v>30</v>
      </c>
      <c r="B4856" s="355">
        <v>44095</v>
      </c>
      <c r="C4856" s="1">
        <v>61</v>
      </c>
      <c r="D4856" s="47">
        <f t="shared" si="407"/>
        <v>1029</v>
      </c>
      <c r="E4856" s="1">
        <v>1</v>
      </c>
      <c r="F4856" s="78">
        <f>E4856+F4832</f>
        <v>15</v>
      </c>
    </row>
    <row r="4857" spans="1:6" ht="15.75" thickBot="1" x14ac:dyDescent="0.3">
      <c r="A4857" s="84" t="s">
        <v>31</v>
      </c>
      <c r="B4857" s="355">
        <v>44095</v>
      </c>
      <c r="C4857" s="1">
        <v>85</v>
      </c>
      <c r="D4857" s="47">
        <f t="shared" si="407"/>
        <v>6291</v>
      </c>
      <c r="E4857" s="1">
        <v>3</v>
      </c>
      <c r="F4857" s="78">
        <f>E4857+F4833</f>
        <v>111</v>
      </c>
    </row>
    <row r="4858" spans="1:6" ht="15.75" thickBot="1" x14ac:dyDescent="0.3">
      <c r="A4858" s="84" t="s">
        <v>41</v>
      </c>
      <c r="B4858" s="355">
        <v>44095</v>
      </c>
      <c r="C4858" s="1">
        <v>0</v>
      </c>
      <c r="D4858" s="47">
        <f t="shared" si="407"/>
        <v>101</v>
      </c>
      <c r="F4858" s="78">
        <f>E4858+F4834</f>
        <v>1</v>
      </c>
    </row>
    <row r="4859" spans="1:6" ht="15.75" thickBot="1" x14ac:dyDescent="0.3">
      <c r="A4859" s="84" t="s">
        <v>32</v>
      </c>
      <c r="B4859" s="355">
        <v>44095</v>
      </c>
      <c r="C4859" s="1">
        <v>101</v>
      </c>
      <c r="D4859" s="47">
        <f t="shared" si="407"/>
        <v>14251</v>
      </c>
      <c r="E4859" s="1">
        <v>11</v>
      </c>
      <c r="F4859" s="78">
        <f t="shared" si="408"/>
        <v>338</v>
      </c>
    </row>
    <row r="4860" spans="1:6" ht="15.75" thickBot="1" x14ac:dyDescent="0.3">
      <c r="A4860" s="84" t="s">
        <v>33</v>
      </c>
      <c r="B4860" s="355">
        <v>44095</v>
      </c>
      <c r="C4860" s="1">
        <v>18</v>
      </c>
      <c r="D4860" s="47">
        <f t="shared" si="407"/>
        <v>586</v>
      </c>
      <c r="F4860" s="78">
        <f t="shared" si="408"/>
        <v>4</v>
      </c>
    </row>
    <row r="4861" spans="1:6" ht="15.75" thickBot="1" x14ac:dyDescent="0.3">
      <c r="A4861" s="84" t="s">
        <v>21</v>
      </c>
      <c r="B4861" s="355">
        <v>44095</v>
      </c>
      <c r="C4861" s="1">
        <v>350</v>
      </c>
      <c r="D4861" s="47">
        <f t="shared" si="407"/>
        <v>4100</v>
      </c>
      <c r="E4861" s="1">
        <v>2</v>
      </c>
      <c r="F4861" s="78">
        <f t="shared" si="408"/>
        <v>101</v>
      </c>
    </row>
    <row r="4862" spans="1:6" ht="15.75" thickBot="1" x14ac:dyDescent="0.3">
      <c r="A4862" s="84" t="s">
        <v>17</v>
      </c>
      <c r="B4862" s="355">
        <v>44095</v>
      </c>
      <c r="C4862" s="1">
        <v>599</v>
      </c>
      <c r="D4862" s="47">
        <f t="shared" si="407"/>
        <v>19449</v>
      </c>
      <c r="E4862" s="1">
        <v>6</v>
      </c>
      <c r="F4862" s="78">
        <f t="shared" si="408"/>
        <v>185</v>
      </c>
    </row>
    <row r="4863" spans="1:6" ht="15.75" thickBot="1" x14ac:dyDescent="0.3">
      <c r="A4863" s="84" t="s">
        <v>23</v>
      </c>
      <c r="B4863" s="355">
        <v>44095</v>
      </c>
      <c r="C4863" s="1">
        <v>0</v>
      </c>
      <c r="D4863" s="47">
        <f t="shared" si="407"/>
        <v>70</v>
      </c>
      <c r="F4863" s="78">
        <f t="shared" si="408"/>
        <v>2</v>
      </c>
    </row>
    <row r="4864" spans="1:6" ht="15.75" thickBot="1" x14ac:dyDescent="0.3">
      <c r="A4864" s="84" t="s">
        <v>19</v>
      </c>
      <c r="B4864" s="355">
        <v>44095</v>
      </c>
      <c r="C4864" s="1">
        <v>211</v>
      </c>
      <c r="D4864" s="47">
        <f>C4864+D4840</f>
        <v>6223</v>
      </c>
      <c r="E4864" s="1">
        <v>13</v>
      </c>
      <c r="F4864" s="78">
        <f t="shared" si="408"/>
        <v>86</v>
      </c>
    </row>
    <row r="4865" spans="1:6" ht="15.75" thickBot="1" x14ac:dyDescent="0.3">
      <c r="A4865" s="84" t="s">
        <v>18</v>
      </c>
      <c r="B4865" s="355">
        <v>44095</v>
      </c>
      <c r="C4865" s="1">
        <v>132</v>
      </c>
      <c r="D4865" s="47">
        <f>C4865+D4841</f>
        <v>10478</v>
      </c>
      <c r="E4865" s="1">
        <v>21</v>
      </c>
      <c r="F4865" s="78">
        <f t="shared" si="408"/>
        <v>216</v>
      </c>
    </row>
    <row r="4866" spans="1:6" ht="15.75" thickBot="1" x14ac:dyDescent="0.3">
      <c r="A4866" s="84" t="s">
        <v>34</v>
      </c>
      <c r="B4866" s="355">
        <v>44095</v>
      </c>
      <c r="C4866" s="1">
        <v>138</v>
      </c>
      <c r="D4866" s="47">
        <f>C4866+D4842</f>
        <v>9406</v>
      </c>
      <c r="E4866" s="1">
        <v>23</v>
      </c>
      <c r="F4866" s="78">
        <f>E4866+F4842</f>
        <v>194</v>
      </c>
    </row>
    <row r="4867" spans="1:6" ht="15.75" thickBot="1" x14ac:dyDescent="0.3">
      <c r="A4867" s="84" t="s">
        <v>35</v>
      </c>
      <c r="B4867" s="355">
        <v>44095</v>
      </c>
      <c r="C4867" s="1">
        <v>18</v>
      </c>
      <c r="D4867" s="47">
        <f t="shared" ref="D4867:D4873" si="409">C4867+D4843</f>
        <v>490</v>
      </c>
      <c r="F4867" s="78">
        <f>E4867+F4843</f>
        <v>21</v>
      </c>
    </row>
    <row r="4868" spans="1:6" ht="15.75" thickBot="1" x14ac:dyDescent="0.3">
      <c r="A4868" s="84" t="s">
        <v>36</v>
      </c>
      <c r="B4868" s="355">
        <v>44095</v>
      </c>
      <c r="C4868" s="1">
        <v>83</v>
      </c>
      <c r="D4868" s="47">
        <f t="shared" si="409"/>
        <v>781</v>
      </c>
      <c r="F4868" s="78">
        <f t="shared" si="408"/>
        <v>0</v>
      </c>
    </row>
    <row r="4869" spans="1:6" ht="15.75" thickBot="1" x14ac:dyDescent="0.3">
      <c r="A4869" s="84" t="s">
        <v>37</v>
      </c>
      <c r="B4869" s="355">
        <v>44095</v>
      </c>
      <c r="C4869" s="1">
        <v>95</v>
      </c>
      <c r="D4869" s="47">
        <f t="shared" si="409"/>
        <v>3842</v>
      </c>
      <c r="E4869" s="1">
        <v>1</v>
      </c>
      <c r="F4869" s="78">
        <f>E4869+F4845</f>
        <v>45</v>
      </c>
    </row>
    <row r="4870" spans="1:6" ht="15.75" thickBot="1" x14ac:dyDescent="0.3">
      <c r="A4870" s="84" t="s">
        <v>22</v>
      </c>
      <c r="B4870" s="355">
        <v>44095</v>
      </c>
      <c r="C4870" s="1">
        <v>1215</v>
      </c>
      <c r="D4870" s="47">
        <f t="shared" si="409"/>
        <v>27610</v>
      </c>
      <c r="E4870" s="1">
        <v>27</v>
      </c>
      <c r="F4870" s="78">
        <f>E4870+F4846</f>
        <v>298</v>
      </c>
    </row>
    <row r="4871" spans="1:6" ht="15.75" thickBot="1" x14ac:dyDescent="0.3">
      <c r="A4871" s="84" t="s">
        <v>38</v>
      </c>
      <c r="B4871" s="355">
        <v>44095</v>
      </c>
      <c r="C4871" s="1">
        <v>53</v>
      </c>
      <c r="D4871" s="47">
        <f t="shared" si="409"/>
        <v>2425</v>
      </c>
      <c r="E4871" s="1">
        <v>2</v>
      </c>
      <c r="F4871" s="78">
        <f t="shared" si="408"/>
        <v>37</v>
      </c>
    </row>
    <row r="4872" spans="1:6" ht="15.75" thickBot="1" x14ac:dyDescent="0.3">
      <c r="A4872" s="84" t="s">
        <v>39</v>
      </c>
      <c r="B4872" s="355">
        <v>44095</v>
      </c>
      <c r="C4872" s="1">
        <v>81</v>
      </c>
      <c r="D4872" s="47">
        <f t="shared" si="409"/>
        <v>3278</v>
      </c>
      <c r="E4872" s="1">
        <v>1</v>
      </c>
      <c r="F4872" s="78">
        <f>E4872+F4848</f>
        <v>55</v>
      </c>
    </row>
    <row r="4873" spans="1:6" ht="15.75" thickBot="1" x14ac:dyDescent="0.3">
      <c r="A4873" s="85" t="s">
        <v>40</v>
      </c>
      <c r="B4873" s="355">
        <v>44095</v>
      </c>
      <c r="C4873" s="1">
        <v>208</v>
      </c>
      <c r="D4873" s="214">
        <f t="shared" si="409"/>
        <v>9733</v>
      </c>
      <c r="F4873" s="79">
        <f>E4873+F4849</f>
        <v>101</v>
      </c>
    </row>
    <row r="4874" spans="1:6" ht="15.75" thickBot="1" x14ac:dyDescent="0.3">
      <c r="A4874" s="36" t="s">
        <v>16</v>
      </c>
      <c r="B4874" s="355">
        <v>44096</v>
      </c>
      <c r="C4874" s="1">
        <v>5344</v>
      </c>
      <c r="D4874" s="211">
        <f>C4874+D4850</f>
        <v>377324</v>
      </c>
      <c r="E4874" s="1">
        <f>179+158</f>
        <v>337</v>
      </c>
      <c r="F4874" s="77">
        <f>E4874+F4850</f>
        <v>8290</v>
      </c>
    </row>
    <row r="4875" spans="1:6" ht="15.75" thickBot="1" x14ac:dyDescent="0.3">
      <c r="A4875" s="84" t="s">
        <v>43</v>
      </c>
      <c r="B4875" s="355">
        <v>44096</v>
      </c>
      <c r="C4875" s="1">
        <v>927</v>
      </c>
      <c r="D4875" s="47">
        <f t="shared" ref="D4875:D4887" si="410">C4875+D4851</f>
        <v>118879</v>
      </c>
      <c r="E4875" s="1">
        <f>24+20</f>
        <v>44</v>
      </c>
      <c r="F4875" s="78">
        <f>E4875+F4851</f>
        <v>2977</v>
      </c>
    </row>
    <row r="4876" spans="1:6" ht="15.75" thickBot="1" x14ac:dyDescent="0.3">
      <c r="A4876" s="84" t="s">
        <v>28</v>
      </c>
      <c r="B4876" s="355">
        <v>44096</v>
      </c>
      <c r="C4876" s="1">
        <v>-5</v>
      </c>
      <c r="D4876" s="47">
        <f t="shared" si="410"/>
        <v>187</v>
      </c>
      <c r="F4876" s="78">
        <f>E4876+F4852</f>
        <v>0</v>
      </c>
    </row>
    <row r="4877" spans="1:6" ht="15.75" thickBot="1" x14ac:dyDescent="0.3">
      <c r="A4877" s="84" t="s">
        <v>15</v>
      </c>
      <c r="B4877" s="355">
        <v>44096</v>
      </c>
      <c r="C4877" s="1">
        <v>94</v>
      </c>
      <c r="D4877" s="47">
        <f t="shared" si="410"/>
        <v>7573</v>
      </c>
      <c r="F4877" s="78">
        <f t="shared" ref="F4877:F4895" si="411">E4877+F4853</f>
        <v>262</v>
      </c>
    </row>
    <row r="4878" spans="1:6" ht="15.75" thickBot="1" x14ac:dyDescent="0.3">
      <c r="A4878" s="84" t="s">
        <v>29</v>
      </c>
      <c r="B4878" s="355">
        <v>44096</v>
      </c>
      <c r="C4878" s="1">
        <v>132</v>
      </c>
      <c r="D4878" s="47">
        <f t="shared" si="410"/>
        <v>2555</v>
      </c>
      <c r="E4878" s="1">
        <f>1+1</f>
        <v>2</v>
      </c>
      <c r="F4878" s="78">
        <f t="shared" si="411"/>
        <v>27</v>
      </c>
    </row>
    <row r="4879" spans="1:6" ht="15.75" thickBot="1" x14ac:dyDescent="0.3">
      <c r="A4879" s="84" t="s">
        <v>20</v>
      </c>
      <c r="B4879" s="355">
        <v>44096</v>
      </c>
      <c r="C4879" s="1">
        <v>1152</v>
      </c>
      <c r="D4879" s="47">
        <f t="shared" si="410"/>
        <v>21130</v>
      </c>
      <c r="E4879" s="1">
        <f>4+5</f>
        <v>9</v>
      </c>
      <c r="F4879" s="78">
        <f t="shared" si="411"/>
        <v>269</v>
      </c>
    </row>
    <row r="4880" spans="1:6" ht="15.75" thickBot="1" x14ac:dyDescent="0.3">
      <c r="A4880" s="84" t="s">
        <v>30</v>
      </c>
      <c r="B4880" s="355">
        <v>44096</v>
      </c>
      <c r="C4880" s="1">
        <v>30</v>
      </c>
      <c r="D4880" s="47">
        <f t="shared" si="410"/>
        <v>1059</v>
      </c>
      <c r="F4880" s="78">
        <f>E4880+F4856</f>
        <v>15</v>
      </c>
    </row>
    <row r="4881" spans="1:6" ht="15.75" thickBot="1" x14ac:dyDescent="0.3">
      <c r="A4881" s="84" t="s">
        <v>31</v>
      </c>
      <c r="B4881" s="355">
        <v>44096</v>
      </c>
      <c r="C4881" s="1">
        <v>121</v>
      </c>
      <c r="D4881" s="47">
        <f t="shared" si="410"/>
        <v>6412</v>
      </c>
      <c r="E4881" s="1">
        <f>6+2</f>
        <v>8</v>
      </c>
      <c r="F4881" s="78">
        <f>E4881+F4857</f>
        <v>119</v>
      </c>
    </row>
    <row r="4882" spans="1:6" ht="15.75" thickBot="1" x14ac:dyDescent="0.3">
      <c r="A4882" s="84" t="s">
        <v>41</v>
      </c>
      <c r="B4882" s="355">
        <v>44096</v>
      </c>
      <c r="C4882" s="1">
        <v>0</v>
      </c>
      <c r="D4882" s="47">
        <f t="shared" si="410"/>
        <v>101</v>
      </c>
      <c r="F4882" s="78">
        <f>E4882+F4858</f>
        <v>1</v>
      </c>
    </row>
    <row r="4883" spans="1:6" ht="15.75" thickBot="1" x14ac:dyDescent="0.3">
      <c r="A4883" s="84" t="s">
        <v>32</v>
      </c>
      <c r="B4883" s="355">
        <v>44096</v>
      </c>
      <c r="C4883" s="1">
        <v>99</v>
      </c>
      <c r="D4883" s="47">
        <f t="shared" si="410"/>
        <v>14350</v>
      </c>
      <c r="E4883" s="1">
        <f>8+5</f>
        <v>13</v>
      </c>
      <c r="F4883" s="78">
        <f t="shared" si="411"/>
        <v>351</v>
      </c>
    </row>
    <row r="4884" spans="1:6" ht="15.75" thickBot="1" x14ac:dyDescent="0.3">
      <c r="A4884" s="84" t="s">
        <v>33</v>
      </c>
      <c r="B4884" s="355">
        <v>44096</v>
      </c>
      <c r="C4884" s="1">
        <v>22</v>
      </c>
      <c r="D4884" s="47">
        <f t="shared" si="410"/>
        <v>608</v>
      </c>
      <c r="F4884" s="78">
        <f t="shared" si="411"/>
        <v>4</v>
      </c>
    </row>
    <row r="4885" spans="1:6" ht="15.75" thickBot="1" x14ac:dyDescent="0.3">
      <c r="A4885" s="84" t="s">
        <v>21</v>
      </c>
      <c r="B4885" s="355">
        <v>44096</v>
      </c>
      <c r="C4885" s="1">
        <v>120</v>
      </c>
      <c r="D4885" s="47">
        <f t="shared" si="410"/>
        <v>4220</v>
      </c>
      <c r="F4885" s="78">
        <f t="shared" si="411"/>
        <v>101</v>
      </c>
    </row>
    <row r="4886" spans="1:6" ht="15.75" thickBot="1" x14ac:dyDescent="0.3">
      <c r="A4886" s="84" t="s">
        <v>17</v>
      </c>
      <c r="B4886" s="355">
        <v>44096</v>
      </c>
      <c r="C4886" s="1">
        <v>426</v>
      </c>
      <c r="D4886" s="47">
        <f t="shared" si="410"/>
        <v>19875</v>
      </c>
      <c r="E4886" s="1">
        <f>5+5</f>
        <v>10</v>
      </c>
      <c r="F4886" s="78">
        <f t="shared" si="411"/>
        <v>195</v>
      </c>
    </row>
    <row r="4887" spans="1:6" ht="15.75" thickBot="1" x14ac:dyDescent="0.3">
      <c r="A4887" s="84" t="s">
        <v>23</v>
      </c>
      <c r="B4887" s="355">
        <v>44096</v>
      </c>
      <c r="C4887" s="1">
        <v>8</v>
      </c>
      <c r="D4887" s="47">
        <f t="shared" si="410"/>
        <v>78</v>
      </c>
      <c r="F4887" s="78">
        <f t="shared" si="411"/>
        <v>2</v>
      </c>
    </row>
    <row r="4888" spans="1:6" ht="15.75" thickBot="1" x14ac:dyDescent="0.3">
      <c r="A4888" s="84" t="s">
        <v>19</v>
      </c>
      <c r="B4888" s="355">
        <v>44096</v>
      </c>
      <c r="C4888" s="1">
        <v>218</v>
      </c>
      <c r="D4888" s="47">
        <f>C4888+D4864</f>
        <v>6441</v>
      </c>
      <c r="E4888" s="1">
        <f>4+2</f>
        <v>6</v>
      </c>
      <c r="F4888" s="78">
        <f t="shared" si="411"/>
        <v>92</v>
      </c>
    </row>
    <row r="4889" spans="1:6" ht="15.75" thickBot="1" x14ac:dyDescent="0.3">
      <c r="A4889" s="84" t="s">
        <v>18</v>
      </c>
      <c r="B4889" s="355">
        <v>44096</v>
      </c>
      <c r="C4889" s="1">
        <v>251</v>
      </c>
      <c r="D4889" s="47">
        <f>C4889+D4865</f>
        <v>10729</v>
      </c>
      <c r="E4889" s="1">
        <f>8+4</f>
        <v>12</v>
      </c>
      <c r="F4889" s="78">
        <f t="shared" si="411"/>
        <v>228</v>
      </c>
    </row>
    <row r="4890" spans="1:6" ht="15.75" thickBot="1" x14ac:dyDescent="0.3">
      <c r="A4890" s="84" t="s">
        <v>34</v>
      </c>
      <c r="B4890" s="355">
        <v>44096</v>
      </c>
      <c r="C4890" s="1">
        <v>444</v>
      </c>
      <c r="D4890" s="47">
        <f>C4890+D4866</f>
        <v>9850</v>
      </c>
      <c r="E4890" s="1">
        <f>6+6</f>
        <v>12</v>
      </c>
      <c r="F4890" s="78">
        <f>E4890+F4866</f>
        <v>206</v>
      </c>
    </row>
    <row r="4891" spans="1:6" ht="15.75" thickBot="1" x14ac:dyDescent="0.3">
      <c r="A4891" s="84" t="s">
        <v>35</v>
      </c>
      <c r="B4891" s="355">
        <v>44096</v>
      </c>
      <c r="C4891" s="1">
        <v>27</v>
      </c>
      <c r="D4891" s="47">
        <f t="shared" ref="D4891:D4897" si="412">C4891+D4867</f>
        <v>517</v>
      </c>
      <c r="F4891" s="78">
        <f>E4891+F4867</f>
        <v>21</v>
      </c>
    </row>
    <row r="4892" spans="1:6" ht="15.75" thickBot="1" x14ac:dyDescent="0.3">
      <c r="A4892" s="84" t="s">
        <v>36</v>
      </c>
      <c r="B4892" s="355">
        <v>44096</v>
      </c>
      <c r="C4892" s="1">
        <v>77</v>
      </c>
      <c r="D4892" s="47">
        <f t="shared" si="412"/>
        <v>858</v>
      </c>
      <c r="E4892" s="1">
        <f>1+2</f>
        <v>3</v>
      </c>
      <c r="F4892" s="78">
        <f t="shared" si="411"/>
        <v>3</v>
      </c>
    </row>
    <row r="4893" spans="1:6" ht="15.75" thickBot="1" x14ac:dyDescent="0.3">
      <c r="A4893" s="84" t="s">
        <v>37</v>
      </c>
      <c r="B4893" s="355">
        <v>44096</v>
      </c>
      <c r="C4893" s="1">
        <v>74</v>
      </c>
      <c r="D4893" s="47">
        <f t="shared" si="412"/>
        <v>3916</v>
      </c>
      <c r="E4893" s="1">
        <f>1</f>
        <v>1</v>
      </c>
      <c r="F4893" s="78">
        <f>E4893+F4869</f>
        <v>46</v>
      </c>
    </row>
    <row r="4894" spans="1:6" ht="15.75" thickBot="1" x14ac:dyDescent="0.3">
      <c r="A4894" s="84" t="s">
        <v>22</v>
      </c>
      <c r="B4894" s="355">
        <v>44096</v>
      </c>
      <c r="C4894" s="1">
        <v>1592</v>
      </c>
      <c r="D4894" s="47">
        <f t="shared" si="412"/>
        <v>29202</v>
      </c>
      <c r="E4894" s="1">
        <f>3+5</f>
        <v>8</v>
      </c>
      <c r="F4894" s="78">
        <f>E4894+F4870</f>
        <v>306</v>
      </c>
    </row>
    <row r="4895" spans="1:6" ht="15.75" thickBot="1" x14ac:dyDescent="0.3">
      <c r="A4895" s="84" t="s">
        <v>38</v>
      </c>
      <c r="B4895" s="355">
        <v>44096</v>
      </c>
      <c r="C4895" s="1">
        <v>75</v>
      </c>
      <c r="D4895" s="47">
        <f t="shared" si="412"/>
        <v>2500</v>
      </c>
      <c r="E4895" s="1">
        <f>1+1</f>
        <v>2</v>
      </c>
      <c r="F4895" s="78">
        <f t="shared" si="411"/>
        <v>39</v>
      </c>
    </row>
    <row r="4896" spans="1:6" ht="15.75" thickBot="1" x14ac:dyDescent="0.3">
      <c r="A4896" s="84" t="s">
        <v>39</v>
      </c>
      <c r="B4896" s="355">
        <v>44096</v>
      </c>
      <c r="C4896" s="1">
        <v>78</v>
      </c>
      <c r="D4896" s="47">
        <f t="shared" si="412"/>
        <v>3356</v>
      </c>
      <c r="E4896" s="1">
        <f>1+1</f>
        <v>2</v>
      </c>
      <c r="F4896" s="78">
        <f>E4896+F4872</f>
        <v>57</v>
      </c>
    </row>
    <row r="4897" spans="1:6" ht="15.75" thickBot="1" x14ac:dyDescent="0.3">
      <c r="A4897" s="85" t="s">
        <v>40</v>
      </c>
      <c r="B4897" s="355">
        <v>44096</v>
      </c>
      <c r="C4897" s="1">
        <v>721</v>
      </c>
      <c r="D4897" s="214">
        <f t="shared" si="412"/>
        <v>10454</v>
      </c>
      <c r="F4897" s="79">
        <f>E4897+F4873</f>
        <v>101</v>
      </c>
    </row>
    <row r="4898" spans="1:6" ht="15.75" thickBot="1" x14ac:dyDescent="0.3">
      <c r="A4898" s="36" t="s">
        <v>16</v>
      </c>
      <c r="B4898" s="355">
        <v>44097</v>
      </c>
      <c r="C4898" s="1">
        <v>5389</v>
      </c>
      <c r="D4898" s="211">
        <f>C4898+D4874</f>
        <v>382713</v>
      </c>
      <c r="E4898" s="1">
        <f>160+131</f>
        <v>291</v>
      </c>
      <c r="F4898" s="77">
        <f>E4898+F4874</f>
        <v>8581</v>
      </c>
    </row>
    <row r="4899" spans="1:6" ht="15.75" thickBot="1" x14ac:dyDescent="0.3">
      <c r="A4899" s="84" t="s">
        <v>43</v>
      </c>
      <c r="B4899" s="355">
        <v>44097</v>
      </c>
      <c r="C4899" s="1">
        <v>929</v>
      </c>
      <c r="D4899" s="47">
        <f t="shared" ref="D4899:D4911" si="413">C4899+D4875</f>
        <v>119808</v>
      </c>
      <c r="E4899" s="1">
        <f>16+18</f>
        <v>34</v>
      </c>
      <c r="F4899" s="78">
        <f>E4899+F4875</f>
        <v>3011</v>
      </c>
    </row>
    <row r="4900" spans="1:6" ht="15.75" thickBot="1" x14ac:dyDescent="0.3">
      <c r="A4900" s="84" t="s">
        <v>28</v>
      </c>
      <c r="B4900" s="355">
        <v>44097</v>
      </c>
      <c r="C4900" s="1">
        <v>6</v>
      </c>
      <c r="D4900" s="47">
        <f t="shared" si="413"/>
        <v>193</v>
      </c>
      <c r="F4900" s="78">
        <f>E4900+F4876</f>
        <v>0</v>
      </c>
    </row>
    <row r="4901" spans="1:6" ht="15.75" thickBot="1" x14ac:dyDescent="0.3">
      <c r="A4901" s="84" t="s">
        <v>15</v>
      </c>
      <c r="B4901" s="355">
        <v>44097</v>
      </c>
      <c r="C4901" s="1">
        <v>86</v>
      </c>
      <c r="D4901" s="47">
        <f t="shared" si="413"/>
        <v>7659</v>
      </c>
      <c r="E4901" s="1">
        <f>2+1</f>
        <v>3</v>
      </c>
      <c r="F4901" s="78">
        <f t="shared" ref="F4901:F4919" si="414">E4901+F4877</f>
        <v>265</v>
      </c>
    </row>
    <row r="4902" spans="1:6" ht="15.75" thickBot="1" x14ac:dyDescent="0.3">
      <c r="A4902" s="84" t="s">
        <v>29</v>
      </c>
      <c r="B4902" s="355">
        <v>44097</v>
      </c>
      <c r="C4902" s="1">
        <v>203</v>
      </c>
      <c r="D4902" s="47">
        <f t="shared" si="413"/>
        <v>2758</v>
      </c>
      <c r="E4902" s="1">
        <f>1</f>
        <v>1</v>
      </c>
      <c r="F4902" s="78">
        <f t="shared" si="414"/>
        <v>28</v>
      </c>
    </row>
    <row r="4903" spans="1:6" ht="15.75" thickBot="1" x14ac:dyDescent="0.3">
      <c r="A4903" s="84" t="s">
        <v>20</v>
      </c>
      <c r="B4903" s="355">
        <v>44097</v>
      </c>
      <c r="C4903" s="1">
        <v>1435</v>
      </c>
      <c r="D4903" s="47">
        <f t="shared" si="413"/>
        <v>22565</v>
      </c>
      <c r="E4903" s="1">
        <f>8+3</f>
        <v>11</v>
      </c>
      <c r="F4903" s="78">
        <f t="shared" si="414"/>
        <v>280</v>
      </c>
    </row>
    <row r="4904" spans="1:6" ht="15.75" thickBot="1" x14ac:dyDescent="0.3">
      <c r="A4904" s="84" t="s">
        <v>30</v>
      </c>
      <c r="B4904" s="355">
        <v>44097</v>
      </c>
      <c r="C4904" s="1">
        <v>-45</v>
      </c>
      <c r="D4904" s="47">
        <f t="shared" si="413"/>
        <v>1014</v>
      </c>
      <c r="F4904" s="78">
        <f>E4904+F4880</f>
        <v>15</v>
      </c>
    </row>
    <row r="4905" spans="1:6" ht="15.75" thickBot="1" x14ac:dyDescent="0.3">
      <c r="A4905" s="84" t="s">
        <v>31</v>
      </c>
      <c r="B4905" s="355">
        <v>44097</v>
      </c>
      <c r="C4905" s="1">
        <v>118</v>
      </c>
      <c r="D4905" s="47">
        <f t="shared" si="413"/>
        <v>6530</v>
      </c>
      <c r="E4905" s="1">
        <f>1+2</f>
        <v>3</v>
      </c>
      <c r="F4905" s="78">
        <f>E4905+F4881</f>
        <v>122</v>
      </c>
    </row>
    <row r="4906" spans="1:6" ht="15.75" thickBot="1" x14ac:dyDescent="0.3">
      <c r="A4906" s="84" t="s">
        <v>41</v>
      </c>
      <c r="B4906" s="355">
        <v>44097</v>
      </c>
      <c r="C4906" s="1">
        <v>1</v>
      </c>
      <c r="D4906" s="47">
        <f t="shared" si="413"/>
        <v>102</v>
      </c>
      <c r="F4906" s="78">
        <f>E4906+F4882</f>
        <v>1</v>
      </c>
    </row>
    <row r="4907" spans="1:6" ht="15.75" thickBot="1" x14ac:dyDescent="0.3">
      <c r="A4907" s="84" t="s">
        <v>32</v>
      </c>
      <c r="B4907" s="355">
        <v>44097</v>
      </c>
      <c r="C4907" s="1">
        <v>230</v>
      </c>
      <c r="D4907" s="47">
        <f t="shared" si="413"/>
        <v>14580</v>
      </c>
      <c r="E4907" s="1">
        <f>9+2</f>
        <v>11</v>
      </c>
      <c r="F4907" s="78">
        <f t="shared" si="414"/>
        <v>362</v>
      </c>
    </row>
    <row r="4908" spans="1:6" ht="15.75" thickBot="1" x14ac:dyDescent="0.3">
      <c r="A4908" s="84" t="s">
        <v>33</v>
      </c>
      <c r="B4908" s="355">
        <v>44097</v>
      </c>
      <c r="C4908" s="1">
        <v>15</v>
      </c>
      <c r="D4908" s="47">
        <f t="shared" si="413"/>
        <v>623</v>
      </c>
      <c r="F4908" s="78">
        <f t="shared" si="414"/>
        <v>4</v>
      </c>
    </row>
    <row r="4909" spans="1:6" ht="15.75" thickBot="1" x14ac:dyDescent="0.3">
      <c r="A4909" s="84" t="s">
        <v>21</v>
      </c>
      <c r="B4909" s="355">
        <v>44097</v>
      </c>
      <c r="C4909" s="1">
        <v>48</v>
      </c>
      <c r="D4909" s="47">
        <f t="shared" si="413"/>
        <v>4268</v>
      </c>
      <c r="F4909" s="78">
        <f t="shared" si="414"/>
        <v>101</v>
      </c>
    </row>
    <row r="4910" spans="1:6" ht="15.75" thickBot="1" x14ac:dyDescent="0.3">
      <c r="A4910" s="84" t="s">
        <v>17</v>
      </c>
      <c r="B4910" s="355">
        <v>44097</v>
      </c>
      <c r="C4910" s="1">
        <v>528</v>
      </c>
      <c r="D4910" s="47">
        <f t="shared" si="413"/>
        <v>20403</v>
      </c>
      <c r="E4910" s="1">
        <f>7+5</f>
        <v>12</v>
      </c>
      <c r="F4910" s="78">
        <f t="shared" si="414"/>
        <v>207</v>
      </c>
    </row>
    <row r="4911" spans="1:6" ht="15.75" thickBot="1" x14ac:dyDescent="0.3">
      <c r="A4911" s="84" t="s">
        <v>23</v>
      </c>
      <c r="B4911" s="355">
        <v>44097</v>
      </c>
      <c r="C4911" s="1">
        <v>4</v>
      </c>
      <c r="D4911" s="47">
        <f t="shared" si="413"/>
        <v>82</v>
      </c>
      <c r="F4911" s="78">
        <f t="shared" si="414"/>
        <v>2</v>
      </c>
    </row>
    <row r="4912" spans="1:6" ht="15.75" thickBot="1" x14ac:dyDescent="0.3">
      <c r="A4912" s="84" t="s">
        <v>19</v>
      </c>
      <c r="B4912" s="355">
        <v>44097</v>
      </c>
      <c r="C4912" s="1">
        <v>176</v>
      </c>
      <c r="D4912" s="47">
        <f>C4912+D4888</f>
        <v>6617</v>
      </c>
      <c r="E4912" s="1">
        <f>4+3</f>
        <v>7</v>
      </c>
      <c r="F4912" s="78">
        <f t="shared" si="414"/>
        <v>99</v>
      </c>
    </row>
    <row r="4913" spans="1:6" ht="15.75" thickBot="1" x14ac:dyDescent="0.3">
      <c r="A4913" s="84" t="s">
        <v>18</v>
      </c>
      <c r="B4913" s="355">
        <v>44097</v>
      </c>
      <c r="C4913" s="1">
        <v>272</v>
      </c>
      <c r="D4913" s="47">
        <f>C4913+D4889</f>
        <v>11001</v>
      </c>
      <c r="E4913" s="1">
        <f>5+3</f>
        <v>8</v>
      </c>
      <c r="F4913" s="78">
        <f t="shared" si="414"/>
        <v>236</v>
      </c>
    </row>
    <row r="4914" spans="1:6" ht="15.75" thickBot="1" x14ac:dyDescent="0.3">
      <c r="A4914" s="84" t="s">
        <v>34</v>
      </c>
      <c r="B4914" s="355">
        <v>44097</v>
      </c>
      <c r="C4914" s="1">
        <v>347</v>
      </c>
      <c r="D4914" s="47">
        <f>C4914+D4890</f>
        <v>10197</v>
      </c>
      <c r="E4914" s="1">
        <f>12+3</f>
        <v>15</v>
      </c>
      <c r="F4914" s="78">
        <f>E4914+F4890</f>
        <v>221</v>
      </c>
    </row>
    <row r="4915" spans="1:6" ht="15.75" thickBot="1" x14ac:dyDescent="0.3">
      <c r="A4915" s="84" t="s">
        <v>35</v>
      </c>
      <c r="B4915" s="355">
        <v>44097</v>
      </c>
      <c r="C4915" s="1">
        <v>19</v>
      </c>
      <c r="D4915" s="47">
        <f t="shared" ref="D4915:D4921" si="415">C4915+D4891</f>
        <v>536</v>
      </c>
      <c r="E4915" s="1">
        <f>1+3</f>
        <v>4</v>
      </c>
      <c r="F4915" s="78">
        <f>E4915+F4891</f>
        <v>25</v>
      </c>
    </row>
    <row r="4916" spans="1:6" ht="15.75" thickBot="1" x14ac:dyDescent="0.3">
      <c r="A4916" s="84" t="s">
        <v>36</v>
      </c>
      <c r="B4916" s="355">
        <v>44097</v>
      </c>
      <c r="C4916" s="1">
        <v>62</v>
      </c>
      <c r="D4916" s="47">
        <f t="shared" si="415"/>
        <v>920</v>
      </c>
      <c r="F4916" s="78">
        <f t="shared" si="414"/>
        <v>3</v>
      </c>
    </row>
    <row r="4917" spans="1:6" ht="15.75" thickBot="1" x14ac:dyDescent="0.3">
      <c r="A4917" s="84" t="s">
        <v>37</v>
      </c>
      <c r="B4917" s="355">
        <v>44097</v>
      </c>
      <c r="C4917" s="1">
        <v>114</v>
      </c>
      <c r="D4917" s="47">
        <f t="shared" si="415"/>
        <v>4030</v>
      </c>
      <c r="E4917" s="1">
        <f>1</f>
        <v>1</v>
      </c>
      <c r="F4917" s="78">
        <f>E4917+F4893</f>
        <v>47</v>
      </c>
    </row>
    <row r="4918" spans="1:6" ht="15.75" thickBot="1" x14ac:dyDescent="0.3">
      <c r="A4918" s="84" t="s">
        <v>22</v>
      </c>
      <c r="B4918" s="355">
        <v>44097</v>
      </c>
      <c r="C4918" s="1">
        <v>1682</v>
      </c>
      <c r="D4918" s="47">
        <f t="shared" si="415"/>
        <v>30884</v>
      </c>
      <c r="E4918" s="1">
        <f>11+6</f>
        <v>17</v>
      </c>
      <c r="F4918" s="78">
        <f>E4918+F4894</f>
        <v>323</v>
      </c>
    </row>
    <row r="4919" spans="1:6" ht="15.75" thickBot="1" x14ac:dyDescent="0.3">
      <c r="A4919" s="84" t="s">
        <v>38</v>
      </c>
      <c r="B4919" s="355">
        <v>44097</v>
      </c>
      <c r="C4919" s="1">
        <v>108</v>
      </c>
      <c r="D4919" s="47">
        <f t="shared" si="415"/>
        <v>2608</v>
      </c>
      <c r="E4919" s="1">
        <f>4</f>
        <v>4</v>
      </c>
      <c r="F4919" s="78">
        <f t="shared" si="414"/>
        <v>43</v>
      </c>
    </row>
    <row r="4920" spans="1:6" ht="15.75" thickBot="1" x14ac:dyDescent="0.3">
      <c r="A4920" s="84" t="s">
        <v>39</v>
      </c>
      <c r="B4920" s="355">
        <v>44097</v>
      </c>
      <c r="C4920" s="1">
        <v>79</v>
      </c>
      <c r="D4920" s="47">
        <f t="shared" si="415"/>
        <v>3435</v>
      </c>
      <c r="E4920" s="1">
        <f>2</f>
        <v>2</v>
      </c>
      <c r="F4920" s="78">
        <f>E4920+F4896</f>
        <v>59</v>
      </c>
    </row>
    <row r="4921" spans="1:6" ht="15.75" thickBot="1" x14ac:dyDescent="0.3">
      <c r="A4921" s="86" t="s">
        <v>40</v>
      </c>
      <c r="B4921" s="42">
        <v>44097</v>
      </c>
      <c r="C4921" s="300">
        <v>819</v>
      </c>
      <c r="D4921" s="81">
        <f t="shared" si="415"/>
        <v>11273</v>
      </c>
      <c r="E4921" s="300"/>
      <c r="F4921" s="83">
        <f>E4921+F4897</f>
        <v>101</v>
      </c>
    </row>
    <row r="4922" spans="1:6" x14ac:dyDescent="0.25">
      <c r="A4922" s="36" t="s">
        <v>16</v>
      </c>
      <c r="B4922" s="354">
        <v>44098</v>
      </c>
      <c r="C4922" s="53">
        <v>6122</v>
      </c>
      <c r="D4922" s="211">
        <f>C4922+D4898</f>
        <v>388835</v>
      </c>
      <c r="E4922" s="53">
        <f>162+117+3</f>
        <v>282</v>
      </c>
      <c r="F4922" s="77">
        <f>E4922+F4898</f>
        <v>8863</v>
      </c>
    </row>
    <row r="4923" spans="1:6" x14ac:dyDescent="0.25">
      <c r="A4923" s="84" t="s">
        <v>43</v>
      </c>
      <c r="B4923" s="2">
        <v>44098</v>
      </c>
      <c r="C4923" s="1">
        <v>1009</v>
      </c>
      <c r="D4923" s="47">
        <f t="shared" ref="D4923:D4935" si="416">C4923+D4899</f>
        <v>120817</v>
      </c>
      <c r="E4923" s="1">
        <f>9+10</f>
        <v>19</v>
      </c>
      <c r="F4923" s="78">
        <f>E4923+F4899</f>
        <v>3030</v>
      </c>
    </row>
    <row r="4924" spans="1:6" x14ac:dyDescent="0.25">
      <c r="A4924" s="84" t="s">
        <v>28</v>
      </c>
      <c r="B4924" s="2">
        <v>44098</v>
      </c>
      <c r="C4924" s="1">
        <v>2</v>
      </c>
      <c r="D4924" s="47">
        <f t="shared" si="416"/>
        <v>195</v>
      </c>
      <c r="F4924" s="78">
        <f>E4924+F4900</f>
        <v>0</v>
      </c>
    </row>
    <row r="4925" spans="1:6" x14ac:dyDescent="0.25">
      <c r="A4925" s="84" t="s">
        <v>15</v>
      </c>
      <c r="B4925" s="2">
        <v>44098</v>
      </c>
      <c r="C4925" s="1">
        <v>128</v>
      </c>
      <c r="D4925" s="47">
        <f t="shared" si="416"/>
        <v>7787</v>
      </c>
      <c r="E4925" s="1">
        <f>5</f>
        <v>5</v>
      </c>
      <c r="F4925" s="78">
        <f t="shared" ref="F4925:F4943" si="417">E4925+F4901</f>
        <v>270</v>
      </c>
    </row>
    <row r="4926" spans="1:6" x14ac:dyDescent="0.25">
      <c r="A4926" s="84" t="s">
        <v>29</v>
      </c>
      <c r="B4926" s="2">
        <v>44098</v>
      </c>
      <c r="C4926" s="1">
        <v>162</v>
      </c>
      <c r="D4926" s="47">
        <f t="shared" si="416"/>
        <v>2920</v>
      </c>
      <c r="F4926" s="78">
        <f t="shared" si="417"/>
        <v>28</v>
      </c>
    </row>
    <row r="4927" spans="1:6" x14ac:dyDescent="0.25">
      <c r="A4927" s="84" t="s">
        <v>20</v>
      </c>
      <c r="B4927" s="2">
        <v>44098</v>
      </c>
      <c r="C4927" s="1">
        <v>1626</v>
      </c>
      <c r="D4927" s="47">
        <f t="shared" si="416"/>
        <v>24191</v>
      </c>
      <c r="E4927" s="1">
        <f>6+7</f>
        <v>13</v>
      </c>
      <c r="F4927" s="78">
        <f t="shared" si="417"/>
        <v>293</v>
      </c>
    </row>
    <row r="4928" spans="1:6" x14ac:dyDescent="0.25">
      <c r="A4928" s="84" t="s">
        <v>30</v>
      </c>
      <c r="B4928" s="2">
        <v>44098</v>
      </c>
      <c r="C4928" s="1">
        <v>-4</v>
      </c>
      <c r="D4928" s="47">
        <f t="shared" si="416"/>
        <v>1010</v>
      </c>
      <c r="E4928" s="1">
        <f>1</f>
        <v>1</v>
      </c>
      <c r="F4928" s="78">
        <f>E4928+F4904</f>
        <v>16</v>
      </c>
    </row>
    <row r="4929" spans="1:6" x14ac:dyDescent="0.25">
      <c r="A4929" s="84" t="s">
        <v>31</v>
      </c>
      <c r="B4929" s="2">
        <v>44098</v>
      </c>
      <c r="C4929" s="1">
        <v>115</v>
      </c>
      <c r="D4929" s="47">
        <f t="shared" si="416"/>
        <v>6645</v>
      </c>
      <c r="E4929" s="1">
        <f>2+1</f>
        <v>3</v>
      </c>
      <c r="F4929" s="78">
        <f>E4929+F4905</f>
        <v>125</v>
      </c>
    </row>
    <row r="4930" spans="1:6" x14ac:dyDescent="0.25">
      <c r="A4930" s="84" t="s">
        <v>41</v>
      </c>
      <c r="B4930" s="2">
        <v>44098</v>
      </c>
      <c r="C4930" s="1">
        <v>0</v>
      </c>
      <c r="D4930" s="47">
        <f t="shared" si="416"/>
        <v>102</v>
      </c>
      <c r="F4930" s="78">
        <f>E4930+F4906</f>
        <v>1</v>
      </c>
    </row>
    <row r="4931" spans="1:6" x14ac:dyDescent="0.25">
      <c r="A4931" s="84" t="s">
        <v>32</v>
      </c>
      <c r="B4931" s="2">
        <v>44098</v>
      </c>
      <c r="C4931" s="1">
        <v>223</v>
      </c>
      <c r="D4931" s="47">
        <f t="shared" si="416"/>
        <v>14803</v>
      </c>
      <c r="E4931" s="1">
        <f>9+2</f>
        <v>11</v>
      </c>
      <c r="F4931" s="78">
        <f>E4931+F4907</f>
        <v>373</v>
      </c>
    </row>
    <row r="4932" spans="1:6" x14ac:dyDescent="0.25">
      <c r="A4932" s="84" t="s">
        <v>33</v>
      </c>
      <c r="B4932" s="2">
        <v>44098</v>
      </c>
      <c r="C4932" s="1">
        <v>34</v>
      </c>
      <c r="D4932" s="47">
        <f t="shared" si="416"/>
        <v>657</v>
      </c>
      <c r="F4932" s="78">
        <f t="shared" si="417"/>
        <v>4</v>
      </c>
    </row>
    <row r="4933" spans="1:6" x14ac:dyDescent="0.25">
      <c r="A4933" s="84" t="s">
        <v>21</v>
      </c>
      <c r="B4933" s="2">
        <v>44098</v>
      </c>
      <c r="C4933" s="1">
        <v>100</v>
      </c>
      <c r="D4933" s="47">
        <f t="shared" si="416"/>
        <v>4368</v>
      </c>
      <c r="F4933" s="78">
        <f t="shared" si="417"/>
        <v>101</v>
      </c>
    </row>
    <row r="4934" spans="1:6" x14ac:dyDescent="0.25">
      <c r="A4934" s="84" t="s">
        <v>17</v>
      </c>
      <c r="B4934" s="2">
        <v>44098</v>
      </c>
      <c r="C4934" s="1">
        <v>656</v>
      </c>
      <c r="D4934" s="47">
        <f t="shared" si="416"/>
        <v>21059</v>
      </c>
      <c r="E4934" s="1">
        <f>2+4</f>
        <v>6</v>
      </c>
      <c r="F4934" s="78">
        <f t="shared" si="417"/>
        <v>213</v>
      </c>
    </row>
    <row r="4935" spans="1:6" x14ac:dyDescent="0.25">
      <c r="A4935" s="84" t="s">
        <v>23</v>
      </c>
      <c r="B4935" s="2">
        <v>44098</v>
      </c>
      <c r="C4935" s="1">
        <v>3</v>
      </c>
      <c r="D4935" s="47">
        <f t="shared" si="416"/>
        <v>85</v>
      </c>
      <c r="F4935" s="78">
        <f t="shared" si="417"/>
        <v>2</v>
      </c>
    </row>
    <row r="4936" spans="1:6" x14ac:dyDescent="0.25">
      <c r="A4936" s="84" t="s">
        <v>19</v>
      </c>
      <c r="B4936" s="2">
        <v>44098</v>
      </c>
      <c r="C4936" s="1">
        <v>253</v>
      </c>
      <c r="D4936" s="47">
        <f>C4936+D4912</f>
        <v>6870</v>
      </c>
      <c r="E4936" s="1">
        <f>1+1</f>
        <v>2</v>
      </c>
      <c r="F4936" s="78">
        <f t="shared" si="417"/>
        <v>101</v>
      </c>
    </row>
    <row r="4937" spans="1:6" x14ac:dyDescent="0.25">
      <c r="A4937" s="84" t="s">
        <v>18</v>
      </c>
      <c r="B4937" s="2">
        <v>44098</v>
      </c>
      <c r="C4937" s="1">
        <v>247</v>
      </c>
      <c r="D4937" s="47">
        <f>C4937+D4913</f>
        <v>11248</v>
      </c>
      <c r="E4937" s="1">
        <f>6+4</f>
        <v>10</v>
      </c>
      <c r="F4937" s="78">
        <f t="shared" si="417"/>
        <v>246</v>
      </c>
    </row>
    <row r="4938" spans="1:6" x14ac:dyDescent="0.25">
      <c r="A4938" s="84" t="s">
        <v>34</v>
      </c>
      <c r="B4938" s="2">
        <v>44098</v>
      </c>
      <c r="C4938" s="1">
        <v>286</v>
      </c>
      <c r="D4938" s="47">
        <f>C4938+D4914</f>
        <v>10483</v>
      </c>
      <c r="E4938" s="1">
        <f>10+4</f>
        <v>14</v>
      </c>
      <c r="F4938" s="78">
        <f>E4938+F4914</f>
        <v>235</v>
      </c>
    </row>
    <row r="4939" spans="1:6" x14ac:dyDescent="0.25">
      <c r="A4939" s="84" t="s">
        <v>35</v>
      </c>
      <c r="B4939" s="2">
        <v>44098</v>
      </c>
      <c r="C4939" s="1">
        <v>12</v>
      </c>
      <c r="D4939" s="47">
        <f t="shared" ref="D4939:D4945" si="418">C4939+D4915</f>
        <v>548</v>
      </c>
      <c r="F4939" s="78">
        <f>E4939+F4915</f>
        <v>25</v>
      </c>
    </row>
    <row r="4940" spans="1:6" x14ac:dyDescent="0.25">
      <c r="A4940" s="84" t="s">
        <v>36</v>
      </c>
      <c r="B4940" s="2">
        <v>44098</v>
      </c>
      <c r="C4940" s="1">
        <v>71</v>
      </c>
      <c r="D4940" s="47">
        <f t="shared" si="418"/>
        <v>991</v>
      </c>
      <c r="F4940" s="78">
        <f t="shared" si="417"/>
        <v>3</v>
      </c>
    </row>
    <row r="4941" spans="1:6" x14ac:dyDescent="0.25">
      <c r="A4941" s="84" t="s">
        <v>37</v>
      </c>
      <c r="B4941" s="2">
        <v>44098</v>
      </c>
      <c r="C4941" s="1">
        <v>86</v>
      </c>
      <c r="D4941" s="47">
        <f t="shared" si="418"/>
        <v>4116</v>
      </c>
      <c r="E4941" s="1">
        <f>2</f>
        <v>2</v>
      </c>
      <c r="F4941" s="78">
        <f>E4941+F4917</f>
        <v>49</v>
      </c>
    </row>
    <row r="4942" spans="1:6" x14ac:dyDescent="0.25">
      <c r="A4942" s="84" t="s">
        <v>22</v>
      </c>
      <c r="B4942" s="2">
        <v>44098</v>
      </c>
      <c r="C4942" s="1">
        <v>1928</v>
      </c>
      <c r="D4942" s="47">
        <f t="shared" si="418"/>
        <v>32812</v>
      </c>
      <c r="E4942" s="1">
        <f>10+10</f>
        <v>20</v>
      </c>
      <c r="F4942" s="78">
        <f>E4942+F4918</f>
        <v>343</v>
      </c>
    </row>
    <row r="4943" spans="1:6" x14ac:dyDescent="0.25">
      <c r="A4943" s="84" t="s">
        <v>38</v>
      </c>
      <c r="B4943" s="2">
        <v>44098</v>
      </c>
      <c r="C4943" s="1">
        <v>116</v>
      </c>
      <c r="D4943" s="47">
        <f t="shared" si="418"/>
        <v>2724</v>
      </c>
      <c r="E4943" s="1">
        <f>1</f>
        <v>1</v>
      </c>
      <c r="F4943" s="78">
        <f t="shared" si="417"/>
        <v>44</v>
      </c>
    </row>
    <row r="4944" spans="1:6" x14ac:dyDescent="0.25">
      <c r="A4944" s="84" t="s">
        <v>39</v>
      </c>
      <c r="B4944" s="2">
        <v>44098</v>
      </c>
      <c r="C4944" s="1">
        <v>68</v>
      </c>
      <c r="D4944" s="47">
        <f t="shared" si="418"/>
        <v>3503</v>
      </c>
      <c r="E4944" s="1">
        <f>1</f>
        <v>1</v>
      </c>
      <c r="F4944" s="78">
        <f>E4944+F4920</f>
        <v>60</v>
      </c>
    </row>
    <row r="4945" spans="1:6" ht="15.75" thickBot="1" x14ac:dyDescent="0.3">
      <c r="A4945" s="85" t="s">
        <v>40</v>
      </c>
      <c r="B4945" s="355">
        <v>44098</v>
      </c>
      <c r="C4945" s="54">
        <v>224</v>
      </c>
      <c r="D4945" s="214">
        <f t="shared" si="418"/>
        <v>11497</v>
      </c>
      <c r="E4945" s="54">
        <f>1</f>
        <v>1</v>
      </c>
      <c r="F4945" s="79">
        <f>E4945+F4921</f>
        <v>102</v>
      </c>
    </row>
    <row r="4946" spans="1:6" x14ac:dyDescent="0.25">
      <c r="A4946" s="36" t="s">
        <v>16</v>
      </c>
      <c r="B4946" s="356">
        <v>44099</v>
      </c>
      <c r="C4946" s="293">
        <v>5600</v>
      </c>
      <c r="D4946" s="211">
        <f>C4946+D4922</f>
        <v>394435</v>
      </c>
      <c r="E4946" s="293">
        <f>122+118</f>
        <v>240</v>
      </c>
      <c r="F4946" s="77">
        <f>E4946+F4922</f>
        <v>9103</v>
      </c>
    </row>
    <row r="4947" spans="1:6" x14ac:dyDescent="0.25">
      <c r="A4947" s="84" t="s">
        <v>43</v>
      </c>
      <c r="B4947" s="356">
        <v>44099</v>
      </c>
      <c r="C4947" s="1">
        <v>926</v>
      </c>
      <c r="D4947" s="47">
        <f t="shared" ref="D4947:D4959" si="419">C4947+D4923</f>
        <v>121743</v>
      </c>
      <c r="E4947" s="1">
        <f>27+20</f>
        <v>47</v>
      </c>
      <c r="F4947" s="78">
        <f>E4947+F4923</f>
        <v>3077</v>
      </c>
    </row>
    <row r="4948" spans="1:6" x14ac:dyDescent="0.25">
      <c r="A4948" s="84" t="s">
        <v>28</v>
      </c>
      <c r="B4948" s="356">
        <v>44099</v>
      </c>
      <c r="C4948" s="1">
        <v>6</v>
      </c>
      <c r="D4948" s="47">
        <f t="shared" si="419"/>
        <v>201</v>
      </c>
      <c r="F4948" s="78">
        <f>E4948+F4924</f>
        <v>0</v>
      </c>
    </row>
    <row r="4949" spans="1:6" x14ac:dyDescent="0.25">
      <c r="A4949" s="84" t="s">
        <v>15</v>
      </c>
      <c r="B4949" s="356">
        <v>44099</v>
      </c>
      <c r="C4949" s="1">
        <v>120</v>
      </c>
      <c r="D4949" s="47">
        <f t="shared" si="419"/>
        <v>7907</v>
      </c>
      <c r="E4949" s="1">
        <f>4+1</f>
        <v>5</v>
      </c>
      <c r="F4949" s="78">
        <f t="shared" ref="F4949:F4967" si="420">E4949+F4925</f>
        <v>275</v>
      </c>
    </row>
    <row r="4950" spans="1:6" x14ac:dyDescent="0.25">
      <c r="A4950" s="84" t="s">
        <v>29</v>
      </c>
      <c r="B4950" s="356">
        <v>44099</v>
      </c>
      <c r="C4950" s="1">
        <v>207</v>
      </c>
      <c r="D4950" s="47">
        <f t="shared" si="419"/>
        <v>3127</v>
      </c>
      <c r="E4950" s="1">
        <f>1</f>
        <v>1</v>
      </c>
      <c r="F4950" s="78">
        <f t="shared" si="420"/>
        <v>29</v>
      </c>
    </row>
    <row r="4951" spans="1:6" x14ac:dyDescent="0.25">
      <c r="A4951" s="84" t="s">
        <v>20</v>
      </c>
      <c r="B4951" s="356">
        <v>44099</v>
      </c>
      <c r="C4951" s="1">
        <v>1575</v>
      </c>
      <c r="D4951" s="47">
        <f t="shared" si="419"/>
        <v>25766</v>
      </c>
      <c r="E4951" s="1">
        <f>10+7</f>
        <v>17</v>
      </c>
      <c r="F4951" s="78">
        <f t="shared" si="420"/>
        <v>310</v>
      </c>
    </row>
    <row r="4952" spans="1:6" x14ac:dyDescent="0.25">
      <c r="A4952" s="84" t="s">
        <v>30</v>
      </c>
      <c r="B4952" s="356">
        <v>44099</v>
      </c>
      <c r="C4952" s="1">
        <v>-8</v>
      </c>
      <c r="D4952" s="47">
        <f t="shared" si="419"/>
        <v>1002</v>
      </c>
      <c r="F4952" s="78">
        <f>E4952+F4928</f>
        <v>16</v>
      </c>
    </row>
    <row r="4953" spans="1:6" x14ac:dyDescent="0.25">
      <c r="A4953" s="84" t="s">
        <v>31</v>
      </c>
      <c r="B4953" s="356">
        <v>44099</v>
      </c>
      <c r="C4953" s="1">
        <v>165</v>
      </c>
      <c r="D4953" s="47">
        <f t="shared" si="419"/>
        <v>6810</v>
      </c>
      <c r="E4953" s="1">
        <f>2</f>
        <v>2</v>
      </c>
      <c r="F4953" s="78">
        <f>E4953+F4929</f>
        <v>127</v>
      </c>
    </row>
    <row r="4954" spans="1:6" x14ac:dyDescent="0.25">
      <c r="A4954" s="84" t="s">
        <v>41</v>
      </c>
      <c r="B4954" s="356">
        <v>44099</v>
      </c>
      <c r="C4954" s="1">
        <v>0</v>
      </c>
      <c r="D4954" s="47">
        <f t="shared" si="419"/>
        <v>102</v>
      </c>
      <c r="F4954" s="78">
        <f>E4954+F4930</f>
        <v>1</v>
      </c>
    </row>
    <row r="4955" spans="1:6" x14ac:dyDescent="0.25">
      <c r="A4955" s="84" t="s">
        <v>32</v>
      </c>
      <c r="B4955" s="356">
        <v>44099</v>
      </c>
      <c r="C4955" s="1">
        <v>193</v>
      </c>
      <c r="D4955" s="47">
        <f t="shared" si="419"/>
        <v>14996</v>
      </c>
      <c r="E4955" s="1">
        <f>16+5</f>
        <v>21</v>
      </c>
      <c r="F4955" s="78">
        <f>E4955+F4931</f>
        <v>394</v>
      </c>
    </row>
    <row r="4956" spans="1:6" x14ac:dyDescent="0.25">
      <c r="A4956" s="84" t="s">
        <v>33</v>
      </c>
      <c r="B4956" s="356">
        <v>44099</v>
      </c>
      <c r="C4956" s="1">
        <v>25</v>
      </c>
      <c r="D4956" s="47">
        <f t="shared" si="419"/>
        <v>682</v>
      </c>
      <c r="F4956" s="78">
        <f t="shared" si="420"/>
        <v>4</v>
      </c>
    </row>
    <row r="4957" spans="1:6" x14ac:dyDescent="0.25">
      <c r="A4957" s="84" t="s">
        <v>21</v>
      </c>
      <c r="B4957" s="356">
        <v>44099</v>
      </c>
      <c r="C4957" s="1">
        <v>106</v>
      </c>
      <c r="D4957" s="47">
        <f t="shared" si="419"/>
        <v>4474</v>
      </c>
      <c r="F4957" s="78">
        <f t="shared" si="420"/>
        <v>101</v>
      </c>
    </row>
    <row r="4958" spans="1:6" x14ac:dyDescent="0.25">
      <c r="A4958" s="84" t="s">
        <v>17</v>
      </c>
      <c r="B4958" s="356">
        <v>44099</v>
      </c>
      <c r="C4958" s="1">
        <v>768</v>
      </c>
      <c r="D4958" s="47">
        <f t="shared" si="419"/>
        <v>21827</v>
      </c>
      <c r="E4958" s="1">
        <f>7+8</f>
        <v>15</v>
      </c>
      <c r="F4958" s="78">
        <f t="shared" si="420"/>
        <v>228</v>
      </c>
    </row>
    <row r="4959" spans="1:6" x14ac:dyDescent="0.25">
      <c r="A4959" s="84" t="s">
        <v>23</v>
      </c>
      <c r="B4959" s="356">
        <v>44099</v>
      </c>
      <c r="C4959" s="1">
        <v>2</v>
      </c>
      <c r="D4959" s="47">
        <f t="shared" si="419"/>
        <v>87</v>
      </c>
      <c r="F4959" s="78">
        <f t="shared" si="420"/>
        <v>2</v>
      </c>
    </row>
    <row r="4960" spans="1:6" x14ac:dyDescent="0.25">
      <c r="A4960" s="84" t="s">
        <v>19</v>
      </c>
      <c r="B4960" s="356">
        <v>44099</v>
      </c>
      <c r="C4960" s="1">
        <v>105</v>
      </c>
      <c r="D4960" s="47">
        <f>C4960+D4936</f>
        <v>6975</v>
      </c>
      <c r="E4960" s="1">
        <f>3</f>
        <v>3</v>
      </c>
      <c r="F4960" s="78">
        <f t="shared" si="420"/>
        <v>104</v>
      </c>
    </row>
    <row r="4961" spans="1:6" x14ac:dyDescent="0.25">
      <c r="A4961" s="84" t="s">
        <v>18</v>
      </c>
      <c r="B4961" s="356">
        <v>44099</v>
      </c>
      <c r="C4961" s="1">
        <v>227</v>
      </c>
      <c r="D4961" s="47">
        <f>C4961+D4937</f>
        <v>11475</v>
      </c>
      <c r="E4961" s="1">
        <v>10</v>
      </c>
      <c r="F4961" s="78">
        <f t="shared" si="420"/>
        <v>256</v>
      </c>
    </row>
    <row r="4962" spans="1:6" x14ac:dyDescent="0.25">
      <c r="A4962" s="84" t="s">
        <v>34</v>
      </c>
      <c r="B4962" s="356">
        <v>44099</v>
      </c>
      <c r="C4962" s="1">
        <v>469</v>
      </c>
      <c r="D4962" s="47">
        <f>C4962+D4938</f>
        <v>10952</v>
      </c>
      <c r="E4962" s="1">
        <f>24+19</f>
        <v>43</v>
      </c>
      <c r="F4962" s="78">
        <f>E4962+F4938</f>
        <v>278</v>
      </c>
    </row>
    <row r="4963" spans="1:6" x14ac:dyDescent="0.25">
      <c r="A4963" s="84" t="s">
        <v>35</v>
      </c>
      <c r="B4963" s="356">
        <v>44099</v>
      </c>
      <c r="C4963" s="1">
        <v>8</v>
      </c>
      <c r="D4963" s="47">
        <f t="shared" ref="D4963:D4969" si="421">C4963+D4939</f>
        <v>556</v>
      </c>
      <c r="F4963" s="78">
        <f>E4963+F4939</f>
        <v>25</v>
      </c>
    </row>
    <row r="4964" spans="1:6" x14ac:dyDescent="0.25">
      <c r="A4964" s="84" t="s">
        <v>36</v>
      </c>
      <c r="B4964" s="356">
        <v>44099</v>
      </c>
      <c r="C4964" s="1">
        <v>94</v>
      </c>
      <c r="D4964" s="47">
        <f t="shared" si="421"/>
        <v>1085</v>
      </c>
      <c r="E4964" s="1">
        <f>1</f>
        <v>1</v>
      </c>
      <c r="F4964" s="78">
        <f t="shared" si="420"/>
        <v>4</v>
      </c>
    </row>
    <row r="4965" spans="1:6" x14ac:dyDescent="0.25">
      <c r="A4965" s="84" t="s">
        <v>37</v>
      </c>
      <c r="B4965" s="356">
        <v>44099</v>
      </c>
      <c r="C4965" s="1">
        <v>139</v>
      </c>
      <c r="D4965" s="47">
        <f t="shared" si="421"/>
        <v>4255</v>
      </c>
      <c r="E4965" s="1">
        <f>1</f>
        <v>1</v>
      </c>
      <c r="F4965" s="78">
        <f>E4965+F4941</f>
        <v>50</v>
      </c>
    </row>
    <row r="4966" spans="1:6" x14ac:dyDescent="0.25">
      <c r="A4966" s="84" t="s">
        <v>22</v>
      </c>
      <c r="B4966" s="356">
        <v>44099</v>
      </c>
      <c r="C4966" s="1">
        <v>1728</v>
      </c>
      <c r="D4966" s="47">
        <f t="shared" si="421"/>
        <v>34540</v>
      </c>
      <c r="E4966" s="1">
        <f>13+13</f>
        <v>26</v>
      </c>
      <c r="F4966" s="78">
        <f>E4966+F4942</f>
        <v>369</v>
      </c>
    </row>
    <row r="4967" spans="1:6" x14ac:dyDescent="0.25">
      <c r="A4967" s="84" t="s">
        <v>38</v>
      </c>
      <c r="B4967" s="356">
        <v>44099</v>
      </c>
      <c r="C4967" s="1">
        <v>94</v>
      </c>
      <c r="D4967" s="47">
        <f t="shared" si="421"/>
        <v>2818</v>
      </c>
      <c r="E4967" s="1">
        <f>1+2</f>
        <v>3</v>
      </c>
      <c r="F4967" s="78">
        <f t="shared" si="420"/>
        <v>47</v>
      </c>
    </row>
    <row r="4968" spans="1:6" x14ac:dyDescent="0.25">
      <c r="A4968" s="84" t="s">
        <v>39</v>
      </c>
      <c r="B4968" s="356">
        <v>44099</v>
      </c>
      <c r="C4968" s="1">
        <v>37</v>
      </c>
      <c r="D4968" s="47">
        <f t="shared" si="421"/>
        <v>3540</v>
      </c>
      <c r="E4968" s="1">
        <f>1+1</f>
        <v>2</v>
      </c>
      <c r="F4968" s="78">
        <f>E4968+F4944</f>
        <v>62</v>
      </c>
    </row>
    <row r="4969" spans="1:6" ht="15.75" thickBot="1" x14ac:dyDescent="0.3">
      <c r="A4969" s="85" t="s">
        <v>40</v>
      </c>
      <c r="B4969" s="356">
        <v>44099</v>
      </c>
      <c r="C4969" s="1">
        <v>383</v>
      </c>
      <c r="D4969" s="214">
        <f t="shared" si="421"/>
        <v>11880</v>
      </c>
      <c r="E4969" s="1">
        <f>4+1</f>
        <v>5</v>
      </c>
      <c r="F4969" s="79">
        <f>E4969+F4945</f>
        <v>107</v>
      </c>
    </row>
    <row r="4970" spans="1:6" x14ac:dyDescent="0.25">
      <c r="A4970" s="36" t="s">
        <v>16</v>
      </c>
      <c r="B4970" s="356">
        <v>44100</v>
      </c>
      <c r="C4970" s="1">
        <v>4480</v>
      </c>
      <c r="D4970" s="211">
        <f>C4970+D4946</f>
        <v>398915</v>
      </c>
      <c r="E4970" s="1">
        <f>86+87</f>
        <v>173</v>
      </c>
      <c r="F4970" s="77">
        <f>E4970+F4946</f>
        <v>9276</v>
      </c>
    </row>
    <row r="4971" spans="1:6" x14ac:dyDescent="0.25">
      <c r="A4971" s="84" t="s">
        <v>43</v>
      </c>
      <c r="B4971" s="356">
        <v>44100</v>
      </c>
      <c r="C4971" s="1">
        <v>917</v>
      </c>
      <c r="D4971" s="47">
        <f t="shared" ref="D4971:D4983" si="422">C4971+D4947</f>
        <v>122660</v>
      </c>
      <c r="E4971" s="1">
        <f>30+29</f>
        <v>59</v>
      </c>
      <c r="F4971" s="78">
        <f>E4971+F4947</f>
        <v>3136</v>
      </c>
    </row>
    <row r="4972" spans="1:6" x14ac:dyDescent="0.25">
      <c r="A4972" s="84" t="s">
        <v>28</v>
      </c>
      <c r="B4972" s="356">
        <v>44100</v>
      </c>
      <c r="C4972" s="1">
        <v>4</v>
      </c>
      <c r="D4972" s="47">
        <f t="shared" si="422"/>
        <v>205</v>
      </c>
      <c r="F4972" s="78">
        <f>E4972+F4948</f>
        <v>0</v>
      </c>
    </row>
    <row r="4973" spans="1:6" x14ac:dyDescent="0.25">
      <c r="A4973" s="84" t="s">
        <v>15</v>
      </c>
      <c r="B4973" s="356">
        <v>44100</v>
      </c>
      <c r="C4973" s="1">
        <v>160</v>
      </c>
      <c r="D4973" s="47">
        <f t="shared" si="422"/>
        <v>8067</v>
      </c>
      <c r="E4973" s="1">
        <f>1+1</f>
        <v>2</v>
      </c>
      <c r="F4973" s="78">
        <f t="shared" ref="F4973:F4991" si="423">E4973+F4949</f>
        <v>277</v>
      </c>
    </row>
    <row r="4974" spans="1:6" x14ac:dyDescent="0.25">
      <c r="A4974" s="84" t="s">
        <v>29</v>
      </c>
      <c r="B4974" s="356">
        <v>44100</v>
      </c>
      <c r="C4974" s="1">
        <v>182</v>
      </c>
      <c r="D4974" s="47">
        <f t="shared" si="422"/>
        <v>3309</v>
      </c>
      <c r="E4974" s="1">
        <f>2+1</f>
        <v>3</v>
      </c>
      <c r="F4974" s="78">
        <f t="shared" si="423"/>
        <v>32</v>
      </c>
    </row>
    <row r="4975" spans="1:6" x14ac:dyDescent="0.25">
      <c r="A4975" s="84" t="s">
        <v>20</v>
      </c>
      <c r="B4975" s="356">
        <v>44100</v>
      </c>
      <c r="C4975" s="1">
        <v>1867</v>
      </c>
      <c r="D4975" s="47">
        <f t="shared" si="422"/>
        <v>27633</v>
      </c>
      <c r="E4975" s="1">
        <f>12+6</f>
        <v>18</v>
      </c>
      <c r="F4975" s="78">
        <f t="shared" si="423"/>
        <v>328</v>
      </c>
    </row>
    <row r="4976" spans="1:6" x14ac:dyDescent="0.25">
      <c r="A4976" s="84" t="s">
        <v>30</v>
      </c>
      <c r="B4976" s="356">
        <v>44100</v>
      </c>
      <c r="C4976" s="1">
        <v>12</v>
      </c>
      <c r="D4976" s="47">
        <f t="shared" si="422"/>
        <v>1014</v>
      </c>
      <c r="F4976" s="78">
        <f>E4976+F4952</f>
        <v>16</v>
      </c>
    </row>
    <row r="4977" spans="1:6" x14ac:dyDescent="0.25">
      <c r="A4977" s="84" t="s">
        <v>31</v>
      </c>
      <c r="B4977" s="356">
        <v>44100</v>
      </c>
      <c r="C4977" s="1">
        <v>146</v>
      </c>
      <c r="D4977" s="47">
        <f t="shared" si="422"/>
        <v>6956</v>
      </c>
      <c r="E4977" s="1">
        <f>1+1</f>
        <v>2</v>
      </c>
      <c r="F4977" s="78">
        <f>E4977+F4953</f>
        <v>129</v>
      </c>
    </row>
    <row r="4978" spans="1:6" x14ac:dyDescent="0.25">
      <c r="A4978" s="84" t="s">
        <v>41</v>
      </c>
      <c r="B4978" s="356">
        <v>44100</v>
      </c>
      <c r="C4978" s="1">
        <v>2</v>
      </c>
      <c r="D4978" s="47">
        <f t="shared" si="422"/>
        <v>104</v>
      </c>
      <c r="F4978" s="78">
        <f>E4978+F4954</f>
        <v>1</v>
      </c>
    </row>
    <row r="4979" spans="1:6" x14ac:dyDescent="0.25">
      <c r="A4979" s="84" t="s">
        <v>32</v>
      </c>
      <c r="B4979" s="356">
        <v>44100</v>
      </c>
      <c r="C4979" s="1">
        <v>209</v>
      </c>
      <c r="D4979" s="47">
        <f t="shared" si="422"/>
        <v>15205</v>
      </c>
      <c r="E4979" s="1">
        <f>11+8</f>
        <v>19</v>
      </c>
      <c r="F4979" s="78">
        <f>E4979+F4955</f>
        <v>413</v>
      </c>
    </row>
    <row r="4980" spans="1:6" x14ac:dyDescent="0.25">
      <c r="A4980" s="84" t="s">
        <v>33</v>
      </c>
      <c r="B4980" s="356">
        <v>44100</v>
      </c>
      <c r="C4980" s="1">
        <v>2</v>
      </c>
      <c r="D4980" s="47">
        <f t="shared" si="422"/>
        <v>684</v>
      </c>
      <c r="E4980" s="1">
        <f>1</f>
        <v>1</v>
      </c>
      <c r="F4980" s="78">
        <f t="shared" si="423"/>
        <v>5</v>
      </c>
    </row>
    <row r="4981" spans="1:6" x14ac:dyDescent="0.25">
      <c r="A4981" s="84" t="s">
        <v>21</v>
      </c>
      <c r="B4981" s="356">
        <v>44100</v>
      </c>
      <c r="C4981" s="1">
        <v>22</v>
      </c>
      <c r="D4981" s="47">
        <f t="shared" si="422"/>
        <v>4496</v>
      </c>
      <c r="F4981" s="78">
        <f t="shared" si="423"/>
        <v>101</v>
      </c>
    </row>
    <row r="4982" spans="1:6" x14ac:dyDescent="0.25">
      <c r="A4982" s="84" t="s">
        <v>17</v>
      </c>
      <c r="B4982" s="356">
        <v>44100</v>
      </c>
      <c r="C4982" s="1">
        <v>656</v>
      </c>
      <c r="D4982" s="47">
        <f t="shared" si="422"/>
        <v>22483</v>
      </c>
      <c r="E4982" s="1">
        <f>9+5</f>
        <v>14</v>
      </c>
      <c r="F4982" s="78">
        <f t="shared" si="423"/>
        <v>242</v>
      </c>
    </row>
    <row r="4983" spans="1:6" x14ac:dyDescent="0.25">
      <c r="A4983" s="84" t="s">
        <v>23</v>
      </c>
      <c r="B4983" s="356">
        <v>44100</v>
      </c>
      <c r="C4983" s="1">
        <v>-5</v>
      </c>
      <c r="D4983" s="47">
        <f t="shared" si="422"/>
        <v>82</v>
      </c>
      <c r="F4983" s="78">
        <f t="shared" si="423"/>
        <v>2</v>
      </c>
    </row>
    <row r="4984" spans="1:6" x14ac:dyDescent="0.25">
      <c r="A4984" s="84" t="s">
        <v>19</v>
      </c>
      <c r="B4984" s="356">
        <v>44100</v>
      </c>
      <c r="C4984" s="1">
        <v>180</v>
      </c>
      <c r="D4984" s="47">
        <f>C4984+D4960</f>
        <v>7155</v>
      </c>
      <c r="E4984" s="1">
        <f>5</f>
        <v>5</v>
      </c>
      <c r="F4984" s="78">
        <f t="shared" si="423"/>
        <v>109</v>
      </c>
    </row>
    <row r="4985" spans="1:6" x14ac:dyDescent="0.25">
      <c r="A4985" s="84" t="s">
        <v>18</v>
      </c>
      <c r="B4985" s="356">
        <v>44100</v>
      </c>
      <c r="C4985" s="1">
        <v>243</v>
      </c>
      <c r="D4985" s="47">
        <f>C4985+D4961</f>
        <v>11718</v>
      </c>
      <c r="E4985" s="1">
        <f>1</f>
        <v>1</v>
      </c>
      <c r="F4985" s="78">
        <f t="shared" si="423"/>
        <v>257</v>
      </c>
    </row>
    <row r="4986" spans="1:6" x14ac:dyDescent="0.25">
      <c r="A4986" s="84" t="s">
        <v>34</v>
      </c>
      <c r="B4986" s="356">
        <v>44100</v>
      </c>
      <c r="C4986" s="1">
        <v>301</v>
      </c>
      <c r="D4986" s="47">
        <f>C4986+D4962</f>
        <v>11253</v>
      </c>
      <c r="E4986" s="1">
        <f>12+3</f>
        <v>15</v>
      </c>
      <c r="F4986" s="78">
        <f>E4986+F4962</f>
        <v>293</v>
      </c>
    </row>
    <row r="4987" spans="1:6" x14ac:dyDescent="0.25">
      <c r="A4987" s="84" t="s">
        <v>35</v>
      </c>
      <c r="B4987" s="356">
        <v>44100</v>
      </c>
      <c r="C4987" s="1">
        <v>2</v>
      </c>
      <c r="D4987" s="47">
        <f t="shared" ref="D4987:D4993" si="424">C4987+D4963</f>
        <v>558</v>
      </c>
      <c r="E4987" s="1">
        <f>1+2</f>
        <v>3</v>
      </c>
      <c r="F4987" s="78">
        <f>E4987+F4963</f>
        <v>28</v>
      </c>
    </row>
    <row r="4988" spans="1:6" x14ac:dyDescent="0.25">
      <c r="A4988" s="84" t="s">
        <v>36</v>
      </c>
      <c r="B4988" s="356">
        <v>44100</v>
      </c>
      <c r="C4988" s="1">
        <v>1</v>
      </c>
      <c r="D4988" s="47">
        <f t="shared" si="424"/>
        <v>1086</v>
      </c>
      <c r="F4988" s="78">
        <f t="shared" si="423"/>
        <v>4</v>
      </c>
    </row>
    <row r="4989" spans="1:6" x14ac:dyDescent="0.25">
      <c r="A4989" s="84" t="s">
        <v>37</v>
      </c>
      <c r="B4989" s="356">
        <v>44100</v>
      </c>
      <c r="C4989" s="1">
        <v>125</v>
      </c>
      <c r="D4989" s="47">
        <f t="shared" si="424"/>
        <v>4380</v>
      </c>
      <c r="E4989" s="1">
        <f>3+2</f>
        <v>5</v>
      </c>
      <c r="F4989" s="78">
        <f>E4989+F4965</f>
        <v>55</v>
      </c>
    </row>
    <row r="4990" spans="1:6" x14ac:dyDescent="0.25">
      <c r="A4990" s="84" t="s">
        <v>22</v>
      </c>
      <c r="B4990" s="356">
        <v>44100</v>
      </c>
      <c r="C4990" s="1">
        <v>1311</v>
      </c>
      <c r="D4990" s="47">
        <f t="shared" si="424"/>
        <v>35851</v>
      </c>
      <c r="E4990" s="1">
        <f>7+8</f>
        <v>15</v>
      </c>
      <c r="F4990" s="78">
        <f>E4990+F4966</f>
        <v>384</v>
      </c>
    </row>
    <row r="4991" spans="1:6" x14ac:dyDescent="0.25">
      <c r="A4991" s="84" t="s">
        <v>38</v>
      </c>
      <c r="B4991" s="356">
        <v>44100</v>
      </c>
      <c r="C4991" s="1">
        <v>71</v>
      </c>
      <c r="D4991" s="47">
        <f t="shared" si="424"/>
        <v>2889</v>
      </c>
      <c r="E4991" s="1">
        <f>2</f>
        <v>2</v>
      </c>
      <c r="F4991" s="78">
        <f t="shared" si="423"/>
        <v>49</v>
      </c>
    </row>
    <row r="4992" spans="1:6" x14ac:dyDescent="0.25">
      <c r="A4992" s="84" t="s">
        <v>39</v>
      </c>
      <c r="B4992" s="356">
        <v>44100</v>
      </c>
      <c r="C4992" s="1">
        <v>102</v>
      </c>
      <c r="D4992" s="47">
        <f t="shared" si="424"/>
        <v>3642</v>
      </c>
      <c r="F4992" s="78">
        <f>E4992+F4968</f>
        <v>62</v>
      </c>
    </row>
    <row r="4993" spans="1:6" ht="15.75" thickBot="1" x14ac:dyDescent="0.3">
      <c r="A4993" s="85" t="s">
        <v>40</v>
      </c>
      <c r="B4993" s="356">
        <v>44100</v>
      </c>
      <c r="C4993" s="1">
        <v>249</v>
      </c>
      <c r="D4993" s="214">
        <f t="shared" si="424"/>
        <v>12129</v>
      </c>
      <c r="F4993" s="79">
        <f>E4993+F4969</f>
        <v>107</v>
      </c>
    </row>
    <row r="4994" spans="1:6" x14ac:dyDescent="0.25">
      <c r="A4994" s="36" t="s">
        <v>16</v>
      </c>
      <c r="B4994" s="356">
        <v>44101</v>
      </c>
      <c r="C4994" s="1">
        <v>2947</v>
      </c>
      <c r="D4994" s="211">
        <f>C4994+D4970</f>
        <v>401862</v>
      </c>
      <c r="E4994" s="1">
        <f>35+33</f>
        <v>68</v>
      </c>
      <c r="F4994" s="77">
        <f>E4994+F4970</f>
        <v>9344</v>
      </c>
    </row>
    <row r="4995" spans="1:6" x14ac:dyDescent="0.25">
      <c r="A4995" s="84" t="s">
        <v>43</v>
      </c>
      <c r="B4995" s="356">
        <v>44101</v>
      </c>
      <c r="C4995" s="1">
        <v>628</v>
      </c>
      <c r="D4995" s="47">
        <f t="shared" ref="D4995:D5007" si="425">C4995+D4971</f>
        <v>123288</v>
      </c>
      <c r="E4995" s="1">
        <f>30+32</f>
        <v>62</v>
      </c>
      <c r="F4995" s="78">
        <f>E4995+F4971</f>
        <v>3198</v>
      </c>
    </row>
    <row r="4996" spans="1:6" x14ac:dyDescent="0.25">
      <c r="A4996" s="84" t="s">
        <v>28</v>
      </c>
      <c r="B4996" s="356">
        <v>44101</v>
      </c>
      <c r="C4996" s="1">
        <v>67</v>
      </c>
      <c r="D4996" s="47">
        <f t="shared" si="425"/>
        <v>272</v>
      </c>
      <c r="E4996" s="1">
        <f>0</f>
        <v>0</v>
      </c>
      <c r="F4996" s="78">
        <f>E4996+F4972</f>
        <v>0</v>
      </c>
    </row>
    <row r="4997" spans="1:6" x14ac:dyDescent="0.25">
      <c r="A4997" s="84" t="s">
        <v>15</v>
      </c>
      <c r="B4997" s="356">
        <v>44101</v>
      </c>
      <c r="C4997" s="1">
        <v>111</v>
      </c>
      <c r="D4997" s="47">
        <f t="shared" si="425"/>
        <v>8178</v>
      </c>
      <c r="E4997" s="1">
        <f>1</f>
        <v>1</v>
      </c>
      <c r="F4997" s="78">
        <f t="shared" ref="F4997:F5015" si="426">E4997+F4973</f>
        <v>278</v>
      </c>
    </row>
    <row r="4998" spans="1:6" x14ac:dyDescent="0.25">
      <c r="A4998" s="84" t="s">
        <v>29</v>
      </c>
      <c r="B4998" s="356">
        <v>44101</v>
      </c>
      <c r="C4998" s="1">
        <v>100</v>
      </c>
      <c r="D4998" s="47">
        <f t="shared" si="425"/>
        <v>3409</v>
      </c>
      <c r="F4998" s="78">
        <f t="shared" si="426"/>
        <v>32</v>
      </c>
    </row>
    <row r="4999" spans="1:6" x14ac:dyDescent="0.25">
      <c r="A4999" s="84" t="s">
        <v>20</v>
      </c>
      <c r="B4999" s="356">
        <v>44101</v>
      </c>
      <c r="C4999" s="1">
        <v>1577</v>
      </c>
      <c r="D4999" s="47">
        <f t="shared" si="425"/>
        <v>29210</v>
      </c>
      <c r="E4999" s="1">
        <f>7+10</f>
        <v>17</v>
      </c>
      <c r="F4999" s="78">
        <f t="shared" si="426"/>
        <v>345</v>
      </c>
    </row>
    <row r="5000" spans="1:6" x14ac:dyDescent="0.25">
      <c r="A5000" s="84" t="s">
        <v>30</v>
      </c>
      <c r="B5000" s="356">
        <v>44101</v>
      </c>
      <c r="C5000" s="1">
        <v>49</v>
      </c>
      <c r="D5000" s="47">
        <f t="shared" si="425"/>
        <v>1063</v>
      </c>
      <c r="E5000" s="1">
        <f>3</f>
        <v>3</v>
      </c>
      <c r="F5000" s="78">
        <f>E5000+F4976</f>
        <v>19</v>
      </c>
    </row>
    <row r="5001" spans="1:6" x14ac:dyDescent="0.25">
      <c r="A5001" s="84" t="s">
        <v>31</v>
      </c>
      <c r="B5001" s="356">
        <v>44101</v>
      </c>
      <c r="C5001" s="1">
        <v>85</v>
      </c>
      <c r="D5001" s="47">
        <f t="shared" si="425"/>
        <v>7041</v>
      </c>
      <c r="E5001" s="1">
        <f>2</f>
        <v>2</v>
      </c>
      <c r="F5001" s="78">
        <f>E5001+F4977</f>
        <v>131</v>
      </c>
    </row>
    <row r="5002" spans="1:6" x14ac:dyDescent="0.25">
      <c r="A5002" s="84" t="s">
        <v>41</v>
      </c>
      <c r="B5002" s="356">
        <v>44101</v>
      </c>
      <c r="C5002" s="1">
        <v>1</v>
      </c>
      <c r="D5002" s="47">
        <f t="shared" si="425"/>
        <v>105</v>
      </c>
      <c r="F5002" s="78">
        <f>E5002+F4978</f>
        <v>1</v>
      </c>
    </row>
    <row r="5003" spans="1:6" x14ac:dyDescent="0.25">
      <c r="A5003" s="84" t="s">
        <v>32</v>
      </c>
      <c r="B5003" s="356">
        <v>44101</v>
      </c>
      <c r="C5003" s="1">
        <v>97</v>
      </c>
      <c r="D5003" s="47">
        <f t="shared" si="425"/>
        <v>15302</v>
      </c>
      <c r="E5003" s="1">
        <f>11+7</f>
        <v>18</v>
      </c>
      <c r="F5003" s="78">
        <f>E5003+F4979</f>
        <v>431</v>
      </c>
    </row>
    <row r="5004" spans="1:6" x14ac:dyDescent="0.25">
      <c r="A5004" s="84" t="s">
        <v>33</v>
      </c>
      <c r="B5004" s="356">
        <v>44101</v>
      </c>
      <c r="C5004" s="1">
        <v>10</v>
      </c>
      <c r="D5004" s="47">
        <f t="shared" si="425"/>
        <v>694</v>
      </c>
      <c r="E5004" s="1">
        <f>2</f>
        <v>2</v>
      </c>
      <c r="F5004" s="78">
        <f t="shared" si="426"/>
        <v>7</v>
      </c>
    </row>
    <row r="5005" spans="1:6" x14ac:dyDescent="0.25">
      <c r="A5005" s="84" t="s">
        <v>21</v>
      </c>
      <c r="B5005" s="356">
        <v>44101</v>
      </c>
      <c r="C5005" s="1">
        <v>86</v>
      </c>
      <c r="D5005" s="47">
        <f t="shared" si="425"/>
        <v>4582</v>
      </c>
      <c r="F5005" s="78">
        <f t="shared" si="426"/>
        <v>101</v>
      </c>
    </row>
    <row r="5006" spans="1:6" x14ac:dyDescent="0.25">
      <c r="A5006" s="84" t="s">
        <v>17</v>
      </c>
      <c r="B5006" s="356">
        <v>44101</v>
      </c>
      <c r="C5006" s="1">
        <v>558</v>
      </c>
      <c r="D5006" s="47">
        <f t="shared" si="425"/>
        <v>23041</v>
      </c>
      <c r="E5006" s="1">
        <f>2</f>
        <v>2</v>
      </c>
      <c r="F5006" s="78">
        <f t="shared" si="426"/>
        <v>244</v>
      </c>
    </row>
    <row r="5007" spans="1:6" x14ac:dyDescent="0.25">
      <c r="A5007" s="84" t="s">
        <v>23</v>
      </c>
      <c r="B5007" s="356">
        <v>44101</v>
      </c>
      <c r="C5007" s="1">
        <v>3</v>
      </c>
      <c r="D5007" s="47">
        <f t="shared" si="425"/>
        <v>85</v>
      </c>
      <c r="F5007" s="78">
        <f t="shared" si="426"/>
        <v>2</v>
      </c>
    </row>
    <row r="5008" spans="1:6" x14ac:dyDescent="0.25">
      <c r="A5008" s="84" t="s">
        <v>19</v>
      </c>
      <c r="B5008" s="356">
        <v>44101</v>
      </c>
      <c r="C5008" s="1">
        <v>181</v>
      </c>
      <c r="D5008" s="47">
        <f>C5008+D4984</f>
        <v>7336</v>
      </c>
      <c r="E5008" s="1">
        <f>2</f>
        <v>2</v>
      </c>
      <c r="F5008" s="78">
        <f t="shared" si="426"/>
        <v>111</v>
      </c>
    </row>
    <row r="5009" spans="1:6" x14ac:dyDescent="0.25">
      <c r="A5009" s="84" t="s">
        <v>18</v>
      </c>
      <c r="B5009" s="356">
        <v>44101</v>
      </c>
      <c r="C5009" s="1">
        <v>200</v>
      </c>
      <c r="D5009" s="47">
        <f>C5009+D4985</f>
        <v>11918</v>
      </c>
      <c r="E5009" s="1">
        <f>6+2</f>
        <v>8</v>
      </c>
      <c r="F5009" s="78">
        <f t="shared" si="426"/>
        <v>265</v>
      </c>
    </row>
    <row r="5010" spans="1:6" x14ac:dyDescent="0.25">
      <c r="A5010" s="84" t="s">
        <v>34</v>
      </c>
      <c r="B5010" s="356">
        <v>44101</v>
      </c>
      <c r="C5010" s="1">
        <v>244</v>
      </c>
      <c r="D5010" s="47">
        <f>C5010+D4986</f>
        <v>11497</v>
      </c>
      <c r="E5010" s="1">
        <f>2+1</f>
        <v>3</v>
      </c>
      <c r="F5010" s="78">
        <f>E5010+F4986</f>
        <v>296</v>
      </c>
    </row>
    <row r="5011" spans="1:6" x14ac:dyDescent="0.25">
      <c r="A5011" s="84" t="s">
        <v>35</v>
      </c>
      <c r="B5011" s="356">
        <v>44101</v>
      </c>
      <c r="C5011" s="1">
        <v>65</v>
      </c>
      <c r="D5011" s="47">
        <f t="shared" ref="D5011:D5017" si="427">C5011+D4987</f>
        <v>623</v>
      </c>
      <c r="F5011" s="78">
        <f>E5011+F4987</f>
        <v>28</v>
      </c>
    </row>
    <row r="5012" spans="1:6" x14ac:dyDescent="0.25">
      <c r="A5012" s="84" t="s">
        <v>36</v>
      </c>
      <c r="B5012" s="356">
        <v>44101</v>
      </c>
      <c r="C5012" s="1">
        <v>5</v>
      </c>
      <c r="D5012" s="47">
        <f t="shared" si="427"/>
        <v>1091</v>
      </c>
      <c r="F5012" s="78">
        <f t="shared" si="426"/>
        <v>4</v>
      </c>
    </row>
    <row r="5013" spans="1:6" x14ac:dyDescent="0.25">
      <c r="A5013" s="84" t="s">
        <v>37</v>
      </c>
      <c r="B5013" s="356">
        <v>44101</v>
      </c>
      <c r="C5013" s="1">
        <v>77</v>
      </c>
      <c r="D5013" s="47">
        <f t="shared" si="427"/>
        <v>4457</v>
      </c>
      <c r="E5013" s="1">
        <f>1+1</f>
        <v>2</v>
      </c>
      <c r="F5013" s="78">
        <f>E5013+F4989</f>
        <v>57</v>
      </c>
    </row>
    <row r="5014" spans="1:6" x14ac:dyDescent="0.25">
      <c r="A5014" s="84" t="s">
        <v>22</v>
      </c>
      <c r="B5014" s="356">
        <v>44101</v>
      </c>
      <c r="C5014" s="1">
        <v>944</v>
      </c>
      <c r="D5014" s="47">
        <f t="shared" si="427"/>
        <v>36795</v>
      </c>
      <c r="E5014" s="1">
        <f>6+7</f>
        <v>13</v>
      </c>
      <c r="F5014" s="78">
        <f>E5014+F4990</f>
        <v>397</v>
      </c>
    </row>
    <row r="5015" spans="1:6" x14ac:dyDescent="0.25">
      <c r="A5015" s="84" t="s">
        <v>38</v>
      </c>
      <c r="B5015" s="356">
        <v>44101</v>
      </c>
      <c r="C5015" s="1">
        <v>168</v>
      </c>
      <c r="D5015" s="47">
        <f t="shared" si="427"/>
        <v>3057</v>
      </c>
      <c r="E5015" s="1">
        <f>2+1</f>
        <v>3</v>
      </c>
      <c r="F5015" s="78">
        <f t="shared" si="426"/>
        <v>52</v>
      </c>
    </row>
    <row r="5016" spans="1:6" x14ac:dyDescent="0.25">
      <c r="A5016" s="84" t="s">
        <v>39</v>
      </c>
      <c r="B5016" s="356">
        <v>44101</v>
      </c>
      <c r="C5016" s="1">
        <v>86</v>
      </c>
      <c r="D5016" s="47">
        <f t="shared" si="427"/>
        <v>3728</v>
      </c>
      <c r="F5016" s="78">
        <f>E5016+F4992</f>
        <v>62</v>
      </c>
    </row>
    <row r="5017" spans="1:6" ht="15.75" thickBot="1" x14ac:dyDescent="0.3">
      <c r="A5017" s="86" t="s">
        <v>40</v>
      </c>
      <c r="B5017" s="357">
        <v>44101</v>
      </c>
      <c r="C5017" s="300">
        <v>552</v>
      </c>
      <c r="D5017" s="81">
        <f t="shared" si="427"/>
        <v>12681</v>
      </c>
      <c r="E5017" s="300"/>
      <c r="F5017" s="83">
        <f>E5017+F4993</f>
        <v>107</v>
      </c>
    </row>
    <row r="5018" spans="1:6" x14ac:dyDescent="0.25">
      <c r="A5018" s="36" t="s">
        <v>16</v>
      </c>
      <c r="B5018" s="354">
        <v>44102</v>
      </c>
      <c r="C5018" s="53">
        <v>4544</v>
      </c>
      <c r="D5018" s="211">
        <f>C5018+D4994</f>
        <v>406406</v>
      </c>
      <c r="E5018" s="53">
        <v>192</v>
      </c>
      <c r="F5018" s="77">
        <f>E5018+F4994</f>
        <v>9536</v>
      </c>
    </row>
    <row r="5019" spans="1:6" x14ac:dyDescent="0.25">
      <c r="A5019" s="84" t="s">
        <v>43</v>
      </c>
      <c r="B5019" s="356">
        <v>44102</v>
      </c>
      <c r="C5019" s="1">
        <v>787</v>
      </c>
      <c r="D5019" s="47">
        <f t="shared" ref="D5019:D5031" si="428">C5019+D4995</f>
        <v>124075</v>
      </c>
      <c r="E5019" s="1">
        <v>39</v>
      </c>
      <c r="F5019" s="78">
        <f>E5019+F4995</f>
        <v>3237</v>
      </c>
    </row>
    <row r="5020" spans="1:6" x14ac:dyDescent="0.25">
      <c r="A5020" s="84" t="s">
        <v>28</v>
      </c>
      <c r="B5020" s="356">
        <v>44102</v>
      </c>
      <c r="C5020" s="1">
        <v>3</v>
      </c>
      <c r="D5020" s="47">
        <f t="shared" si="428"/>
        <v>275</v>
      </c>
      <c r="F5020" s="78">
        <f>E5020+F4996</f>
        <v>0</v>
      </c>
    </row>
    <row r="5021" spans="1:6" x14ac:dyDescent="0.25">
      <c r="A5021" s="84" t="s">
        <v>15</v>
      </c>
      <c r="B5021" s="356">
        <v>44102</v>
      </c>
      <c r="C5021" s="1">
        <v>65</v>
      </c>
      <c r="D5021" s="47">
        <f t="shared" si="428"/>
        <v>8243</v>
      </c>
      <c r="E5021" s="1">
        <v>2</v>
      </c>
      <c r="F5021" s="78">
        <f t="shared" ref="F5021:F5039" si="429">E5021+F4997</f>
        <v>280</v>
      </c>
    </row>
    <row r="5022" spans="1:6" x14ac:dyDescent="0.25">
      <c r="A5022" s="84" t="s">
        <v>29</v>
      </c>
      <c r="B5022" s="356">
        <v>44102</v>
      </c>
      <c r="C5022" s="1">
        <v>181</v>
      </c>
      <c r="D5022" s="47">
        <f t="shared" si="428"/>
        <v>3590</v>
      </c>
      <c r="E5022" s="1">
        <v>5</v>
      </c>
      <c r="F5022" s="78">
        <f t="shared" si="429"/>
        <v>37</v>
      </c>
    </row>
    <row r="5023" spans="1:6" x14ac:dyDescent="0.25">
      <c r="A5023" s="84" t="s">
        <v>20</v>
      </c>
      <c r="B5023" s="356">
        <v>44102</v>
      </c>
      <c r="C5023" s="1">
        <v>1475</v>
      </c>
      <c r="D5023" s="47">
        <f t="shared" si="428"/>
        <v>30685</v>
      </c>
      <c r="E5023" s="1">
        <v>12</v>
      </c>
      <c r="F5023" s="78">
        <f t="shared" si="429"/>
        <v>357</v>
      </c>
    </row>
    <row r="5024" spans="1:6" x14ac:dyDescent="0.25">
      <c r="A5024" s="84" t="s">
        <v>30</v>
      </c>
      <c r="B5024" s="356">
        <v>44102</v>
      </c>
      <c r="C5024" s="1">
        <v>22</v>
      </c>
      <c r="D5024" s="47">
        <f t="shared" si="428"/>
        <v>1085</v>
      </c>
      <c r="E5024" s="1">
        <v>4</v>
      </c>
      <c r="F5024" s="78">
        <f>E5024+F5000</f>
        <v>23</v>
      </c>
    </row>
    <row r="5025" spans="1:6" x14ac:dyDescent="0.25">
      <c r="A5025" s="84" t="s">
        <v>31</v>
      </c>
      <c r="B5025" s="356">
        <v>44102</v>
      </c>
      <c r="C5025" s="1">
        <v>103</v>
      </c>
      <c r="D5025" s="47">
        <f t="shared" si="428"/>
        <v>7144</v>
      </c>
      <c r="E5025" s="1">
        <v>1</v>
      </c>
      <c r="F5025" s="78">
        <f>E5025+F5001</f>
        <v>132</v>
      </c>
    </row>
    <row r="5026" spans="1:6" x14ac:dyDescent="0.25">
      <c r="A5026" s="84" t="s">
        <v>41</v>
      </c>
      <c r="B5026" s="356">
        <v>44102</v>
      </c>
      <c r="C5026" s="1">
        <v>-1</v>
      </c>
      <c r="D5026" s="47">
        <f t="shared" si="428"/>
        <v>104</v>
      </c>
      <c r="F5026" s="78">
        <f>E5026+F5002</f>
        <v>1</v>
      </c>
    </row>
    <row r="5027" spans="1:6" x14ac:dyDescent="0.25">
      <c r="A5027" s="84" t="s">
        <v>32</v>
      </c>
      <c r="B5027" s="356">
        <v>44102</v>
      </c>
      <c r="C5027" s="1">
        <v>109</v>
      </c>
      <c r="D5027" s="47">
        <f t="shared" si="428"/>
        <v>15411</v>
      </c>
      <c r="E5027" s="1">
        <v>33</v>
      </c>
      <c r="F5027" s="78">
        <f>E5027+F5003</f>
        <v>464</v>
      </c>
    </row>
    <row r="5028" spans="1:6" x14ac:dyDescent="0.25">
      <c r="A5028" s="84" t="s">
        <v>33</v>
      </c>
      <c r="B5028" s="356">
        <v>44102</v>
      </c>
      <c r="C5028" s="1">
        <v>25</v>
      </c>
      <c r="D5028" s="47">
        <f t="shared" si="428"/>
        <v>719</v>
      </c>
      <c r="F5028" s="78">
        <f t="shared" si="429"/>
        <v>7</v>
      </c>
    </row>
    <row r="5029" spans="1:6" x14ac:dyDescent="0.25">
      <c r="A5029" s="84" t="s">
        <v>21</v>
      </c>
      <c r="B5029" s="356">
        <v>44102</v>
      </c>
      <c r="C5029" s="1">
        <v>69</v>
      </c>
      <c r="D5029" s="47">
        <f t="shared" si="428"/>
        <v>4651</v>
      </c>
      <c r="F5029" s="78">
        <f t="shared" si="429"/>
        <v>101</v>
      </c>
    </row>
    <row r="5030" spans="1:6" x14ac:dyDescent="0.25">
      <c r="A5030" s="84" t="s">
        <v>17</v>
      </c>
      <c r="B5030" s="356">
        <v>44102</v>
      </c>
      <c r="C5030" s="1">
        <v>649</v>
      </c>
      <c r="D5030" s="47">
        <f t="shared" si="428"/>
        <v>23690</v>
      </c>
      <c r="E5030" s="1">
        <v>2</v>
      </c>
      <c r="F5030" s="78">
        <f t="shared" si="429"/>
        <v>246</v>
      </c>
    </row>
    <row r="5031" spans="1:6" x14ac:dyDescent="0.25">
      <c r="A5031" s="84" t="s">
        <v>23</v>
      </c>
      <c r="B5031" s="356">
        <v>44102</v>
      </c>
      <c r="C5031" s="1">
        <v>-6</v>
      </c>
      <c r="D5031" s="47">
        <f t="shared" si="428"/>
        <v>79</v>
      </c>
      <c r="E5031" s="1">
        <v>1</v>
      </c>
      <c r="F5031" s="78">
        <f t="shared" si="429"/>
        <v>3</v>
      </c>
    </row>
    <row r="5032" spans="1:6" x14ac:dyDescent="0.25">
      <c r="A5032" s="84" t="s">
        <v>19</v>
      </c>
      <c r="B5032" s="356">
        <v>44102</v>
      </c>
      <c r="C5032" s="1">
        <v>288</v>
      </c>
      <c r="D5032" s="47">
        <f>C5032+D5008</f>
        <v>7624</v>
      </c>
      <c r="E5032" s="1">
        <v>3</v>
      </c>
      <c r="F5032" s="78">
        <f t="shared" si="429"/>
        <v>114</v>
      </c>
    </row>
    <row r="5033" spans="1:6" x14ac:dyDescent="0.25">
      <c r="A5033" s="84" t="s">
        <v>18</v>
      </c>
      <c r="B5033" s="356">
        <v>44102</v>
      </c>
      <c r="C5033" s="1">
        <v>213</v>
      </c>
      <c r="D5033" s="47">
        <f>C5033+D5009</f>
        <v>12131</v>
      </c>
      <c r="E5033" s="1">
        <v>6</v>
      </c>
      <c r="F5033" s="78">
        <f t="shared" si="429"/>
        <v>271</v>
      </c>
    </row>
    <row r="5034" spans="1:6" x14ac:dyDescent="0.25">
      <c r="A5034" s="84" t="s">
        <v>34</v>
      </c>
      <c r="B5034" s="356">
        <v>44102</v>
      </c>
      <c r="C5034" s="1">
        <v>234</v>
      </c>
      <c r="D5034" s="47">
        <f>C5034+D5010</f>
        <v>11731</v>
      </c>
      <c r="E5034" s="1">
        <v>19</v>
      </c>
      <c r="F5034" s="78">
        <f>E5034+F5010</f>
        <v>315</v>
      </c>
    </row>
    <row r="5035" spans="1:6" x14ac:dyDescent="0.25">
      <c r="A5035" s="84" t="s">
        <v>35</v>
      </c>
      <c r="B5035" s="356">
        <v>44102</v>
      </c>
      <c r="C5035" s="1">
        <v>72</v>
      </c>
      <c r="D5035" s="47">
        <f t="shared" ref="D5035:D5041" si="430">C5035+D5011</f>
        <v>695</v>
      </c>
      <c r="F5035" s="78">
        <f>E5035+F5011</f>
        <v>28</v>
      </c>
    </row>
    <row r="5036" spans="1:6" x14ac:dyDescent="0.25">
      <c r="A5036" s="84" t="s">
        <v>36</v>
      </c>
      <c r="B5036" s="356">
        <v>44102</v>
      </c>
      <c r="C5036" s="1">
        <v>100</v>
      </c>
      <c r="D5036" s="47">
        <f t="shared" si="430"/>
        <v>1191</v>
      </c>
      <c r="E5036" s="1">
        <v>1</v>
      </c>
      <c r="F5036" s="78">
        <f t="shared" si="429"/>
        <v>5</v>
      </c>
    </row>
    <row r="5037" spans="1:6" x14ac:dyDescent="0.25">
      <c r="A5037" s="84" t="s">
        <v>37</v>
      </c>
      <c r="B5037" s="356">
        <v>44102</v>
      </c>
      <c r="C5037" s="1">
        <v>129</v>
      </c>
      <c r="D5037" s="47">
        <f t="shared" si="430"/>
        <v>4586</v>
      </c>
      <c r="E5037" s="1">
        <v>1</v>
      </c>
      <c r="F5037" s="78">
        <f>E5037+F5013</f>
        <v>58</v>
      </c>
    </row>
    <row r="5038" spans="1:6" x14ac:dyDescent="0.25">
      <c r="A5038" s="84" t="s">
        <v>22</v>
      </c>
      <c r="B5038" s="356">
        <v>44102</v>
      </c>
      <c r="C5038" s="1">
        <v>1575</v>
      </c>
      <c r="D5038" s="47">
        <f t="shared" si="430"/>
        <v>38370</v>
      </c>
      <c r="E5038" s="1">
        <v>24</v>
      </c>
      <c r="F5038" s="78">
        <f>E5038+F5014</f>
        <v>421</v>
      </c>
    </row>
    <row r="5039" spans="1:6" x14ac:dyDescent="0.25">
      <c r="A5039" s="84" t="s">
        <v>38</v>
      </c>
      <c r="B5039" s="356">
        <v>44102</v>
      </c>
      <c r="C5039" s="1">
        <v>124</v>
      </c>
      <c r="D5039" s="47">
        <f t="shared" si="430"/>
        <v>3181</v>
      </c>
      <c r="E5039" s="1">
        <v>5</v>
      </c>
      <c r="F5039" s="78">
        <f t="shared" si="429"/>
        <v>57</v>
      </c>
    </row>
    <row r="5040" spans="1:6" x14ac:dyDescent="0.25">
      <c r="A5040" s="84" t="s">
        <v>39</v>
      </c>
      <c r="B5040" s="356">
        <v>44102</v>
      </c>
      <c r="C5040" s="1">
        <v>158</v>
      </c>
      <c r="D5040" s="47">
        <f t="shared" si="430"/>
        <v>3886</v>
      </c>
      <c r="E5040" s="1">
        <v>3</v>
      </c>
      <c r="F5040" s="78">
        <f>E5040+F5016</f>
        <v>65</v>
      </c>
    </row>
    <row r="5041" spans="1:6" ht="15.75" thickBot="1" x14ac:dyDescent="0.3">
      <c r="A5041" s="85" t="s">
        <v>40</v>
      </c>
      <c r="B5041" s="358">
        <v>44102</v>
      </c>
      <c r="C5041" s="54">
        <v>889</v>
      </c>
      <c r="D5041" s="214">
        <f t="shared" si="430"/>
        <v>13570</v>
      </c>
      <c r="E5041" s="54">
        <v>12</v>
      </c>
      <c r="F5041" s="79">
        <f>E5041+F5017</f>
        <v>119</v>
      </c>
    </row>
    <row r="5042" spans="1:6" x14ac:dyDescent="0.25">
      <c r="A5042" s="36" t="s">
        <v>16</v>
      </c>
      <c r="B5042" s="356">
        <v>44103</v>
      </c>
      <c r="C5042" s="293">
        <v>5328</v>
      </c>
      <c r="D5042" s="211">
        <f>C5042+D5018</f>
        <v>411734</v>
      </c>
      <c r="E5042" s="293">
        <v>249</v>
      </c>
      <c r="F5042" s="77">
        <f>E5042+F5018</f>
        <v>9785</v>
      </c>
    </row>
    <row r="5043" spans="1:6" x14ac:dyDescent="0.25">
      <c r="A5043" s="84" t="s">
        <v>43</v>
      </c>
      <c r="B5043" s="356">
        <v>44103</v>
      </c>
      <c r="C5043" s="1">
        <v>993</v>
      </c>
      <c r="D5043" s="47">
        <f t="shared" ref="D5043:D5055" si="431">C5043+D5019</f>
        <v>125068</v>
      </c>
      <c r="E5043" s="1">
        <v>52</v>
      </c>
      <c r="F5043" s="78">
        <f>E5043+F5019</f>
        <v>3289</v>
      </c>
    </row>
    <row r="5044" spans="1:6" x14ac:dyDescent="0.25">
      <c r="A5044" s="84" t="s">
        <v>28</v>
      </c>
      <c r="B5044" s="356">
        <v>44103</v>
      </c>
      <c r="C5044" s="1">
        <v>4</v>
      </c>
      <c r="D5044" s="47">
        <f t="shared" si="431"/>
        <v>279</v>
      </c>
      <c r="F5044" s="78">
        <f>E5044+F5020</f>
        <v>0</v>
      </c>
    </row>
    <row r="5045" spans="1:6" x14ac:dyDescent="0.25">
      <c r="A5045" s="84" t="s">
        <v>15</v>
      </c>
      <c r="B5045" s="356">
        <v>44103</v>
      </c>
      <c r="C5045" s="1">
        <v>143</v>
      </c>
      <c r="D5045" s="47">
        <f t="shared" si="431"/>
        <v>8386</v>
      </c>
      <c r="E5045" s="1">
        <v>1</v>
      </c>
      <c r="F5045" s="78">
        <f t="shared" ref="F5045:F5063" si="432">E5045+F5021</f>
        <v>281</v>
      </c>
    </row>
    <row r="5046" spans="1:6" x14ac:dyDescent="0.25">
      <c r="A5046" s="84" t="s">
        <v>29</v>
      </c>
      <c r="B5046" s="356">
        <v>44103</v>
      </c>
      <c r="C5046" s="1">
        <v>209</v>
      </c>
      <c r="D5046" s="47">
        <f t="shared" si="431"/>
        <v>3799</v>
      </c>
      <c r="E5046" s="1">
        <v>7</v>
      </c>
      <c r="F5046" s="78">
        <f t="shared" si="432"/>
        <v>44</v>
      </c>
    </row>
    <row r="5047" spans="1:6" x14ac:dyDescent="0.25">
      <c r="A5047" s="84" t="s">
        <v>20</v>
      </c>
      <c r="B5047" s="356">
        <v>44103</v>
      </c>
      <c r="C5047" s="1">
        <v>1800</v>
      </c>
      <c r="D5047" s="47">
        <f t="shared" si="431"/>
        <v>32485</v>
      </c>
      <c r="E5047" s="1">
        <v>21</v>
      </c>
      <c r="F5047" s="78">
        <f t="shared" si="432"/>
        <v>378</v>
      </c>
    </row>
    <row r="5048" spans="1:6" x14ac:dyDescent="0.25">
      <c r="A5048" s="84" t="s">
        <v>30</v>
      </c>
      <c r="B5048" s="356">
        <v>44103</v>
      </c>
      <c r="C5048" s="1">
        <v>-12</v>
      </c>
      <c r="D5048" s="47">
        <f t="shared" si="431"/>
        <v>1073</v>
      </c>
      <c r="E5048" s="1">
        <v>-1</v>
      </c>
      <c r="F5048" s="78">
        <f>E5048+F5024</f>
        <v>22</v>
      </c>
    </row>
    <row r="5049" spans="1:6" x14ac:dyDescent="0.25">
      <c r="A5049" s="84" t="s">
        <v>31</v>
      </c>
      <c r="B5049" s="356">
        <v>44103</v>
      </c>
      <c r="C5049" s="1">
        <v>162</v>
      </c>
      <c r="D5049" s="47">
        <f t="shared" si="431"/>
        <v>7306</v>
      </c>
      <c r="E5049" s="1">
        <v>6</v>
      </c>
      <c r="F5049" s="78">
        <f>E5049+F5025</f>
        <v>138</v>
      </c>
    </row>
    <row r="5050" spans="1:6" x14ac:dyDescent="0.25">
      <c r="A5050" s="84" t="s">
        <v>41</v>
      </c>
      <c r="B5050" s="356">
        <v>44103</v>
      </c>
      <c r="C5050" s="1">
        <v>0</v>
      </c>
      <c r="D5050" s="47">
        <f t="shared" si="431"/>
        <v>104</v>
      </c>
      <c r="E5050" s="1">
        <v>0</v>
      </c>
      <c r="F5050" s="78">
        <f>E5050+F5026</f>
        <v>1</v>
      </c>
    </row>
    <row r="5051" spans="1:6" x14ac:dyDescent="0.25">
      <c r="A5051" s="84" t="s">
        <v>32</v>
      </c>
      <c r="B5051" s="356">
        <v>44103</v>
      </c>
      <c r="C5051" s="1">
        <v>102</v>
      </c>
      <c r="D5051" s="47">
        <f t="shared" si="431"/>
        <v>15513</v>
      </c>
      <c r="E5051" s="1">
        <v>4</v>
      </c>
      <c r="F5051" s="78">
        <f>E5051+F5027</f>
        <v>468</v>
      </c>
    </row>
    <row r="5052" spans="1:6" x14ac:dyDescent="0.25">
      <c r="A5052" s="84" t="s">
        <v>33</v>
      </c>
      <c r="B5052" s="356">
        <v>44103</v>
      </c>
      <c r="C5052" s="1">
        <v>19</v>
      </c>
      <c r="D5052" s="47">
        <f t="shared" si="431"/>
        <v>738</v>
      </c>
      <c r="E5052" s="1">
        <v>0</v>
      </c>
      <c r="F5052" s="78">
        <f t="shared" si="432"/>
        <v>7</v>
      </c>
    </row>
    <row r="5053" spans="1:6" x14ac:dyDescent="0.25">
      <c r="A5053" s="84" t="s">
        <v>21</v>
      </c>
      <c r="B5053" s="356">
        <v>44103</v>
      </c>
      <c r="C5053" s="1">
        <v>51</v>
      </c>
      <c r="D5053" s="47">
        <f t="shared" si="431"/>
        <v>4702</v>
      </c>
      <c r="E5053" s="1">
        <v>0</v>
      </c>
      <c r="F5053" s="78">
        <f t="shared" si="432"/>
        <v>101</v>
      </c>
    </row>
    <row r="5054" spans="1:6" x14ac:dyDescent="0.25">
      <c r="A5054" s="84" t="s">
        <v>17</v>
      </c>
      <c r="B5054" s="356">
        <v>44103</v>
      </c>
      <c r="C5054" s="1">
        <v>668</v>
      </c>
      <c r="D5054" s="47">
        <f t="shared" si="431"/>
        <v>24358</v>
      </c>
      <c r="E5054" s="1">
        <v>7</v>
      </c>
      <c r="F5054" s="78">
        <f t="shared" si="432"/>
        <v>253</v>
      </c>
    </row>
    <row r="5055" spans="1:6" x14ac:dyDescent="0.25">
      <c r="A5055" s="84" t="s">
        <v>23</v>
      </c>
      <c r="B5055" s="356">
        <v>44103</v>
      </c>
      <c r="C5055" s="1">
        <v>8</v>
      </c>
      <c r="D5055" s="47">
        <f t="shared" si="431"/>
        <v>87</v>
      </c>
      <c r="E5055" s="1">
        <v>0</v>
      </c>
      <c r="F5055" s="78">
        <f t="shared" si="432"/>
        <v>3</v>
      </c>
    </row>
    <row r="5056" spans="1:6" x14ac:dyDescent="0.25">
      <c r="A5056" s="84" t="s">
        <v>19</v>
      </c>
      <c r="B5056" s="356">
        <v>44103</v>
      </c>
      <c r="C5056" s="1">
        <v>77</v>
      </c>
      <c r="D5056" s="47">
        <f>C5056+D5032</f>
        <v>7701</v>
      </c>
      <c r="E5056" s="1">
        <v>2</v>
      </c>
      <c r="F5056" s="78">
        <f t="shared" si="432"/>
        <v>116</v>
      </c>
    </row>
    <row r="5057" spans="1:6" x14ac:dyDescent="0.25">
      <c r="A5057" s="84" t="s">
        <v>18</v>
      </c>
      <c r="B5057" s="356">
        <v>44103</v>
      </c>
      <c r="C5057" s="1">
        <v>339</v>
      </c>
      <c r="D5057" s="47">
        <f>C5057+D5033</f>
        <v>12470</v>
      </c>
      <c r="E5057" s="1">
        <v>8</v>
      </c>
      <c r="F5057" s="78">
        <f t="shared" si="432"/>
        <v>279</v>
      </c>
    </row>
    <row r="5058" spans="1:6" x14ac:dyDescent="0.25">
      <c r="A5058" s="84" t="s">
        <v>34</v>
      </c>
      <c r="B5058" s="356">
        <v>44103</v>
      </c>
      <c r="C5058" s="1">
        <v>324</v>
      </c>
      <c r="D5058" s="47">
        <f>C5058+D5034</f>
        <v>12055</v>
      </c>
      <c r="E5058" s="1">
        <v>11</v>
      </c>
      <c r="F5058" s="78">
        <f>E5058+F5034</f>
        <v>326</v>
      </c>
    </row>
    <row r="5059" spans="1:6" x14ac:dyDescent="0.25">
      <c r="A5059" s="84" t="s">
        <v>35</v>
      </c>
      <c r="B5059" s="356">
        <v>44103</v>
      </c>
      <c r="C5059" s="1">
        <v>20</v>
      </c>
      <c r="D5059" s="47">
        <f t="shared" ref="D5059:D5065" si="433">C5059+D5035</f>
        <v>715</v>
      </c>
      <c r="E5059" s="1">
        <v>4</v>
      </c>
      <c r="F5059" s="78">
        <f>E5059+F5035</f>
        <v>32</v>
      </c>
    </row>
    <row r="5060" spans="1:6" x14ac:dyDescent="0.25">
      <c r="A5060" s="84" t="s">
        <v>36</v>
      </c>
      <c r="B5060" s="356">
        <v>44103</v>
      </c>
      <c r="C5060" s="1">
        <v>150</v>
      </c>
      <c r="D5060" s="47">
        <f t="shared" si="433"/>
        <v>1341</v>
      </c>
      <c r="E5060" s="1">
        <v>0</v>
      </c>
      <c r="F5060" s="78">
        <f t="shared" si="432"/>
        <v>5</v>
      </c>
    </row>
    <row r="5061" spans="1:6" x14ac:dyDescent="0.25">
      <c r="A5061" s="84" t="s">
        <v>37</v>
      </c>
      <c r="B5061" s="356">
        <v>44103</v>
      </c>
      <c r="C5061" s="1">
        <v>113</v>
      </c>
      <c r="D5061" s="47">
        <f t="shared" si="433"/>
        <v>4699</v>
      </c>
      <c r="E5061" s="1">
        <v>3</v>
      </c>
      <c r="F5061" s="78">
        <f>E5061+F5037</f>
        <v>61</v>
      </c>
    </row>
    <row r="5062" spans="1:6" x14ac:dyDescent="0.25">
      <c r="A5062" s="84" t="s">
        <v>22</v>
      </c>
      <c r="B5062" s="356">
        <v>44103</v>
      </c>
      <c r="C5062" s="1">
        <v>2011</v>
      </c>
      <c r="D5062" s="47">
        <f t="shared" si="433"/>
        <v>40381</v>
      </c>
      <c r="E5062" s="1">
        <v>15</v>
      </c>
      <c r="F5062" s="78">
        <f>E5062+F5038</f>
        <v>436</v>
      </c>
    </row>
    <row r="5063" spans="1:6" x14ac:dyDescent="0.25">
      <c r="A5063" s="84" t="s">
        <v>38</v>
      </c>
      <c r="B5063" s="356">
        <v>44103</v>
      </c>
      <c r="C5063" s="1">
        <v>142</v>
      </c>
      <c r="D5063" s="47">
        <f t="shared" si="433"/>
        <v>3323</v>
      </c>
      <c r="E5063" s="1">
        <v>1</v>
      </c>
      <c r="F5063" s="78">
        <f t="shared" si="432"/>
        <v>58</v>
      </c>
    </row>
    <row r="5064" spans="1:6" x14ac:dyDescent="0.25">
      <c r="A5064" s="84" t="s">
        <v>39</v>
      </c>
      <c r="B5064" s="356">
        <v>44103</v>
      </c>
      <c r="C5064" s="1">
        <v>221</v>
      </c>
      <c r="D5064" s="47">
        <f t="shared" si="433"/>
        <v>4107</v>
      </c>
      <c r="E5064" s="1">
        <v>2</v>
      </c>
      <c r="F5064" s="78">
        <f>E5064+F5040</f>
        <v>67</v>
      </c>
    </row>
    <row r="5065" spans="1:6" ht="15.75" thickBot="1" x14ac:dyDescent="0.3">
      <c r="A5065" s="85" t="s">
        <v>40</v>
      </c>
      <c r="B5065" s="356">
        <v>44103</v>
      </c>
      <c r="C5065" s="1">
        <v>605</v>
      </c>
      <c r="D5065" s="214">
        <f t="shared" si="433"/>
        <v>14175</v>
      </c>
      <c r="E5065" s="1">
        <v>13</v>
      </c>
      <c r="F5065" s="79">
        <f>E5065+F5041</f>
        <v>132</v>
      </c>
    </row>
    <row r="5066" spans="1:6" x14ac:dyDescent="0.25">
      <c r="A5066" s="36" t="s">
        <v>16</v>
      </c>
      <c r="B5066" s="356">
        <v>44104</v>
      </c>
      <c r="C5066" s="1">
        <v>5943</v>
      </c>
      <c r="D5066" s="211">
        <f>C5066+D5042</f>
        <v>417677</v>
      </c>
      <c r="E5066" s="1">
        <f>92+84</f>
        <v>176</v>
      </c>
      <c r="F5066" s="77">
        <f>E5066+F5042</f>
        <v>9961</v>
      </c>
    </row>
    <row r="5067" spans="1:6" x14ac:dyDescent="0.25">
      <c r="A5067" s="84" t="s">
        <v>43</v>
      </c>
      <c r="B5067" s="356">
        <v>44104</v>
      </c>
      <c r="C5067" s="1">
        <v>898</v>
      </c>
      <c r="D5067" s="47">
        <f t="shared" ref="D5067:D5079" si="434">C5067+D5043</f>
        <v>125966</v>
      </c>
      <c r="E5067" s="1">
        <f>55+63</f>
        <v>118</v>
      </c>
      <c r="F5067" s="78">
        <f>E5067+F5043</f>
        <v>3407</v>
      </c>
    </row>
    <row r="5068" spans="1:6" x14ac:dyDescent="0.25">
      <c r="A5068" s="84" t="s">
        <v>28</v>
      </c>
      <c r="B5068" s="356">
        <v>44104</v>
      </c>
      <c r="C5068" s="1">
        <v>8</v>
      </c>
      <c r="D5068" s="47">
        <f t="shared" si="434"/>
        <v>287</v>
      </c>
      <c r="F5068" s="78">
        <f>E5068+F5044</f>
        <v>0</v>
      </c>
    </row>
    <row r="5069" spans="1:6" x14ac:dyDescent="0.25">
      <c r="A5069" s="84" t="s">
        <v>15</v>
      </c>
      <c r="B5069" s="356">
        <v>44104</v>
      </c>
      <c r="C5069" s="1">
        <v>157</v>
      </c>
      <c r="D5069" s="47">
        <f t="shared" si="434"/>
        <v>8543</v>
      </c>
      <c r="E5069" s="1">
        <f>2+2</f>
        <v>4</v>
      </c>
      <c r="F5069" s="78">
        <f t="shared" ref="F5069:F5087" si="435">E5069+F5045</f>
        <v>285</v>
      </c>
    </row>
    <row r="5070" spans="1:6" x14ac:dyDescent="0.25">
      <c r="A5070" s="84" t="s">
        <v>29</v>
      </c>
      <c r="B5070" s="356">
        <v>44104</v>
      </c>
      <c r="C5070" s="1">
        <v>156</v>
      </c>
      <c r="D5070" s="47">
        <f t="shared" si="434"/>
        <v>3955</v>
      </c>
      <c r="E5070" s="1">
        <f>3+3</f>
        <v>6</v>
      </c>
      <c r="F5070" s="78">
        <f t="shared" si="435"/>
        <v>50</v>
      </c>
    </row>
    <row r="5071" spans="1:6" x14ac:dyDescent="0.25">
      <c r="A5071" s="84" t="s">
        <v>20</v>
      </c>
      <c r="B5071" s="356">
        <v>44104</v>
      </c>
      <c r="C5071" s="1">
        <v>1718</v>
      </c>
      <c r="D5071" s="47">
        <f t="shared" si="434"/>
        <v>34203</v>
      </c>
      <c r="E5071" s="1">
        <f>8+11</f>
        <v>19</v>
      </c>
      <c r="F5071" s="78">
        <f t="shared" si="435"/>
        <v>397</v>
      </c>
    </row>
    <row r="5072" spans="1:6" x14ac:dyDescent="0.25">
      <c r="A5072" s="84" t="s">
        <v>30</v>
      </c>
      <c r="B5072" s="356">
        <v>44104</v>
      </c>
      <c r="C5072" s="1">
        <v>20</v>
      </c>
      <c r="D5072" s="47">
        <f t="shared" si="434"/>
        <v>1093</v>
      </c>
      <c r="F5072" s="78">
        <f>E5072+F5048</f>
        <v>22</v>
      </c>
    </row>
    <row r="5073" spans="1:6" x14ac:dyDescent="0.25">
      <c r="A5073" s="84" t="s">
        <v>31</v>
      </c>
      <c r="B5073" s="356">
        <v>44104</v>
      </c>
      <c r="C5073" s="1">
        <v>177</v>
      </c>
      <c r="D5073" s="47">
        <f t="shared" si="434"/>
        <v>7483</v>
      </c>
      <c r="E5073" s="1">
        <f>1+1</f>
        <v>2</v>
      </c>
      <c r="F5073" s="78">
        <f>E5073+F5049</f>
        <v>140</v>
      </c>
    </row>
    <row r="5074" spans="1:6" x14ac:dyDescent="0.25">
      <c r="A5074" s="84" t="s">
        <v>41</v>
      </c>
      <c r="B5074" s="356">
        <v>44104</v>
      </c>
      <c r="C5074" s="1">
        <v>0</v>
      </c>
      <c r="D5074" s="47">
        <f t="shared" si="434"/>
        <v>104</v>
      </c>
      <c r="F5074" s="78">
        <f>E5074+F5050</f>
        <v>1</v>
      </c>
    </row>
    <row r="5075" spans="1:6" x14ac:dyDescent="0.25">
      <c r="A5075" s="84" t="s">
        <v>32</v>
      </c>
      <c r="B5075" s="356">
        <v>44104</v>
      </c>
      <c r="C5075" s="1">
        <v>157</v>
      </c>
      <c r="D5075" s="47">
        <f t="shared" si="434"/>
        <v>15670</v>
      </c>
      <c r="E5075" s="1">
        <f>26+10</f>
        <v>36</v>
      </c>
      <c r="F5075" s="78">
        <f>E5075+F5051</f>
        <v>504</v>
      </c>
    </row>
    <row r="5076" spans="1:6" x14ac:dyDescent="0.25">
      <c r="A5076" s="84" t="s">
        <v>33</v>
      </c>
      <c r="B5076" s="356">
        <v>44104</v>
      </c>
      <c r="C5076" s="1">
        <v>25</v>
      </c>
      <c r="D5076" s="47">
        <f t="shared" si="434"/>
        <v>763</v>
      </c>
      <c r="F5076" s="78">
        <f t="shared" si="435"/>
        <v>7</v>
      </c>
    </row>
    <row r="5077" spans="1:6" x14ac:dyDescent="0.25">
      <c r="A5077" s="84" t="s">
        <v>21</v>
      </c>
      <c r="B5077" s="356">
        <v>44104</v>
      </c>
      <c r="C5077" s="1">
        <v>126</v>
      </c>
      <c r="D5077" s="47">
        <f t="shared" si="434"/>
        <v>4828</v>
      </c>
      <c r="F5077" s="78">
        <f t="shared" si="435"/>
        <v>101</v>
      </c>
    </row>
    <row r="5078" spans="1:6" x14ac:dyDescent="0.25">
      <c r="A5078" s="84" t="s">
        <v>17</v>
      </c>
      <c r="B5078" s="356">
        <v>44104</v>
      </c>
      <c r="C5078" s="1">
        <v>691</v>
      </c>
      <c r="D5078" s="47">
        <f t="shared" si="434"/>
        <v>25049</v>
      </c>
      <c r="E5078" s="1">
        <f>10+4</f>
        <v>14</v>
      </c>
      <c r="F5078" s="78">
        <f t="shared" si="435"/>
        <v>267</v>
      </c>
    </row>
    <row r="5079" spans="1:6" x14ac:dyDescent="0.25">
      <c r="A5079" s="84" t="s">
        <v>23</v>
      </c>
      <c r="B5079" s="356">
        <v>44104</v>
      </c>
      <c r="C5079" s="1">
        <v>9</v>
      </c>
      <c r="D5079" s="47">
        <f t="shared" si="434"/>
        <v>96</v>
      </c>
      <c r="F5079" s="78">
        <f t="shared" si="435"/>
        <v>3</v>
      </c>
    </row>
    <row r="5080" spans="1:6" x14ac:dyDescent="0.25">
      <c r="A5080" s="84" t="s">
        <v>19</v>
      </c>
      <c r="B5080" s="356">
        <v>44104</v>
      </c>
      <c r="C5080" s="1">
        <v>192</v>
      </c>
      <c r="D5080" s="47">
        <f>C5080+D5056</f>
        <v>7893</v>
      </c>
      <c r="E5080" s="1">
        <f>1</f>
        <v>1</v>
      </c>
      <c r="F5080" s="78">
        <f t="shared" si="435"/>
        <v>117</v>
      </c>
    </row>
    <row r="5081" spans="1:6" x14ac:dyDescent="0.25">
      <c r="A5081" s="84" t="s">
        <v>18</v>
      </c>
      <c r="B5081" s="356">
        <v>44104</v>
      </c>
      <c r="C5081" s="1">
        <v>369</v>
      </c>
      <c r="D5081" s="47">
        <f>C5081+D5057</f>
        <v>12839</v>
      </c>
      <c r="E5081" s="1">
        <f>5+6</f>
        <v>11</v>
      </c>
      <c r="F5081" s="78">
        <f t="shared" si="435"/>
        <v>290</v>
      </c>
    </row>
    <row r="5082" spans="1:6" x14ac:dyDescent="0.25">
      <c r="A5082" s="84" t="s">
        <v>34</v>
      </c>
      <c r="B5082" s="356">
        <v>44104</v>
      </c>
      <c r="C5082" s="1">
        <v>360</v>
      </c>
      <c r="D5082" s="47">
        <f>C5082+D5058</f>
        <v>12415</v>
      </c>
      <c r="E5082" s="1">
        <f>5+7</f>
        <v>12</v>
      </c>
      <c r="F5082" s="78">
        <f>E5082+F5058</f>
        <v>338</v>
      </c>
    </row>
    <row r="5083" spans="1:6" x14ac:dyDescent="0.25">
      <c r="A5083" s="84" t="s">
        <v>35</v>
      </c>
      <c r="B5083" s="356">
        <v>44104</v>
      </c>
      <c r="C5083" s="1">
        <v>2</v>
      </c>
      <c r="D5083" s="47">
        <f t="shared" ref="D5083:D5089" si="436">C5083+D5059</f>
        <v>717</v>
      </c>
      <c r="E5083" s="1">
        <f>1+2</f>
        <v>3</v>
      </c>
      <c r="F5083" s="78">
        <f>E5083+F5059</f>
        <v>35</v>
      </c>
    </row>
    <row r="5084" spans="1:6" x14ac:dyDescent="0.25">
      <c r="A5084" s="84" t="s">
        <v>36</v>
      </c>
      <c r="B5084" s="356">
        <v>44104</v>
      </c>
      <c r="C5084" s="1">
        <v>131</v>
      </c>
      <c r="D5084" s="47">
        <f t="shared" si="436"/>
        <v>1472</v>
      </c>
      <c r="E5084" s="1">
        <f>1</f>
        <v>1</v>
      </c>
      <c r="F5084" s="78">
        <f t="shared" si="435"/>
        <v>6</v>
      </c>
    </row>
    <row r="5085" spans="1:6" x14ac:dyDescent="0.25">
      <c r="A5085" s="84" t="s">
        <v>37</v>
      </c>
      <c r="B5085" s="356">
        <v>44104</v>
      </c>
      <c r="C5085" s="1">
        <v>145</v>
      </c>
      <c r="D5085" s="47">
        <f t="shared" si="436"/>
        <v>4844</v>
      </c>
      <c r="E5085" s="1">
        <f>1</f>
        <v>1</v>
      </c>
      <c r="F5085" s="78">
        <f>E5085+F5061</f>
        <v>62</v>
      </c>
    </row>
    <row r="5086" spans="1:6" x14ac:dyDescent="0.25">
      <c r="A5086" s="84" t="s">
        <v>22</v>
      </c>
      <c r="B5086" s="356">
        <v>44104</v>
      </c>
      <c r="C5086" s="1">
        <v>2017</v>
      </c>
      <c r="D5086" s="47">
        <f t="shared" si="436"/>
        <v>42398</v>
      </c>
      <c r="E5086" s="1">
        <f>5+5</f>
        <v>10</v>
      </c>
      <c r="F5086" s="78">
        <f>E5086+F5062</f>
        <v>446</v>
      </c>
    </row>
    <row r="5087" spans="1:6" x14ac:dyDescent="0.25">
      <c r="A5087" s="84" t="s">
        <v>38</v>
      </c>
      <c r="B5087" s="356">
        <v>44104</v>
      </c>
      <c r="C5087" s="1">
        <v>96</v>
      </c>
      <c r="D5087" s="47">
        <f t="shared" si="436"/>
        <v>3419</v>
      </c>
      <c r="E5087" s="1">
        <f>2+2</f>
        <v>4</v>
      </c>
      <c r="F5087" s="78">
        <f t="shared" si="435"/>
        <v>62</v>
      </c>
    </row>
    <row r="5088" spans="1:6" x14ac:dyDescent="0.25">
      <c r="A5088" s="84" t="s">
        <v>39</v>
      </c>
      <c r="B5088" s="356">
        <v>44104</v>
      </c>
      <c r="C5088" s="1">
        <v>256</v>
      </c>
      <c r="D5088" s="47">
        <f t="shared" si="436"/>
        <v>4363</v>
      </c>
      <c r="F5088" s="78">
        <f t="shared" ref="F5088:F5099" si="437">E5088+F5064</f>
        <v>67</v>
      </c>
    </row>
    <row r="5089" spans="1:6" ht="15.75" thickBot="1" x14ac:dyDescent="0.3">
      <c r="A5089" s="86" t="s">
        <v>40</v>
      </c>
      <c r="B5089" s="357">
        <v>44104</v>
      </c>
      <c r="C5089" s="300">
        <v>739</v>
      </c>
      <c r="D5089" s="81">
        <f t="shared" si="436"/>
        <v>14914</v>
      </c>
      <c r="E5089" s="300"/>
      <c r="F5089" s="83">
        <f t="shared" si="437"/>
        <v>132</v>
      </c>
    </row>
    <row r="5090" spans="1:6" x14ac:dyDescent="0.25">
      <c r="A5090" s="36" t="s">
        <v>16</v>
      </c>
      <c r="B5090" s="354">
        <v>44105</v>
      </c>
      <c r="C5090" s="53">
        <v>5407</v>
      </c>
      <c r="D5090" s="211">
        <f>C5090+D5066</f>
        <v>423084</v>
      </c>
      <c r="E5090" s="53">
        <v>3155</v>
      </c>
      <c r="F5090" s="77">
        <f t="shared" si="437"/>
        <v>13116</v>
      </c>
    </row>
    <row r="5091" spans="1:6" x14ac:dyDescent="0.25">
      <c r="A5091" s="84" t="s">
        <v>43</v>
      </c>
      <c r="B5091" s="356">
        <v>44105</v>
      </c>
      <c r="C5091" s="1">
        <v>924</v>
      </c>
      <c r="D5091" s="47">
        <f t="shared" ref="D5091:D5103" si="438">C5091+D5067</f>
        <v>126890</v>
      </c>
      <c r="E5091" s="1">
        <v>95</v>
      </c>
      <c r="F5091" s="78">
        <f t="shared" si="437"/>
        <v>3502</v>
      </c>
    </row>
    <row r="5092" spans="1:6" x14ac:dyDescent="0.25">
      <c r="A5092" s="84" t="s">
        <v>28</v>
      </c>
      <c r="B5092" s="356">
        <v>44105</v>
      </c>
      <c r="C5092" s="1">
        <v>5</v>
      </c>
      <c r="D5092" s="47">
        <f t="shared" si="438"/>
        <v>292</v>
      </c>
      <c r="E5092" s="1">
        <v>0</v>
      </c>
      <c r="F5092" s="78">
        <f t="shared" si="437"/>
        <v>0</v>
      </c>
    </row>
    <row r="5093" spans="1:6" x14ac:dyDescent="0.25">
      <c r="A5093" s="84" t="s">
        <v>15</v>
      </c>
      <c r="B5093" s="356">
        <v>44105</v>
      </c>
      <c r="C5093" s="1">
        <v>200</v>
      </c>
      <c r="D5093" s="47">
        <f t="shared" si="438"/>
        <v>8743</v>
      </c>
      <c r="E5093" s="1">
        <v>4</v>
      </c>
      <c r="F5093" s="78">
        <f t="shared" si="437"/>
        <v>289</v>
      </c>
    </row>
    <row r="5094" spans="1:6" x14ac:dyDescent="0.25">
      <c r="A5094" s="84" t="s">
        <v>29</v>
      </c>
      <c r="B5094" s="356">
        <v>44105</v>
      </c>
      <c r="C5094" s="1">
        <v>188</v>
      </c>
      <c r="D5094" s="47">
        <f t="shared" si="438"/>
        <v>4143</v>
      </c>
      <c r="E5094" s="1">
        <v>6</v>
      </c>
      <c r="F5094" s="78">
        <f t="shared" si="437"/>
        <v>56</v>
      </c>
    </row>
    <row r="5095" spans="1:6" x14ac:dyDescent="0.25">
      <c r="A5095" s="84" t="s">
        <v>20</v>
      </c>
      <c r="B5095" s="356">
        <v>44105</v>
      </c>
      <c r="C5095" s="1">
        <v>1966</v>
      </c>
      <c r="D5095" s="47">
        <f t="shared" si="438"/>
        <v>36169</v>
      </c>
      <c r="E5095" s="1">
        <v>17</v>
      </c>
      <c r="F5095" s="78">
        <f t="shared" si="437"/>
        <v>414</v>
      </c>
    </row>
    <row r="5096" spans="1:6" x14ac:dyDescent="0.25">
      <c r="A5096" s="84" t="s">
        <v>30</v>
      </c>
      <c r="B5096" s="356">
        <v>44105</v>
      </c>
      <c r="C5096" s="1">
        <v>7</v>
      </c>
      <c r="D5096" s="47">
        <f t="shared" si="438"/>
        <v>1100</v>
      </c>
      <c r="E5096" s="1">
        <v>0</v>
      </c>
      <c r="F5096" s="78">
        <f t="shared" si="437"/>
        <v>22</v>
      </c>
    </row>
    <row r="5097" spans="1:6" x14ac:dyDescent="0.25">
      <c r="A5097" s="84" t="s">
        <v>31</v>
      </c>
      <c r="B5097" s="356">
        <v>44105</v>
      </c>
      <c r="C5097" s="1">
        <v>186</v>
      </c>
      <c r="D5097" s="47">
        <f t="shared" si="438"/>
        <v>7669</v>
      </c>
      <c r="E5097" s="1">
        <v>0</v>
      </c>
      <c r="F5097" s="78">
        <f t="shared" si="437"/>
        <v>140</v>
      </c>
    </row>
    <row r="5098" spans="1:6" x14ac:dyDescent="0.25">
      <c r="A5098" s="84" t="s">
        <v>41</v>
      </c>
      <c r="B5098" s="356">
        <v>44105</v>
      </c>
      <c r="C5098" s="1">
        <v>0</v>
      </c>
      <c r="D5098" s="47">
        <f t="shared" si="438"/>
        <v>104</v>
      </c>
      <c r="E5098" s="1">
        <v>0</v>
      </c>
      <c r="F5098" s="78">
        <f t="shared" si="437"/>
        <v>1</v>
      </c>
    </row>
    <row r="5099" spans="1:6" x14ac:dyDescent="0.25">
      <c r="A5099" s="84" t="s">
        <v>32</v>
      </c>
      <c r="B5099" s="356">
        <v>44105</v>
      </c>
      <c r="C5099" s="1">
        <v>175</v>
      </c>
      <c r="D5099" s="47">
        <f t="shared" si="438"/>
        <v>15845</v>
      </c>
      <c r="E5099" s="1">
        <v>16</v>
      </c>
      <c r="F5099" s="78">
        <f t="shared" si="437"/>
        <v>520</v>
      </c>
    </row>
    <row r="5100" spans="1:6" x14ac:dyDescent="0.25">
      <c r="A5100" s="84" t="s">
        <v>33</v>
      </c>
      <c r="B5100" s="356">
        <v>44105</v>
      </c>
      <c r="C5100" s="1">
        <v>28</v>
      </c>
      <c r="D5100" s="47">
        <f t="shared" si="438"/>
        <v>791</v>
      </c>
      <c r="E5100" s="1">
        <v>0</v>
      </c>
      <c r="F5100" s="78">
        <f t="shared" ref="F5100:F5111" si="439">E5100+F5076</f>
        <v>7</v>
      </c>
    </row>
    <row r="5101" spans="1:6" x14ac:dyDescent="0.25">
      <c r="A5101" s="84" t="s">
        <v>21</v>
      </c>
      <c r="B5101" s="356">
        <v>44105</v>
      </c>
      <c r="C5101" s="1">
        <v>22</v>
      </c>
      <c r="D5101" s="47">
        <f t="shared" si="438"/>
        <v>4850</v>
      </c>
      <c r="E5101" s="1">
        <v>4</v>
      </c>
      <c r="F5101" s="78">
        <f t="shared" si="439"/>
        <v>105</v>
      </c>
    </row>
    <row r="5102" spans="1:6" x14ac:dyDescent="0.25">
      <c r="A5102" s="84" t="s">
        <v>17</v>
      </c>
      <c r="B5102" s="356">
        <v>44105</v>
      </c>
      <c r="C5102" s="1">
        <v>799</v>
      </c>
      <c r="D5102" s="47">
        <f t="shared" si="438"/>
        <v>25848</v>
      </c>
      <c r="E5102" s="1">
        <v>7</v>
      </c>
      <c r="F5102" s="78">
        <f t="shared" si="439"/>
        <v>274</v>
      </c>
    </row>
    <row r="5103" spans="1:6" x14ac:dyDescent="0.25">
      <c r="A5103" s="84" t="s">
        <v>23</v>
      </c>
      <c r="B5103" s="356">
        <v>44105</v>
      </c>
      <c r="C5103" s="1">
        <v>-2</v>
      </c>
      <c r="D5103" s="47">
        <f t="shared" si="438"/>
        <v>94</v>
      </c>
      <c r="E5103" s="1">
        <v>0</v>
      </c>
      <c r="F5103" s="78">
        <f t="shared" si="439"/>
        <v>3</v>
      </c>
    </row>
    <row r="5104" spans="1:6" x14ac:dyDescent="0.25">
      <c r="A5104" s="84" t="s">
        <v>19</v>
      </c>
      <c r="B5104" s="356">
        <v>44105</v>
      </c>
      <c r="C5104" s="1">
        <v>186</v>
      </c>
      <c r="D5104" s="47">
        <f>C5104+D5080</f>
        <v>8079</v>
      </c>
      <c r="E5104" s="1">
        <v>1</v>
      </c>
      <c r="F5104" s="78">
        <f t="shared" si="439"/>
        <v>118</v>
      </c>
    </row>
    <row r="5105" spans="1:6" x14ac:dyDescent="0.25">
      <c r="A5105" s="84" t="s">
        <v>18</v>
      </c>
      <c r="B5105" s="356">
        <v>44105</v>
      </c>
      <c r="C5105" s="1">
        <v>287</v>
      </c>
      <c r="D5105" s="47">
        <f>C5105+D5081</f>
        <v>13126</v>
      </c>
      <c r="E5105" s="1">
        <v>9</v>
      </c>
      <c r="F5105" s="78">
        <f t="shared" si="439"/>
        <v>299</v>
      </c>
    </row>
    <row r="5106" spans="1:6" x14ac:dyDescent="0.25">
      <c r="A5106" s="84" t="s">
        <v>34</v>
      </c>
      <c r="B5106" s="356">
        <v>44105</v>
      </c>
      <c r="C5106" s="1">
        <v>359</v>
      </c>
      <c r="D5106" s="47">
        <f>C5106+D5082</f>
        <v>12774</v>
      </c>
      <c r="E5106" s="1">
        <v>11</v>
      </c>
      <c r="F5106" s="78">
        <f>E5106+F5082</f>
        <v>349</v>
      </c>
    </row>
    <row r="5107" spans="1:6" x14ac:dyDescent="0.25">
      <c r="A5107" s="84" t="s">
        <v>35</v>
      </c>
      <c r="B5107" s="356">
        <v>44105</v>
      </c>
      <c r="C5107" s="1">
        <v>34</v>
      </c>
      <c r="D5107" s="47">
        <f t="shared" ref="D5107:D5113" si="440">C5107+D5083</f>
        <v>751</v>
      </c>
      <c r="E5107" s="1">
        <v>1</v>
      </c>
      <c r="F5107" s="78">
        <f>E5107+F5083</f>
        <v>36</v>
      </c>
    </row>
    <row r="5108" spans="1:6" x14ac:dyDescent="0.25">
      <c r="A5108" s="84" t="s">
        <v>36</v>
      </c>
      <c r="B5108" s="356">
        <v>44105</v>
      </c>
      <c r="C5108" s="1">
        <v>93</v>
      </c>
      <c r="D5108" s="47">
        <f t="shared" si="440"/>
        <v>1565</v>
      </c>
      <c r="E5108" s="1">
        <v>1</v>
      </c>
      <c r="F5108" s="78">
        <f t="shared" si="439"/>
        <v>7</v>
      </c>
    </row>
    <row r="5109" spans="1:6" x14ac:dyDescent="0.25">
      <c r="A5109" s="84" t="s">
        <v>37</v>
      </c>
      <c r="B5109" s="356">
        <v>44105</v>
      </c>
      <c r="C5109" s="1">
        <v>142</v>
      </c>
      <c r="D5109" s="47">
        <f t="shared" si="440"/>
        <v>4986</v>
      </c>
      <c r="E5109" s="1">
        <v>3</v>
      </c>
      <c r="F5109" s="78">
        <f>E5109+F5085</f>
        <v>65</v>
      </c>
    </row>
    <row r="5110" spans="1:6" x14ac:dyDescent="0.25">
      <c r="A5110" s="84" t="s">
        <v>22</v>
      </c>
      <c r="B5110" s="356">
        <v>44105</v>
      </c>
      <c r="C5110" s="1">
        <v>2073</v>
      </c>
      <c r="D5110" s="47">
        <f t="shared" si="440"/>
        <v>44471</v>
      </c>
      <c r="E5110" s="1">
        <v>21</v>
      </c>
      <c r="F5110" s="78">
        <f>E5110+F5086</f>
        <v>467</v>
      </c>
    </row>
    <row r="5111" spans="1:6" x14ac:dyDescent="0.25">
      <c r="A5111" s="84" t="s">
        <v>38</v>
      </c>
      <c r="B5111" s="356">
        <v>44105</v>
      </c>
      <c r="C5111" s="1">
        <v>126</v>
      </c>
      <c r="D5111" s="47">
        <f t="shared" si="440"/>
        <v>3545</v>
      </c>
      <c r="E5111" s="1">
        <v>0</v>
      </c>
      <c r="F5111" s="78">
        <f t="shared" si="439"/>
        <v>62</v>
      </c>
    </row>
    <row r="5112" spans="1:6" x14ac:dyDescent="0.25">
      <c r="A5112" s="84" t="s">
        <v>39</v>
      </c>
      <c r="B5112" s="356">
        <v>44105</v>
      </c>
      <c r="C5112" s="1">
        <v>164</v>
      </c>
      <c r="D5112" s="47">
        <f t="shared" si="440"/>
        <v>4527</v>
      </c>
      <c r="E5112" s="1">
        <v>0</v>
      </c>
      <c r="F5112" s="78">
        <f t="shared" ref="F5112:F5123" si="441">E5112+F5088</f>
        <v>67</v>
      </c>
    </row>
    <row r="5113" spans="1:6" ht="15.75" thickBot="1" x14ac:dyDescent="0.3">
      <c r="A5113" s="85" t="s">
        <v>40</v>
      </c>
      <c r="B5113" s="358">
        <v>44105</v>
      </c>
      <c r="C5113" s="54">
        <v>632</v>
      </c>
      <c r="D5113" s="214">
        <f t="shared" si="440"/>
        <v>15546</v>
      </c>
      <c r="E5113" s="54">
        <v>0</v>
      </c>
      <c r="F5113" s="79">
        <f t="shared" si="441"/>
        <v>132</v>
      </c>
    </row>
    <row r="5114" spans="1:6" ht="15.75" thickBot="1" x14ac:dyDescent="0.3">
      <c r="A5114" s="36" t="s">
        <v>16</v>
      </c>
      <c r="B5114" s="358">
        <v>44106</v>
      </c>
      <c r="C5114" s="293">
        <v>5695</v>
      </c>
      <c r="D5114" s="211">
        <f>C5114+D5090</f>
        <v>428779</v>
      </c>
      <c r="E5114" s="293">
        <v>149</v>
      </c>
      <c r="F5114" s="77">
        <f t="shared" si="441"/>
        <v>13265</v>
      </c>
    </row>
    <row r="5115" spans="1:6" ht="15.75" thickBot="1" x14ac:dyDescent="0.3">
      <c r="A5115" s="84" t="s">
        <v>43</v>
      </c>
      <c r="B5115" s="358">
        <v>44106</v>
      </c>
      <c r="C5115" s="1">
        <v>1050</v>
      </c>
      <c r="D5115" s="47">
        <f t="shared" ref="D5115:D5127" si="442">C5115+D5091</f>
        <v>127940</v>
      </c>
      <c r="E5115" s="1">
        <v>44</v>
      </c>
      <c r="F5115" s="78">
        <f t="shared" si="441"/>
        <v>3546</v>
      </c>
    </row>
    <row r="5116" spans="1:6" ht="15.75" thickBot="1" x14ac:dyDescent="0.3">
      <c r="A5116" s="84" t="s">
        <v>28</v>
      </c>
      <c r="B5116" s="358">
        <v>44106</v>
      </c>
      <c r="C5116" s="1">
        <v>7</v>
      </c>
      <c r="D5116" s="47">
        <f t="shared" si="442"/>
        <v>299</v>
      </c>
      <c r="F5116" s="78">
        <f t="shared" si="441"/>
        <v>0</v>
      </c>
    </row>
    <row r="5117" spans="1:6" ht="15.75" thickBot="1" x14ac:dyDescent="0.3">
      <c r="A5117" s="84" t="s">
        <v>15</v>
      </c>
      <c r="B5117" s="358">
        <v>44106</v>
      </c>
      <c r="C5117" s="1">
        <v>200</v>
      </c>
      <c r="D5117" s="47">
        <f t="shared" si="442"/>
        <v>8943</v>
      </c>
      <c r="E5117" s="1">
        <v>8</v>
      </c>
      <c r="F5117" s="78">
        <f t="shared" si="441"/>
        <v>297</v>
      </c>
    </row>
    <row r="5118" spans="1:6" ht="15.75" thickBot="1" x14ac:dyDescent="0.3">
      <c r="A5118" s="84" t="s">
        <v>29</v>
      </c>
      <c r="B5118" s="358">
        <v>44106</v>
      </c>
      <c r="C5118" s="1">
        <v>214</v>
      </c>
      <c r="D5118" s="47">
        <f t="shared" si="442"/>
        <v>4357</v>
      </c>
      <c r="E5118" s="1">
        <v>2</v>
      </c>
      <c r="F5118" s="78">
        <f t="shared" si="441"/>
        <v>58</v>
      </c>
    </row>
    <row r="5119" spans="1:6" ht="15.75" thickBot="1" x14ac:dyDescent="0.3">
      <c r="A5119" s="84" t="s">
        <v>20</v>
      </c>
      <c r="B5119" s="358">
        <v>44106</v>
      </c>
      <c r="C5119" s="1">
        <v>1776</v>
      </c>
      <c r="D5119" s="47">
        <f t="shared" si="442"/>
        <v>37945</v>
      </c>
      <c r="E5119" s="1">
        <v>14</v>
      </c>
      <c r="F5119" s="78">
        <f t="shared" si="441"/>
        <v>428</v>
      </c>
    </row>
    <row r="5120" spans="1:6" ht="15.75" thickBot="1" x14ac:dyDescent="0.3">
      <c r="A5120" s="84" t="s">
        <v>30</v>
      </c>
      <c r="B5120" s="358">
        <v>44106</v>
      </c>
      <c r="C5120" s="1">
        <v>67</v>
      </c>
      <c r="D5120" s="47">
        <f t="shared" si="442"/>
        <v>1167</v>
      </c>
      <c r="E5120" s="1">
        <v>4</v>
      </c>
      <c r="F5120" s="78">
        <f t="shared" si="441"/>
        <v>26</v>
      </c>
    </row>
    <row r="5121" spans="1:6" ht="15.75" thickBot="1" x14ac:dyDescent="0.3">
      <c r="A5121" s="84" t="s">
        <v>31</v>
      </c>
      <c r="B5121" s="358">
        <v>44106</v>
      </c>
      <c r="C5121" s="1">
        <v>173</v>
      </c>
      <c r="D5121" s="47">
        <f t="shared" si="442"/>
        <v>7842</v>
      </c>
      <c r="E5121" s="1">
        <v>2</v>
      </c>
      <c r="F5121" s="78">
        <f t="shared" si="441"/>
        <v>142</v>
      </c>
    </row>
    <row r="5122" spans="1:6" ht="15.75" thickBot="1" x14ac:dyDescent="0.3">
      <c r="A5122" s="84" t="s">
        <v>41</v>
      </c>
      <c r="B5122" s="358">
        <v>44106</v>
      </c>
      <c r="C5122" s="1">
        <v>2</v>
      </c>
      <c r="D5122" s="47">
        <f t="shared" si="442"/>
        <v>106</v>
      </c>
      <c r="F5122" s="78">
        <f t="shared" si="441"/>
        <v>1</v>
      </c>
    </row>
    <row r="5123" spans="1:6" ht="15.75" thickBot="1" x14ac:dyDescent="0.3">
      <c r="A5123" s="84" t="s">
        <v>32</v>
      </c>
      <c r="B5123" s="358">
        <v>44106</v>
      </c>
      <c r="C5123" s="1">
        <v>116</v>
      </c>
      <c r="D5123" s="47">
        <f t="shared" si="442"/>
        <v>15961</v>
      </c>
      <c r="E5123" s="1">
        <v>9</v>
      </c>
      <c r="F5123" s="78">
        <f t="shared" si="441"/>
        <v>529</v>
      </c>
    </row>
    <row r="5124" spans="1:6" ht="15.75" thickBot="1" x14ac:dyDescent="0.3">
      <c r="A5124" s="84" t="s">
        <v>33</v>
      </c>
      <c r="B5124" s="358">
        <v>44106</v>
      </c>
      <c r="C5124" s="1">
        <v>13</v>
      </c>
      <c r="D5124" s="47">
        <f t="shared" si="442"/>
        <v>804</v>
      </c>
      <c r="E5124" s="1">
        <v>2</v>
      </c>
      <c r="F5124" s="78">
        <f t="shared" ref="F5124:F5135" si="443">E5124+F5100</f>
        <v>9</v>
      </c>
    </row>
    <row r="5125" spans="1:6" ht="15.75" thickBot="1" x14ac:dyDescent="0.3">
      <c r="A5125" s="84" t="s">
        <v>21</v>
      </c>
      <c r="B5125" s="358">
        <v>44106</v>
      </c>
      <c r="C5125" s="1">
        <v>142</v>
      </c>
      <c r="D5125" s="47">
        <f t="shared" si="442"/>
        <v>4992</v>
      </c>
      <c r="F5125" s="78">
        <f t="shared" si="443"/>
        <v>105</v>
      </c>
    </row>
    <row r="5126" spans="1:6" ht="15.75" thickBot="1" x14ac:dyDescent="0.3">
      <c r="A5126" s="84" t="s">
        <v>17</v>
      </c>
      <c r="B5126" s="358">
        <v>44106</v>
      </c>
      <c r="C5126" s="1">
        <v>759</v>
      </c>
      <c r="D5126" s="47">
        <f t="shared" si="442"/>
        <v>26607</v>
      </c>
      <c r="E5126" s="1">
        <v>14</v>
      </c>
      <c r="F5126" s="78">
        <f t="shared" si="443"/>
        <v>288</v>
      </c>
    </row>
    <row r="5127" spans="1:6" ht="15.75" thickBot="1" x14ac:dyDescent="0.3">
      <c r="A5127" s="84" t="s">
        <v>23</v>
      </c>
      <c r="B5127" s="358">
        <v>44106</v>
      </c>
      <c r="C5127" s="1">
        <v>5</v>
      </c>
      <c r="D5127" s="47">
        <f t="shared" si="442"/>
        <v>99</v>
      </c>
      <c r="E5127" s="1">
        <v>1</v>
      </c>
      <c r="F5127" s="78">
        <f t="shared" si="443"/>
        <v>4</v>
      </c>
    </row>
    <row r="5128" spans="1:6" ht="15.75" thickBot="1" x14ac:dyDescent="0.3">
      <c r="A5128" s="84" t="s">
        <v>19</v>
      </c>
      <c r="B5128" s="358">
        <v>44106</v>
      </c>
      <c r="C5128" s="1">
        <v>270</v>
      </c>
      <c r="D5128" s="47">
        <f>C5128+D5104</f>
        <v>8349</v>
      </c>
      <c r="E5128" s="1">
        <v>2</v>
      </c>
      <c r="F5128" s="78">
        <f t="shared" si="443"/>
        <v>120</v>
      </c>
    </row>
    <row r="5129" spans="1:6" ht="15.75" thickBot="1" x14ac:dyDescent="0.3">
      <c r="A5129" s="84" t="s">
        <v>18</v>
      </c>
      <c r="B5129" s="358">
        <v>44106</v>
      </c>
      <c r="C5129" s="1">
        <v>371</v>
      </c>
      <c r="D5129" s="47">
        <f>C5129+D5105</f>
        <v>13497</v>
      </c>
      <c r="E5129" s="1">
        <v>4</v>
      </c>
      <c r="F5129" s="78">
        <f t="shared" si="443"/>
        <v>303</v>
      </c>
    </row>
    <row r="5130" spans="1:6" ht="15.75" thickBot="1" x14ac:dyDescent="0.3">
      <c r="A5130" s="84" t="s">
        <v>34</v>
      </c>
      <c r="B5130" s="358">
        <v>44106</v>
      </c>
      <c r="C5130" s="1">
        <v>327</v>
      </c>
      <c r="D5130" s="47">
        <f>C5130+D5106</f>
        <v>13101</v>
      </c>
      <c r="E5130" s="1">
        <v>14</v>
      </c>
      <c r="F5130" s="78">
        <f>E5130+F5106</f>
        <v>363</v>
      </c>
    </row>
    <row r="5131" spans="1:6" ht="15.75" thickBot="1" x14ac:dyDescent="0.3">
      <c r="A5131" s="84" t="s">
        <v>35</v>
      </c>
      <c r="B5131" s="358">
        <v>44106</v>
      </c>
      <c r="C5131" s="1">
        <v>3</v>
      </c>
      <c r="D5131" s="47">
        <f t="shared" ref="D5131:D5137" si="444">C5131+D5107</f>
        <v>754</v>
      </c>
      <c r="E5131" s="1">
        <v>4</v>
      </c>
      <c r="F5131" s="78">
        <f>E5131+F5107</f>
        <v>40</v>
      </c>
    </row>
    <row r="5132" spans="1:6" ht="15.75" thickBot="1" x14ac:dyDescent="0.3">
      <c r="A5132" s="84" t="s">
        <v>36</v>
      </c>
      <c r="B5132" s="358">
        <v>44106</v>
      </c>
      <c r="C5132" s="1">
        <v>73</v>
      </c>
      <c r="D5132" s="47">
        <f t="shared" si="444"/>
        <v>1638</v>
      </c>
      <c r="F5132" s="78">
        <f t="shared" si="443"/>
        <v>7</v>
      </c>
    </row>
    <row r="5133" spans="1:6" ht="15.75" thickBot="1" x14ac:dyDescent="0.3">
      <c r="A5133" s="84" t="s">
        <v>37</v>
      </c>
      <c r="B5133" s="358">
        <v>44106</v>
      </c>
      <c r="C5133" s="1">
        <v>137</v>
      </c>
      <c r="D5133" s="47">
        <f t="shared" si="444"/>
        <v>5123</v>
      </c>
      <c r="E5133" s="1">
        <v>2</v>
      </c>
      <c r="F5133" s="78">
        <f>E5133+F5109</f>
        <v>67</v>
      </c>
    </row>
    <row r="5134" spans="1:6" ht="15.75" thickBot="1" x14ac:dyDescent="0.3">
      <c r="A5134" s="84" t="s">
        <v>22</v>
      </c>
      <c r="B5134" s="358">
        <v>44106</v>
      </c>
      <c r="C5134" s="1">
        <v>2244</v>
      </c>
      <c r="D5134" s="47">
        <f t="shared" si="444"/>
        <v>46715</v>
      </c>
      <c r="E5134" s="1">
        <v>24</v>
      </c>
      <c r="F5134" s="78">
        <f>E5134+F5110</f>
        <v>491</v>
      </c>
    </row>
    <row r="5135" spans="1:6" ht="15.75" thickBot="1" x14ac:dyDescent="0.3">
      <c r="A5135" s="84" t="s">
        <v>38</v>
      </c>
      <c r="B5135" s="358">
        <v>44106</v>
      </c>
      <c r="C5135" s="1">
        <v>176</v>
      </c>
      <c r="D5135" s="47">
        <f t="shared" si="444"/>
        <v>3721</v>
      </c>
      <c r="E5135" s="1">
        <v>2</v>
      </c>
      <c r="F5135" s="78">
        <f t="shared" si="443"/>
        <v>64</v>
      </c>
    </row>
    <row r="5136" spans="1:6" ht="15.75" thickBot="1" x14ac:dyDescent="0.3">
      <c r="A5136" s="84" t="s">
        <v>39</v>
      </c>
      <c r="B5136" s="358">
        <v>44106</v>
      </c>
      <c r="C5136" s="1">
        <v>193</v>
      </c>
      <c r="D5136" s="47">
        <f t="shared" si="444"/>
        <v>4720</v>
      </c>
      <c r="E5136" s="1">
        <v>3</v>
      </c>
      <c r="F5136" s="78">
        <f t="shared" ref="F5136:F5147" si="445">E5136+F5112</f>
        <v>70</v>
      </c>
    </row>
    <row r="5137" spans="1:6" ht="15.75" thickBot="1" x14ac:dyDescent="0.3">
      <c r="A5137" s="85" t="s">
        <v>40</v>
      </c>
      <c r="B5137" s="358">
        <v>44106</v>
      </c>
      <c r="C5137" s="1">
        <v>674</v>
      </c>
      <c r="D5137" s="214">
        <f t="shared" si="444"/>
        <v>16220</v>
      </c>
      <c r="E5137" s="1">
        <v>8</v>
      </c>
      <c r="F5137" s="79">
        <f t="shared" si="445"/>
        <v>140</v>
      </c>
    </row>
    <row r="5138" spans="1:6" ht="15.75" thickBot="1" x14ac:dyDescent="0.3">
      <c r="A5138" s="36" t="s">
        <v>16</v>
      </c>
      <c r="B5138" s="358">
        <v>44107</v>
      </c>
      <c r="C5138" s="1">
        <v>4507</v>
      </c>
      <c r="D5138" s="211">
        <f>C5138+D5114</f>
        <v>433286</v>
      </c>
      <c r="E5138" s="1">
        <v>92</v>
      </c>
      <c r="F5138" s="77">
        <f t="shared" si="445"/>
        <v>13357</v>
      </c>
    </row>
    <row r="5139" spans="1:6" ht="15.75" thickBot="1" x14ac:dyDescent="0.3">
      <c r="A5139" s="84" t="s">
        <v>43</v>
      </c>
      <c r="B5139" s="358">
        <v>44107</v>
      </c>
      <c r="C5139" s="1">
        <v>801</v>
      </c>
      <c r="D5139" s="47">
        <f t="shared" ref="D5139:D5151" si="446">C5139+D5115</f>
        <v>128741</v>
      </c>
      <c r="E5139" s="1">
        <f>8+12</f>
        <v>20</v>
      </c>
      <c r="F5139" s="78">
        <f t="shared" si="445"/>
        <v>3566</v>
      </c>
    </row>
    <row r="5140" spans="1:6" ht="15.75" thickBot="1" x14ac:dyDescent="0.3">
      <c r="A5140" s="84" t="s">
        <v>28</v>
      </c>
      <c r="B5140" s="358">
        <v>44107</v>
      </c>
      <c r="C5140" s="1">
        <v>6</v>
      </c>
      <c r="D5140" s="47">
        <f t="shared" si="446"/>
        <v>305</v>
      </c>
      <c r="F5140" s="78">
        <f t="shared" si="445"/>
        <v>0</v>
      </c>
    </row>
    <row r="5141" spans="1:6" ht="15.75" thickBot="1" x14ac:dyDescent="0.3">
      <c r="A5141" s="84" t="s">
        <v>15</v>
      </c>
      <c r="B5141" s="358">
        <v>44107</v>
      </c>
      <c r="C5141" s="1">
        <v>120</v>
      </c>
      <c r="D5141" s="47">
        <f t="shared" si="446"/>
        <v>9063</v>
      </c>
      <c r="E5141" s="1">
        <f>1</f>
        <v>1</v>
      </c>
      <c r="F5141" s="78">
        <f t="shared" si="445"/>
        <v>298</v>
      </c>
    </row>
    <row r="5142" spans="1:6" ht="15.75" thickBot="1" x14ac:dyDescent="0.3">
      <c r="A5142" s="84" t="s">
        <v>29</v>
      </c>
      <c r="B5142" s="358">
        <v>44107</v>
      </c>
      <c r="C5142" s="1">
        <v>149</v>
      </c>
      <c r="D5142" s="47">
        <f t="shared" si="446"/>
        <v>4506</v>
      </c>
      <c r="F5142" s="78">
        <f t="shared" si="445"/>
        <v>58</v>
      </c>
    </row>
    <row r="5143" spans="1:6" ht="15.75" thickBot="1" x14ac:dyDescent="0.3">
      <c r="A5143" s="84" t="s">
        <v>20</v>
      </c>
      <c r="B5143" s="358">
        <v>44107</v>
      </c>
      <c r="C5143" s="1">
        <v>1451</v>
      </c>
      <c r="D5143" s="47">
        <f t="shared" si="446"/>
        <v>39396</v>
      </c>
      <c r="E5143" s="1">
        <f>12+7</f>
        <v>19</v>
      </c>
      <c r="F5143" s="78">
        <f t="shared" si="445"/>
        <v>447</v>
      </c>
    </row>
    <row r="5144" spans="1:6" ht="15.75" thickBot="1" x14ac:dyDescent="0.3">
      <c r="A5144" s="84" t="s">
        <v>30</v>
      </c>
      <c r="B5144" s="358">
        <v>44107</v>
      </c>
      <c r="C5144" s="1">
        <v>3</v>
      </c>
      <c r="D5144" s="47">
        <f t="shared" si="446"/>
        <v>1170</v>
      </c>
      <c r="E5144" s="1">
        <f>1</f>
        <v>1</v>
      </c>
      <c r="F5144" s="78">
        <f t="shared" si="445"/>
        <v>27</v>
      </c>
    </row>
    <row r="5145" spans="1:6" ht="15.75" thickBot="1" x14ac:dyDescent="0.3">
      <c r="A5145" s="84" t="s">
        <v>31</v>
      </c>
      <c r="B5145" s="358">
        <v>44107</v>
      </c>
      <c r="C5145" s="1">
        <v>152</v>
      </c>
      <c r="D5145" s="47">
        <f t="shared" si="446"/>
        <v>7994</v>
      </c>
      <c r="E5145" s="1">
        <f>1</f>
        <v>1</v>
      </c>
      <c r="F5145" s="78">
        <f t="shared" si="445"/>
        <v>143</v>
      </c>
    </row>
    <row r="5146" spans="1:6" ht="15.75" thickBot="1" x14ac:dyDescent="0.3">
      <c r="A5146" s="84" t="s">
        <v>41</v>
      </c>
      <c r="B5146" s="358">
        <v>44107</v>
      </c>
      <c r="C5146" s="1">
        <v>-1</v>
      </c>
      <c r="D5146" s="47">
        <f t="shared" si="446"/>
        <v>105</v>
      </c>
      <c r="F5146" s="78">
        <f t="shared" si="445"/>
        <v>1</v>
      </c>
    </row>
    <row r="5147" spans="1:6" ht="15.75" thickBot="1" x14ac:dyDescent="0.3">
      <c r="A5147" s="84" t="s">
        <v>32</v>
      </c>
      <c r="B5147" s="358">
        <v>44107</v>
      </c>
      <c r="C5147" s="1">
        <v>122</v>
      </c>
      <c r="D5147" s="47">
        <f t="shared" si="446"/>
        <v>16083</v>
      </c>
      <c r="E5147" s="1">
        <f>8+2</f>
        <v>10</v>
      </c>
      <c r="F5147" s="78">
        <f t="shared" si="445"/>
        <v>539</v>
      </c>
    </row>
    <row r="5148" spans="1:6" ht="15.75" thickBot="1" x14ac:dyDescent="0.3">
      <c r="A5148" s="84" t="s">
        <v>33</v>
      </c>
      <c r="B5148" s="358">
        <v>44107</v>
      </c>
      <c r="C5148" s="1">
        <v>27</v>
      </c>
      <c r="D5148" s="47">
        <f t="shared" si="446"/>
        <v>831</v>
      </c>
      <c r="F5148" s="78">
        <f t="shared" ref="F5148:F5159" si="447">E5148+F5124</f>
        <v>9</v>
      </c>
    </row>
    <row r="5149" spans="1:6" ht="15.75" thickBot="1" x14ac:dyDescent="0.3">
      <c r="A5149" s="84" t="s">
        <v>21</v>
      </c>
      <c r="B5149" s="358">
        <v>44107</v>
      </c>
      <c r="C5149" s="1">
        <v>62</v>
      </c>
      <c r="D5149" s="47">
        <f t="shared" si="446"/>
        <v>5054</v>
      </c>
      <c r="F5149" s="78">
        <f t="shared" si="447"/>
        <v>105</v>
      </c>
    </row>
    <row r="5150" spans="1:6" ht="15.75" thickBot="1" x14ac:dyDescent="0.3">
      <c r="A5150" s="84" t="s">
        <v>17</v>
      </c>
      <c r="B5150" s="358">
        <v>44107</v>
      </c>
      <c r="C5150" s="1">
        <v>517</v>
      </c>
      <c r="D5150" s="47">
        <f t="shared" si="446"/>
        <v>27124</v>
      </c>
      <c r="E5150" s="1">
        <f>12+4</f>
        <v>16</v>
      </c>
      <c r="F5150" s="78">
        <f t="shared" si="447"/>
        <v>304</v>
      </c>
    </row>
    <row r="5151" spans="1:6" ht="15.75" thickBot="1" x14ac:dyDescent="0.3">
      <c r="A5151" s="84" t="s">
        <v>23</v>
      </c>
      <c r="B5151" s="358">
        <v>44107</v>
      </c>
      <c r="C5151" s="1">
        <v>5</v>
      </c>
      <c r="D5151" s="47">
        <f t="shared" si="446"/>
        <v>104</v>
      </c>
      <c r="F5151" s="78">
        <f t="shared" si="447"/>
        <v>4</v>
      </c>
    </row>
    <row r="5152" spans="1:6" ht="15.75" thickBot="1" x14ac:dyDescent="0.3">
      <c r="A5152" s="84" t="s">
        <v>19</v>
      </c>
      <c r="B5152" s="358">
        <v>44107</v>
      </c>
      <c r="C5152" s="1">
        <v>264</v>
      </c>
      <c r="D5152" s="47">
        <f>C5152+D5128</f>
        <v>8613</v>
      </c>
      <c r="E5152" s="1">
        <f>1</f>
        <v>1</v>
      </c>
      <c r="F5152" s="78">
        <f t="shared" si="447"/>
        <v>121</v>
      </c>
    </row>
    <row r="5153" spans="1:6" ht="15.75" thickBot="1" x14ac:dyDescent="0.3">
      <c r="A5153" s="84" t="s">
        <v>18</v>
      </c>
      <c r="B5153" s="358">
        <v>44107</v>
      </c>
      <c r="C5153" s="1">
        <v>330</v>
      </c>
      <c r="D5153" s="47">
        <f>C5153+D5129</f>
        <v>13827</v>
      </c>
      <c r="E5153" s="1">
        <f>2+2</f>
        <v>4</v>
      </c>
      <c r="F5153" s="78">
        <f t="shared" si="447"/>
        <v>307</v>
      </c>
    </row>
    <row r="5154" spans="1:6" ht="15.75" thickBot="1" x14ac:dyDescent="0.3">
      <c r="A5154" s="84" t="s">
        <v>34</v>
      </c>
      <c r="B5154" s="358">
        <v>44107</v>
      </c>
      <c r="C5154" s="1">
        <v>134</v>
      </c>
      <c r="D5154" s="47">
        <f>C5154+D5130</f>
        <v>13235</v>
      </c>
      <c r="E5154" s="1">
        <f>2+1</f>
        <v>3</v>
      </c>
      <c r="F5154" s="78">
        <f>E5154+F5130</f>
        <v>366</v>
      </c>
    </row>
    <row r="5155" spans="1:6" ht="15.75" thickBot="1" x14ac:dyDescent="0.3">
      <c r="A5155" s="84" t="s">
        <v>35</v>
      </c>
      <c r="B5155" s="358">
        <v>44107</v>
      </c>
      <c r="C5155" s="1">
        <v>75</v>
      </c>
      <c r="D5155" s="47">
        <f t="shared" ref="D5155:D5161" si="448">C5155+D5131</f>
        <v>829</v>
      </c>
      <c r="F5155" s="78">
        <f>E5155+F5131</f>
        <v>40</v>
      </c>
    </row>
    <row r="5156" spans="1:6" ht="15.75" thickBot="1" x14ac:dyDescent="0.3">
      <c r="A5156" s="84" t="s">
        <v>36</v>
      </c>
      <c r="B5156" s="358">
        <v>44107</v>
      </c>
      <c r="C5156" s="1">
        <v>11</v>
      </c>
      <c r="D5156" s="47">
        <f t="shared" si="448"/>
        <v>1649</v>
      </c>
      <c r="E5156" s="1">
        <f>7+5</f>
        <v>12</v>
      </c>
      <c r="F5156" s="78">
        <f t="shared" si="447"/>
        <v>19</v>
      </c>
    </row>
    <row r="5157" spans="1:6" ht="15.75" thickBot="1" x14ac:dyDescent="0.3">
      <c r="A5157" s="84" t="s">
        <v>37</v>
      </c>
      <c r="B5157" s="358">
        <v>44107</v>
      </c>
      <c r="C5157" s="1">
        <v>221</v>
      </c>
      <c r="D5157" s="47">
        <f t="shared" si="448"/>
        <v>5344</v>
      </c>
      <c r="F5157" s="78">
        <f>E5157+F5133</f>
        <v>67</v>
      </c>
    </row>
    <row r="5158" spans="1:6" ht="15.75" thickBot="1" x14ac:dyDescent="0.3">
      <c r="A5158" s="84" t="s">
        <v>22</v>
      </c>
      <c r="B5158" s="358">
        <v>44107</v>
      </c>
      <c r="C5158" s="1">
        <v>1450</v>
      </c>
      <c r="D5158" s="47">
        <f t="shared" si="448"/>
        <v>48165</v>
      </c>
      <c r="E5158" s="1">
        <f>7+8</f>
        <v>15</v>
      </c>
      <c r="F5158" s="78">
        <f>E5158+F5134</f>
        <v>506</v>
      </c>
    </row>
    <row r="5159" spans="1:6" ht="15.75" thickBot="1" x14ac:dyDescent="0.3">
      <c r="A5159" s="84" t="s">
        <v>38</v>
      </c>
      <c r="B5159" s="358">
        <v>44107</v>
      </c>
      <c r="C5159" s="1">
        <v>123</v>
      </c>
      <c r="D5159" s="47">
        <f t="shared" si="448"/>
        <v>3844</v>
      </c>
      <c r="E5159" s="1">
        <f>1</f>
        <v>1</v>
      </c>
      <c r="F5159" s="78">
        <f t="shared" si="447"/>
        <v>65</v>
      </c>
    </row>
    <row r="5160" spans="1:6" ht="15.75" thickBot="1" x14ac:dyDescent="0.3">
      <c r="A5160" s="84" t="s">
        <v>39</v>
      </c>
      <c r="B5160" s="358">
        <v>44107</v>
      </c>
      <c r="C5160" s="1">
        <v>188</v>
      </c>
      <c r="D5160" s="47">
        <f t="shared" si="448"/>
        <v>4908</v>
      </c>
      <c r="E5160" s="1">
        <f>1</f>
        <v>1</v>
      </c>
      <c r="F5160" s="78">
        <f t="shared" ref="F5160:F5171" si="449">E5160+F5136</f>
        <v>71</v>
      </c>
    </row>
    <row r="5161" spans="1:6" ht="15.75" thickBot="1" x14ac:dyDescent="0.3">
      <c r="A5161" s="85" t="s">
        <v>40</v>
      </c>
      <c r="B5161" s="358">
        <v>44107</v>
      </c>
      <c r="C5161" s="1">
        <v>412</v>
      </c>
      <c r="D5161" s="214">
        <f t="shared" si="448"/>
        <v>16632</v>
      </c>
      <c r="F5161" s="79">
        <f t="shared" si="449"/>
        <v>140</v>
      </c>
    </row>
    <row r="5162" spans="1:6" ht="15.75" thickBot="1" x14ac:dyDescent="0.3">
      <c r="A5162" s="36" t="s">
        <v>16</v>
      </c>
      <c r="B5162" s="358">
        <v>44108</v>
      </c>
      <c r="C5162" s="1">
        <v>2648</v>
      </c>
      <c r="D5162" s="211">
        <f>C5162+D5138</f>
        <v>435934</v>
      </c>
      <c r="E5162" s="1">
        <v>59</v>
      </c>
      <c r="F5162" s="77">
        <f t="shared" si="449"/>
        <v>13416</v>
      </c>
    </row>
    <row r="5163" spans="1:6" ht="15.75" thickBot="1" x14ac:dyDescent="0.3">
      <c r="A5163" s="84" t="s">
        <v>43</v>
      </c>
      <c r="B5163" s="358">
        <v>44108</v>
      </c>
      <c r="C5163" s="1">
        <v>533</v>
      </c>
      <c r="D5163" s="47">
        <f t="shared" ref="D5163:D5175" si="450">C5163+D5139</f>
        <v>129274</v>
      </c>
      <c r="E5163" s="1">
        <f>30+27</f>
        <v>57</v>
      </c>
      <c r="F5163" s="78">
        <f t="shared" si="449"/>
        <v>3623</v>
      </c>
    </row>
    <row r="5164" spans="1:6" ht="15.75" thickBot="1" x14ac:dyDescent="0.3">
      <c r="A5164" s="84" t="s">
        <v>28</v>
      </c>
      <c r="B5164" s="358">
        <v>44108</v>
      </c>
      <c r="C5164" s="1">
        <v>13</v>
      </c>
      <c r="D5164" s="47">
        <f t="shared" si="450"/>
        <v>318</v>
      </c>
      <c r="F5164" s="78">
        <f t="shared" si="449"/>
        <v>0</v>
      </c>
    </row>
    <row r="5165" spans="1:6" ht="15.75" thickBot="1" x14ac:dyDescent="0.3">
      <c r="A5165" s="84" t="s">
        <v>15</v>
      </c>
      <c r="B5165" s="358">
        <v>44108</v>
      </c>
      <c r="C5165" s="1">
        <v>177</v>
      </c>
      <c r="D5165" s="47">
        <f t="shared" si="450"/>
        <v>9240</v>
      </c>
      <c r="E5165" s="1">
        <f>2</f>
        <v>2</v>
      </c>
      <c r="F5165" s="78">
        <f t="shared" si="449"/>
        <v>300</v>
      </c>
    </row>
    <row r="5166" spans="1:6" ht="15.75" thickBot="1" x14ac:dyDescent="0.3">
      <c r="A5166" s="84" t="s">
        <v>29</v>
      </c>
      <c r="B5166" s="358">
        <v>44108</v>
      </c>
      <c r="C5166" s="1">
        <v>181</v>
      </c>
      <c r="D5166" s="47">
        <f t="shared" si="450"/>
        <v>4687</v>
      </c>
      <c r="F5166" s="78">
        <f t="shared" si="449"/>
        <v>58</v>
      </c>
    </row>
    <row r="5167" spans="1:6" ht="15.75" thickBot="1" x14ac:dyDescent="0.3">
      <c r="A5167" s="84" t="s">
        <v>20</v>
      </c>
      <c r="B5167" s="358">
        <v>44108</v>
      </c>
      <c r="C5167" s="1">
        <v>1154</v>
      </c>
      <c r="D5167" s="47">
        <f t="shared" si="450"/>
        <v>40550</v>
      </c>
      <c r="E5167" s="1">
        <f>9+16</f>
        <v>25</v>
      </c>
      <c r="F5167" s="78">
        <f t="shared" si="449"/>
        <v>472</v>
      </c>
    </row>
    <row r="5168" spans="1:6" ht="15.75" thickBot="1" x14ac:dyDescent="0.3">
      <c r="A5168" s="84" t="s">
        <v>30</v>
      </c>
      <c r="B5168" s="358">
        <v>44108</v>
      </c>
      <c r="C5168" s="1">
        <v>4</v>
      </c>
      <c r="D5168" s="47">
        <f t="shared" si="450"/>
        <v>1174</v>
      </c>
      <c r="F5168" s="78">
        <f t="shared" si="449"/>
        <v>27</v>
      </c>
    </row>
    <row r="5169" spans="1:6" ht="15.75" thickBot="1" x14ac:dyDescent="0.3">
      <c r="A5169" s="84" t="s">
        <v>31</v>
      </c>
      <c r="B5169" s="358">
        <v>44108</v>
      </c>
      <c r="C5169" s="1">
        <v>125</v>
      </c>
      <c r="D5169" s="47">
        <f t="shared" si="450"/>
        <v>8119</v>
      </c>
      <c r="F5169" s="78">
        <f t="shared" si="449"/>
        <v>143</v>
      </c>
    </row>
    <row r="5170" spans="1:6" ht="15.75" thickBot="1" x14ac:dyDescent="0.3">
      <c r="A5170" s="84" t="s">
        <v>41</v>
      </c>
      <c r="B5170" s="358">
        <v>44108</v>
      </c>
      <c r="C5170" s="1">
        <v>0</v>
      </c>
      <c r="D5170" s="47">
        <f t="shared" si="450"/>
        <v>105</v>
      </c>
      <c r="F5170" s="78">
        <f t="shared" si="449"/>
        <v>1</v>
      </c>
    </row>
    <row r="5171" spans="1:6" ht="15.75" thickBot="1" x14ac:dyDescent="0.3">
      <c r="A5171" s="84" t="s">
        <v>32</v>
      </c>
      <c r="B5171" s="358">
        <v>44108</v>
      </c>
      <c r="C5171" s="1">
        <v>37</v>
      </c>
      <c r="D5171" s="47">
        <f t="shared" si="450"/>
        <v>16120</v>
      </c>
      <c r="E5171" s="1">
        <f>16+5</f>
        <v>21</v>
      </c>
      <c r="F5171" s="78">
        <f t="shared" si="449"/>
        <v>560</v>
      </c>
    </row>
    <row r="5172" spans="1:6" ht="15.75" thickBot="1" x14ac:dyDescent="0.3">
      <c r="A5172" s="84" t="s">
        <v>33</v>
      </c>
      <c r="B5172" s="358">
        <v>44108</v>
      </c>
      <c r="C5172" s="1">
        <v>24</v>
      </c>
      <c r="D5172" s="47">
        <f t="shared" si="450"/>
        <v>855</v>
      </c>
      <c r="E5172" s="1">
        <f>2</f>
        <v>2</v>
      </c>
      <c r="F5172" s="78">
        <f t="shared" ref="F5172:F5183" si="451">E5172+F5148</f>
        <v>11</v>
      </c>
    </row>
    <row r="5173" spans="1:6" ht="15.75" thickBot="1" x14ac:dyDescent="0.3">
      <c r="A5173" s="84" t="s">
        <v>21</v>
      </c>
      <c r="B5173" s="358">
        <v>44108</v>
      </c>
      <c r="C5173" s="1">
        <v>62</v>
      </c>
      <c r="D5173" s="47">
        <f t="shared" si="450"/>
        <v>5116</v>
      </c>
      <c r="F5173" s="78">
        <f t="shared" si="451"/>
        <v>105</v>
      </c>
    </row>
    <row r="5174" spans="1:6" ht="15.75" thickBot="1" x14ac:dyDescent="0.3">
      <c r="A5174" s="84" t="s">
        <v>17</v>
      </c>
      <c r="B5174" s="358">
        <v>44108</v>
      </c>
      <c r="C5174" s="1">
        <v>377</v>
      </c>
      <c r="D5174" s="47">
        <f t="shared" si="450"/>
        <v>27501</v>
      </c>
      <c r="E5174" s="1">
        <f>2+4</f>
        <v>6</v>
      </c>
      <c r="F5174" s="78">
        <f t="shared" si="451"/>
        <v>310</v>
      </c>
    </row>
    <row r="5175" spans="1:6" ht="15.75" thickBot="1" x14ac:dyDescent="0.3">
      <c r="A5175" s="84" t="s">
        <v>23</v>
      </c>
      <c r="B5175" s="358">
        <v>44108</v>
      </c>
      <c r="C5175" s="1">
        <v>-1</v>
      </c>
      <c r="D5175" s="47">
        <f t="shared" si="450"/>
        <v>103</v>
      </c>
      <c r="F5175" s="78">
        <f t="shared" si="451"/>
        <v>4</v>
      </c>
    </row>
    <row r="5176" spans="1:6" ht="15.75" thickBot="1" x14ac:dyDescent="0.3">
      <c r="A5176" s="84" t="s">
        <v>19</v>
      </c>
      <c r="B5176" s="358">
        <v>44108</v>
      </c>
      <c r="C5176" s="1">
        <v>266</v>
      </c>
      <c r="D5176" s="47">
        <f>C5176+D5152</f>
        <v>8879</v>
      </c>
      <c r="E5176" s="1">
        <f>1</f>
        <v>1</v>
      </c>
      <c r="F5176" s="78">
        <f t="shared" si="451"/>
        <v>122</v>
      </c>
    </row>
    <row r="5177" spans="1:6" ht="15.75" thickBot="1" x14ac:dyDescent="0.3">
      <c r="A5177" s="84" t="s">
        <v>18</v>
      </c>
      <c r="B5177" s="358">
        <v>44108</v>
      </c>
      <c r="C5177" s="1">
        <v>230</v>
      </c>
      <c r="D5177" s="47">
        <f>C5177+D5153</f>
        <v>14057</v>
      </c>
      <c r="E5177" s="1">
        <f>2+1</f>
        <v>3</v>
      </c>
      <c r="F5177" s="78">
        <f t="shared" si="451"/>
        <v>310</v>
      </c>
    </row>
    <row r="5178" spans="1:6" ht="15.75" thickBot="1" x14ac:dyDescent="0.3">
      <c r="A5178" s="84" t="s">
        <v>34</v>
      </c>
      <c r="B5178" s="358">
        <v>44108</v>
      </c>
      <c r="C5178" s="1">
        <v>288</v>
      </c>
      <c r="D5178" s="47">
        <f>C5178+D5154</f>
        <v>13523</v>
      </c>
      <c r="E5178" s="1">
        <f>10+7</f>
        <v>17</v>
      </c>
      <c r="F5178" s="78">
        <f>E5178+F5154</f>
        <v>383</v>
      </c>
    </row>
    <row r="5179" spans="1:6" ht="15.75" thickBot="1" x14ac:dyDescent="0.3">
      <c r="A5179" s="84" t="s">
        <v>35</v>
      </c>
      <c r="B5179" s="358">
        <v>44108</v>
      </c>
      <c r="C5179" s="1">
        <v>10</v>
      </c>
      <c r="D5179" s="47">
        <f t="shared" ref="D5179:D5185" si="452">C5179+D5155</f>
        <v>839</v>
      </c>
      <c r="E5179" s="1">
        <f>2</f>
        <v>2</v>
      </c>
      <c r="F5179" s="78">
        <f>E5179+F5155</f>
        <v>42</v>
      </c>
    </row>
    <row r="5180" spans="1:6" ht="15.75" thickBot="1" x14ac:dyDescent="0.3">
      <c r="A5180" s="84" t="s">
        <v>36</v>
      </c>
      <c r="B5180" s="358">
        <v>44108</v>
      </c>
      <c r="C5180" s="1">
        <v>51</v>
      </c>
      <c r="D5180" s="47">
        <f t="shared" si="452"/>
        <v>1700</v>
      </c>
      <c r="E5180" s="1">
        <f>4+2</f>
        <v>6</v>
      </c>
      <c r="F5180" s="78">
        <f t="shared" si="451"/>
        <v>25</v>
      </c>
    </row>
    <row r="5181" spans="1:6" ht="15.75" thickBot="1" x14ac:dyDescent="0.3">
      <c r="A5181" s="84" t="s">
        <v>37</v>
      </c>
      <c r="B5181" s="358">
        <v>44108</v>
      </c>
      <c r="C5181" s="1">
        <v>109</v>
      </c>
      <c r="D5181" s="47">
        <f t="shared" si="452"/>
        <v>5453</v>
      </c>
      <c r="E5181" s="1">
        <f>1</f>
        <v>1</v>
      </c>
      <c r="F5181" s="78">
        <f>E5181+F5157</f>
        <v>68</v>
      </c>
    </row>
    <row r="5182" spans="1:6" ht="15.75" thickBot="1" x14ac:dyDescent="0.3">
      <c r="A5182" s="84" t="s">
        <v>22</v>
      </c>
      <c r="B5182" s="358">
        <v>44108</v>
      </c>
      <c r="C5182" s="1">
        <v>851</v>
      </c>
      <c r="D5182" s="47">
        <f t="shared" si="452"/>
        <v>49016</v>
      </c>
      <c r="E5182" s="1">
        <f>6+10</f>
        <v>16</v>
      </c>
      <c r="F5182" s="78">
        <f>E5182+F5158</f>
        <v>522</v>
      </c>
    </row>
    <row r="5183" spans="1:6" ht="15.75" thickBot="1" x14ac:dyDescent="0.3">
      <c r="A5183" s="84" t="s">
        <v>38</v>
      </c>
      <c r="B5183" s="358">
        <v>44108</v>
      </c>
      <c r="C5183" s="1">
        <v>58</v>
      </c>
      <c r="D5183" s="47">
        <f t="shared" si="452"/>
        <v>3902</v>
      </c>
      <c r="E5183" s="1">
        <f>2</f>
        <v>2</v>
      </c>
      <c r="F5183" s="78">
        <f t="shared" si="451"/>
        <v>67</v>
      </c>
    </row>
    <row r="5184" spans="1:6" ht="15.75" thickBot="1" x14ac:dyDescent="0.3">
      <c r="A5184" s="84" t="s">
        <v>39</v>
      </c>
      <c r="B5184" s="358">
        <v>44108</v>
      </c>
      <c r="C5184" s="1">
        <v>135</v>
      </c>
      <c r="D5184" s="47">
        <f t="shared" si="452"/>
        <v>5043</v>
      </c>
      <c r="F5184" s="78">
        <f t="shared" ref="F5184:F5195" si="453">E5184+F5160</f>
        <v>71</v>
      </c>
    </row>
    <row r="5185" spans="1:6" ht="15.75" thickBot="1" x14ac:dyDescent="0.3">
      <c r="A5185" s="85" t="s">
        <v>40</v>
      </c>
      <c r="B5185" s="358">
        <v>44108</v>
      </c>
      <c r="C5185" s="1">
        <v>336</v>
      </c>
      <c r="D5185" s="214">
        <f t="shared" si="452"/>
        <v>16968</v>
      </c>
      <c r="E5185" s="1">
        <f>1+1</f>
        <v>2</v>
      </c>
      <c r="F5185" s="79">
        <f t="shared" si="453"/>
        <v>142</v>
      </c>
    </row>
    <row r="5186" spans="1:6" ht="15.75" thickBot="1" x14ac:dyDescent="0.3">
      <c r="A5186" s="36" t="s">
        <v>16</v>
      </c>
      <c r="B5186" s="358">
        <v>44109</v>
      </c>
      <c r="C5186" s="1">
        <v>4471</v>
      </c>
      <c r="D5186" s="211">
        <f>C5186+D5162</f>
        <v>440405</v>
      </c>
      <c r="E5186" s="1">
        <v>207</v>
      </c>
      <c r="F5186" s="77">
        <f t="shared" si="453"/>
        <v>13623</v>
      </c>
    </row>
    <row r="5187" spans="1:6" ht="15.75" thickBot="1" x14ac:dyDescent="0.3">
      <c r="A5187" s="84" t="s">
        <v>43</v>
      </c>
      <c r="B5187" s="358">
        <v>44109</v>
      </c>
      <c r="C5187" s="1">
        <v>684</v>
      </c>
      <c r="D5187" s="47">
        <f t="shared" ref="D5187:D5199" si="454">C5187+D5163</f>
        <v>129958</v>
      </c>
      <c r="E5187" s="1">
        <v>57</v>
      </c>
      <c r="F5187" s="78">
        <f t="shared" si="453"/>
        <v>3680</v>
      </c>
    </row>
    <row r="5188" spans="1:6" ht="15.75" thickBot="1" x14ac:dyDescent="0.3">
      <c r="A5188" s="84" t="s">
        <v>28</v>
      </c>
      <c r="B5188" s="358">
        <v>44109</v>
      </c>
      <c r="C5188" s="1">
        <v>0</v>
      </c>
      <c r="D5188" s="47">
        <f t="shared" si="454"/>
        <v>318</v>
      </c>
      <c r="F5188" s="78">
        <f t="shared" si="453"/>
        <v>0</v>
      </c>
    </row>
    <row r="5189" spans="1:6" ht="15.75" thickBot="1" x14ac:dyDescent="0.3">
      <c r="A5189" s="84" t="s">
        <v>15</v>
      </c>
      <c r="B5189" s="358">
        <v>44109</v>
      </c>
      <c r="C5189" s="1">
        <v>101</v>
      </c>
      <c r="D5189" s="47">
        <f t="shared" si="454"/>
        <v>9341</v>
      </c>
      <c r="E5189" s="1">
        <v>5</v>
      </c>
      <c r="F5189" s="78">
        <f t="shared" si="453"/>
        <v>305</v>
      </c>
    </row>
    <row r="5190" spans="1:6" ht="15.75" thickBot="1" x14ac:dyDescent="0.3">
      <c r="A5190" s="84" t="s">
        <v>29</v>
      </c>
      <c r="B5190" s="358">
        <v>44109</v>
      </c>
      <c r="C5190" s="1">
        <v>234</v>
      </c>
      <c r="D5190" s="47">
        <f t="shared" si="454"/>
        <v>4921</v>
      </c>
      <c r="E5190" s="1">
        <v>11</v>
      </c>
      <c r="F5190" s="78">
        <f t="shared" si="453"/>
        <v>69</v>
      </c>
    </row>
    <row r="5191" spans="1:6" ht="15.75" thickBot="1" x14ac:dyDescent="0.3">
      <c r="A5191" s="84" t="s">
        <v>20</v>
      </c>
      <c r="B5191" s="358">
        <v>44109</v>
      </c>
      <c r="C5191" s="1">
        <v>1188</v>
      </c>
      <c r="D5191" s="47">
        <f t="shared" si="454"/>
        <v>41738</v>
      </c>
      <c r="E5191" s="1">
        <v>21</v>
      </c>
      <c r="F5191" s="78">
        <f t="shared" si="453"/>
        <v>493</v>
      </c>
    </row>
    <row r="5192" spans="1:6" ht="15.75" thickBot="1" x14ac:dyDescent="0.3">
      <c r="A5192" s="84" t="s">
        <v>30</v>
      </c>
      <c r="B5192" s="358">
        <v>44109</v>
      </c>
      <c r="C5192" s="1">
        <v>110</v>
      </c>
      <c r="D5192" s="47">
        <f t="shared" si="454"/>
        <v>1284</v>
      </c>
      <c r="E5192" s="1">
        <v>1</v>
      </c>
      <c r="F5192" s="78">
        <f t="shared" si="453"/>
        <v>28</v>
      </c>
    </row>
    <row r="5193" spans="1:6" ht="15.75" thickBot="1" x14ac:dyDescent="0.3">
      <c r="A5193" s="84" t="s">
        <v>31</v>
      </c>
      <c r="B5193" s="358">
        <v>44109</v>
      </c>
      <c r="C5193" s="1">
        <v>129</v>
      </c>
      <c r="D5193" s="47">
        <f t="shared" si="454"/>
        <v>8248</v>
      </c>
      <c r="E5193" s="1">
        <v>7</v>
      </c>
      <c r="F5193" s="78">
        <f t="shared" si="453"/>
        <v>150</v>
      </c>
    </row>
    <row r="5194" spans="1:6" ht="15.75" thickBot="1" x14ac:dyDescent="0.3">
      <c r="A5194" s="84" t="s">
        <v>41</v>
      </c>
      <c r="B5194" s="358">
        <v>44109</v>
      </c>
      <c r="C5194" s="1">
        <v>1</v>
      </c>
      <c r="D5194" s="47">
        <f t="shared" si="454"/>
        <v>106</v>
      </c>
      <c r="F5194" s="78">
        <f t="shared" si="453"/>
        <v>1</v>
      </c>
    </row>
    <row r="5195" spans="1:6" ht="15.75" thickBot="1" x14ac:dyDescent="0.3">
      <c r="A5195" s="84" t="s">
        <v>32</v>
      </c>
      <c r="B5195" s="358">
        <v>44109</v>
      </c>
      <c r="C5195" s="1">
        <v>61</v>
      </c>
      <c r="D5195" s="47">
        <f t="shared" si="454"/>
        <v>16181</v>
      </c>
      <c r="E5195" s="1">
        <v>29</v>
      </c>
      <c r="F5195" s="78">
        <f t="shared" si="453"/>
        <v>589</v>
      </c>
    </row>
    <row r="5196" spans="1:6" ht="15.75" thickBot="1" x14ac:dyDescent="0.3">
      <c r="A5196" s="84" t="s">
        <v>33</v>
      </c>
      <c r="B5196" s="358">
        <v>44109</v>
      </c>
      <c r="C5196" s="1">
        <v>16</v>
      </c>
      <c r="D5196" s="47">
        <f t="shared" si="454"/>
        <v>871</v>
      </c>
      <c r="F5196" s="78">
        <f t="shared" ref="F5196:F5207" si="455">E5196+F5172</f>
        <v>11</v>
      </c>
    </row>
    <row r="5197" spans="1:6" ht="15.75" thickBot="1" x14ac:dyDescent="0.3">
      <c r="A5197" s="84" t="s">
        <v>21</v>
      </c>
      <c r="B5197" s="358">
        <v>44109</v>
      </c>
      <c r="C5197" s="1">
        <v>85</v>
      </c>
      <c r="D5197" s="47">
        <f t="shared" si="454"/>
        <v>5201</v>
      </c>
      <c r="F5197" s="78">
        <f t="shared" si="455"/>
        <v>105</v>
      </c>
    </row>
    <row r="5198" spans="1:6" ht="15.75" thickBot="1" x14ac:dyDescent="0.3">
      <c r="A5198" s="84" t="s">
        <v>17</v>
      </c>
      <c r="B5198" s="358">
        <v>44109</v>
      </c>
      <c r="C5198" s="1">
        <v>384</v>
      </c>
      <c r="D5198" s="47">
        <f t="shared" si="454"/>
        <v>27885</v>
      </c>
      <c r="E5198" s="1">
        <v>8</v>
      </c>
      <c r="F5198" s="78">
        <f t="shared" si="455"/>
        <v>318</v>
      </c>
    </row>
    <row r="5199" spans="1:6" ht="15.75" thickBot="1" x14ac:dyDescent="0.3">
      <c r="A5199" s="84" t="s">
        <v>23</v>
      </c>
      <c r="B5199" s="358">
        <v>44109</v>
      </c>
      <c r="C5199" s="1">
        <v>4</v>
      </c>
      <c r="D5199" s="47">
        <f t="shared" si="454"/>
        <v>107</v>
      </c>
      <c r="F5199" s="78">
        <f t="shared" si="455"/>
        <v>4</v>
      </c>
    </row>
    <row r="5200" spans="1:6" ht="15.75" thickBot="1" x14ac:dyDescent="0.3">
      <c r="A5200" s="84" t="s">
        <v>19</v>
      </c>
      <c r="B5200" s="358">
        <v>44109</v>
      </c>
      <c r="C5200" s="1">
        <v>251</v>
      </c>
      <c r="D5200" s="47">
        <f>C5200+D5176</f>
        <v>9130</v>
      </c>
      <c r="F5200" s="78">
        <f t="shared" si="455"/>
        <v>122</v>
      </c>
    </row>
    <row r="5201" spans="1:6" ht="15.75" thickBot="1" x14ac:dyDescent="0.3">
      <c r="A5201" s="84" t="s">
        <v>18</v>
      </c>
      <c r="B5201" s="358">
        <v>44109</v>
      </c>
      <c r="C5201" s="1">
        <v>257</v>
      </c>
      <c r="D5201" s="47">
        <f>C5201+D5177</f>
        <v>14314</v>
      </c>
      <c r="E5201" s="1">
        <v>10</v>
      </c>
      <c r="F5201" s="78">
        <f t="shared" si="455"/>
        <v>320</v>
      </c>
    </row>
    <row r="5202" spans="1:6" ht="15.75" thickBot="1" x14ac:dyDescent="0.3">
      <c r="A5202" s="84" t="s">
        <v>34</v>
      </c>
      <c r="B5202" s="358">
        <v>44109</v>
      </c>
      <c r="C5202" s="1">
        <v>217</v>
      </c>
      <c r="D5202" s="47">
        <f>C5202+D5178</f>
        <v>13740</v>
      </c>
      <c r="E5202" s="1">
        <v>40</v>
      </c>
      <c r="F5202" s="78">
        <f>E5202+F5178</f>
        <v>423</v>
      </c>
    </row>
    <row r="5203" spans="1:6" ht="15.75" thickBot="1" x14ac:dyDescent="0.3">
      <c r="A5203" s="84" t="s">
        <v>35</v>
      </c>
      <c r="B5203" s="358">
        <v>44109</v>
      </c>
      <c r="C5203" s="1">
        <v>84</v>
      </c>
      <c r="D5203" s="47">
        <f t="shared" ref="D5203:D5209" si="456">C5203+D5179</f>
        <v>923</v>
      </c>
      <c r="F5203" s="78">
        <f>E5203+F5179</f>
        <v>42</v>
      </c>
    </row>
    <row r="5204" spans="1:6" ht="15.75" thickBot="1" x14ac:dyDescent="0.3">
      <c r="A5204" s="84" t="s">
        <v>36</v>
      </c>
      <c r="B5204" s="358">
        <v>44109</v>
      </c>
      <c r="C5204" s="1">
        <v>104</v>
      </c>
      <c r="D5204" s="47">
        <f t="shared" si="456"/>
        <v>1804</v>
      </c>
      <c r="E5204" s="1">
        <v>3</v>
      </c>
      <c r="F5204" s="78">
        <f t="shared" si="455"/>
        <v>28</v>
      </c>
    </row>
    <row r="5205" spans="1:6" ht="15.75" thickBot="1" x14ac:dyDescent="0.3">
      <c r="A5205" s="84" t="s">
        <v>37</v>
      </c>
      <c r="B5205" s="358">
        <v>44109</v>
      </c>
      <c r="C5205" s="1">
        <v>110</v>
      </c>
      <c r="D5205" s="47">
        <f t="shared" si="456"/>
        <v>5563</v>
      </c>
      <c r="E5205" s="1">
        <v>3</v>
      </c>
      <c r="F5205" s="78">
        <f>E5205+F5181</f>
        <v>71</v>
      </c>
    </row>
    <row r="5206" spans="1:6" ht="15.75" thickBot="1" x14ac:dyDescent="0.3">
      <c r="A5206" s="84" t="s">
        <v>22</v>
      </c>
      <c r="B5206" s="358">
        <v>44109</v>
      </c>
      <c r="C5206" s="1">
        <v>1670</v>
      </c>
      <c r="D5206" s="47">
        <f t="shared" si="456"/>
        <v>50686</v>
      </c>
      <c r="E5206" s="1">
        <v>34</v>
      </c>
      <c r="F5206" s="78">
        <f>E5206+F5182</f>
        <v>556</v>
      </c>
    </row>
    <row r="5207" spans="1:6" ht="15.75" thickBot="1" x14ac:dyDescent="0.3">
      <c r="A5207" s="84" t="s">
        <v>38</v>
      </c>
      <c r="B5207" s="358">
        <v>44109</v>
      </c>
      <c r="C5207" s="1">
        <v>112</v>
      </c>
      <c r="D5207" s="47">
        <f t="shared" si="456"/>
        <v>4014</v>
      </c>
      <c r="E5207" s="1">
        <v>2</v>
      </c>
      <c r="F5207" s="78">
        <f t="shared" si="455"/>
        <v>69</v>
      </c>
    </row>
    <row r="5208" spans="1:6" ht="15.75" thickBot="1" x14ac:dyDescent="0.3">
      <c r="A5208" s="84" t="s">
        <v>39</v>
      </c>
      <c r="B5208" s="358">
        <v>44109</v>
      </c>
      <c r="C5208" s="1">
        <v>133</v>
      </c>
      <c r="D5208" s="47">
        <f t="shared" si="456"/>
        <v>5176</v>
      </c>
      <c r="E5208" s="1">
        <v>3</v>
      </c>
      <c r="F5208" s="78">
        <f t="shared" ref="F5208:F5219" si="457">E5208+F5184</f>
        <v>74</v>
      </c>
    </row>
    <row r="5209" spans="1:6" ht="15.75" thickBot="1" x14ac:dyDescent="0.3">
      <c r="A5209" s="85" t="s">
        <v>40</v>
      </c>
      <c r="B5209" s="358">
        <v>44109</v>
      </c>
      <c r="C5209" s="1">
        <v>836</v>
      </c>
      <c r="D5209" s="214">
        <f t="shared" si="456"/>
        <v>17804</v>
      </c>
      <c r="E5209" s="1">
        <v>9</v>
      </c>
      <c r="F5209" s="79">
        <f t="shared" si="457"/>
        <v>151</v>
      </c>
    </row>
    <row r="5210" spans="1:6" ht="15.75" thickBot="1" x14ac:dyDescent="0.3">
      <c r="A5210" s="36" t="s">
        <v>16</v>
      </c>
      <c r="B5210" s="358">
        <v>44110</v>
      </c>
      <c r="C5210" s="1">
        <v>5659</v>
      </c>
      <c r="D5210" s="211">
        <f>C5210+D5186</f>
        <v>446064</v>
      </c>
      <c r="E5210" s="1">
        <v>149</v>
      </c>
      <c r="F5210" s="77">
        <f t="shared" si="457"/>
        <v>13772</v>
      </c>
    </row>
    <row r="5211" spans="1:6" ht="15.75" thickBot="1" x14ac:dyDescent="0.3">
      <c r="A5211" s="84" t="s">
        <v>43</v>
      </c>
      <c r="B5211" s="358">
        <v>44110</v>
      </c>
      <c r="C5211" s="1">
        <v>883</v>
      </c>
      <c r="D5211" s="47">
        <f t="shared" ref="D5211:D5223" si="458">C5211+D5187</f>
        <v>130841</v>
      </c>
      <c r="E5211" s="1">
        <v>51</v>
      </c>
      <c r="F5211" s="78">
        <f t="shared" si="457"/>
        <v>3731</v>
      </c>
    </row>
    <row r="5212" spans="1:6" ht="15.75" thickBot="1" x14ac:dyDescent="0.3">
      <c r="A5212" s="84" t="s">
        <v>28</v>
      </c>
      <c r="B5212" s="358">
        <v>44110</v>
      </c>
      <c r="C5212" s="1">
        <v>9</v>
      </c>
      <c r="D5212" s="47">
        <f t="shared" si="458"/>
        <v>327</v>
      </c>
      <c r="F5212" s="78">
        <f t="shared" si="457"/>
        <v>0</v>
      </c>
    </row>
    <row r="5213" spans="1:6" ht="15.75" thickBot="1" x14ac:dyDescent="0.3">
      <c r="A5213" s="84" t="s">
        <v>15</v>
      </c>
      <c r="B5213" s="358">
        <v>44110</v>
      </c>
      <c r="C5213" s="1">
        <v>145</v>
      </c>
      <c r="D5213" s="47">
        <f t="shared" si="458"/>
        <v>9486</v>
      </c>
      <c r="E5213" s="1">
        <v>4</v>
      </c>
      <c r="F5213" s="78">
        <f t="shared" si="457"/>
        <v>309</v>
      </c>
    </row>
    <row r="5214" spans="1:6" ht="15.75" thickBot="1" x14ac:dyDescent="0.3">
      <c r="A5214" s="84" t="s">
        <v>29</v>
      </c>
      <c r="B5214" s="358">
        <v>44110</v>
      </c>
      <c r="C5214" s="1">
        <v>322</v>
      </c>
      <c r="D5214" s="47">
        <f t="shared" si="458"/>
        <v>5243</v>
      </c>
      <c r="F5214" s="78">
        <f t="shared" si="457"/>
        <v>69</v>
      </c>
    </row>
    <row r="5215" spans="1:6" ht="15.75" thickBot="1" x14ac:dyDescent="0.3">
      <c r="A5215" s="84" t="s">
        <v>20</v>
      </c>
      <c r="B5215" s="358">
        <v>44110</v>
      </c>
      <c r="C5215" s="1">
        <v>1455</v>
      </c>
      <c r="D5215" s="47">
        <f t="shared" si="458"/>
        <v>43193</v>
      </c>
      <c r="E5215" s="1">
        <v>21</v>
      </c>
      <c r="F5215" s="78">
        <f t="shared" si="457"/>
        <v>514</v>
      </c>
    </row>
    <row r="5216" spans="1:6" ht="15.75" thickBot="1" x14ac:dyDescent="0.3">
      <c r="A5216" s="84" t="s">
        <v>30</v>
      </c>
      <c r="B5216" s="358">
        <v>44110</v>
      </c>
      <c r="C5216" s="1">
        <v>72</v>
      </c>
      <c r="D5216" s="47">
        <f t="shared" si="458"/>
        <v>1356</v>
      </c>
      <c r="E5216" s="1">
        <v>3</v>
      </c>
      <c r="F5216" s="78">
        <f t="shared" si="457"/>
        <v>31</v>
      </c>
    </row>
    <row r="5217" spans="1:6" ht="15.75" thickBot="1" x14ac:dyDescent="0.3">
      <c r="A5217" s="84" t="s">
        <v>31</v>
      </c>
      <c r="B5217" s="358">
        <v>44110</v>
      </c>
      <c r="C5217" s="1">
        <v>201</v>
      </c>
      <c r="D5217" s="47">
        <f t="shared" si="458"/>
        <v>8449</v>
      </c>
      <c r="E5217" s="1">
        <v>3</v>
      </c>
      <c r="F5217" s="78">
        <f t="shared" si="457"/>
        <v>153</v>
      </c>
    </row>
    <row r="5218" spans="1:6" ht="15.75" thickBot="1" x14ac:dyDescent="0.3">
      <c r="A5218" s="84" t="s">
        <v>41</v>
      </c>
      <c r="B5218" s="358">
        <v>44110</v>
      </c>
      <c r="C5218" s="1">
        <v>0</v>
      </c>
      <c r="D5218" s="47">
        <f t="shared" si="458"/>
        <v>106</v>
      </c>
      <c r="F5218" s="78">
        <f t="shared" si="457"/>
        <v>1</v>
      </c>
    </row>
    <row r="5219" spans="1:6" ht="15.75" thickBot="1" x14ac:dyDescent="0.3">
      <c r="A5219" s="84" t="s">
        <v>32</v>
      </c>
      <c r="B5219" s="358">
        <v>44110</v>
      </c>
      <c r="C5219" s="1">
        <v>109</v>
      </c>
      <c r="D5219" s="47">
        <f t="shared" si="458"/>
        <v>16290</v>
      </c>
      <c r="E5219" s="1">
        <v>19</v>
      </c>
      <c r="F5219" s="78">
        <f t="shared" si="457"/>
        <v>608</v>
      </c>
    </row>
    <row r="5220" spans="1:6" ht="15.75" thickBot="1" x14ac:dyDescent="0.3">
      <c r="A5220" s="84" t="s">
        <v>33</v>
      </c>
      <c r="B5220" s="358">
        <v>44110</v>
      </c>
      <c r="C5220" s="1">
        <v>26</v>
      </c>
      <c r="D5220" s="47">
        <f t="shared" si="458"/>
        <v>897</v>
      </c>
      <c r="F5220" s="78">
        <f t="shared" ref="F5220:F5231" si="459">E5220+F5196</f>
        <v>11</v>
      </c>
    </row>
    <row r="5221" spans="1:6" ht="15.75" thickBot="1" x14ac:dyDescent="0.3">
      <c r="A5221" s="84" t="s">
        <v>21</v>
      </c>
      <c r="B5221" s="358">
        <v>44110</v>
      </c>
      <c r="C5221" s="1">
        <v>110</v>
      </c>
      <c r="D5221" s="47">
        <f t="shared" si="458"/>
        <v>5311</v>
      </c>
      <c r="F5221" s="78">
        <f t="shared" si="459"/>
        <v>105</v>
      </c>
    </row>
    <row r="5222" spans="1:6" ht="15.75" thickBot="1" x14ac:dyDescent="0.3">
      <c r="A5222" s="84" t="s">
        <v>17</v>
      </c>
      <c r="B5222" s="358">
        <v>44110</v>
      </c>
      <c r="C5222" s="1">
        <v>680</v>
      </c>
      <c r="D5222" s="47">
        <f t="shared" si="458"/>
        <v>28565</v>
      </c>
      <c r="E5222" s="1">
        <v>44</v>
      </c>
      <c r="F5222" s="78">
        <f t="shared" si="459"/>
        <v>362</v>
      </c>
    </row>
    <row r="5223" spans="1:6" ht="15.75" thickBot="1" x14ac:dyDescent="0.3">
      <c r="A5223" s="84" t="s">
        <v>23</v>
      </c>
      <c r="B5223" s="358">
        <v>44110</v>
      </c>
      <c r="C5223" s="1">
        <v>11</v>
      </c>
      <c r="D5223" s="47">
        <f t="shared" si="458"/>
        <v>118</v>
      </c>
      <c r="F5223" s="78">
        <f t="shared" si="459"/>
        <v>4</v>
      </c>
    </row>
    <row r="5224" spans="1:6" ht="15.75" thickBot="1" x14ac:dyDescent="0.3">
      <c r="A5224" s="84" t="s">
        <v>19</v>
      </c>
      <c r="B5224" s="358">
        <v>44110</v>
      </c>
      <c r="C5224" s="1">
        <v>356</v>
      </c>
      <c r="D5224" s="47">
        <f>C5224+D5200</f>
        <v>9486</v>
      </c>
      <c r="E5224" s="1">
        <v>1</v>
      </c>
      <c r="F5224" s="78">
        <f t="shared" si="459"/>
        <v>123</v>
      </c>
    </row>
    <row r="5225" spans="1:6" ht="15.75" thickBot="1" x14ac:dyDescent="0.3">
      <c r="A5225" s="84" t="s">
        <v>18</v>
      </c>
      <c r="B5225" s="358">
        <v>44110</v>
      </c>
      <c r="C5225" s="1">
        <v>338</v>
      </c>
      <c r="D5225" s="47">
        <f>C5225+D5201</f>
        <v>14652</v>
      </c>
      <c r="E5225" s="1">
        <v>11</v>
      </c>
      <c r="F5225" s="78">
        <f t="shared" si="459"/>
        <v>331</v>
      </c>
    </row>
    <row r="5226" spans="1:6" ht="15.75" thickBot="1" x14ac:dyDescent="0.3">
      <c r="A5226" s="84" t="s">
        <v>34</v>
      </c>
      <c r="B5226" s="358">
        <v>44110</v>
      </c>
      <c r="C5226" s="1">
        <v>222</v>
      </c>
      <c r="D5226" s="47">
        <f>C5226+D5202</f>
        <v>13962</v>
      </c>
      <c r="E5226" s="1">
        <v>11</v>
      </c>
      <c r="F5226" s="78">
        <f>E5226+F5202</f>
        <v>434</v>
      </c>
    </row>
    <row r="5227" spans="1:6" ht="15.75" thickBot="1" x14ac:dyDescent="0.3">
      <c r="A5227" s="84" t="s">
        <v>35</v>
      </c>
      <c r="B5227" s="358">
        <v>44110</v>
      </c>
      <c r="C5227" s="1">
        <v>64</v>
      </c>
      <c r="D5227" s="47">
        <f t="shared" ref="D5227:D5233" si="460">C5227+D5203</f>
        <v>987</v>
      </c>
      <c r="F5227" s="78">
        <f>E5227+F5203</f>
        <v>42</v>
      </c>
    </row>
    <row r="5228" spans="1:6" ht="15.75" thickBot="1" x14ac:dyDescent="0.3">
      <c r="A5228" s="84" t="s">
        <v>36</v>
      </c>
      <c r="B5228" s="358">
        <v>44110</v>
      </c>
      <c r="C5228" s="1">
        <v>61</v>
      </c>
      <c r="D5228" s="47">
        <f t="shared" si="460"/>
        <v>1865</v>
      </c>
      <c r="E5228" s="1">
        <v>3</v>
      </c>
      <c r="F5228" s="78">
        <f t="shared" si="459"/>
        <v>31</v>
      </c>
    </row>
    <row r="5229" spans="1:6" ht="15.75" thickBot="1" x14ac:dyDescent="0.3">
      <c r="A5229" s="84" t="s">
        <v>37</v>
      </c>
      <c r="B5229" s="358">
        <v>44110</v>
      </c>
      <c r="C5229" s="1">
        <v>55</v>
      </c>
      <c r="D5229" s="47">
        <f t="shared" si="460"/>
        <v>5618</v>
      </c>
      <c r="E5229" s="1">
        <v>1</v>
      </c>
      <c r="F5229" s="78">
        <f>E5229+F5205</f>
        <v>72</v>
      </c>
    </row>
    <row r="5230" spans="1:6" ht="15.75" thickBot="1" x14ac:dyDescent="0.3">
      <c r="A5230" s="84" t="s">
        <v>22</v>
      </c>
      <c r="B5230" s="358">
        <v>44110</v>
      </c>
      <c r="C5230" s="1">
        <v>2209</v>
      </c>
      <c r="D5230" s="47">
        <f t="shared" si="460"/>
        <v>52895</v>
      </c>
      <c r="E5230" s="1">
        <v>16</v>
      </c>
      <c r="F5230" s="78">
        <f>E5230+F5206</f>
        <v>572</v>
      </c>
    </row>
    <row r="5231" spans="1:6" ht="15.75" thickBot="1" x14ac:dyDescent="0.3">
      <c r="A5231" s="84" t="s">
        <v>38</v>
      </c>
      <c r="B5231" s="358">
        <v>44110</v>
      </c>
      <c r="C5231" s="1">
        <v>154</v>
      </c>
      <c r="D5231" s="47">
        <f t="shared" si="460"/>
        <v>4168</v>
      </c>
      <c r="E5231" s="1">
        <v>4</v>
      </c>
      <c r="F5231" s="78">
        <f t="shared" si="459"/>
        <v>73</v>
      </c>
    </row>
    <row r="5232" spans="1:6" ht="15.75" thickBot="1" x14ac:dyDescent="0.3">
      <c r="A5232" s="84" t="s">
        <v>39</v>
      </c>
      <c r="B5232" s="358">
        <v>44110</v>
      </c>
      <c r="C5232" s="1">
        <v>244</v>
      </c>
      <c r="D5232" s="47">
        <f t="shared" si="460"/>
        <v>5420</v>
      </c>
      <c r="E5232" s="1">
        <v>1</v>
      </c>
      <c r="F5232" s="78">
        <f t="shared" ref="F5232:F5243" si="461">E5232+F5208</f>
        <v>75</v>
      </c>
    </row>
    <row r="5233" spans="1:6" ht="15.75" thickBot="1" x14ac:dyDescent="0.3">
      <c r="A5233" s="85" t="s">
        <v>40</v>
      </c>
      <c r="B5233" s="358">
        <v>44110</v>
      </c>
      <c r="C5233" s="1">
        <v>1356</v>
      </c>
      <c r="D5233" s="214">
        <f t="shared" si="460"/>
        <v>19160</v>
      </c>
      <c r="E5233" s="1">
        <v>17</v>
      </c>
      <c r="F5233" s="79">
        <f t="shared" si="461"/>
        <v>168</v>
      </c>
    </row>
    <row r="5234" spans="1:6" ht="15.75" thickBot="1" x14ac:dyDescent="0.3">
      <c r="A5234" s="36" t="s">
        <v>16</v>
      </c>
      <c r="B5234" s="358">
        <v>44111</v>
      </c>
      <c r="C5234" s="1">
        <v>5222</v>
      </c>
      <c r="D5234" s="211">
        <f>C5234+D5210</f>
        <v>451286</v>
      </c>
      <c r="E5234" s="1">
        <v>187</v>
      </c>
      <c r="F5234" s="77">
        <f t="shared" si="461"/>
        <v>13959</v>
      </c>
    </row>
    <row r="5235" spans="1:6" ht="15.75" thickBot="1" x14ac:dyDescent="0.3">
      <c r="A5235" s="84" t="s">
        <v>43</v>
      </c>
      <c r="B5235" s="358">
        <v>44111</v>
      </c>
      <c r="C5235" s="1">
        <v>956</v>
      </c>
      <c r="D5235" s="47">
        <f t="shared" ref="D5235:D5247" si="462">C5235+D5211</f>
        <v>131797</v>
      </c>
      <c r="E5235" s="1">
        <v>63</v>
      </c>
      <c r="F5235" s="78">
        <f t="shared" si="461"/>
        <v>3794</v>
      </c>
    </row>
    <row r="5236" spans="1:6" ht="15.75" thickBot="1" x14ac:dyDescent="0.3">
      <c r="A5236" s="84" t="s">
        <v>28</v>
      </c>
      <c r="B5236" s="358">
        <v>44111</v>
      </c>
      <c r="C5236" s="1">
        <v>8</v>
      </c>
      <c r="D5236" s="47">
        <f t="shared" si="462"/>
        <v>335</v>
      </c>
      <c r="F5236" s="78">
        <f t="shared" si="461"/>
        <v>0</v>
      </c>
    </row>
    <row r="5237" spans="1:6" ht="15.75" thickBot="1" x14ac:dyDescent="0.3">
      <c r="A5237" s="84" t="s">
        <v>15</v>
      </c>
      <c r="B5237" s="358">
        <v>44111</v>
      </c>
      <c r="C5237" s="1">
        <v>207</v>
      </c>
      <c r="D5237" s="47">
        <f t="shared" si="462"/>
        <v>9693</v>
      </c>
      <c r="E5237" s="1">
        <v>5</v>
      </c>
      <c r="F5237" s="78">
        <f t="shared" si="461"/>
        <v>314</v>
      </c>
    </row>
    <row r="5238" spans="1:6" ht="15.75" thickBot="1" x14ac:dyDescent="0.3">
      <c r="A5238" s="84" t="s">
        <v>29</v>
      </c>
      <c r="B5238" s="358">
        <v>44111</v>
      </c>
      <c r="C5238" s="1">
        <v>381</v>
      </c>
      <c r="D5238" s="47">
        <f t="shared" si="462"/>
        <v>5624</v>
      </c>
      <c r="E5238" s="1">
        <v>5</v>
      </c>
      <c r="F5238" s="78">
        <f t="shared" si="461"/>
        <v>74</v>
      </c>
    </row>
    <row r="5239" spans="1:6" ht="15.75" thickBot="1" x14ac:dyDescent="0.3">
      <c r="A5239" s="84" t="s">
        <v>20</v>
      </c>
      <c r="B5239" s="358">
        <v>44111</v>
      </c>
      <c r="C5239" s="1">
        <v>1749</v>
      </c>
      <c r="D5239" s="47">
        <f t="shared" si="462"/>
        <v>44942</v>
      </c>
      <c r="E5239" s="1">
        <v>10</v>
      </c>
      <c r="F5239" s="78">
        <f t="shared" si="461"/>
        <v>524</v>
      </c>
    </row>
    <row r="5240" spans="1:6" ht="15.75" thickBot="1" x14ac:dyDescent="0.3">
      <c r="A5240" s="84" t="s">
        <v>30</v>
      </c>
      <c r="B5240" s="358">
        <v>44111</v>
      </c>
      <c r="C5240" s="1">
        <v>5</v>
      </c>
      <c r="D5240" s="47">
        <f t="shared" si="462"/>
        <v>1361</v>
      </c>
      <c r="F5240" s="78">
        <f t="shared" si="461"/>
        <v>31</v>
      </c>
    </row>
    <row r="5241" spans="1:6" ht="15.75" thickBot="1" x14ac:dyDescent="0.3">
      <c r="A5241" s="84" t="s">
        <v>31</v>
      </c>
      <c r="B5241" s="358">
        <v>44111</v>
      </c>
      <c r="C5241" s="1">
        <v>170</v>
      </c>
      <c r="D5241" s="47">
        <f t="shared" si="462"/>
        <v>8619</v>
      </c>
      <c r="E5241" s="1">
        <v>7</v>
      </c>
      <c r="F5241" s="78">
        <f t="shared" si="461"/>
        <v>160</v>
      </c>
    </row>
    <row r="5242" spans="1:6" ht="15.75" thickBot="1" x14ac:dyDescent="0.3">
      <c r="A5242" s="84" t="s">
        <v>41</v>
      </c>
      <c r="B5242" s="358">
        <v>44111</v>
      </c>
      <c r="C5242" s="1">
        <v>-1</v>
      </c>
      <c r="D5242" s="47">
        <f t="shared" si="462"/>
        <v>105</v>
      </c>
      <c r="F5242" s="78">
        <f t="shared" si="461"/>
        <v>1</v>
      </c>
    </row>
    <row r="5243" spans="1:6" ht="15.75" thickBot="1" x14ac:dyDescent="0.3">
      <c r="A5243" s="84" t="s">
        <v>32</v>
      </c>
      <c r="B5243" s="358">
        <v>44111</v>
      </c>
      <c r="C5243" s="1">
        <v>65</v>
      </c>
      <c r="D5243" s="47">
        <f t="shared" si="462"/>
        <v>16355</v>
      </c>
      <c r="F5243" s="78">
        <f t="shared" si="461"/>
        <v>608</v>
      </c>
    </row>
    <row r="5244" spans="1:6" ht="15.75" thickBot="1" x14ac:dyDescent="0.3">
      <c r="A5244" s="84" t="s">
        <v>33</v>
      </c>
      <c r="B5244" s="358">
        <v>44111</v>
      </c>
      <c r="C5244" s="1">
        <v>33</v>
      </c>
      <c r="D5244" s="47">
        <f t="shared" si="462"/>
        <v>930</v>
      </c>
      <c r="F5244" s="78">
        <f t="shared" ref="F5244:F5255" si="463">E5244+F5220</f>
        <v>11</v>
      </c>
    </row>
    <row r="5245" spans="1:6" ht="15.75" thickBot="1" x14ac:dyDescent="0.3">
      <c r="A5245" s="84" t="s">
        <v>21</v>
      </c>
      <c r="B5245" s="358">
        <v>44111</v>
      </c>
      <c r="C5245" s="1">
        <v>119</v>
      </c>
      <c r="D5245" s="47">
        <f t="shared" si="462"/>
        <v>5430</v>
      </c>
      <c r="E5245" s="1">
        <v>25</v>
      </c>
      <c r="F5245" s="78">
        <f t="shared" si="463"/>
        <v>130</v>
      </c>
    </row>
    <row r="5246" spans="1:6" ht="15.75" thickBot="1" x14ac:dyDescent="0.3">
      <c r="A5246" s="84" t="s">
        <v>17</v>
      </c>
      <c r="B5246" s="358">
        <v>44111</v>
      </c>
      <c r="C5246" s="1">
        <v>771</v>
      </c>
      <c r="D5246" s="47">
        <f t="shared" si="462"/>
        <v>29336</v>
      </c>
      <c r="E5246" s="1">
        <v>36</v>
      </c>
      <c r="F5246" s="78">
        <f t="shared" si="463"/>
        <v>398</v>
      </c>
    </row>
    <row r="5247" spans="1:6" ht="15.75" thickBot="1" x14ac:dyDescent="0.3">
      <c r="A5247" s="84" t="s">
        <v>23</v>
      </c>
      <c r="B5247" s="358">
        <v>44111</v>
      </c>
      <c r="C5247" s="1">
        <v>7</v>
      </c>
      <c r="D5247" s="47">
        <f t="shared" si="462"/>
        <v>125</v>
      </c>
      <c r="F5247" s="78">
        <f t="shared" si="463"/>
        <v>4</v>
      </c>
    </row>
    <row r="5248" spans="1:6" ht="15.75" thickBot="1" x14ac:dyDescent="0.3">
      <c r="A5248" s="84" t="s">
        <v>19</v>
      </c>
      <c r="B5248" s="358">
        <v>44111</v>
      </c>
      <c r="C5248" s="1">
        <v>1204</v>
      </c>
      <c r="D5248" s="47">
        <f>C5248+D5224</f>
        <v>10690</v>
      </c>
      <c r="E5248" s="1">
        <v>1</v>
      </c>
      <c r="F5248" s="78">
        <f t="shared" si="463"/>
        <v>124</v>
      </c>
    </row>
    <row r="5249" spans="1:6" ht="15.75" thickBot="1" x14ac:dyDescent="0.3">
      <c r="A5249" s="84" t="s">
        <v>18</v>
      </c>
      <c r="B5249" s="358">
        <v>44111</v>
      </c>
      <c r="C5249" s="1">
        <v>339</v>
      </c>
      <c r="D5249" s="47">
        <f>C5249+D5225</f>
        <v>14991</v>
      </c>
      <c r="E5249" s="1">
        <v>6</v>
      </c>
      <c r="F5249" s="78">
        <f t="shared" si="463"/>
        <v>337</v>
      </c>
    </row>
    <row r="5250" spans="1:6" ht="15.75" thickBot="1" x14ac:dyDescent="0.3">
      <c r="A5250" s="84" t="s">
        <v>34</v>
      </c>
      <c r="B5250" s="358">
        <v>44111</v>
      </c>
      <c r="C5250" s="1">
        <v>289</v>
      </c>
      <c r="D5250" s="47">
        <f>C5250+D5226</f>
        <v>14251</v>
      </c>
      <c r="E5250" s="1">
        <v>18</v>
      </c>
      <c r="F5250" s="78">
        <f>E5250+F5226</f>
        <v>452</v>
      </c>
    </row>
    <row r="5251" spans="1:6" ht="15.75" thickBot="1" x14ac:dyDescent="0.3">
      <c r="A5251" s="84" t="s">
        <v>35</v>
      </c>
      <c r="B5251" s="358">
        <v>44111</v>
      </c>
      <c r="C5251" s="1">
        <v>6</v>
      </c>
      <c r="D5251" s="47">
        <f t="shared" ref="D5251:D5257" si="464">C5251+D5227</f>
        <v>993</v>
      </c>
      <c r="F5251" s="78">
        <f>E5251+F5227</f>
        <v>42</v>
      </c>
    </row>
    <row r="5252" spans="1:6" ht="15.75" thickBot="1" x14ac:dyDescent="0.3">
      <c r="A5252" s="84" t="s">
        <v>36</v>
      </c>
      <c r="B5252" s="358">
        <v>44111</v>
      </c>
      <c r="C5252" s="1">
        <v>125</v>
      </c>
      <c r="D5252" s="47">
        <f t="shared" si="464"/>
        <v>1990</v>
      </c>
      <c r="F5252" s="78">
        <f t="shared" si="463"/>
        <v>31</v>
      </c>
    </row>
    <row r="5253" spans="1:6" ht="15.75" thickBot="1" x14ac:dyDescent="0.3">
      <c r="A5253" s="84" t="s">
        <v>37</v>
      </c>
      <c r="B5253" s="358">
        <v>44111</v>
      </c>
      <c r="C5253" s="1">
        <v>162</v>
      </c>
      <c r="D5253" s="47">
        <f t="shared" si="464"/>
        <v>5780</v>
      </c>
      <c r="E5253" s="1">
        <v>2</v>
      </c>
      <c r="F5253" s="78">
        <f>E5253+F5229</f>
        <v>74</v>
      </c>
    </row>
    <row r="5254" spans="1:6" ht="15.75" thickBot="1" x14ac:dyDescent="0.3">
      <c r="A5254" s="84" t="s">
        <v>22</v>
      </c>
      <c r="B5254" s="358">
        <v>44111</v>
      </c>
      <c r="C5254" s="1">
        <v>2137</v>
      </c>
      <c r="D5254" s="47">
        <f t="shared" si="464"/>
        <v>55032</v>
      </c>
      <c r="E5254" s="1">
        <v>17</v>
      </c>
      <c r="F5254" s="78">
        <f>E5254+F5230</f>
        <v>589</v>
      </c>
    </row>
    <row r="5255" spans="1:6" ht="15.75" thickBot="1" x14ac:dyDescent="0.3">
      <c r="A5255" s="84" t="s">
        <v>38</v>
      </c>
      <c r="B5255" s="358">
        <v>44111</v>
      </c>
      <c r="C5255" s="1">
        <v>60</v>
      </c>
      <c r="D5255" s="47">
        <f t="shared" si="464"/>
        <v>4228</v>
      </c>
      <c r="E5255" s="1">
        <v>5</v>
      </c>
      <c r="F5255" s="78">
        <f t="shared" si="463"/>
        <v>78</v>
      </c>
    </row>
    <row r="5256" spans="1:6" ht="15.75" thickBot="1" x14ac:dyDescent="0.3">
      <c r="A5256" s="84" t="s">
        <v>39</v>
      </c>
      <c r="B5256" s="358">
        <v>44111</v>
      </c>
      <c r="C5256" s="1">
        <v>216</v>
      </c>
      <c r="D5256" s="47">
        <f t="shared" si="464"/>
        <v>5636</v>
      </c>
      <c r="E5256" s="1">
        <v>6</v>
      </c>
      <c r="F5256" s="78">
        <f t="shared" ref="F5256:F5267" si="465">E5256+F5232</f>
        <v>81</v>
      </c>
    </row>
    <row r="5257" spans="1:6" ht="15.75" thickBot="1" x14ac:dyDescent="0.3">
      <c r="A5257" s="85" t="s">
        <v>40</v>
      </c>
      <c r="B5257" s="358">
        <v>44111</v>
      </c>
      <c r="C5257" s="1">
        <v>2217</v>
      </c>
      <c r="D5257" s="214">
        <f t="shared" si="464"/>
        <v>21377</v>
      </c>
      <c r="E5257" s="1">
        <v>8</v>
      </c>
      <c r="F5257" s="79">
        <f t="shared" si="465"/>
        <v>176</v>
      </c>
    </row>
    <row r="5258" spans="1:6" ht="15.75" thickBot="1" x14ac:dyDescent="0.3">
      <c r="A5258" s="36" t="s">
        <v>16</v>
      </c>
      <c r="B5258" s="358">
        <v>44112</v>
      </c>
      <c r="C5258" s="1">
        <v>5184</v>
      </c>
      <c r="D5258" s="211">
        <f>C5258+D5234</f>
        <v>456470</v>
      </c>
      <c r="E5258" s="1">
        <v>186</v>
      </c>
      <c r="F5258" s="77">
        <f t="shared" si="465"/>
        <v>14145</v>
      </c>
    </row>
    <row r="5259" spans="1:6" ht="15.75" thickBot="1" x14ac:dyDescent="0.3">
      <c r="A5259" s="84" t="s">
        <v>43</v>
      </c>
      <c r="B5259" s="358">
        <v>44112</v>
      </c>
      <c r="C5259" s="1">
        <v>937</v>
      </c>
      <c r="D5259" s="47">
        <f t="shared" ref="D5259:D5271" si="466">C5259+D5235</f>
        <v>132734</v>
      </c>
      <c r="E5259" s="1">
        <v>67</v>
      </c>
      <c r="F5259" s="78">
        <f t="shared" si="465"/>
        <v>3861</v>
      </c>
    </row>
    <row r="5260" spans="1:6" ht="15.75" thickBot="1" x14ac:dyDescent="0.3">
      <c r="A5260" s="84" t="s">
        <v>28</v>
      </c>
      <c r="B5260" s="358">
        <v>44112</v>
      </c>
      <c r="C5260" s="1">
        <v>18</v>
      </c>
      <c r="D5260" s="47">
        <f t="shared" si="466"/>
        <v>353</v>
      </c>
      <c r="F5260" s="78">
        <f t="shared" si="465"/>
        <v>0</v>
      </c>
    </row>
    <row r="5261" spans="1:6" ht="15.75" thickBot="1" x14ac:dyDescent="0.3">
      <c r="A5261" s="84" t="s">
        <v>15</v>
      </c>
      <c r="B5261" s="358">
        <v>44112</v>
      </c>
      <c r="C5261" s="1">
        <v>156</v>
      </c>
      <c r="D5261" s="47">
        <f t="shared" si="466"/>
        <v>9849</v>
      </c>
      <c r="E5261" s="1">
        <v>4</v>
      </c>
      <c r="F5261" s="78">
        <f t="shared" si="465"/>
        <v>318</v>
      </c>
    </row>
    <row r="5262" spans="1:6" ht="15.75" thickBot="1" x14ac:dyDescent="0.3">
      <c r="A5262" s="84" t="s">
        <v>29</v>
      </c>
      <c r="B5262" s="358">
        <v>44112</v>
      </c>
      <c r="C5262" s="1">
        <v>312</v>
      </c>
      <c r="D5262" s="47">
        <f t="shared" si="466"/>
        <v>5936</v>
      </c>
      <c r="E5262" s="1">
        <v>2</v>
      </c>
      <c r="F5262" s="78">
        <f t="shared" si="465"/>
        <v>76</v>
      </c>
    </row>
    <row r="5263" spans="1:6" ht="15.75" thickBot="1" x14ac:dyDescent="0.3">
      <c r="A5263" s="84" t="s">
        <v>20</v>
      </c>
      <c r="B5263" s="358">
        <v>44112</v>
      </c>
      <c r="C5263" s="1">
        <v>2090</v>
      </c>
      <c r="D5263" s="47">
        <f t="shared" si="466"/>
        <v>47032</v>
      </c>
      <c r="E5263" s="1">
        <v>18</v>
      </c>
      <c r="F5263" s="78">
        <f t="shared" si="465"/>
        <v>542</v>
      </c>
    </row>
    <row r="5264" spans="1:6" ht="15.75" thickBot="1" x14ac:dyDescent="0.3">
      <c r="A5264" s="84" t="s">
        <v>30</v>
      </c>
      <c r="B5264" s="358">
        <v>44112</v>
      </c>
      <c r="C5264" s="1">
        <v>51</v>
      </c>
      <c r="D5264" s="47">
        <f t="shared" si="466"/>
        <v>1412</v>
      </c>
      <c r="F5264" s="78">
        <f t="shared" si="465"/>
        <v>31</v>
      </c>
    </row>
    <row r="5265" spans="1:6" ht="15.75" thickBot="1" x14ac:dyDescent="0.3">
      <c r="A5265" s="84" t="s">
        <v>31</v>
      </c>
      <c r="B5265" s="358">
        <v>44112</v>
      </c>
      <c r="C5265" s="1">
        <v>220</v>
      </c>
      <c r="D5265" s="47">
        <f t="shared" si="466"/>
        <v>8839</v>
      </c>
      <c r="E5265" s="1">
        <v>6</v>
      </c>
      <c r="F5265" s="78">
        <f t="shared" si="465"/>
        <v>166</v>
      </c>
    </row>
    <row r="5266" spans="1:6" ht="15.75" thickBot="1" x14ac:dyDescent="0.3">
      <c r="A5266" s="84" t="s">
        <v>41</v>
      </c>
      <c r="B5266" s="358">
        <v>44112</v>
      </c>
      <c r="C5266" s="1">
        <v>5</v>
      </c>
      <c r="D5266" s="47">
        <f t="shared" si="466"/>
        <v>110</v>
      </c>
      <c r="F5266" s="78">
        <f t="shared" si="465"/>
        <v>1</v>
      </c>
    </row>
    <row r="5267" spans="1:6" ht="15.75" thickBot="1" x14ac:dyDescent="0.3">
      <c r="A5267" s="84" t="s">
        <v>32</v>
      </c>
      <c r="B5267" s="358">
        <v>44112</v>
      </c>
      <c r="C5267" s="1">
        <v>119</v>
      </c>
      <c r="D5267" s="47">
        <f t="shared" si="466"/>
        <v>16474</v>
      </c>
      <c r="E5267" s="1">
        <v>19</v>
      </c>
      <c r="F5267" s="78">
        <f t="shared" si="465"/>
        <v>627</v>
      </c>
    </row>
    <row r="5268" spans="1:6" ht="15.75" thickBot="1" x14ac:dyDescent="0.3">
      <c r="A5268" s="84" t="s">
        <v>33</v>
      </c>
      <c r="B5268" s="358">
        <v>44112</v>
      </c>
      <c r="C5268" s="1">
        <v>24</v>
      </c>
      <c r="D5268" s="47">
        <f t="shared" si="466"/>
        <v>954</v>
      </c>
      <c r="E5268" s="1">
        <v>1</v>
      </c>
      <c r="F5268" s="78">
        <f t="shared" ref="F5268:F5279" si="467">E5268+F5244</f>
        <v>12</v>
      </c>
    </row>
    <row r="5269" spans="1:6" ht="15.75" thickBot="1" x14ac:dyDescent="0.3">
      <c r="A5269" s="84" t="s">
        <v>21</v>
      </c>
      <c r="B5269" s="358">
        <v>44112</v>
      </c>
      <c r="C5269" s="1">
        <v>117</v>
      </c>
      <c r="D5269" s="47">
        <f t="shared" si="466"/>
        <v>5547</v>
      </c>
      <c r="E5269" s="1">
        <v>30</v>
      </c>
      <c r="F5269" s="78">
        <f t="shared" si="467"/>
        <v>160</v>
      </c>
    </row>
    <row r="5270" spans="1:6" ht="15.75" thickBot="1" x14ac:dyDescent="0.3">
      <c r="A5270" s="84" t="s">
        <v>17</v>
      </c>
      <c r="B5270" s="358">
        <v>44112</v>
      </c>
      <c r="C5270" s="1">
        <v>697</v>
      </c>
      <c r="D5270" s="47">
        <f t="shared" si="466"/>
        <v>30033</v>
      </c>
      <c r="E5270" s="1">
        <v>10</v>
      </c>
      <c r="F5270" s="78">
        <f t="shared" si="467"/>
        <v>408</v>
      </c>
    </row>
    <row r="5271" spans="1:6" ht="15.75" thickBot="1" x14ac:dyDescent="0.3">
      <c r="A5271" s="84" t="s">
        <v>23</v>
      </c>
      <c r="B5271" s="358">
        <v>44112</v>
      </c>
      <c r="C5271" s="1">
        <v>15</v>
      </c>
      <c r="D5271" s="47">
        <f t="shared" si="466"/>
        <v>140</v>
      </c>
      <c r="E5271" s="1">
        <v>0</v>
      </c>
      <c r="F5271" s="78">
        <f t="shared" si="467"/>
        <v>4</v>
      </c>
    </row>
    <row r="5272" spans="1:6" ht="15.75" thickBot="1" x14ac:dyDescent="0.3">
      <c r="A5272" s="84" t="s">
        <v>19</v>
      </c>
      <c r="B5272" s="358">
        <v>44112</v>
      </c>
      <c r="C5272" s="1">
        <v>409</v>
      </c>
      <c r="D5272" s="47">
        <f>C5272+D5248</f>
        <v>11099</v>
      </c>
      <c r="E5272" s="1">
        <v>1</v>
      </c>
      <c r="F5272" s="78">
        <f t="shared" si="467"/>
        <v>125</v>
      </c>
    </row>
    <row r="5273" spans="1:6" ht="15.75" thickBot="1" x14ac:dyDescent="0.3">
      <c r="A5273" s="84" t="s">
        <v>18</v>
      </c>
      <c r="B5273" s="358">
        <v>44112</v>
      </c>
      <c r="C5273" s="1">
        <v>356</v>
      </c>
      <c r="D5273" s="47">
        <f>C5273+D5249</f>
        <v>15347</v>
      </c>
      <c r="E5273" s="1">
        <v>7</v>
      </c>
      <c r="F5273" s="78">
        <f t="shared" si="467"/>
        <v>344</v>
      </c>
    </row>
    <row r="5274" spans="1:6" ht="15.75" thickBot="1" x14ac:dyDescent="0.3">
      <c r="A5274" s="84" t="s">
        <v>34</v>
      </c>
      <c r="B5274" s="358">
        <v>44112</v>
      </c>
      <c r="C5274" s="1">
        <v>265</v>
      </c>
      <c r="D5274" s="47">
        <f>C5274+D5250</f>
        <v>14516</v>
      </c>
      <c r="E5274" s="1">
        <v>11</v>
      </c>
      <c r="F5274" s="78">
        <f>E5274+F5250</f>
        <v>463</v>
      </c>
    </row>
    <row r="5275" spans="1:6" ht="15.75" thickBot="1" x14ac:dyDescent="0.3">
      <c r="A5275" s="84" t="s">
        <v>35</v>
      </c>
      <c r="B5275" s="358">
        <v>44112</v>
      </c>
      <c r="C5275" s="1">
        <v>112</v>
      </c>
      <c r="D5275" s="47">
        <f t="shared" ref="D5275:D5281" si="468">C5275+D5251</f>
        <v>1105</v>
      </c>
      <c r="F5275" s="78">
        <f>E5275+F5251</f>
        <v>42</v>
      </c>
    </row>
    <row r="5276" spans="1:6" ht="15.75" thickBot="1" x14ac:dyDescent="0.3">
      <c r="A5276" s="84" t="s">
        <v>36</v>
      </c>
      <c r="B5276" s="358">
        <v>44112</v>
      </c>
      <c r="C5276" s="1">
        <v>112</v>
      </c>
      <c r="D5276" s="47">
        <f t="shared" si="468"/>
        <v>2102</v>
      </c>
      <c r="E5276" s="1">
        <v>2</v>
      </c>
      <c r="F5276" s="78">
        <f t="shared" si="467"/>
        <v>33</v>
      </c>
    </row>
    <row r="5277" spans="1:6" ht="15.75" thickBot="1" x14ac:dyDescent="0.3">
      <c r="A5277" s="84" t="s">
        <v>37</v>
      </c>
      <c r="B5277" s="358">
        <v>44112</v>
      </c>
      <c r="C5277" s="1">
        <v>89</v>
      </c>
      <c r="D5277" s="47">
        <f t="shared" si="468"/>
        <v>5869</v>
      </c>
      <c r="E5277" s="1">
        <v>2</v>
      </c>
      <c r="F5277" s="78">
        <f>E5277+F5253</f>
        <v>76</v>
      </c>
    </row>
    <row r="5278" spans="1:6" ht="15.75" thickBot="1" x14ac:dyDescent="0.3">
      <c r="A5278" s="84" t="s">
        <v>22</v>
      </c>
      <c r="B5278" s="358">
        <v>44112</v>
      </c>
      <c r="C5278" s="1">
        <v>2099</v>
      </c>
      <c r="D5278" s="47">
        <f t="shared" si="468"/>
        <v>57131</v>
      </c>
      <c r="E5278" s="1">
        <v>31</v>
      </c>
      <c r="F5278" s="78">
        <f>E5278+F5254</f>
        <v>620</v>
      </c>
    </row>
    <row r="5279" spans="1:6" ht="15.75" thickBot="1" x14ac:dyDescent="0.3">
      <c r="A5279" s="84" t="s">
        <v>38</v>
      </c>
      <c r="B5279" s="358">
        <v>44112</v>
      </c>
      <c r="C5279" s="1">
        <v>40</v>
      </c>
      <c r="D5279" s="47">
        <f t="shared" si="468"/>
        <v>4268</v>
      </c>
      <c r="E5279" s="1">
        <v>1</v>
      </c>
      <c r="F5279" s="78">
        <f t="shared" si="467"/>
        <v>79</v>
      </c>
    </row>
    <row r="5280" spans="1:6" ht="15.75" thickBot="1" x14ac:dyDescent="0.3">
      <c r="A5280" s="84" t="s">
        <v>39</v>
      </c>
      <c r="B5280" s="358">
        <v>44112</v>
      </c>
      <c r="C5280" s="1">
        <v>168</v>
      </c>
      <c r="D5280" s="47">
        <f t="shared" si="468"/>
        <v>5804</v>
      </c>
      <c r="E5280" s="1">
        <v>1</v>
      </c>
      <c r="F5280" s="78">
        <f t="shared" ref="F5280:F5291" si="469">E5280+F5256</f>
        <v>82</v>
      </c>
    </row>
    <row r="5281" spans="1:6" ht="15.75" thickBot="1" x14ac:dyDescent="0.3">
      <c r="A5281" s="85" t="s">
        <v>40</v>
      </c>
      <c r="B5281" s="358">
        <v>44112</v>
      </c>
      <c r="C5281" s="1">
        <v>1859</v>
      </c>
      <c r="D5281" s="214">
        <f t="shared" si="468"/>
        <v>23236</v>
      </c>
      <c r="E5281" s="1">
        <v>84</v>
      </c>
      <c r="F5281" s="79">
        <f t="shared" si="469"/>
        <v>260</v>
      </c>
    </row>
    <row r="5282" spans="1:6" ht="15.75" thickBot="1" x14ac:dyDescent="0.3">
      <c r="A5282" s="36" t="s">
        <v>16</v>
      </c>
      <c r="B5282" s="358">
        <v>44113</v>
      </c>
      <c r="C5282" s="1">
        <v>5346</v>
      </c>
      <c r="D5282" s="211">
        <f>C5282+D5258</f>
        <v>461816</v>
      </c>
      <c r="E5282" s="1">
        <f>134+105</f>
        <v>239</v>
      </c>
      <c r="F5282" s="77">
        <f t="shared" si="469"/>
        <v>14384</v>
      </c>
    </row>
    <row r="5283" spans="1:6" ht="15.75" thickBot="1" x14ac:dyDescent="0.3">
      <c r="A5283" s="84" t="s">
        <v>43</v>
      </c>
      <c r="B5283" s="358">
        <v>44113</v>
      </c>
      <c r="C5283" s="1">
        <v>874</v>
      </c>
      <c r="D5283" s="47">
        <f t="shared" ref="D5283:D5295" si="470">C5283+D5259</f>
        <v>133608</v>
      </c>
      <c r="E5283" s="1">
        <f>22+16</f>
        <v>38</v>
      </c>
      <c r="F5283" s="78">
        <f t="shared" si="469"/>
        <v>3899</v>
      </c>
    </row>
    <row r="5284" spans="1:6" ht="15.75" thickBot="1" x14ac:dyDescent="0.3">
      <c r="A5284" s="84" t="s">
        <v>28</v>
      </c>
      <c r="B5284" s="358">
        <v>44113</v>
      </c>
      <c r="C5284" s="1">
        <v>7</v>
      </c>
      <c r="D5284" s="47">
        <f t="shared" si="470"/>
        <v>360</v>
      </c>
      <c r="F5284" s="78">
        <f t="shared" si="469"/>
        <v>0</v>
      </c>
    </row>
    <row r="5285" spans="1:6" ht="15.75" thickBot="1" x14ac:dyDescent="0.3">
      <c r="A5285" s="84" t="s">
        <v>15</v>
      </c>
      <c r="B5285" s="358">
        <v>44113</v>
      </c>
      <c r="C5285" s="1">
        <v>177</v>
      </c>
      <c r="D5285" s="47">
        <f t="shared" si="470"/>
        <v>10026</v>
      </c>
      <c r="E5285" s="1">
        <f>8+4</f>
        <v>12</v>
      </c>
      <c r="F5285" s="78">
        <f t="shared" si="469"/>
        <v>330</v>
      </c>
    </row>
    <row r="5286" spans="1:6" ht="15.75" thickBot="1" x14ac:dyDescent="0.3">
      <c r="A5286" s="84" t="s">
        <v>29</v>
      </c>
      <c r="B5286" s="358">
        <v>44113</v>
      </c>
      <c r="C5286" s="1">
        <v>205</v>
      </c>
      <c r="D5286" s="47">
        <f t="shared" si="470"/>
        <v>6141</v>
      </c>
      <c r="E5286" s="1">
        <f>6</f>
        <v>6</v>
      </c>
      <c r="F5286" s="78">
        <f t="shared" si="469"/>
        <v>82</v>
      </c>
    </row>
    <row r="5287" spans="1:6" ht="15.75" thickBot="1" x14ac:dyDescent="0.3">
      <c r="A5287" s="84" t="s">
        <v>20</v>
      </c>
      <c r="B5287" s="358">
        <v>44113</v>
      </c>
      <c r="C5287" s="1">
        <v>1643</v>
      </c>
      <c r="D5287" s="47">
        <f t="shared" si="470"/>
        <v>48675</v>
      </c>
      <c r="E5287" s="1">
        <v>27</v>
      </c>
      <c r="F5287" s="78">
        <f t="shared" si="469"/>
        <v>569</v>
      </c>
    </row>
    <row r="5288" spans="1:6" ht="15.75" thickBot="1" x14ac:dyDescent="0.3">
      <c r="A5288" s="84" t="s">
        <v>30</v>
      </c>
      <c r="B5288" s="358">
        <v>44113</v>
      </c>
      <c r="C5288" s="1">
        <v>93</v>
      </c>
      <c r="D5288" s="47">
        <f t="shared" si="470"/>
        <v>1505</v>
      </c>
      <c r="F5288" s="78">
        <f t="shared" si="469"/>
        <v>31</v>
      </c>
    </row>
    <row r="5289" spans="1:6" ht="15.75" thickBot="1" x14ac:dyDescent="0.3">
      <c r="A5289" s="84" t="s">
        <v>31</v>
      </c>
      <c r="B5289" s="358">
        <v>44113</v>
      </c>
      <c r="C5289" s="1">
        <v>206</v>
      </c>
      <c r="D5289" s="47">
        <f t="shared" si="470"/>
        <v>9045</v>
      </c>
      <c r="E5289" s="1">
        <f>4</f>
        <v>4</v>
      </c>
      <c r="F5289" s="78">
        <f t="shared" si="469"/>
        <v>170</v>
      </c>
    </row>
    <row r="5290" spans="1:6" ht="15.75" thickBot="1" x14ac:dyDescent="0.3">
      <c r="A5290" s="84" t="s">
        <v>41</v>
      </c>
      <c r="B5290" s="358">
        <v>44113</v>
      </c>
      <c r="C5290" s="1">
        <v>10</v>
      </c>
      <c r="D5290" s="47">
        <f t="shared" si="470"/>
        <v>120</v>
      </c>
      <c r="F5290" s="78">
        <f t="shared" si="469"/>
        <v>1</v>
      </c>
    </row>
    <row r="5291" spans="1:6" ht="15.75" thickBot="1" x14ac:dyDescent="0.3">
      <c r="A5291" s="84" t="s">
        <v>32</v>
      </c>
      <c r="B5291" s="358">
        <v>44113</v>
      </c>
      <c r="C5291" s="1">
        <v>70</v>
      </c>
      <c r="D5291" s="47">
        <f t="shared" si="470"/>
        <v>16544</v>
      </c>
      <c r="F5291" s="78">
        <f t="shared" si="469"/>
        <v>627</v>
      </c>
    </row>
    <row r="5292" spans="1:6" ht="15.75" thickBot="1" x14ac:dyDescent="0.3">
      <c r="A5292" s="84" t="s">
        <v>33</v>
      </c>
      <c r="B5292" s="358">
        <v>44113</v>
      </c>
      <c r="C5292" s="1">
        <v>42</v>
      </c>
      <c r="D5292" s="47">
        <f t="shared" si="470"/>
        <v>996</v>
      </c>
      <c r="F5292" s="78">
        <f t="shared" ref="F5292:F5303" si="471">E5292+F5268</f>
        <v>12</v>
      </c>
    </row>
    <row r="5293" spans="1:6" ht="15.75" thickBot="1" x14ac:dyDescent="0.3">
      <c r="A5293" s="84" t="s">
        <v>21</v>
      </c>
      <c r="B5293" s="358">
        <v>44113</v>
      </c>
      <c r="C5293" s="1">
        <v>83</v>
      </c>
      <c r="D5293" s="47">
        <f t="shared" si="470"/>
        <v>5630</v>
      </c>
      <c r="E5293" s="1">
        <f>7+4</f>
        <v>11</v>
      </c>
      <c r="F5293" s="78">
        <f t="shared" si="471"/>
        <v>171</v>
      </c>
    </row>
    <row r="5294" spans="1:6" ht="15.75" thickBot="1" x14ac:dyDescent="0.3">
      <c r="A5294" s="84" t="s">
        <v>17</v>
      </c>
      <c r="B5294" s="358">
        <v>44113</v>
      </c>
      <c r="C5294" s="1">
        <v>858</v>
      </c>
      <c r="D5294" s="47">
        <f t="shared" si="470"/>
        <v>30891</v>
      </c>
      <c r="E5294" s="1">
        <f>10+8</f>
        <v>18</v>
      </c>
      <c r="F5294" s="78">
        <f t="shared" si="471"/>
        <v>426</v>
      </c>
    </row>
    <row r="5295" spans="1:6" ht="15.75" thickBot="1" x14ac:dyDescent="0.3">
      <c r="A5295" s="84" t="s">
        <v>23</v>
      </c>
      <c r="B5295" s="358">
        <v>44113</v>
      </c>
      <c r="C5295" s="1">
        <v>4</v>
      </c>
      <c r="D5295" s="47">
        <f t="shared" si="470"/>
        <v>144</v>
      </c>
      <c r="F5295" s="78">
        <f t="shared" si="471"/>
        <v>4</v>
      </c>
    </row>
    <row r="5296" spans="1:6" ht="15.75" thickBot="1" x14ac:dyDescent="0.3">
      <c r="A5296" s="84" t="s">
        <v>19</v>
      </c>
      <c r="B5296" s="358">
        <v>44113</v>
      </c>
      <c r="C5296" s="1">
        <v>287</v>
      </c>
      <c r="D5296" s="47">
        <f>C5296+D5272</f>
        <v>11386</v>
      </c>
      <c r="E5296" s="1">
        <f>25+17</f>
        <v>42</v>
      </c>
      <c r="F5296" s="78">
        <f t="shared" si="471"/>
        <v>167</v>
      </c>
    </row>
    <row r="5297" spans="1:6" ht="15.75" thickBot="1" x14ac:dyDescent="0.3">
      <c r="A5297" s="84" t="s">
        <v>18</v>
      </c>
      <c r="B5297" s="358">
        <v>44113</v>
      </c>
      <c r="C5297" s="1">
        <v>462</v>
      </c>
      <c r="D5297" s="47">
        <f>C5297+D5273</f>
        <v>15809</v>
      </c>
      <c r="E5297" s="1">
        <f>5+3</f>
        <v>8</v>
      </c>
      <c r="F5297" s="78">
        <f t="shared" si="471"/>
        <v>352</v>
      </c>
    </row>
    <row r="5298" spans="1:6" ht="15.75" thickBot="1" x14ac:dyDescent="0.3">
      <c r="A5298" s="84" t="s">
        <v>34</v>
      </c>
      <c r="B5298" s="358">
        <v>44113</v>
      </c>
      <c r="C5298" s="1">
        <v>267</v>
      </c>
      <c r="D5298" s="47">
        <f>C5298+D5274</f>
        <v>14783</v>
      </c>
      <c r="E5298" s="1">
        <f>8+6</f>
        <v>14</v>
      </c>
      <c r="F5298" s="78">
        <f>E5298+F5274</f>
        <v>477</v>
      </c>
    </row>
    <row r="5299" spans="1:6" ht="15.75" thickBot="1" x14ac:dyDescent="0.3">
      <c r="A5299" s="84" t="s">
        <v>35</v>
      </c>
      <c r="B5299" s="358">
        <v>44113</v>
      </c>
      <c r="C5299" s="1">
        <v>40</v>
      </c>
      <c r="D5299" s="47">
        <f t="shared" ref="D5299:D5305" si="472">C5299+D5275</f>
        <v>1145</v>
      </c>
      <c r="F5299" s="78">
        <f>E5299+F5275</f>
        <v>42</v>
      </c>
    </row>
    <row r="5300" spans="1:6" ht="15.75" thickBot="1" x14ac:dyDescent="0.3">
      <c r="A5300" s="84" t="s">
        <v>36</v>
      </c>
      <c r="B5300" s="358">
        <v>44113</v>
      </c>
      <c r="C5300" s="1">
        <v>86</v>
      </c>
      <c r="D5300" s="47">
        <f t="shared" si="472"/>
        <v>2188</v>
      </c>
      <c r="F5300" s="78">
        <f t="shared" si="471"/>
        <v>33</v>
      </c>
    </row>
    <row r="5301" spans="1:6" ht="15.75" thickBot="1" x14ac:dyDescent="0.3">
      <c r="A5301" s="84" t="s">
        <v>37</v>
      </c>
      <c r="B5301" s="358">
        <v>44113</v>
      </c>
      <c r="C5301" s="1">
        <v>172</v>
      </c>
      <c r="D5301" s="47">
        <f t="shared" si="472"/>
        <v>6041</v>
      </c>
      <c r="E5301" s="1">
        <f>1+3</f>
        <v>4</v>
      </c>
      <c r="F5301" s="78">
        <f>E5301+F5277</f>
        <v>80</v>
      </c>
    </row>
    <row r="5302" spans="1:6" ht="15.75" thickBot="1" x14ac:dyDescent="0.3">
      <c r="A5302" s="84" t="s">
        <v>22</v>
      </c>
      <c r="B5302" s="358">
        <v>44113</v>
      </c>
      <c r="C5302" s="1">
        <v>2179</v>
      </c>
      <c r="D5302" s="47">
        <f t="shared" si="472"/>
        <v>59310</v>
      </c>
      <c r="E5302" s="1">
        <f>10+11</f>
        <v>21</v>
      </c>
      <c r="F5302" s="78">
        <f>E5302+F5278</f>
        <v>641</v>
      </c>
    </row>
    <row r="5303" spans="1:6" ht="15.75" thickBot="1" x14ac:dyDescent="0.3">
      <c r="A5303" s="84" t="s">
        <v>38</v>
      </c>
      <c r="B5303" s="358">
        <v>44113</v>
      </c>
      <c r="C5303" s="1">
        <v>15</v>
      </c>
      <c r="D5303" s="47">
        <f t="shared" si="472"/>
        <v>4283</v>
      </c>
      <c r="E5303" s="1">
        <f>2+1</f>
        <v>3</v>
      </c>
      <c r="F5303" s="78">
        <f t="shared" si="471"/>
        <v>82</v>
      </c>
    </row>
    <row r="5304" spans="1:6" ht="15.75" thickBot="1" x14ac:dyDescent="0.3">
      <c r="A5304" s="84" t="s">
        <v>39</v>
      </c>
      <c r="B5304" s="358">
        <v>44113</v>
      </c>
      <c r="C5304" s="1">
        <v>249</v>
      </c>
      <c r="D5304" s="47">
        <f t="shared" si="472"/>
        <v>6053</v>
      </c>
      <c r="E5304" s="1">
        <f>2</f>
        <v>2</v>
      </c>
      <c r="F5304" s="78">
        <f t="shared" ref="F5304:F5315" si="473">E5304+F5280</f>
        <v>84</v>
      </c>
    </row>
    <row r="5305" spans="1:6" ht="15.75" thickBot="1" x14ac:dyDescent="0.3">
      <c r="A5305" s="85" t="s">
        <v>40</v>
      </c>
      <c r="B5305" s="358">
        <v>44113</v>
      </c>
      <c r="C5305" s="1">
        <v>1724</v>
      </c>
      <c r="D5305" s="214">
        <f t="shared" si="472"/>
        <v>24960</v>
      </c>
      <c r="E5305" s="1">
        <f>44+21</f>
        <v>65</v>
      </c>
      <c r="F5305" s="79">
        <f t="shared" si="473"/>
        <v>325</v>
      </c>
    </row>
    <row r="5306" spans="1:6" ht="15.75" thickBot="1" x14ac:dyDescent="0.3">
      <c r="A5306" s="36" t="s">
        <v>16</v>
      </c>
      <c r="B5306" s="358">
        <v>44114</v>
      </c>
      <c r="C5306" s="1">
        <v>4047</v>
      </c>
      <c r="D5306" s="211">
        <f>C5306+D5282</f>
        <v>465863</v>
      </c>
      <c r="E5306" s="1">
        <v>187</v>
      </c>
      <c r="F5306" s="77">
        <f t="shared" si="473"/>
        <v>14571</v>
      </c>
    </row>
    <row r="5307" spans="1:6" ht="15.75" thickBot="1" x14ac:dyDescent="0.3">
      <c r="A5307" s="84" t="s">
        <v>43</v>
      </c>
      <c r="B5307" s="358">
        <v>44114</v>
      </c>
      <c r="C5307" s="1">
        <v>742</v>
      </c>
      <c r="D5307" s="47">
        <f t="shared" ref="D5307:D5319" si="474">C5307+D5283</f>
        <v>134350</v>
      </c>
      <c r="E5307" s="1">
        <f>2+43+28</f>
        <v>73</v>
      </c>
      <c r="F5307" s="78">
        <f t="shared" si="473"/>
        <v>3972</v>
      </c>
    </row>
    <row r="5308" spans="1:6" ht="15.75" thickBot="1" x14ac:dyDescent="0.3">
      <c r="A5308" s="84" t="s">
        <v>28</v>
      </c>
      <c r="B5308" s="358">
        <v>44114</v>
      </c>
      <c r="C5308" s="1">
        <v>10</v>
      </c>
      <c r="D5308" s="47">
        <f t="shared" si="474"/>
        <v>370</v>
      </c>
      <c r="F5308" s="78">
        <f t="shared" si="473"/>
        <v>0</v>
      </c>
    </row>
    <row r="5309" spans="1:6" ht="15.75" thickBot="1" x14ac:dyDescent="0.3">
      <c r="A5309" s="84" t="s">
        <v>15</v>
      </c>
      <c r="B5309" s="358">
        <v>44114</v>
      </c>
      <c r="C5309" s="1">
        <v>148</v>
      </c>
      <c r="D5309" s="47">
        <f t="shared" si="474"/>
        <v>10174</v>
      </c>
      <c r="E5309" s="1">
        <f>1</f>
        <v>1</v>
      </c>
      <c r="F5309" s="78">
        <f t="shared" si="473"/>
        <v>331</v>
      </c>
    </row>
    <row r="5310" spans="1:6" ht="15.75" thickBot="1" x14ac:dyDescent="0.3">
      <c r="A5310" s="84" t="s">
        <v>29</v>
      </c>
      <c r="B5310" s="358">
        <v>44114</v>
      </c>
      <c r="C5310" s="1">
        <v>482</v>
      </c>
      <c r="D5310" s="47">
        <f t="shared" si="474"/>
        <v>6623</v>
      </c>
      <c r="E5310" s="1">
        <v>0</v>
      </c>
      <c r="F5310" s="78">
        <f t="shared" si="473"/>
        <v>82</v>
      </c>
    </row>
    <row r="5311" spans="1:6" ht="15.75" thickBot="1" x14ac:dyDescent="0.3">
      <c r="A5311" s="84" t="s">
        <v>20</v>
      </c>
      <c r="B5311" s="358">
        <v>44114</v>
      </c>
      <c r="C5311" s="1">
        <v>1606</v>
      </c>
      <c r="D5311" s="47">
        <f t="shared" si="474"/>
        <v>50281</v>
      </c>
      <c r="E5311" s="1">
        <v>27</v>
      </c>
      <c r="F5311" s="78">
        <f t="shared" si="473"/>
        <v>596</v>
      </c>
    </row>
    <row r="5312" spans="1:6" ht="15.75" thickBot="1" x14ac:dyDescent="0.3">
      <c r="A5312" s="84" t="s">
        <v>30</v>
      </c>
      <c r="B5312" s="358">
        <v>44114</v>
      </c>
      <c r="C5312" s="1">
        <v>2</v>
      </c>
      <c r="D5312" s="47">
        <f t="shared" si="474"/>
        <v>1507</v>
      </c>
      <c r="F5312" s="78">
        <f t="shared" si="473"/>
        <v>31</v>
      </c>
    </row>
    <row r="5313" spans="1:6" ht="15.75" thickBot="1" x14ac:dyDescent="0.3">
      <c r="A5313" s="84" t="s">
        <v>31</v>
      </c>
      <c r="B5313" s="358">
        <v>44114</v>
      </c>
      <c r="C5313" s="1">
        <v>188</v>
      </c>
      <c r="D5313" s="47">
        <f t="shared" si="474"/>
        <v>9233</v>
      </c>
      <c r="E5313" s="1">
        <f>1+1</f>
        <v>2</v>
      </c>
      <c r="F5313" s="78">
        <f t="shared" si="473"/>
        <v>172</v>
      </c>
    </row>
    <row r="5314" spans="1:6" ht="15.75" thickBot="1" x14ac:dyDescent="0.3">
      <c r="A5314" s="84" t="s">
        <v>41</v>
      </c>
      <c r="B5314" s="358">
        <v>44114</v>
      </c>
      <c r="C5314" s="1">
        <v>8</v>
      </c>
      <c r="D5314" s="47">
        <f t="shared" si="474"/>
        <v>128</v>
      </c>
      <c r="F5314" s="78">
        <f t="shared" si="473"/>
        <v>1</v>
      </c>
    </row>
    <row r="5315" spans="1:6" ht="15.75" thickBot="1" x14ac:dyDescent="0.3">
      <c r="A5315" s="84" t="s">
        <v>32</v>
      </c>
      <c r="B5315" s="358">
        <v>44114</v>
      </c>
      <c r="C5315" s="1">
        <v>128</v>
      </c>
      <c r="D5315" s="47">
        <f t="shared" si="474"/>
        <v>16672</v>
      </c>
      <c r="F5315" s="78">
        <f t="shared" si="473"/>
        <v>627</v>
      </c>
    </row>
    <row r="5316" spans="1:6" ht="15.75" thickBot="1" x14ac:dyDescent="0.3">
      <c r="A5316" s="84" t="s">
        <v>33</v>
      </c>
      <c r="B5316" s="358">
        <v>44114</v>
      </c>
      <c r="C5316" s="1">
        <v>44</v>
      </c>
      <c r="D5316" s="47">
        <f t="shared" si="474"/>
        <v>1040</v>
      </c>
      <c r="F5316" s="78">
        <f t="shared" ref="F5316:F5327" si="475">E5316+F5292</f>
        <v>12</v>
      </c>
    </row>
    <row r="5317" spans="1:6" ht="15.75" thickBot="1" x14ac:dyDescent="0.3">
      <c r="A5317" s="84" t="s">
        <v>21</v>
      </c>
      <c r="B5317" s="358">
        <v>44114</v>
      </c>
      <c r="C5317" s="1">
        <v>46</v>
      </c>
      <c r="D5317" s="47">
        <f t="shared" si="474"/>
        <v>5676</v>
      </c>
      <c r="E5317" s="1">
        <f>1</f>
        <v>1</v>
      </c>
      <c r="F5317" s="78">
        <f t="shared" si="475"/>
        <v>172</v>
      </c>
    </row>
    <row r="5318" spans="1:6" ht="15.75" thickBot="1" x14ac:dyDescent="0.3">
      <c r="A5318" s="84" t="s">
        <v>17</v>
      </c>
      <c r="B5318" s="358">
        <v>44114</v>
      </c>
      <c r="C5318" s="1">
        <v>573</v>
      </c>
      <c r="D5318" s="47">
        <f t="shared" si="474"/>
        <v>31464</v>
      </c>
      <c r="E5318" s="1">
        <f>3</f>
        <v>3</v>
      </c>
      <c r="F5318" s="78">
        <f t="shared" si="475"/>
        <v>429</v>
      </c>
    </row>
    <row r="5319" spans="1:6" ht="15.75" thickBot="1" x14ac:dyDescent="0.3">
      <c r="A5319" s="84" t="s">
        <v>23</v>
      </c>
      <c r="B5319" s="358">
        <v>44114</v>
      </c>
      <c r="C5319" s="1">
        <v>5</v>
      </c>
      <c r="D5319" s="47">
        <f t="shared" si="474"/>
        <v>149</v>
      </c>
      <c r="F5319" s="78">
        <f t="shared" si="475"/>
        <v>4</v>
      </c>
    </row>
    <row r="5320" spans="1:6" ht="15.75" thickBot="1" x14ac:dyDescent="0.3">
      <c r="A5320" s="84" t="s">
        <v>19</v>
      </c>
      <c r="B5320" s="358">
        <v>44114</v>
      </c>
      <c r="C5320" s="1">
        <v>433</v>
      </c>
      <c r="D5320" s="47">
        <f>C5320+D5296</f>
        <v>11819</v>
      </c>
      <c r="E5320" s="1">
        <f>13+4</f>
        <v>17</v>
      </c>
      <c r="F5320" s="78">
        <f t="shared" si="475"/>
        <v>184</v>
      </c>
    </row>
    <row r="5321" spans="1:6" ht="15.75" thickBot="1" x14ac:dyDescent="0.3">
      <c r="A5321" s="84" t="s">
        <v>18</v>
      </c>
      <c r="B5321" s="358">
        <v>44114</v>
      </c>
      <c r="C5321" s="1">
        <v>433</v>
      </c>
      <c r="D5321" s="47">
        <f>C5321+D5297</f>
        <v>16242</v>
      </c>
      <c r="E5321" s="1">
        <v>4</v>
      </c>
      <c r="F5321" s="78">
        <f t="shared" si="475"/>
        <v>356</v>
      </c>
    </row>
    <row r="5322" spans="1:6" ht="15.75" thickBot="1" x14ac:dyDescent="0.3">
      <c r="A5322" s="84" t="s">
        <v>34</v>
      </c>
      <c r="B5322" s="358">
        <v>44114</v>
      </c>
      <c r="C5322" s="1">
        <v>453</v>
      </c>
      <c r="D5322" s="47">
        <f>C5322+D5298</f>
        <v>15236</v>
      </c>
      <c r="E5322" s="1">
        <f>16+5</f>
        <v>21</v>
      </c>
      <c r="F5322" s="78">
        <f>E5322+F5298</f>
        <v>498</v>
      </c>
    </row>
    <row r="5323" spans="1:6" ht="15.75" thickBot="1" x14ac:dyDescent="0.3">
      <c r="A5323" s="84" t="s">
        <v>35</v>
      </c>
      <c r="B5323" s="358">
        <v>44114</v>
      </c>
      <c r="C5323" s="1">
        <v>1</v>
      </c>
      <c r="D5323" s="47">
        <f t="shared" ref="D5323:D5329" si="476">C5323+D5299</f>
        <v>1146</v>
      </c>
      <c r="F5323" s="78">
        <f>E5323+F5299</f>
        <v>42</v>
      </c>
    </row>
    <row r="5324" spans="1:6" ht="15.75" thickBot="1" x14ac:dyDescent="0.3">
      <c r="A5324" s="84" t="s">
        <v>36</v>
      </c>
      <c r="B5324" s="358">
        <v>44114</v>
      </c>
      <c r="C5324" s="1">
        <v>14</v>
      </c>
      <c r="D5324" s="47">
        <f t="shared" si="476"/>
        <v>2202</v>
      </c>
      <c r="F5324" s="78">
        <f t="shared" si="475"/>
        <v>33</v>
      </c>
    </row>
    <row r="5325" spans="1:6" ht="15.75" thickBot="1" x14ac:dyDescent="0.3">
      <c r="A5325" s="84" t="s">
        <v>37</v>
      </c>
      <c r="B5325" s="358">
        <v>44114</v>
      </c>
      <c r="C5325" s="1">
        <v>170</v>
      </c>
      <c r="D5325" s="47">
        <f t="shared" si="476"/>
        <v>6211</v>
      </c>
      <c r="E5325" s="1">
        <f>3</f>
        <v>3</v>
      </c>
      <c r="F5325" s="78">
        <f>E5325+F5301</f>
        <v>83</v>
      </c>
    </row>
    <row r="5326" spans="1:6" ht="15.75" thickBot="1" x14ac:dyDescent="0.3">
      <c r="A5326" s="84" t="s">
        <v>22</v>
      </c>
      <c r="B5326" s="358">
        <v>44114</v>
      </c>
      <c r="C5326" s="1">
        <v>2043</v>
      </c>
      <c r="D5326" s="47">
        <f t="shared" si="476"/>
        <v>61353</v>
      </c>
      <c r="E5326" s="1">
        <v>16</v>
      </c>
      <c r="F5326" s="78">
        <f>E5326+F5302</f>
        <v>657</v>
      </c>
    </row>
    <row r="5327" spans="1:6" ht="15.75" thickBot="1" x14ac:dyDescent="0.3">
      <c r="A5327" s="84" t="s">
        <v>38</v>
      </c>
      <c r="B5327" s="358">
        <v>44114</v>
      </c>
      <c r="C5327" s="1">
        <v>93</v>
      </c>
      <c r="D5327" s="47">
        <f t="shared" si="476"/>
        <v>4376</v>
      </c>
      <c r="F5327" s="78">
        <f t="shared" si="475"/>
        <v>82</v>
      </c>
    </row>
    <row r="5328" spans="1:6" ht="15.75" thickBot="1" x14ac:dyDescent="0.3">
      <c r="A5328" s="84" t="s">
        <v>39</v>
      </c>
      <c r="B5328" s="358">
        <v>44114</v>
      </c>
      <c r="C5328" s="1">
        <v>144</v>
      </c>
      <c r="D5328" s="47">
        <f t="shared" si="476"/>
        <v>6197</v>
      </c>
      <c r="F5328" s="78">
        <f t="shared" ref="F5328:F5339" si="477">E5328+F5304</f>
        <v>84</v>
      </c>
    </row>
    <row r="5329" spans="1:6" ht="15.75" thickBot="1" x14ac:dyDescent="0.3">
      <c r="A5329" s="85" t="s">
        <v>40</v>
      </c>
      <c r="B5329" s="358">
        <v>44114</v>
      </c>
      <c r="C5329" s="1">
        <v>802</v>
      </c>
      <c r="D5329" s="214">
        <f t="shared" si="476"/>
        <v>25762</v>
      </c>
      <c r="F5329" s="79">
        <f t="shared" si="477"/>
        <v>325</v>
      </c>
    </row>
    <row r="5330" spans="1:6" ht="15.75" thickBot="1" x14ac:dyDescent="0.3">
      <c r="A5330" s="36" t="s">
        <v>16</v>
      </c>
      <c r="B5330" s="358">
        <v>44115</v>
      </c>
      <c r="C5330" s="1">
        <v>2542</v>
      </c>
      <c r="D5330" s="211">
        <f>C5330+D5306</f>
        <v>468405</v>
      </c>
      <c r="E5330" s="1">
        <f>81+63+3</f>
        <v>147</v>
      </c>
      <c r="F5330" s="77">
        <f t="shared" si="477"/>
        <v>14718</v>
      </c>
    </row>
    <row r="5331" spans="1:6" ht="15.75" thickBot="1" x14ac:dyDescent="0.3">
      <c r="A5331" s="84" t="s">
        <v>43</v>
      </c>
      <c r="B5331" s="358">
        <v>44115</v>
      </c>
      <c r="C5331" s="1">
        <v>642</v>
      </c>
      <c r="D5331" s="47">
        <f t="shared" ref="D5331:D5343" si="478">C5331+D5307</f>
        <v>134992</v>
      </c>
      <c r="E5331" s="1">
        <f>8+12</f>
        <v>20</v>
      </c>
      <c r="F5331" s="78">
        <f t="shared" si="477"/>
        <v>3992</v>
      </c>
    </row>
    <row r="5332" spans="1:6" ht="15.75" thickBot="1" x14ac:dyDescent="0.3">
      <c r="A5332" s="84" t="s">
        <v>28</v>
      </c>
      <c r="B5332" s="358">
        <v>44115</v>
      </c>
      <c r="C5332" s="1">
        <v>6</v>
      </c>
      <c r="D5332" s="47">
        <f t="shared" si="478"/>
        <v>376</v>
      </c>
      <c r="F5332" s="78">
        <f t="shared" si="477"/>
        <v>0</v>
      </c>
    </row>
    <row r="5333" spans="1:6" ht="15.75" thickBot="1" x14ac:dyDescent="0.3">
      <c r="A5333" s="84" t="s">
        <v>15</v>
      </c>
      <c r="B5333" s="358">
        <v>44115</v>
      </c>
      <c r="C5333" s="1">
        <v>199</v>
      </c>
      <c r="D5333" s="47">
        <f t="shared" si="478"/>
        <v>10373</v>
      </c>
      <c r="E5333" s="1">
        <v>3</v>
      </c>
      <c r="F5333" s="78">
        <f t="shared" si="477"/>
        <v>334</v>
      </c>
    </row>
    <row r="5334" spans="1:6" ht="15.75" thickBot="1" x14ac:dyDescent="0.3">
      <c r="A5334" s="84" t="s">
        <v>29</v>
      </c>
      <c r="B5334" s="358">
        <v>44115</v>
      </c>
      <c r="C5334" s="1">
        <v>379</v>
      </c>
      <c r="D5334" s="47">
        <f t="shared" si="478"/>
        <v>7002</v>
      </c>
      <c r="F5334" s="78">
        <f t="shared" si="477"/>
        <v>82</v>
      </c>
    </row>
    <row r="5335" spans="1:6" ht="15.75" thickBot="1" x14ac:dyDescent="0.3">
      <c r="A5335" s="84" t="s">
        <v>20</v>
      </c>
      <c r="B5335" s="358">
        <v>44115</v>
      </c>
      <c r="C5335" s="1">
        <v>1536</v>
      </c>
      <c r="D5335" s="47">
        <f t="shared" si="478"/>
        <v>51817</v>
      </c>
      <c r="E5335" s="1">
        <f>13+18</f>
        <v>31</v>
      </c>
      <c r="F5335" s="78">
        <f t="shared" si="477"/>
        <v>627</v>
      </c>
    </row>
    <row r="5336" spans="1:6" ht="15.75" thickBot="1" x14ac:dyDescent="0.3">
      <c r="A5336" s="84" t="s">
        <v>30</v>
      </c>
      <c r="B5336" s="358">
        <v>44115</v>
      </c>
      <c r="C5336" s="1">
        <v>50</v>
      </c>
      <c r="D5336" s="47">
        <f t="shared" si="478"/>
        <v>1557</v>
      </c>
      <c r="F5336" s="78">
        <f t="shared" si="477"/>
        <v>31</v>
      </c>
    </row>
    <row r="5337" spans="1:6" ht="15.75" thickBot="1" x14ac:dyDescent="0.3">
      <c r="A5337" s="84" t="s">
        <v>31</v>
      </c>
      <c r="B5337" s="358">
        <v>44115</v>
      </c>
      <c r="C5337" s="1">
        <v>157</v>
      </c>
      <c r="D5337" s="47">
        <f t="shared" si="478"/>
        <v>9390</v>
      </c>
      <c r="E5337" s="1">
        <f>2+1</f>
        <v>3</v>
      </c>
      <c r="F5337" s="78">
        <f t="shared" si="477"/>
        <v>175</v>
      </c>
    </row>
    <row r="5338" spans="1:6" ht="15.75" thickBot="1" x14ac:dyDescent="0.3">
      <c r="A5338" s="84" t="s">
        <v>41</v>
      </c>
      <c r="B5338" s="358">
        <v>44115</v>
      </c>
      <c r="C5338" s="1">
        <v>0</v>
      </c>
      <c r="D5338" s="47">
        <f t="shared" si="478"/>
        <v>128</v>
      </c>
      <c r="F5338" s="78">
        <f t="shared" si="477"/>
        <v>1</v>
      </c>
    </row>
    <row r="5339" spans="1:6" ht="15.75" thickBot="1" x14ac:dyDescent="0.3">
      <c r="A5339" s="84" t="s">
        <v>32</v>
      </c>
      <c r="B5339" s="358">
        <v>44115</v>
      </c>
      <c r="C5339" s="1">
        <v>58</v>
      </c>
      <c r="D5339" s="47">
        <f t="shared" si="478"/>
        <v>16730</v>
      </c>
      <c r="E5339" s="1">
        <f>1</f>
        <v>1</v>
      </c>
      <c r="F5339" s="78">
        <f t="shared" si="477"/>
        <v>628</v>
      </c>
    </row>
    <row r="5340" spans="1:6" ht="15.75" thickBot="1" x14ac:dyDescent="0.3">
      <c r="A5340" s="84" t="s">
        <v>33</v>
      </c>
      <c r="B5340" s="358">
        <v>44115</v>
      </c>
      <c r="C5340" s="1">
        <v>30</v>
      </c>
      <c r="D5340" s="47">
        <f t="shared" si="478"/>
        <v>1070</v>
      </c>
      <c r="F5340" s="78">
        <f t="shared" ref="F5340:F5351" si="479">E5340+F5316</f>
        <v>12</v>
      </c>
    </row>
    <row r="5341" spans="1:6" ht="15.75" thickBot="1" x14ac:dyDescent="0.3">
      <c r="A5341" s="84" t="s">
        <v>21</v>
      </c>
      <c r="B5341" s="358">
        <v>44115</v>
      </c>
      <c r="C5341" s="1">
        <v>152</v>
      </c>
      <c r="D5341" s="47">
        <f t="shared" si="478"/>
        <v>5828</v>
      </c>
      <c r="E5341" s="1">
        <f>2+1</f>
        <v>3</v>
      </c>
      <c r="F5341" s="78">
        <f t="shared" si="479"/>
        <v>175</v>
      </c>
    </row>
    <row r="5342" spans="1:6" ht="15.75" thickBot="1" x14ac:dyDescent="0.3">
      <c r="A5342" s="84" t="s">
        <v>17</v>
      </c>
      <c r="B5342" s="358">
        <v>44115</v>
      </c>
      <c r="C5342" s="1">
        <v>571</v>
      </c>
      <c r="D5342" s="47">
        <f t="shared" si="478"/>
        <v>32035</v>
      </c>
      <c r="E5342" s="1">
        <f>4+2</f>
        <v>6</v>
      </c>
      <c r="F5342" s="78">
        <f t="shared" si="479"/>
        <v>435</v>
      </c>
    </row>
    <row r="5343" spans="1:6" ht="15.75" thickBot="1" x14ac:dyDescent="0.3">
      <c r="A5343" s="84" t="s">
        <v>23</v>
      </c>
      <c r="B5343" s="358">
        <v>44115</v>
      </c>
      <c r="C5343" s="1">
        <v>5</v>
      </c>
      <c r="D5343" s="47">
        <f t="shared" si="478"/>
        <v>154</v>
      </c>
      <c r="F5343" s="78">
        <f t="shared" si="479"/>
        <v>4</v>
      </c>
    </row>
    <row r="5344" spans="1:6" ht="15.75" thickBot="1" x14ac:dyDescent="0.3">
      <c r="A5344" s="84" t="s">
        <v>19</v>
      </c>
      <c r="B5344" s="358">
        <v>44115</v>
      </c>
      <c r="C5344" s="1">
        <v>306</v>
      </c>
      <c r="D5344" s="47">
        <f>C5344+D5320</f>
        <v>12125</v>
      </c>
      <c r="F5344" s="78">
        <f t="shared" si="479"/>
        <v>184</v>
      </c>
    </row>
    <row r="5345" spans="1:6" ht="15.75" thickBot="1" x14ac:dyDescent="0.3">
      <c r="A5345" s="84" t="s">
        <v>18</v>
      </c>
      <c r="B5345" s="358">
        <v>44115</v>
      </c>
      <c r="C5345" s="1">
        <v>252</v>
      </c>
      <c r="D5345" s="47">
        <f>C5345+D5321</f>
        <v>16494</v>
      </c>
      <c r="E5345" s="1">
        <f>4+4</f>
        <v>8</v>
      </c>
      <c r="F5345" s="78">
        <f t="shared" si="479"/>
        <v>364</v>
      </c>
    </row>
    <row r="5346" spans="1:6" ht="15.75" thickBot="1" x14ac:dyDescent="0.3">
      <c r="A5346" s="84" t="s">
        <v>34</v>
      </c>
      <c r="B5346" s="358">
        <v>44115</v>
      </c>
      <c r="C5346" s="1">
        <v>148</v>
      </c>
      <c r="D5346" s="47">
        <f>C5346+D5322</f>
        <v>15384</v>
      </c>
      <c r="E5346" s="1">
        <v>25</v>
      </c>
      <c r="F5346" s="78">
        <f>E5346+F5322</f>
        <v>523</v>
      </c>
    </row>
    <row r="5347" spans="1:6" ht="15.75" thickBot="1" x14ac:dyDescent="0.3">
      <c r="A5347" s="84" t="s">
        <v>35</v>
      </c>
      <c r="B5347" s="358">
        <v>44115</v>
      </c>
      <c r="C5347" s="1">
        <v>58</v>
      </c>
      <c r="D5347" s="47">
        <f t="shared" ref="D5347:D5353" si="480">C5347+D5323</f>
        <v>1204</v>
      </c>
      <c r="F5347" s="78">
        <f>E5347+F5323</f>
        <v>42</v>
      </c>
    </row>
    <row r="5348" spans="1:6" ht="15.75" thickBot="1" x14ac:dyDescent="0.3">
      <c r="A5348" s="84" t="s">
        <v>36</v>
      </c>
      <c r="B5348" s="358">
        <v>44115</v>
      </c>
      <c r="C5348" s="1">
        <v>20</v>
      </c>
      <c r="D5348" s="47">
        <f t="shared" si="480"/>
        <v>2222</v>
      </c>
      <c r="F5348" s="78">
        <f t="shared" si="479"/>
        <v>33</v>
      </c>
    </row>
    <row r="5349" spans="1:6" ht="15.75" thickBot="1" x14ac:dyDescent="0.3">
      <c r="A5349" s="84" t="s">
        <v>37</v>
      </c>
      <c r="B5349" s="358">
        <v>44115</v>
      </c>
      <c r="C5349" s="1">
        <v>134</v>
      </c>
      <c r="D5349" s="47">
        <f t="shared" si="480"/>
        <v>6345</v>
      </c>
      <c r="E5349" s="1">
        <f>3</f>
        <v>3</v>
      </c>
      <c r="F5349" s="78">
        <f>E5349+F5325</f>
        <v>86</v>
      </c>
    </row>
    <row r="5350" spans="1:6" ht="15.75" thickBot="1" x14ac:dyDescent="0.3">
      <c r="A5350" s="84" t="s">
        <v>22</v>
      </c>
      <c r="B5350" s="358">
        <v>44115</v>
      </c>
      <c r="C5350" s="1">
        <v>1547</v>
      </c>
      <c r="D5350" s="47">
        <f t="shared" si="480"/>
        <v>62900</v>
      </c>
      <c r="E5350" s="1">
        <f>7+7</f>
        <v>14</v>
      </c>
      <c r="F5350" s="78">
        <f>E5350+F5326</f>
        <v>671</v>
      </c>
    </row>
    <row r="5351" spans="1:6" ht="15.75" thickBot="1" x14ac:dyDescent="0.3">
      <c r="A5351" s="84" t="s">
        <v>38</v>
      </c>
      <c r="B5351" s="358">
        <v>44115</v>
      </c>
      <c r="C5351" s="1">
        <v>450</v>
      </c>
      <c r="D5351" s="47">
        <f t="shared" si="480"/>
        <v>4826</v>
      </c>
      <c r="E5351" s="1">
        <f>1+1</f>
        <v>2</v>
      </c>
      <c r="F5351" s="78">
        <f t="shared" si="479"/>
        <v>84</v>
      </c>
    </row>
    <row r="5352" spans="1:6" ht="15.75" thickBot="1" x14ac:dyDescent="0.3">
      <c r="A5352" s="84" t="s">
        <v>39</v>
      </c>
      <c r="B5352" s="358">
        <v>44115</v>
      </c>
      <c r="C5352" s="1">
        <v>227</v>
      </c>
      <c r="D5352" s="47">
        <f t="shared" si="480"/>
        <v>6424</v>
      </c>
      <c r="F5352" s="78">
        <f t="shared" ref="F5352:F5363" si="481">E5352+F5328</f>
        <v>84</v>
      </c>
    </row>
    <row r="5353" spans="1:6" ht="15.75" thickBot="1" x14ac:dyDescent="0.3">
      <c r="A5353" s="85" t="s">
        <v>40</v>
      </c>
      <c r="B5353" s="358">
        <v>44115</v>
      </c>
      <c r="C5353" s="1">
        <v>855</v>
      </c>
      <c r="D5353" s="214">
        <f t="shared" si="480"/>
        <v>26617</v>
      </c>
      <c r="E5353" s="1">
        <f>10+7</f>
        <v>17</v>
      </c>
      <c r="F5353" s="79">
        <f t="shared" si="481"/>
        <v>342</v>
      </c>
    </row>
    <row r="5354" spans="1:6" ht="15.75" thickBot="1" x14ac:dyDescent="0.3">
      <c r="A5354" s="36" t="s">
        <v>16</v>
      </c>
      <c r="B5354" s="358">
        <v>44116</v>
      </c>
      <c r="C5354" s="1">
        <v>2221</v>
      </c>
      <c r="D5354" s="211">
        <f>C5354+D5330</f>
        <v>470626</v>
      </c>
      <c r="E5354" s="1">
        <f>1+69+61</f>
        <v>131</v>
      </c>
      <c r="F5354" s="77">
        <f t="shared" si="481"/>
        <v>14849</v>
      </c>
    </row>
    <row r="5355" spans="1:6" ht="15.75" thickBot="1" x14ac:dyDescent="0.3">
      <c r="A5355" s="84" t="s">
        <v>43</v>
      </c>
      <c r="B5355" s="358">
        <v>44116</v>
      </c>
      <c r="C5355" s="1">
        <v>499</v>
      </c>
      <c r="D5355" s="47">
        <f t="shared" ref="D5355:D5367" si="482">C5355+D5331</f>
        <v>135491</v>
      </c>
      <c r="E5355" s="1">
        <f>30+25</f>
        <v>55</v>
      </c>
      <c r="F5355" s="78">
        <f t="shared" si="481"/>
        <v>4047</v>
      </c>
    </row>
    <row r="5356" spans="1:6" ht="15.75" thickBot="1" x14ac:dyDescent="0.3">
      <c r="A5356" s="84" t="s">
        <v>28</v>
      </c>
      <c r="B5356" s="358">
        <v>44116</v>
      </c>
      <c r="C5356" s="1">
        <v>14</v>
      </c>
      <c r="D5356" s="47">
        <f t="shared" si="482"/>
        <v>390</v>
      </c>
      <c r="F5356" s="78">
        <f t="shared" si="481"/>
        <v>0</v>
      </c>
    </row>
    <row r="5357" spans="1:6" ht="15.75" thickBot="1" x14ac:dyDescent="0.3">
      <c r="A5357" s="84" t="s">
        <v>15</v>
      </c>
      <c r="B5357" s="358">
        <v>44116</v>
      </c>
      <c r="C5357" s="1">
        <v>133</v>
      </c>
      <c r="D5357" s="47">
        <f t="shared" si="482"/>
        <v>10506</v>
      </c>
      <c r="F5357" s="78">
        <f t="shared" si="481"/>
        <v>334</v>
      </c>
    </row>
    <row r="5358" spans="1:6" ht="15.75" thickBot="1" x14ac:dyDescent="0.3">
      <c r="A5358" s="84" t="s">
        <v>29</v>
      </c>
      <c r="B5358" s="358">
        <v>44116</v>
      </c>
      <c r="C5358" s="1">
        <v>348</v>
      </c>
      <c r="D5358" s="47">
        <f t="shared" si="482"/>
        <v>7350</v>
      </c>
      <c r="E5358" s="1">
        <f>9+6</f>
        <v>15</v>
      </c>
      <c r="F5358" s="78">
        <f t="shared" si="481"/>
        <v>97</v>
      </c>
    </row>
    <row r="5359" spans="1:6" ht="15.75" thickBot="1" x14ac:dyDescent="0.3">
      <c r="A5359" s="84" t="s">
        <v>20</v>
      </c>
      <c r="B5359" s="358">
        <v>44116</v>
      </c>
      <c r="C5359" s="1">
        <v>1120</v>
      </c>
      <c r="D5359" s="47">
        <f t="shared" si="482"/>
        <v>52937</v>
      </c>
      <c r="E5359" s="1">
        <f>16+12</f>
        <v>28</v>
      </c>
      <c r="F5359" s="78">
        <f t="shared" si="481"/>
        <v>655</v>
      </c>
    </row>
    <row r="5360" spans="1:6" ht="15.75" thickBot="1" x14ac:dyDescent="0.3">
      <c r="A5360" s="84" t="s">
        <v>30</v>
      </c>
      <c r="B5360" s="358">
        <v>44116</v>
      </c>
      <c r="C5360" s="1">
        <v>77</v>
      </c>
      <c r="D5360" s="47">
        <f t="shared" si="482"/>
        <v>1634</v>
      </c>
      <c r="E5360" s="1">
        <v>0</v>
      </c>
      <c r="F5360" s="78">
        <f t="shared" si="481"/>
        <v>31</v>
      </c>
    </row>
    <row r="5361" spans="1:6" ht="15.75" thickBot="1" x14ac:dyDescent="0.3">
      <c r="A5361" s="84" t="s">
        <v>31</v>
      </c>
      <c r="B5361" s="358">
        <v>44116</v>
      </c>
      <c r="C5361" s="1">
        <v>176</v>
      </c>
      <c r="D5361" s="47">
        <f t="shared" si="482"/>
        <v>9566</v>
      </c>
      <c r="E5361" s="1">
        <f>6+7</f>
        <v>13</v>
      </c>
      <c r="F5361" s="78">
        <f t="shared" si="481"/>
        <v>188</v>
      </c>
    </row>
    <row r="5362" spans="1:6" ht="15.75" thickBot="1" x14ac:dyDescent="0.3">
      <c r="A5362" s="84" t="s">
        <v>41</v>
      </c>
      <c r="B5362" s="358">
        <v>44116</v>
      </c>
      <c r="C5362" s="1">
        <v>8</v>
      </c>
      <c r="D5362" s="47">
        <f t="shared" si="482"/>
        <v>136</v>
      </c>
      <c r="F5362" s="78">
        <f t="shared" si="481"/>
        <v>1</v>
      </c>
    </row>
    <row r="5363" spans="1:6" ht="15.75" thickBot="1" x14ac:dyDescent="0.3">
      <c r="A5363" s="84" t="s">
        <v>32</v>
      </c>
      <c r="B5363" s="358">
        <v>44116</v>
      </c>
      <c r="C5363" s="1">
        <v>76</v>
      </c>
      <c r="D5363" s="47">
        <f t="shared" si="482"/>
        <v>16806</v>
      </c>
      <c r="F5363" s="78">
        <f t="shared" si="481"/>
        <v>628</v>
      </c>
    </row>
    <row r="5364" spans="1:6" ht="15.75" thickBot="1" x14ac:dyDescent="0.3">
      <c r="A5364" s="84" t="s">
        <v>33</v>
      </c>
      <c r="B5364" s="358">
        <v>44116</v>
      </c>
      <c r="C5364" s="1">
        <v>57</v>
      </c>
      <c r="D5364" s="47">
        <f t="shared" si="482"/>
        <v>1127</v>
      </c>
      <c r="F5364" s="78">
        <f t="shared" ref="F5364:F5375" si="483">E5364+F5340</f>
        <v>12</v>
      </c>
    </row>
    <row r="5365" spans="1:6" ht="15.75" thickBot="1" x14ac:dyDescent="0.3">
      <c r="A5365" s="84" t="s">
        <v>21</v>
      </c>
      <c r="B5365" s="358">
        <v>44116</v>
      </c>
      <c r="C5365" s="1">
        <v>160</v>
      </c>
      <c r="D5365" s="47">
        <f t="shared" si="482"/>
        <v>5988</v>
      </c>
      <c r="E5365" s="1">
        <f>1</f>
        <v>1</v>
      </c>
      <c r="F5365" s="78">
        <f t="shared" si="483"/>
        <v>176</v>
      </c>
    </row>
    <row r="5366" spans="1:6" ht="15.75" thickBot="1" x14ac:dyDescent="0.3">
      <c r="A5366" s="84" t="s">
        <v>17</v>
      </c>
      <c r="B5366" s="358">
        <v>44116</v>
      </c>
      <c r="C5366" s="1">
        <v>364</v>
      </c>
      <c r="D5366" s="47">
        <f t="shared" si="482"/>
        <v>32399</v>
      </c>
      <c r="E5366" s="1">
        <f>1+1</f>
        <v>2</v>
      </c>
      <c r="F5366" s="78">
        <f t="shared" si="483"/>
        <v>437</v>
      </c>
    </row>
    <row r="5367" spans="1:6" ht="15.75" thickBot="1" x14ac:dyDescent="0.3">
      <c r="A5367" s="84" t="s">
        <v>23</v>
      </c>
      <c r="B5367" s="358">
        <v>44116</v>
      </c>
      <c r="C5367" s="1">
        <v>8</v>
      </c>
      <c r="D5367" s="47">
        <f t="shared" si="482"/>
        <v>162</v>
      </c>
      <c r="F5367" s="78">
        <f t="shared" si="483"/>
        <v>4</v>
      </c>
    </row>
    <row r="5368" spans="1:6" ht="15.75" thickBot="1" x14ac:dyDescent="0.3">
      <c r="A5368" s="84" t="s">
        <v>19</v>
      </c>
      <c r="B5368" s="358">
        <v>44116</v>
      </c>
      <c r="C5368" s="1">
        <v>264</v>
      </c>
      <c r="D5368" s="47">
        <f>C5368+D5344</f>
        <v>12389</v>
      </c>
      <c r="E5368" s="1">
        <f>1</f>
        <v>1</v>
      </c>
      <c r="F5368" s="78">
        <f t="shared" si="483"/>
        <v>185</v>
      </c>
    </row>
    <row r="5369" spans="1:6" ht="15.75" thickBot="1" x14ac:dyDescent="0.3">
      <c r="A5369" s="84" t="s">
        <v>18</v>
      </c>
      <c r="B5369" s="358">
        <v>44116</v>
      </c>
      <c r="C5369" s="1">
        <v>233</v>
      </c>
      <c r="D5369" s="47">
        <f>C5369+D5345</f>
        <v>16727</v>
      </c>
      <c r="E5369" s="1">
        <f>2+2</f>
        <v>4</v>
      </c>
      <c r="F5369" s="78">
        <f t="shared" si="483"/>
        <v>368</v>
      </c>
    </row>
    <row r="5370" spans="1:6" ht="15.75" thickBot="1" x14ac:dyDescent="0.3">
      <c r="A5370" s="84" t="s">
        <v>34</v>
      </c>
      <c r="B5370" s="358">
        <v>44116</v>
      </c>
      <c r="C5370" s="1">
        <v>84</v>
      </c>
      <c r="D5370" s="47">
        <f>C5370+D5346</f>
        <v>15468</v>
      </c>
      <c r="E5370" s="1">
        <f>7+1+4</f>
        <v>12</v>
      </c>
      <c r="F5370" s="78">
        <f>E5370+F5346</f>
        <v>535</v>
      </c>
    </row>
    <row r="5371" spans="1:6" ht="15.75" thickBot="1" x14ac:dyDescent="0.3">
      <c r="A5371" s="84" t="s">
        <v>35</v>
      </c>
      <c r="B5371" s="358">
        <v>44116</v>
      </c>
      <c r="C5371" s="1">
        <v>37</v>
      </c>
      <c r="D5371" s="47">
        <f t="shared" ref="D5371:D5377" si="484">C5371+D5347</f>
        <v>1241</v>
      </c>
      <c r="F5371" s="78">
        <f>E5371+F5347</f>
        <v>42</v>
      </c>
    </row>
    <row r="5372" spans="1:6" ht="15.75" thickBot="1" x14ac:dyDescent="0.3">
      <c r="A5372" s="84" t="s">
        <v>36</v>
      </c>
      <c r="B5372" s="358">
        <v>44116</v>
      </c>
      <c r="C5372" s="1">
        <v>68</v>
      </c>
      <c r="D5372" s="47">
        <f t="shared" si="484"/>
        <v>2290</v>
      </c>
      <c r="F5372" s="78">
        <f t="shared" si="483"/>
        <v>33</v>
      </c>
    </row>
    <row r="5373" spans="1:6" ht="15.75" thickBot="1" x14ac:dyDescent="0.3">
      <c r="A5373" s="84" t="s">
        <v>37</v>
      </c>
      <c r="B5373" s="358">
        <v>44116</v>
      </c>
      <c r="C5373" s="1">
        <v>103</v>
      </c>
      <c r="D5373" s="47">
        <f t="shared" si="484"/>
        <v>6448</v>
      </c>
      <c r="E5373" s="1">
        <f>1+1</f>
        <v>2</v>
      </c>
      <c r="F5373" s="78">
        <f>E5373+F5349</f>
        <v>88</v>
      </c>
    </row>
    <row r="5374" spans="1:6" ht="15.75" thickBot="1" x14ac:dyDescent="0.3">
      <c r="A5374" s="84" t="s">
        <v>22</v>
      </c>
      <c r="B5374" s="358">
        <v>44116</v>
      </c>
      <c r="C5374" s="1">
        <v>1711</v>
      </c>
      <c r="D5374" s="47">
        <f t="shared" si="484"/>
        <v>64611</v>
      </c>
      <c r="E5374" s="1">
        <f>7+4</f>
        <v>11</v>
      </c>
      <c r="F5374" s="78">
        <f>E5374+F5350</f>
        <v>682</v>
      </c>
    </row>
    <row r="5375" spans="1:6" ht="15.75" thickBot="1" x14ac:dyDescent="0.3">
      <c r="A5375" s="84" t="s">
        <v>38</v>
      </c>
      <c r="B5375" s="358">
        <v>44116</v>
      </c>
      <c r="C5375" s="1">
        <v>573</v>
      </c>
      <c r="D5375" s="47">
        <f t="shared" si="484"/>
        <v>5399</v>
      </c>
      <c r="E5375" s="1">
        <f>2</f>
        <v>2</v>
      </c>
      <c r="F5375" s="78">
        <f t="shared" si="483"/>
        <v>86</v>
      </c>
    </row>
    <row r="5376" spans="1:6" ht="15.75" thickBot="1" x14ac:dyDescent="0.3">
      <c r="A5376" s="84" t="s">
        <v>39</v>
      </c>
      <c r="B5376" s="358">
        <v>44116</v>
      </c>
      <c r="C5376" s="1">
        <v>268</v>
      </c>
      <c r="D5376" s="47">
        <f t="shared" si="484"/>
        <v>6692</v>
      </c>
      <c r="E5376" s="1">
        <f>1</f>
        <v>1</v>
      </c>
      <c r="F5376" s="78">
        <f t="shared" ref="F5376:F5387" si="485">E5376+F5352</f>
        <v>85</v>
      </c>
    </row>
    <row r="5377" spans="1:6" ht="15.75" thickBot="1" x14ac:dyDescent="0.3">
      <c r="A5377" s="86" t="s">
        <v>40</v>
      </c>
      <c r="B5377" s="357">
        <v>44116</v>
      </c>
      <c r="C5377" s="300">
        <v>922</v>
      </c>
      <c r="D5377" s="81">
        <f t="shared" si="484"/>
        <v>27539</v>
      </c>
      <c r="E5377" s="300">
        <f>21+19</f>
        <v>40</v>
      </c>
      <c r="F5377" s="83">
        <f t="shared" si="485"/>
        <v>382</v>
      </c>
    </row>
    <row r="5378" spans="1:6" x14ac:dyDescent="0.25">
      <c r="A5378" s="36" t="s">
        <v>16</v>
      </c>
      <c r="B5378" s="354">
        <v>44117</v>
      </c>
      <c r="C5378" s="53">
        <v>4666</v>
      </c>
      <c r="D5378" s="211">
        <f>C5378+D5354</f>
        <v>475292</v>
      </c>
      <c r="E5378" s="53">
        <v>169</v>
      </c>
      <c r="F5378" s="77">
        <f t="shared" si="485"/>
        <v>15018</v>
      </c>
    </row>
    <row r="5379" spans="1:6" x14ac:dyDescent="0.25">
      <c r="A5379" s="84" t="s">
        <v>43</v>
      </c>
      <c r="B5379" s="2">
        <v>44117</v>
      </c>
      <c r="C5379" s="1">
        <v>745</v>
      </c>
      <c r="D5379" s="47">
        <f t="shared" ref="D5379:D5391" si="486">C5379+D5355</f>
        <v>136236</v>
      </c>
      <c r="E5379" s="1">
        <v>49</v>
      </c>
      <c r="F5379" s="78">
        <f t="shared" si="485"/>
        <v>4096</v>
      </c>
    </row>
    <row r="5380" spans="1:6" x14ac:dyDescent="0.25">
      <c r="A5380" s="84" t="s">
        <v>28</v>
      </c>
      <c r="B5380" s="2">
        <v>44117</v>
      </c>
      <c r="C5380" s="1">
        <v>3</v>
      </c>
      <c r="D5380" s="47">
        <f t="shared" si="486"/>
        <v>393</v>
      </c>
      <c r="F5380" s="78">
        <f t="shared" si="485"/>
        <v>0</v>
      </c>
    </row>
    <row r="5381" spans="1:6" x14ac:dyDescent="0.25">
      <c r="A5381" s="84" t="s">
        <v>15</v>
      </c>
      <c r="B5381" s="2">
        <v>44117</v>
      </c>
      <c r="C5381" s="1">
        <v>172</v>
      </c>
      <c r="D5381" s="47">
        <f t="shared" si="486"/>
        <v>10678</v>
      </c>
      <c r="E5381" s="1">
        <v>10</v>
      </c>
      <c r="F5381" s="78">
        <f t="shared" si="485"/>
        <v>344</v>
      </c>
    </row>
    <row r="5382" spans="1:6" x14ac:dyDescent="0.25">
      <c r="A5382" s="84" t="s">
        <v>29</v>
      </c>
      <c r="B5382" s="2">
        <v>44117</v>
      </c>
      <c r="C5382" s="1">
        <v>438</v>
      </c>
      <c r="D5382" s="47">
        <f t="shared" si="486"/>
        <v>7788</v>
      </c>
      <c r="E5382" s="1">
        <v>4</v>
      </c>
      <c r="F5382" s="78">
        <f t="shared" si="485"/>
        <v>101</v>
      </c>
    </row>
    <row r="5383" spans="1:6" x14ac:dyDescent="0.25">
      <c r="A5383" s="84" t="s">
        <v>20</v>
      </c>
      <c r="B5383" s="2">
        <v>44117</v>
      </c>
      <c r="C5383" s="1">
        <v>1158</v>
      </c>
      <c r="D5383" s="47">
        <f t="shared" si="486"/>
        <v>54095</v>
      </c>
      <c r="E5383" s="1">
        <v>35</v>
      </c>
      <c r="F5383" s="78">
        <f t="shared" si="485"/>
        <v>690</v>
      </c>
    </row>
    <row r="5384" spans="1:6" x14ac:dyDescent="0.25">
      <c r="A5384" s="84" t="s">
        <v>30</v>
      </c>
      <c r="B5384" s="2">
        <v>44117</v>
      </c>
      <c r="C5384" s="1">
        <v>114</v>
      </c>
      <c r="D5384" s="47">
        <f t="shared" si="486"/>
        <v>1748</v>
      </c>
      <c r="E5384" s="1">
        <v>1</v>
      </c>
      <c r="F5384" s="78">
        <f t="shared" si="485"/>
        <v>32</v>
      </c>
    </row>
    <row r="5385" spans="1:6" x14ac:dyDescent="0.25">
      <c r="A5385" s="84" t="s">
        <v>31</v>
      </c>
      <c r="B5385" s="2">
        <v>44117</v>
      </c>
      <c r="C5385" s="1">
        <v>257</v>
      </c>
      <c r="D5385" s="47">
        <f t="shared" si="486"/>
        <v>9823</v>
      </c>
      <c r="E5385" s="1">
        <v>5</v>
      </c>
      <c r="F5385" s="78">
        <f t="shared" si="485"/>
        <v>193</v>
      </c>
    </row>
    <row r="5386" spans="1:6" x14ac:dyDescent="0.25">
      <c r="A5386" s="84" t="s">
        <v>41</v>
      </c>
      <c r="B5386" s="2">
        <v>44117</v>
      </c>
      <c r="C5386" s="1">
        <v>3</v>
      </c>
      <c r="D5386" s="47">
        <f t="shared" si="486"/>
        <v>139</v>
      </c>
      <c r="F5386" s="78">
        <f t="shared" si="485"/>
        <v>1</v>
      </c>
    </row>
    <row r="5387" spans="1:6" x14ac:dyDescent="0.25">
      <c r="A5387" s="84" t="s">
        <v>32</v>
      </c>
      <c r="B5387" s="2">
        <v>44117</v>
      </c>
      <c r="C5387" s="1">
        <v>36</v>
      </c>
      <c r="D5387" s="47">
        <f t="shared" si="486"/>
        <v>16842</v>
      </c>
      <c r="E5387" s="1">
        <v>2</v>
      </c>
      <c r="F5387" s="78">
        <f t="shared" si="485"/>
        <v>630</v>
      </c>
    </row>
    <row r="5388" spans="1:6" x14ac:dyDescent="0.25">
      <c r="A5388" s="84" t="s">
        <v>33</v>
      </c>
      <c r="B5388" s="2">
        <v>44117</v>
      </c>
      <c r="C5388" s="1">
        <v>44</v>
      </c>
      <c r="D5388" s="47">
        <f t="shared" si="486"/>
        <v>1171</v>
      </c>
      <c r="E5388" s="1">
        <v>1</v>
      </c>
      <c r="F5388" s="78">
        <f t="shared" ref="F5388:F5399" si="487">E5388+F5364</f>
        <v>13</v>
      </c>
    </row>
    <row r="5389" spans="1:6" x14ac:dyDescent="0.25">
      <c r="A5389" s="84" t="s">
        <v>21</v>
      </c>
      <c r="B5389" s="2">
        <v>44117</v>
      </c>
      <c r="C5389" s="1">
        <v>43</v>
      </c>
      <c r="D5389" s="47">
        <f t="shared" si="486"/>
        <v>6031</v>
      </c>
      <c r="E5389" s="1">
        <v>6</v>
      </c>
      <c r="F5389" s="78">
        <f t="shared" si="487"/>
        <v>182</v>
      </c>
    </row>
    <row r="5390" spans="1:6" x14ac:dyDescent="0.25">
      <c r="A5390" s="84" t="s">
        <v>17</v>
      </c>
      <c r="B5390" s="2">
        <v>44117</v>
      </c>
      <c r="C5390" s="1">
        <v>653</v>
      </c>
      <c r="D5390" s="47">
        <f t="shared" si="486"/>
        <v>33052</v>
      </c>
      <c r="E5390" s="1">
        <v>7</v>
      </c>
      <c r="F5390" s="78">
        <f t="shared" si="487"/>
        <v>444</v>
      </c>
    </row>
    <row r="5391" spans="1:6" x14ac:dyDescent="0.25">
      <c r="A5391" s="84" t="s">
        <v>23</v>
      </c>
      <c r="B5391" s="2">
        <v>44117</v>
      </c>
      <c r="C5391" s="1">
        <v>24</v>
      </c>
      <c r="D5391" s="47">
        <f t="shared" si="486"/>
        <v>186</v>
      </c>
      <c r="F5391" s="78">
        <f t="shared" si="487"/>
        <v>4</v>
      </c>
    </row>
    <row r="5392" spans="1:6" x14ac:dyDescent="0.25">
      <c r="A5392" s="84" t="s">
        <v>19</v>
      </c>
      <c r="B5392" s="2">
        <v>44117</v>
      </c>
      <c r="C5392" s="1">
        <v>299</v>
      </c>
      <c r="D5392" s="47">
        <f>C5392+D5368</f>
        <v>12688</v>
      </c>
      <c r="E5392" s="1">
        <v>12</v>
      </c>
      <c r="F5392" s="78">
        <f t="shared" si="487"/>
        <v>197</v>
      </c>
    </row>
    <row r="5393" spans="1:6" x14ac:dyDescent="0.25">
      <c r="A5393" s="84" t="s">
        <v>18</v>
      </c>
      <c r="B5393" s="2">
        <v>44117</v>
      </c>
      <c r="C5393" s="1">
        <v>405</v>
      </c>
      <c r="D5393" s="47">
        <f>C5393+D5369</f>
        <v>17132</v>
      </c>
      <c r="E5393" s="1">
        <v>6</v>
      </c>
      <c r="F5393" s="78">
        <f t="shared" si="487"/>
        <v>374</v>
      </c>
    </row>
    <row r="5394" spans="1:6" x14ac:dyDescent="0.25">
      <c r="A5394" s="84" t="s">
        <v>34</v>
      </c>
      <c r="B5394" s="2">
        <v>44117</v>
      </c>
      <c r="C5394" s="1">
        <v>136</v>
      </c>
      <c r="D5394" s="47">
        <f>C5394+D5370</f>
        <v>15604</v>
      </c>
      <c r="E5394" s="1">
        <v>8</v>
      </c>
      <c r="F5394" s="78">
        <f>E5394+F5370</f>
        <v>543</v>
      </c>
    </row>
    <row r="5395" spans="1:6" x14ac:dyDescent="0.25">
      <c r="A5395" s="84" t="s">
        <v>35</v>
      </c>
      <c r="B5395" s="2">
        <v>44117</v>
      </c>
      <c r="C5395" s="1">
        <v>27</v>
      </c>
      <c r="D5395" s="47">
        <f t="shared" ref="D5395:D5401" si="488">C5395+D5371</f>
        <v>1268</v>
      </c>
      <c r="E5395" s="1">
        <v>9</v>
      </c>
      <c r="F5395" s="78">
        <f>E5395+F5371</f>
        <v>51</v>
      </c>
    </row>
    <row r="5396" spans="1:6" x14ac:dyDescent="0.25">
      <c r="A5396" s="84" t="s">
        <v>36</v>
      </c>
      <c r="B5396" s="2">
        <v>44117</v>
      </c>
      <c r="C5396" s="1">
        <v>126</v>
      </c>
      <c r="D5396" s="47">
        <f t="shared" si="488"/>
        <v>2416</v>
      </c>
      <c r="F5396" s="78">
        <f t="shared" si="487"/>
        <v>33</v>
      </c>
    </row>
    <row r="5397" spans="1:6" x14ac:dyDescent="0.25">
      <c r="A5397" s="84" t="s">
        <v>37</v>
      </c>
      <c r="B5397" s="2">
        <v>44117</v>
      </c>
      <c r="C5397" s="1">
        <v>66</v>
      </c>
      <c r="D5397" s="47">
        <f t="shared" si="488"/>
        <v>6514</v>
      </c>
      <c r="E5397" s="1">
        <v>3</v>
      </c>
      <c r="F5397" s="78">
        <f>E5397+F5373</f>
        <v>91</v>
      </c>
    </row>
    <row r="5398" spans="1:6" x14ac:dyDescent="0.25">
      <c r="A5398" s="84" t="s">
        <v>22</v>
      </c>
      <c r="B5398" s="2">
        <v>44117</v>
      </c>
      <c r="C5398" s="1">
        <v>2288</v>
      </c>
      <c r="D5398" s="47">
        <f t="shared" si="488"/>
        <v>66899</v>
      </c>
      <c r="E5398" s="1">
        <v>25</v>
      </c>
      <c r="F5398" s="78">
        <f>E5398+F5374</f>
        <v>707</v>
      </c>
    </row>
    <row r="5399" spans="1:6" x14ac:dyDescent="0.25">
      <c r="A5399" s="84" t="s">
        <v>38</v>
      </c>
      <c r="B5399" s="2">
        <v>44117</v>
      </c>
      <c r="C5399" s="1">
        <v>146</v>
      </c>
      <c r="D5399" s="47">
        <f t="shared" si="488"/>
        <v>5545</v>
      </c>
      <c r="E5399" s="1">
        <v>2</v>
      </c>
      <c r="F5399" s="78">
        <f t="shared" si="487"/>
        <v>88</v>
      </c>
    </row>
    <row r="5400" spans="1:6" x14ac:dyDescent="0.25">
      <c r="A5400" s="84" t="s">
        <v>39</v>
      </c>
      <c r="B5400" s="2">
        <v>44117</v>
      </c>
      <c r="C5400" s="1">
        <v>202</v>
      </c>
      <c r="D5400" s="47">
        <f t="shared" si="488"/>
        <v>6894</v>
      </c>
      <c r="E5400" s="1">
        <v>2</v>
      </c>
      <c r="F5400" s="78">
        <f t="shared" ref="F5400:F5411" si="489">E5400+F5376</f>
        <v>87</v>
      </c>
    </row>
    <row r="5401" spans="1:6" ht="15.75" thickBot="1" x14ac:dyDescent="0.3">
      <c r="A5401" s="85" t="s">
        <v>40</v>
      </c>
      <c r="B5401" s="355">
        <v>44117</v>
      </c>
      <c r="C5401" s="54">
        <v>1254</v>
      </c>
      <c r="D5401" s="214">
        <f t="shared" si="488"/>
        <v>28793</v>
      </c>
      <c r="E5401" s="54">
        <v>28</v>
      </c>
      <c r="F5401" s="79">
        <f t="shared" si="489"/>
        <v>410</v>
      </c>
    </row>
    <row r="5402" spans="1:6" ht="15.75" thickBot="1" x14ac:dyDescent="0.3">
      <c r="A5402" s="36" t="s">
        <v>16</v>
      </c>
      <c r="B5402" s="355">
        <v>44118</v>
      </c>
      <c r="C5402" s="293">
        <v>5175</v>
      </c>
      <c r="D5402" s="211">
        <f>C5402+D5378</f>
        <v>480467</v>
      </c>
      <c r="E5402" s="293">
        <f>1+87+76</f>
        <v>164</v>
      </c>
      <c r="F5402" s="77">
        <f t="shared" si="489"/>
        <v>15182</v>
      </c>
    </row>
    <row r="5403" spans="1:6" ht="15.75" thickBot="1" x14ac:dyDescent="0.3">
      <c r="A5403" s="84" t="s">
        <v>43</v>
      </c>
      <c r="B5403" s="355">
        <v>44118</v>
      </c>
      <c r="C5403" s="1">
        <v>825</v>
      </c>
      <c r="D5403" s="47">
        <f t="shared" ref="D5403:D5415" si="490">C5403+D5379</f>
        <v>137061</v>
      </c>
      <c r="E5403" s="1">
        <f>1+24+26</f>
        <v>51</v>
      </c>
      <c r="F5403" s="78">
        <f t="shared" si="489"/>
        <v>4147</v>
      </c>
    </row>
    <row r="5404" spans="1:6" ht="15.75" thickBot="1" x14ac:dyDescent="0.3">
      <c r="A5404" s="84" t="s">
        <v>28</v>
      </c>
      <c r="B5404" s="355">
        <v>44118</v>
      </c>
      <c r="C5404" s="1">
        <v>8</v>
      </c>
      <c r="D5404" s="47">
        <f t="shared" si="490"/>
        <v>401</v>
      </c>
      <c r="F5404" s="78">
        <f t="shared" si="489"/>
        <v>0</v>
      </c>
    </row>
    <row r="5405" spans="1:6" ht="15.75" thickBot="1" x14ac:dyDescent="0.3">
      <c r="A5405" s="84" t="s">
        <v>15</v>
      </c>
      <c r="B5405" s="355">
        <v>44118</v>
      </c>
      <c r="C5405" s="1">
        <v>192</v>
      </c>
      <c r="D5405" s="47">
        <f t="shared" si="490"/>
        <v>10870</v>
      </c>
      <c r="E5405" s="1">
        <f>1+1</f>
        <v>2</v>
      </c>
      <c r="F5405" s="78">
        <f t="shared" si="489"/>
        <v>346</v>
      </c>
    </row>
    <row r="5406" spans="1:6" ht="15.75" thickBot="1" x14ac:dyDescent="0.3">
      <c r="A5406" s="84" t="s">
        <v>29</v>
      </c>
      <c r="B5406" s="355">
        <v>44118</v>
      </c>
      <c r="C5406" s="1">
        <v>236</v>
      </c>
      <c r="D5406" s="47">
        <f t="shared" si="490"/>
        <v>8024</v>
      </c>
      <c r="F5406" s="78">
        <f t="shared" si="489"/>
        <v>101</v>
      </c>
    </row>
    <row r="5407" spans="1:6" ht="15.75" thickBot="1" x14ac:dyDescent="0.3">
      <c r="A5407" s="84" t="s">
        <v>20</v>
      </c>
      <c r="B5407" s="355">
        <v>44118</v>
      </c>
      <c r="C5407" s="1">
        <v>1606</v>
      </c>
      <c r="D5407" s="47">
        <f t="shared" si="490"/>
        <v>55701</v>
      </c>
      <c r="E5407" s="1">
        <f>15+13</f>
        <v>28</v>
      </c>
      <c r="F5407" s="78">
        <f t="shared" si="489"/>
        <v>718</v>
      </c>
    </row>
    <row r="5408" spans="1:6" ht="15.75" thickBot="1" x14ac:dyDescent="0.3">
      <c r="A5408" s="84" t="s">
        <v>30</v>
      </c>
      <c r="B5408" s="355">
        <v>44118</v>
      </c>
      <c r="C5408" s="1">
        <v>54</v>
      </c>
      <c r="D5408" s="47">
        <f t="shared" si="490"/>
        <v>1802</v>
      </c>
      <c r="F5408" s="78">
        <f t="shared" si="489"/>
        <v>32</v>
      </c>
    </row>
    <row r="5409" spans="1:6" ht="15.75" thickBot="1" x14ac:dyDescent="0.3">
      <c r="A5409" s="84" t="s">
        <v>31</v>
      </c>
      <c r="B5409" s="355">
        <v>44118</v>
      </c>
      <c r="C5409" s="1">
        <v>299</v>
      </c>
      <c r="D5409" s="47">
        <f t="shared" si="490"/>
        <v>10122</v>
      </c>
      <c r="E5409" s="1">
        <f>2+1</f>
        <v>3</v>
      </c>
      <c r="F5409" s="78">
        <f t="shared" si="489"/>
        <v>196</v>
      </c>
    </row>
    <row r="5410" spans="1:6" ht="15.75" thickBot="1" x14ac:dyDescent="0.3">
      <c r="A5410" s="84" t="s">
        <v>41</v>
      </c>
      <c r="B5410" s="355">
        <v>44118</v>
      </c>
      <c r="C5410" s="1">
        <v>1</v>
      </c>
      <c r="D5410" s="47">
        <f t="shared" si="490"/>
        <v>140</v>
      </c>
      <c r="F5410" s="78">
        <f t="shared" si="489"/>
        <v>1</v>
      </c>
    </row>
    <row r="5411" spans="1:6" ht="15.75" thickBot="1" x14ac:dyDescent="0.3">
      <c r="A5411" s="84" t="s">
        <v>32</v>
      </c>
      <c r="B5411" s="355">
        <v>44118</v>
      </c>
      <c r="C5411" s="1">
        <v>103</v>
      </c>
      <c r="D5411" s="47">
        <f t="shared" si="490"/>
        <v>16945</v>
      </c>
      <c r="F5411" s="78">
        <f t="shared" si="489"/>
        <v>630</v>
      </c>
    </row>
    <row r="5412" spans="1:6" ht="15.75" thickBot="1" x14ac:dyDescent="0.3">
      <c r="A5412" s="84" t="s">
        <v>33</v>
      </c>
      <c r="B5412" s="355">
        <v>44118</v>
      </c>
      <c r="C5412" s="1">
        <v>101</v>
      </c>
      <c r="D5412" s="47">
        <f t="shared" si="490"/>
        <v>1272</v>
      </c>
      <c r="E5412" s="1">
        <f>2+1</f>
        <v>3</v>
      </c>
      <c r="F5412" s="78">
        <f t="shared" ref="F5412:F5423" si="491">E5412+F5388</f>
        <v>16</v>
      </c>
    </row>
    <row r="5413" spans="1:6" ht="15.75" thickBot="1" x14ac:dyDescent="0.3">
      <c r="A5413" s="84" t="s">
        <v>21</v>
      </c>
      <c r="B5413" s="355">
        <v>44118</v>
      </c>
      <c r="C5413" s="1">
        <v>87</v>
      </c>
      <c r="D5413" s="47">
        <f t="shared" si="490"/>
        <v>6118</v>
      </c>
      <c r="E5413" s="1">
        <f>4</f>
        <v>4</v>
      </c>
      <c r="F5413" s="78">
        <f t="shared" si="491"/>
        <v>186</v>
      </c>
    </row>
    <row r="5414" spans="1:6" ht="15.75" thickBot="1" x14ac:dyDescent="0.3">
      <c r="A5414" s="84" t="s">
        <v>17</v>
      </c>
      <c r="B5414" s="355">
        <v>44118</v>
      </c>
      <c r="C5414" s="1">
        <v>925</v>
      </c>
      <c r="D5414" s="47">
        <f t="shared" si="490"/>
        <v>33977</v>
      </c>
      <c r="E5414" s="1">
        <f>6+3</f>
        <v>9</v>
      </c>
      <c r="F5414" s="78">
        <f t="shared" si="491"/>
        <v>453</v>
      </c>
    </row>
    <row r="5415" spans="1:6" ht="15.75" thickBot="1" x14ac:dyDescent="0.3">
      <c r="A5415" s="84" t="s">
        <v>23</v>
      </c>
      <c r="B5415" s="355">
        <v>44118</v>
      </c>
      <c r="C5415" s="1">
        <v>3</v>
      </c>
      <c r="D5415" s="47">
        <f t="shared" si="490"/>
        <v>189</v>
      </c>
      <c r="F5415" s="78">
        <f t="shared" si="491"/>
        <v>4</v>
      </c>
    </row>
    <row r="5416" spans="1:6" ht="15.75" thickBot="1" x14ac:dyDescent="0.3">
      <c r="A5416" s="84" t="s">
        <v>19</v>
      </c>
      <c r="B5416" s="355">
        <v>44118</v>
      </c>
      <c r="C5416" s="1">
        <v>296</v>
      </c>
      <c r="D5416" s="47">
        <f>C5416+D5392</f>
        <v>12984</v>
      </c>
      <c r="E5416" s="1">
        <f>5+3</f>
        <v>8</v>
      </c>
      <c r="F5416" s="78">
        <f t="shared" si="491"/>
        <v>205</v>
      </c>
    </row>
    <row r="5417" spans="1:6" ht="15.75" thickBot="1" x14ac:dyDescent="0.3">
      <c r="A5417" s="84" t="s">
        <v>18</v>
      </c>
      <c r="B5417" s="355">
        <v>44118</v>
      </c>
      <c r="C5417" s="1">
        <v>361</v>
      </c>
      <c r="D5417" s="47">
        <f>C5417+D5393</f>
        <v>17493</v>
      </c>
      <c r="E5417" s="1">
        <f>10+4</f>
        <v>14</v>
      </c>
      <c r="F5417" s="78">
        <f t="shared" si="491"/>
        <v>388</v>
      </c>
    </row>
    <row r="5418" spans="1:6" ht="15.75" thickBot="1" x14ac:dyDescent="0.3">
      <c r="A5418" s="84" t="s">
        <v>34</v>
      </c>
      <c r="B5418" s="355">
        <v>44118</v>
      </c>
      <c r="C5418" s="1">
        <v>150</v>
      </c>
      <c r="D5418" s="47">
        <f>C5418+D5394</f>
        <v>15754</v>
      </c>
      <c r="E5418" s="1">
        <f>6+3</f>
        <v>9</v>
      </c>
      <c r="F5418" s="78">
        <f>E5418+F5394</f>
        <v>552</v>
      </c>
    </row>
    <row r="5419" spans="1:6" ht="15.75" thickBot="1" x14ac:dyDescent="0.3">
      <c r="A5419" s="84" t="s">
        <v>35</v>
      </c>
      <c r="B5419" s="355">
        <v>44118</v>
      </c>
      <c r="C5419" s="1">
        <v>5</v>
      </c>
      <c r="D5419" s="47">
        <f t="shared" ref="D5419:D5425" si="492">C5419+D5395</f>
        <v>1273</v>
      </c>
      <c r="F5419" s="78">
        <f>E5419+F5395</f>
        <v>51</v>
      </c>
    </row>
    <row r="5420" spans="1:6" ht="15.75" thickBot="1" x14ac:dyDescent="0.3">
      <c r="A5420" s="84" t="s">
        <v>36</v>
      </c>
      <c r="B5420" s="355">
        <v>44118</v>
      </c>
      <c r="C5420" s="1">
        <v>151</v>
      </c>
      <c r="D5420" s="47">
        <f t="shared" si="492"/>
        <v>2567</v>
      </c>
      <c r="E5420" s="1">
        <f>1</f>
        <v>1</v>
      </c>
      <c r="F5420" s="78">
        <f t="shared" si="491"/>
        <v>34</v>
      </c>
    </row>
    <row r="5421" spans="1:6" ht="15.75" thickBot="1" x14ac:dyDescent="0.3">
      <c r="A5421" s="84" t="s">
        <v>37</v>
      </c>
      <c r="B5421" s="355">
        <v>44118</v>
      </c>
      <c r="C5421" s="1">
        <v>195</v>
      </c>
      <c r="D5421" s="47">
        <f t="shared" si="492"/>
        <v>6709</v>
      </c>
      <c r="E5421" s="1">
        <f>1</f>
        <v>1</v>
      </c>
      <c r="F5421" s="78">
        <f>E5421+F5397</f>
        <v>92</v>
      </c>
    </row>
    <row r="5422" spans="1:6" ht="15.75" thickBot="1" x14ac:dyDescent="0.3">
      <c r="A5422" s="84" t="s">
        <v>22</v>
      </c>
      <c r="B5422" s="355">
        <v>44118</v>
      </c>
      <c r="C5422" s="1">
        <v>2470</v>
      </c>
      <c r="D5422" s="47">
        <f t="shared" si="492"/>
        <v>69369</v>
      </c>
      <c r="E5422" s="1">
        <f>24+17</f>
        <v>41</v>
      </c>
      <c r="F5422" s="78">
        <f>E5422+F5398</f>
        <v>748</v>
      </c>
    </row>
    <row r="5423" spans="1:6" ht="15.75" thickBot="1" x14ac:dyDescent="0.3">
      <c r="A5423" s="84" t="s">
        <v>38</v>
      </c>
      <c r="B5423" s="355">
        <v>44118</v>
      </c>
      <c r="C5423" s="1">
        <v>153</v>
      </c>
      <c r="D5423" s="47">
        <f t="shared" si="492"/>
        <v>5698</v>
      </c>
      <c r="E5423" s="1">
        <f>2+2</f>
        <v>4</v>
      </c>
      <c r="F5423" s="78">
        <f t="shared" si="491"/>
        <v>92</v>
      </c>
    </row>
    <row r="5424" spans="1:6" ht="15.75" thickBot="1" x14ac:dyDescent="0.3">
      <c r="A5424" s="84" t="s">
        <v>39</v>
      </c>
      <c r="B5424" s="355">
        <v>44118</v>
      </c>
      <c r="C5424" s="1">
        <v>295</v>
      </c>
      <c r="D5424" s="47">
        <f t="shared" si="492"/>
        <v>7189</v>
      </c>
      <c r="E5424" s="1">
        <f>1+3</f>
        <v>4</v>
      </c>
      <c r="F5424" s="78">
        <f t="shared" ref="F5424:F5435" si="493">E5424+F5400</f>
        <v>91</v>
      </c>
    </row>
    <row r="5425" spans="1:6" ht="15.75" thickBot="1" x14ac:dyDescent="0.3">
      <c r="A5425" s="86" t="s">
        <v>40</v>
      </c>
      <c r="B5425" s="42">
        <v>44118</v>
      </c>
      <c r="C5425" s="300">
        <v>1241</v>
      </c>
      <c r="D5425" s="81">
        <f t="shared" si="492"/>
        <v>30034</v>
      </c>
      <c r="E5425" s="300">
        <f>4</f>
        <v>4</v>
      </c>
      <c r="F5425" s="83">
        <f t="shared" si="493"/>
        <v>414</v>
      </c>
    </row>
    <row r="5426" spans="1:6" x14ac:dyDescent="0.25">
      <c r="A5426" s="36" t="s">
        <v>16</v>
      </c>
      <c r="B5426" s="354">
        <v>44119</v>
      </c>
      <c r="C5426" s="53">
        <v>5756</v>
      </c>
      <c r="D5426" s="211">
        <f>C5426+D5402</f>
        <v>486223</v>
      </c>
      <c r="E5426" s="53">
        <v>193</v>
      </c>
      <c r="F5426" s="77">
        <f t="shared" si="493"/>
        <v>15375</v>
      </c>
    </row>
    <row r="5427" spans="1:6" x14ac:dyDescent="0.25">
      <c r="A5427" s="84" t="s">
        <v>43</v>
      </c>
      <c r="B5427" s="2">
        <v>44119</v>
      </c>
      <c r="C5427" s="1">
        <v>830</v>
      </c>
      <c r="D5427" s="47">
        <f t="shared" ref="D5427:D5439" si="494">C5427+D5403</f>
        <v>137891</v>
      </c>
      <c r="E5427" s="1">
        <v>58</v>
      </c>
      <c r="F5427" s="78">
        <f t="shared" si="493"/>
        <v>4205</v>
      </c>
    </row>
    <row r="5428" spans="1:6" x14ac:dyDescent="0.25">
      <c r="A5428" s="84" t="s">
        <v>28</v>
      </c>
      <c r="B5428" s="2">
        <v>44119</v>
      </c>
      <c r="C5428" s="1">
        <v>6</v>
      </c>
      <c r="D5428" s="47">
        <f t="shared" si="494"/>
        <v>407</v>
      </c>
      <c r="F5428" s="78">
        <f t="shared" si="493"/>
        <v>0</v>
      </c>
    </row>
    <row r="5429" spans="1:6" x14ac:dyDescent="0.25">
      <c r="A5429" s="84" t="s">
        <v>15</v>
      </c>
      <c r="B5429" s="2">
        <v>44119</v>
      </c>
      <c r="C5429" s="1">
        <v>197</v>
      </c>
      <c r="D5429" s="47">
        <f t="shared" si="494"/>
        <v>11067</v>
      </c>
      <c r="E5429" s="1">
        <v>5</v>
      </c>
      <c r="F5429" s="78">
        <f t="shared" si="493"/>
        <v>351</v>
      </c>
    </row>
    <row r="5430" spans="1:6" x14ac:dyDescent="0.25">
      <c r="A5430" s="84" t="s">
        <v>29</v>
      </c>
      <c r="B5430" s="2">
        <v>44119</v>
      </c>
      <c r="C5430" s="1">
        <v>245</v>
      </c>
      <c r="D5430" s="47">
        <f t="shared" si="494"/>
        <v>8269</v>
      </c>
      <c r="E5430" s="1">
        <v>9</v>
      </c>
      <c r="F5430" s="78">
        <f t="shared" si="493"/>
        <v>110</v>
      </c>
    </row>
    <row r="5431" spans="1:6" x14ac:dyDescent="0.25">
      <c r="A5431" s="84" t="s">
        <v>20</v>
      </c>
      <c r="B5431" s="2">
        <v>44119</v>
      </c>
      <c r="C5431" s="1">
        <v>2082</v>
      </c>
      <c r="D5431" s="47">
        <f t="shared" si="494"/>
        <v>57783</v>
      </c>
      <c r="E5431" s="1">
        <v>44</v>
      </c>
      <c r="F5431" s="78">
        <f t="shared" si="493"/>
        <v>762</v>
      </c>
    </row>
    <row r="5432" spans="1:6" x14ac:dyDescent="0.25">
      <c r="A5432" s="84" t="s">
        <v>30</v>
      </c>
      <c r="B5432" s="2">
        <v>44119</v>
      </c>
      <c r="C5432" s="1">
        <v>72</v>
      </c>
      <c r="D5432" s="47">
        <f t="shared" si="494"/>
        <v>1874</v>
      </c>
      <c r="F5432" s="78">
        <f t="shared" si="493"/>
        <v>32</v>
      </c>
    </row>
    <row r="5433" spans="1:6" x14ac:dyDescent="0.25">
      <c r="A5433" s="84" t="s">
        <v>31</v>
      </c>
      <c r="B5433" s="2">
        <v>44119</v>
      </c>
      <c r="C5433" s="1">
        <v>334</v>
      </c>
      <c r="D5433" s="47">
        <f t="shared" si="494"/>
        <v>10456</v>
      </c>
      <c r="E5433" s="1">
        <v>7</v>
      </c>
      <c r="F5433" s="78">
        <f t="shared" si="493"/>
        <v>203</v>
      </c>
    </row>
    <row r="5434" spans="1:6" x14ac:dyDescent="0.25">
      <c r="A5434" s="84" t="s">
        <v>41</v>
      </c>
      <c r="B5434" s="2">
        <v>44119</v>
      </c>
      <c r="C5434" s="1">
        <v>-2</v>
      </c>
      <c r="D5434" s="47">
        <f t="shared" si="494"/>
        <v>138</v>
      </c>
      <c r="F5434" s="78">
        <f t="shared" si="493"/>
        <v>1</v>
      </c>
    </row>
    <row r="5435" spans="1:6" x14ac:dyDescent="0.25">
      <c r="A5435" s="84" t="s">
        <v>32</v>
      </c>
      <c r="B5435" s="2">
        <v>44119</v>
      </c>
      <c r="C5435" s="1">
        <v>120</v>
      </c>
      <c r="D5435" s="47">
        <f t="shared" si="494"/>
        <v>17065</v>
      </c>
      <c r="E5435" s="1">
        <v>13</v>
      </c>
      <c r="F5435" s="78">
        <f t="shared" si="493"/>
        <v>643</v>
      </c>
    </row>
    <row r="5436" spans="1:6" x14ac:dyDescent="0.25">
      <c r="A5436" s="84" t="s">
        <v>33</v>
      </c>
      <c r="B5436" s="2">
        <v>44119</v>
      </c>
      <c r="C5436" s="1">
        <v>82</v>
      </c>
      <c r="D5436" s="47">
        <f t="shared" si="494"/>
        <v>1354</v>
      </c>
      <c r="F5436" s="78">
        <f t="shared" ref="F5436:F5447" si="495">E5436+F5412</f>
        <v>16</v>
      </c>
    </row>
    <row r="5437" spans="1:6" x14ac:dyDescent="0.25">
      <c r="A5437" s="84" t="s">
        <v>21</v>
      </c>
      <c r="B5437" s="2">
        <v>44119</v>
      </c>
      <c r="C5437" s="1">
        <v>107</v>
      </c>
      <c r="D5437" s="47">
        <f t="shared" si="494"/>
        <v>6225</v>
      </c>
      <c r="E5437" s="1">
        <v>5</v>
      </c>
      <c r="F5437" s="78">
        <f t="shared" si="495"/>
        <v>191</v>
      </c>
    </row>
    <row r="5438" spans="1:6" x14ac:dyDescent="0.25">
      <c r="A5438" s="84" t="s">
        <v>17</v>
      </c>
      <c r="B5438" s="2">
        <v>44119</v>
      </c>
      <c r="C5438" s="1">
        <v>1056</v>
      </c>
      <c r="D5438" s="47">
        <f t="shared" si="494"/>
        <v>35033</v>
      </c>
      <c r="E5438" s="1">
        <v>15</v>
      </c>
      <c r="F5438" s="78">
        <f t="shared" si="495"/>
        <v>468</v>
      </c>
    </row>
    <row r="5439" spans="1:6" x14ac:dyDescent="0.25">
      <c r="A5439" s="84" t="s">
        <v>23</v>
      </c>
      <c r="B5439" s="2">
        <v>44119</v>
      </c>
      <c r="C5439" s="1">
        <v>12</v>
      </c>
      <c r="D5439" s="47">
        <f t="shared" si="494"/>
        <v>201</v>
      </c>
      <c r="F5439" s="78">
        <f t="shared" si="495"/>
        <v>4</v>
      </c>
    </row>
    <row r="5440" spans="1:6" x14ac:dyDescent="0.25">
      <c r="A5440" s="84" t="s">
        <v>19</v>
      </c>
      <c r="B5440" s="2">
        <v>44119</v>
      </c>
      <c r="C5440" s="1">
        <v>424</v>
      </c>
      <c r="D5440" s="47">
        <f>C5440+D5416</f>
        <v>13408</v>
      </c>
      <c r="F5440" s="78">
        <f t="shared" si="495"/>
        <v>205</v>
      </c>
    </row>
    <row r="5441" spans="1:6" x14ac:dyDescent="0.25">
      <c r="A5441" s="84" t="s">
        <v>18</v>
      </c>
      <c r="B5441" s="2">
        <v>44119</v>
      </c>
      <c r="C5441" s="1">
        <v>532</v>
      </c>
      <c r="D5441" s="47">
        <f>C5441+D5417</f>
        <v>18025</v>
      </c>
      <c r="E5441" s="1">
        <v>11</v>
      </c>
      <c r="F5441" s="78">
        <f t="shared" si="495"/>
        <v>399</v>
      </c>
    </row>
    <row r="5442" spans="1:6" x14ac:dyDescent="0.25">
      <c r="A5442" s="84" t="s">
        <v>34</v>
      </c>
      <c r="B5442" s="2">
        <v>44119</v>
      </c>
      <c r="C5442" s="1">
        <v>257</v>
      </c>
      <c r="D5442" s="47">
        <f>C5442+D5418</f>
        <v>16011</v>
      </c>
      <c r="E5442" s="1">
        <v>12</v>
      </c>
      <c r="F5442" s="78">
        <f>E5442+F5418</f>
        <v>564</v>
      </c>
    </row>
    <row r="5443" spans="1:6" x14ac:dyDescent="0.25">
      <c r="A5443" s="84" t="s">
        <v>35</v>
      </c>
      <c r="B5443" s="2">
        <v>44119</v>
      </c>
      <c r="C5443" s="1">
        <v>3</v>
      </c>
      <c r="D5443" s="47">
        <f t="shared" ref="D5443:D5449" si="496">C5443+D5419</f>
        <v>1276</v>
      </c>
      <c r="F5443" s="78">
        <f>E5443+F5419</f>
        <v>51</v>
      </c>
    </row>
    <row r="5444" spans="1:6" x14ac:dyDescent="0.25">
      <c r="A5444" s="84" t="s">
        <v>36</v>
      </c>
      <c r="B5444" s="2">
        <v>44119</v>
      </c>
      <c r="C5444" s="1">
        <v>119</v>
      </c>
      <c r="D5444" s="47">
        <f t="shared" si="496"/>
        <v>2686</v>
      </c>
      <c r="F5444" s="78">
        <f t="shared" si="495"/>
        <v>34</v>
      </c>
    </row>
    <row r="5445" spans="1:6" x14ac:dyDescent="0.25">
      <c r="A5445" s="84" t="s">
        <v>37</v>
      </c>
      <c r="B5445" s="2">
        <v>44119</v>
      </c>
      <c r="C5445" s="1">
        <v>123</v>
      </c>
      <c r="D5445" s="47">
        <f t="shared" si="496"/>
        <v>6832</v>
      </c>
      <c r="E5445" s="1">
        <v>3</v>
      </c>
      <c r="F5445" s="78">
        <f>E5445+F5421</f>
        <v>95</v>
      </c>
    </row>
    <row r="5446" spans="1:6" x14ac:dyDescent="0.25">
      <c r="A5446" s="84" t="s">
        <v>22</v>
      </c>
      <c r="B5446" s="2">
        <v>44119</v>
      </c>
      <c r="C5446" s="1">
        <v>2659</v>
      </c>
      <c r="D5446" s="47">
        <f t="shared" si="496"/>
        <v>72028</v>
      </c>
      <c r="E5446" s="1">
        <v>44</v>
      </c>
      <c r="F5446" s="78">
        <f>E5446+F5422</f>
        <v>792</v>
      </c>
    </row>
    <row r="5447" spans="1:6" x14ac:dyDescent="0.25">
      <c r="A5447" s="84" t="s">
        <v>38</v>
      </c>
      <c r="B5447" s="2">
        <v>44119</v>
      </c>
      <c r="C5447" s="1">
        <v>275</v>
      </c>
      <c r="D5447" s="47">
        <f t="shared" si="496"/>
        <v>5973</v>
      </c>
      <c r="E5447" s="1">
        <v>-1</v>
      </c>
      <c r="F5447" s="78">
        <f t="shared" si="495"/>
        <v>91</v>
      </c>
    </row>
    <row r="5448" spans="1:6" x14ac:dyDescent="0.25">
      <c r="A5448" s="84" t="s">
        <v>39</v>
      </c>
      <c r="B5448" s="2">
        <v>44119</v>
      </c>
      <c r="C5448" s="1">
        <v>313</v>
      </c>
      <c r="D5448" s="47">
        <f t="shared" si="496"/>
        <v>7502</v>
      </c>
      <c r="F5448" s="78">
        <f>E5448+F5424</f>
        <v>91</v>
      </c>
    </row>
    <row r="5449" spans="1:6" ht="15.75" thickBot="1" x14ac:dyDescent="0.3">
      <c r="A5449" s="85" t="s">
        <v>40</v>
      </c>
      <c r="B5449" s="355">
        <v>44119</v>
      </c>
      <c r="C5449" s="54">
        <v>1494</v>
      </c>
      <c r="D5449" s="214">
        <f t="shared" si="496"/>
        <v>31528</v>
      </c>
      <c r="E5449" s="54">
        <v>2</v>
      </c>
      <c r="F5449" s="79">
        <f>E5449+F5425</f>
        <v>416</v>
      </c>
    </row>
    <row r="5450" spans="1:6" x14ac:dyDescent="0.25">
      <c r="A5450" s="36" t="s">
        <v>16</v>
      </c>
      <c r="B5450" s="356">
        <v>44120</v>
      </c>
      <c r="C5450" s="293">
        <v>5199</v>
      </c>
      <c r="D5450" s="211">
        <f>C5450+D5426</f>
        <v>491422</v>
      </c>
      <c r="E5450" s="293">
        <v>136</v>
      </c>
      <c r="F5450" s="77">
        <f t="shared" ref="F5450:F5471" si="497">E5450+F5426</f>
        <v>15511</v>
      </c>
    </row>
    <row r="5451" spans="1:6" x14ac:dyDescent="0.25">
      <c r="A5451" s="84" t="s">
        <v>43</v>
      </c>
      <c r="B5451" s="356">
        <v>44120</v>
      </c>
      <c r="C5451" s="1">
        <v>952</v>
      </c>
      <c r="D5451" s="47">
        <f t="shared" ref="D5451:D5463" si="498">C5451+D5427</f>
        <v>138843</v>
      </c>
      <c r="E5451" s="1">
        <v>46</v>
      </c>
      <c r="F5451" s="78">
        <f t="shared" si="497"/>
        <v>4251</v>
      </c>
    </row>
    <row r="5452" spans="1:6" x14ac:dyDescent="0.25">
      <c r="A5452" s="84" t="s">
        <v>28</v>
      </c>
      <c r="B5452" s="356">
        <v>44120</v>
      </c>
      <c r="C5452" s="1">
        <v>22</v>
      </c>
      <c r="D5452" s="47">
        <f t="shared" si="498"/>
        <v>429</v>
      </c>
      <c r="F5452" s="78">
        <f t="shared" si="497"/>
        <v>0</v>
      </c>
    </row>
    <row r="5453" spans="1:6" x14ac:dyDescent="0.25">
      <c r="A5453" s="84" t="s">
        <v>15</v>
      </c>
      <c r="B5453" s="356">
        <v>44120</v>
      </c>
      <c r="C5453" s="1">
        <v>197</v>
      </c>
      <c r="D5453" s="47">
        <f t="shared" si="498"/>
        <v>11264</v>
      </c>
      <c r="E5453" s="1">
        <v>3</v>
      </c>
      <c r="F5453" s="78">
        <f t="shared" si="497"/>
        <v>354</v>
      </c>
    </row>
    <row r="5454" spans="1:6" x14ac:dyDescent="0.25">
      <c r="A5454" s="84" t="s">
        <v>29</v>
      </c>
      <c r="B5454" s="356">
        <v>44120</v>
      </c>
      <c r="C5454" s="1">
        <v>288</v>
      </c>
      <c r="D5454" s="47">
        <f t="shared" si="498"/>
        <v>8557</v>
      </c>
      <c r="E5454" s="1">
        <v>2</v>
      </c>
      <c r="F5454" s="78">
        <f t="shared" si="497"/>
        <v>112</v>
      </c>
    </row>
    <row r="5455" spans="1:6" x14ac:dyDescent="0.25">
      <c r="A5455" s="84" t="s">
        <v>20</v>
      </c>
      <c r="B5455" s="356">
        <v>44120</v>
      </c>
      <c r="C5455" s="1">
        <v>2045</v>
      </c>
      <c r="D5455" s="47">
        <f t="shared" si="498"/>
        <v>59828</v>
      </c>
      <c r="E5455" s="1">
        <v>28</v>
      </c>
      <c r="F5455" s="78">
        <f t="shared" si="497"/>
        <v>790</v>
      </c>
    </row>
    <row r="5456" spans="1:6" x14ac:dyDescent="0.25">
      <c r="A5456" s="84" t="s">
        <v>30</v>
      </c>
      <c r="B5456" s="356">
        <v>44120</v>
      </c>
      <c r="C5456" s="1">
        <v>61</v>
      </c>
      <c r="D5456" s="47">
        <f t="shared" si="498"/>
        <v>1935</v>
      </c>
      <c r="F5456" s="78">
        <f t="shared" si="497"/>
        <v>32</v>
      </c>
    </row>
    <row r="5457" spans="1:6" x14ac:dyDescent="0.25">
      <c r="A5457" s="84" t="s">
        <v>31</v>
      </c>
      <c r="B5457" s="356">
        <v>44120</v>
      </c>
      <c r="C5457" s="1">
        <v>349</v>
      </c>
      <c r="D5457" s="47">
        <f t="shared" si="498"/>
        <v>10805</v>
      </c>
      <c r="E5457" s="1">
        <v>2</v>
      </c>
      <c r="F5457" s="78">
        <f t="shared" si="497"/>
        <v>205</v>
      </c>
    </row>
    <row r="5458" spans="1:6" x14ac:dyDescent="0.25">
      <c r="A5458" s="84" t="s">
        <v>41</v>
      </c>
      <c r="B5458" s="356">
        <v>44120</v>
      </c>
      <c r="C5458" s="1">
        <v>1</v>
      </c>
      <c r="D5458" s="47">
        <f t="shared" si="498"/>
        <v>139</v>
      </c>
      <c r="F5458" s="78">
        <f t="shared" si="497"/>
        <v>1</v>
      </c>
    </row>
    <row r="5459" spans="1:6" x14ac:dyDescent="0.25">
      <c r="A5459" s="84" t="s">
        <v>32</v>
      </c>
      <c r="B5459" s="356">
        <v>44120</v>
      </c>
      <c r="C5459" s="1">
        <v>55</v>
      </c>
      <c r="D5459" s="47">
        <f t="shared" si="498"/>
        <v>17120</v>
      </c>
      <c r="E5459" s="1">
        <v>12</v>
      </c>
      <c r="F5459" s="78">
        <f t="shared" si="497"/>
        <v>655</v>
      </c>
    </row>
    <row r="5460" spans="1:6" x14ac:dyDescent="0.25">
      <c r="A5460" s="84" t="s">
        <v>33</v>
      </c>
      <c r="B5460" s="356">
        <v>44120</v>
      </c>
      <c r="C5460" s="1">
        <v>82</v>
      </c>
      <c r="D5460" s="47">
        <f t="shared" si="498"/>
        <v>1436</v>
      </c>
      <c r="E5460" s="1">
        <v>1</v>
      </c>
      <c r="F5460" s="78">
        <f t="shared" si="497"/>
        <v>17</v>
      </c>
    </row>
    <row r="5461" spans="1:6" x14ac:dyDescent="0.25">
      <c r="A5461" s="84" t="s">
        <v>21</v>
      </c>
      <c r="B5461" s="356">
        <v>44120</v>
      </c>
      <c r="C5461" s="1">
        <v>98</v>
      </c>
      <c r="D5461" s="47">
        <f t="shared" si="498"/>
        <v>6323</v>
      </c>
      <c r="E5461" s="1">
        <v>11</v>
      </c>
      <c r="F5461" s="78">
        <f t="shared" si="497"/>
        <v>202</v>
      </c>
    </row>
    <row r="5462" spans="1:6" x14ac:dyDescent="0.25">
      <c r="A5462" s="84" t="s">
        <v>17</v>
      </c>
      <c r="B5462" s="356">
        <v>44120</v>
      </c>
      <c r="C5462" s="1">
        <v>897</v>
      </c>
      <c r="D5462" s="47">
        <f t="shared" si="498"/>
        <v>35930</v>
      </c>
      <c r="E5462" s="1">
        <v>30</v>
      </c>
      <c r="F5462" s="78">
        <f t="shared" si="497"/>
        <v>498</v>
      </c>
    </row>
    <row r="5463" spans="1:6" x14ac:dyDescent="0.25">
      <c r="A5463" s="84" t="s">
        <v>23</v>
      </c>
      <c r="B5463" s="356">
        <v>44120</v>
      </c>
      <c r="C5463" s="1">
        <v>-3</v>
      </c>
      <c r="D5463" s="47">
        <f t="shared" si="498"/>
        <v>198</v>
      </c>
      <c r="F5463" s="78">
        <f t="shared" si="497"/>
        <v>4</v>
      </c>
    </row>
    <row r="5464" spans="1:6" x14ac:dyDescent="0.25">
      <c r="A5464" s="84" t="s">
        <v>19</v>
      </c>
      <c r="B5464" s="356">
        <v>44120</v>
      </c>
      <c r="C5464" s="1">
        <v>382</v>
      </c>
      <c r="D5464" s="47">
        <f>C5464+D5440</f>
        <v>13790</v>
      </c>
      <c r="E5464" s="1">
        <v>13</v>
      </c>
      <c r="F5464" s="78">
        <f t="shared" si="497"/>
        <v>218</v>
      </c>
    </row>
    <row r="5465" spans="1:6" x14ac:dyDescent="0.25">
      <c r="A5465" s="84" t="s">
        <v>18</v>
      </c>
      <c r="B5465" s="356">
        <v>44120</v>
      </c>
      <c r="C5465" s="1">
        <v>536</v>
      </c>
      <c r="D5465" s="47">
        <f>C5465+D5441</f>
        <v>18561</v>
      </c>
      <c r="E5465" s="1">
        <v>2</v>
      </c>
      <c r="F5465" s="78">
        <f t="shared" si="497"/>
        <v>401</v>
      </c>
    </row>
    <row r="5466" spans="1:6" x14ac:dyDescent="0.25">
      <c r="A5466" s="84" t="s">
        <v>34</v>
      </c>
      <c r="B5466" s="356">
        <v>44120</v>
      </c>
      <c r="C5466" s="1">
        <v>215</v>
      </c>
      <c r="D5466" s="47">
        <f>C5466+D5442</f>
        <v>16226</v>
      </c>
      <c r="E5466" s="1">
        <v>13</v>
      </c>
      <c r="F5466" s="78">
        <f>E5466+F5442</f>
        <v>577</v>
      </c>
    </row>
    <row r="5467" spans="1:6" x14ac:dyDescent="0.25">
      <c r="A5467" s="84" t="s">
        <v>35</v>
      </c>
      <c r="B5467" s="356">
        <v>44120</v>
      </c>
      <c r="C5467" s="1">
        <v>9</v>
      </c>
      <c r="D5467" s="47">
        <f t="shared" ref="D5467:D5473" si="499">C5467+D5443</f>
        <v>1285</v>
      </c>
      <c r="F5467" s="78">
        <f>E5467+F5443</f>
        <v>51</v>
      </c>
    </row>
    <row r="5468" spans="1:6" x14ac:dyDescent="0.25">
      <c r="A5468" s="84" t="s">
        <v>36</v>
      </c>
      <c r="B5468" s="356">
        <v>44120</v>
      </c>
      <c r="C5468" s="1">
        <v>257</v>
      </c>
      <c r="D5468" s="47">
        <f t="shared" si="499"/>
        <v>2943</v>
      </c>
      <c r="E5468" s="1">
        <v>1</v>
      </c>
      <c r="F5468" s="78">
        <f t="shared" si="497"/>
        <v>35</v>
      </c>
    </row>
    <row r="5469" spans="1:6" x14ac:dyDescent="0.25">
      <c r="A5469" s="84" t="s">
        <v>37</v>
      </c>
      <c r="B5469" s="356">
        <v>44120</v>
      </c>
      <c r="C5469" s="1">
        <v>210</v>
      </c>
      <c r="D5469" s="47">
        <f t="shared" si="499"/>
        <v>7042</v>
      </c>
      <c r="E5469" s="1">
        <v>1</v>
      </c>
      <c r="F5469" s="78">
        <f>E5469+F5445</f>
        <v>96</v>
      </c>
    </row>
    <row r="5470" spans="1:6" x14ac:dyDescent="0.25">
      <c r="A5470" s="84" t="s">
        <v>22</v>
      </c>
      <c r="B5470" s="356">
        <v>44120</v>
      </c>
      <c r="C5470" s="1">
        <v>2582</v>
      </c>
      <c r="D5470" s="47">
        <f t="shared" si="499"/>
        <v>74610</v>
      </c>
      <c r="E5470" s="1">
        <v>29</v>
      </c>
      <c r="F5470" s="78">
        <f>E5470+F5446</f>
        <v>821</v>
      </c>
    </row>
    <row r="5471" spans="1:6" x14ac:dyDescent="0.25">
      <c r="A5471" s="84" t="s">
        <v>38</v>
      </c>
      <c r="B5471" s="356">
        <v>44120</v>
      </c>
      <c r="C5471" s="1">
        <v>342</v>
      </c>
      <c r="D5471" s="47">
        <f t="shared" si="499"/>
        <v>6315</v>
      </c>
      <c r="E5471" s="1">
        <v>6</v>
      </c>
      <c r="F5471" s="78">
        <f t="shared" si="497"/>
        <v>97</v>
      </c>
    </row>
    <row r="5472" spans="1:6" x14ac:dyDescent="0.25">
      <c r="A5472" s="84" t="s">
        <v>39</v>
      </c>
      <c r="B5472" s="356">
        <v>44120</v>
      </c>
      <c r="C5472" s="1">
        <v>256</v>
      </c>
      <c r="D5472" s="47">
        <f t="shared" si="499"/>
        <v>7758</v>
      </c>
      <c r="E5472" s="1">
        <v>5</v>
      </c>
      <c r="F5472" s="78">
        <f>E5472+F5448</f>
        <v>96</v>
      </c>
    </row>
    <row r="5473" spans="1:6" ht="15.75" thickBot="1" x14ac:dyDescent="0.3">
      <c r="A5473" s="85" t="s">
        <v>40</v>
      </c>
      <c r="B5473" s="356">
        <v>44120</v>
      </c>
      <c r="C5473" s="1">
        <v>1514</v>
      </c>
      <c r="D5473" s="214">
        <f t="shared" si="499"/>
        <v>33042</v>
      </c>
      <c r="E5473" s="1">
        <v>38</v>
      </c>
      <c r="F5473" s="79">
        <f>E5473+F5449</f>
        <v>454</v>
      </c>
    </row>
    <row r="5474" spans="1:6" x14ac:dyDescent="0.25">
      <c r="A5474" s="34" t="s">
        <v>16</v>
      </c>
      <c r="B5474" s="356">
        <v>44121</v>
      </c>
      <c r="C5474" s="1">
        <v>4419</v>
      </c>
      <c r="D5474" s="348">
        <f t="shared" ref="D5474:D5494" si="500">C5474+D5450</f>
        <v>495841</v>
      </c>
      <c r="E5474" s="1">
        <v>191</v>
      </c>
      <c r="F5474" s="77">
        <f t="shared" ref="F5474:F5495" si="501">E5474+F5450</f>
        <v>15702</v>
      </c>
    </row>
    <row r="5475" spans="1:6" x14ac:dyDescent="0.25">
      <c r="A5475" s="34" t="s">
        <v>43</v>
      </c>
      <c r="B5475" s="356">
        <v>44121</v>
      </c>
      <c r="C5475" s="1">
        <v>610</v>
      </c>
      <c r="D5475" s="47">
        <f t="shared" si="500"/>
        <v>139453</v>
      </c>
      <c r="E5475" s="1">
        <f>18+32</f>
        <v>50</v>
      </c>
      <c r="F5475" s="78">
        <f t="shared" si="501"/>
        <v>4301</v>
      </c>
    </row>
    <row r="5476" spans="1:6" x14ac:dyDescent="0.25">
      <c r="A5476" s="34" t="s">
        <v>28</v>
      </c>
      <c r="B5476" s="356">
        <v>44121</v>
      </c>
      <c r="C5476" s="1">
        <v>24</v>
      </c>
      <c r="D5476" s="47">
        <f t="shared" si="500"/>
        <v>453</v>
      </c>
      <c r="F5476" s="78">
        <f t="shared" si="501"/>
        <v>0</v>
      </c>
    </row>
    <row r="5477" spans="1:6" x14ac:dyDescent="0.25">
      <c r="A5477" s="34" t="s">
        <v>15</v>
      </c>
      <c r="B5477" s="356">
        <v>44121</v>
      </c>
      <c r="C5477" s="1">
        <v>167</v>
      </c>
      <c r="D5477" s="47">
        <f t="shared" si="500"/>
        <v>11431</v>
      </c>
      <c r="E5477" s="1">
        <f>2+1</f>
        <v>3</v>
      </c>
      <c r="F5477" s="78">
        <f t="shared" si="501"/>
        <v>357</v>
      </c>
    </row>
    <row r="5478" spans="1:6" x14ac:dyDescent="0.25">
      <c r="A5478" s="34" t="s">
        <v>29</v>
      </c>
      <c r="B5478" s="356">
        <v>44121</v>
      </c>
      <c r="C5478" s="1">
        <v>335</v>
      </c>
      <c r="D5478" s="47">
        <f t="shared" si="500"/>
        <v>8892</v>
      </c>
      <c r="F5478" s="78">
        <f t="shared" si="501"/>
        <v>112</v>
      </c>
    </row>
    <row r="5479" spans="1:6" x14ac:dyDescent="0.25">
      <c r="A5479" s="34" t="s">
        <v>20</v>
      </c>
      <c r="B5479" s="356">
        <v>44121</v>
      </c>
      <c r="C5479" s="1">
        <v>1233</v>
      </c>
      <c r="D5479" s="47">
        <f t="shared" si="500"/>
        <v>61061</v>
      </c>
      <c r="E5479" s="1">
        <v>33</v>
      </c>
      <c r="F5479" s="78">
        <f t="shared" si="501"/>
        <v>823</v>
      </c>
    </row>
    <row r="5480" spans="1:6" x14ac:dyDescent="0.25">
      <c r="A5480" s="34" t="s">
        <v>30</v>
      </c>
      <c r="B5480" s="356">
        <v>44121</v>
      </c>
      <c r="C5480" s="1">
        <v>2</v>
      </c>
      <c r="D5480" s="47">
        <f t="shared" si="500"/>
        <v>1937</v>
      </c>
      <c r="F5480" s="78">
        <f t="shared" si="501"/>
        <v>32</v>
      </c>
    </row>
    <row r="5481" spans="1:6" x14ac:dyDescent="0.25">
      <c r="A5481" s="34" t="s">
        <v>31</v>
      </c>
      <c r="B5481" s="356">
        <v>44121</v>
      </c>
      <c r="C5481" s="1">
        <v>350</v>
      </c>
      <c r="D5481" s="47">
        <f t="shared" si="500"/>
        <v>11155</v>
      </c>
      <c r="E5481" s="1">
        <f>1</f>
        <v>1</v>
      </c>
      <c r="F5481" s="78">
        <f t="shared" si="501"/>
        <v>206</v>
      </c>
    </row>
    <row r="5482" spans="1:6" x14ac:dyDescent="0.25">
      <c r="A5482" s="34" t="s">
        <v>41</v>
      </c>
      <c r="B5482" s="356">
        <v>44121</v>
      </c>
      <c r="C5482" s="1">
        <v>1</v>
      </c>
      <c r="D5482" s="47">
        <f t="shared" si="500"/>
        <v>140</v>
      </c>
      <c r="F5482" s="78">
        <f t="shared" si="501"/>
        <v>1</v>
      </c>
    </row>
    <row r="5483" spans="1:6" x14ac:dyDescent="0.25">
      <c r="A5483" s="34" t="s">
        <v>32</v>
      </c>
      <c r="B5483" s="356">
        <v>44121</v>
      </c>
      <c r="C5483" s="1">
        <v>69</v>
      </c>
      <c r="D5483" s="47">
        <f t="shared" si="500"/>
        <v>17189</v>
      </c>
      <c r="E5483" s="1">
        <f>12+8</f>
        <v>20</v>
      </c>
      <c r="F5483" s="78">
        <f t="shared" si="501"/>
        <v>675</v>
      </c>
    </row>
    <row r="5484" spans="1:6" x14ac:dyDescent="0.25">
      <c r="A5484" s="34" t="s">
        <v>33</v>
      </c>
      <c r="B5484" s="356">
        <v>44121</v>
      </c>
      <c r="C5484" s="1">
        <v>95</v>
      </c>
      <c r="D5484" s="47">
        <f t="shared" si="500"/>
        <v>1531</v>
      </c>
      <c r="F5484" s="78">
        <f t="shared" si="501"/>
        <v>17</v>
      </c>
    </row>
    <row r="5485" spans="1:6" x14ac:dyDescent="0.25">
      <c r="A5485" s="34" t="s">
        <v>21</v>
      </c>
      <c r="B5485" s="356">
        <v>44121</v>
      </c>
      <c r="C5485" s="1">
        <v>55</v>
      </c>
      <c r="D5485" s="47">
        <f t="shared" si="500"/>
        <v>6378</v>
      </c>
      <c r="F5485" s="78">
        <f t="shared" si="501"/>
        <v>202</v>
      </c>
    </row>
    <row r="5486" spans="1:6" x14ac:dyDescent="0.25">
      <c r="A5486" s="34" t="s">
        <v>17</v>
      </c>
      <c r="B5486" s="356">
        <v>44121</v>
      </c>
      <c r="C5486" s="1">
        <v>659</v>
      </c>
      <c r="D5486" s="47">
        <f t="shared" si="500"/>
        <v>36589</v>
      </c>
      <c r="E5486" s="1">
        <f>23+17</f>
        <v>40</v>
      </c>
      <c r="F5486" s="78">
        <f t="shared" si="501"/>
        <v>538</v>
      </c>
    </row>
    <row r="5487" spans="1:6" x14ac:dyDescent="0.25">
      <c r="A5487" s="34" t="s">
        <v>23</v>
      </c>
      <c r="B5487" s="356">
        <v>44121</v>
      </c>
      <c r="C5487" s="1">
        <v>1</v>
      </c>
      <c r="D5487" s="47">
        <f t="shared" si="500"/>
        <v>199</v>
      </c>
      <c r="F5487" s="78">
        <f t="shared" si="501"/>
        <v>4</v>
      </c>
    </row>
    <row r="5488" spans="1:6" x14ac:dyDescent="0.25">
      <c r="A5488" s="34" t="s">
        <v>19</v>
      </c>
      <c r="B5488" s="356">
        <v>44121</v>
      </c>
      <c r="C5488" s="1">
        <v>1005</v>
      </c>
      <c r="D5488" s="47">
        <f t="shared" si="500"/>
        <v>14795</v>
      </c>
      <c r="F5488" s="78">
        <f t="shared" si="501"/>
        <v>218</v>
      </c>
    </row>
    <row r="5489" spans="1:6" x14ac:dyDescent="0.25">
      <c r="A5489" s="34" t="s">
        <v>18</v>
      </c>
      <c r="B5489" s="356">
        <v>44121</v>
      </c>
      <c r="C5489" s="1">
        <v>357</v>
      </c>
      <c r="D5489" s="47">
        <f t="shared" si="500"/>
        <v>18918</v>
      </c>
      <c r="E5489" s="1">
        <f>2</f>
        <v>2</v>
      </c>
      <c r="F5489" s="78">
        <f t="shared" si="501"/>
        <v>403</v>
      </c>
    </row>
    <row r="5490" spans="1:6" x14ac:dyDescent="0.25">
      <c r="A5490" s="34" t="s">
        <v>34</v>
      </c>
      <c r="B5490" s="356">
        <v>44121</v>
      </c>
      <c r="C5490" s="1">
        <v>238</v>
      </c>
      <c r="D5490" s="47">
        <f t="shared" si="500"/>
        <v>16464</v>
      </c>
      <c r="E5490" s="1">
        <f>5+1</f>
        <v>6</v>
      </c>
      <c r="F5490" s="78">
        <f>E5490+F5466</f>
        <v>583</v>
      </c>
    </row>
    <row r="5491" spans="1:6" x14ac:dyDescent="0.25">
      <c r="A5491" s="34" t="s">
        <v>35</v>
      </c>
      <c r="B5491" s="356">
        <v>44121</v>
      </c>
      <c r="C5491" s="1">
        <v>6</v>
      </c>
      <c r="D5491" s="47">
        <f t="shared" si="500"/>
        <v>1291</v>
      </c>
      <c r="F5491" s="78">
        <f>E5491+F5467</f>
        <v>51</v>
      </c>
    </row>
    <row r="5492" spans="1:6" x14ac:dyDescent="0.25">
      <c r="A5492" s="34" t="s">
        <v>36</v>
      </c>
      <c r="B5492" s="356">
        <v>44121</v>
      </c>
      <c r="C5492" s="1">
        <v>201</v>
      </c>
      <c r="D5492" s="47">
        <f t="shared" si="500"/>
        <v>3144</v>
      </c>
      <c r="F5492" s="78">
        <f t="shared" si="501"/>
        <v>35</v>
      </c>
    </row>
    <row r="5493" spans="1:6" x14ac:dyDescent="0.25">
      <c r="A5493" s="34" t="s">
        <v>37</v>
      </c>
      <c r="B5493" s="356">
        <v>44121</v>
      </c>
      <c r="C5493" s="1">
        <v>141</v>
      </c>
      <c r="D5493" s="47">
        <f t="shared" si="500"/>
        <v>7183</v>
      </c>
      <c r="E5493" s="1">
        <f>1</f>
        <v>1</v>
      </c>
      <c r="F5493" s="78">
        <f>E5493+F5469</f>
        <v>97</v>
      </c>
    </row>
    <row r="5494" spans="1:6" x14ac:dyDescent="0.25">
      <c r="A5494" s="34" t="s">
        <v>22</v>
      </c>
      <c r="B5494" s="356">
        <v>44121</v>
      </c>
      <c r="C5494" s="1">
        <v>2199</v>
      </c>
      <c r="D5494" s="47">
        <f t="shared" si="500"/>
        <v>76809</v>
      </c>
      <c r="E5494" s="1">
        <f>11+16</f>
        <v>27</v>
      </c>
      <c r="F5494" s="78">
        <f>E5494+F5470</f>
        <v>848</v>
      </c>
    </row>
    <row r="5495" spans="1:6" x14ac:dyDescent="0.25">
      <c r="A5495" s="34" t="s">
        <v>38</v>
      </c>
      <c r="B5495" s="356">
        <v>44121</v>
      </c>
      <c r="C5495" s="1">
        <v>238</v>
      </c>
      <c r="D5495" s="47">
        <f>C5495+D5471</f>
        <v>6553</v>
      </c>
      <c r="F5495" s="78">
        <f t="shared" si="501"/>
        <v>97</v>
      </c>
    </row>
    <row r="5496" spans="1:6" x14ac:dyDescent="0.25">
      <c r="A5496" s="34" t="s">
        <v>39</v>
      </c>
      <c r="B5496" s="356">
        <v>44121</v>
      </c>
      <c r="C5496" s="1">
        <v>182</v>
      </c>
      <c r="D5496" s="47">
        <f>C5496+D5472</f>
        <v>7940</v>
      </c>
      <c r="E5496" s="1">
        <f>3+1</f>
        <v>4</v>
      </c>
      <c r="F5496" s="78">
        <f>E5496+F5472</f>
        <v>100</v>
      </c>
    </row>
    <row r="5497" spans="1:6" ht="15.75" thickBot="1" x14ac:dyDescent="0.3">
      <c r="A5497" s="48" t="s">
        <v>40</v>
      </c>
      <c r="B5497" s="357">
        <v>44121</v>
      </c>
      <c r="C5497" s="300">
        <v>923</v>
      </c>
      <c r="D5497" s="47">
        <f t="shared" ref="D5497:D5518" si="502">C5497+D5473</f>
        <v>33965</v>
      </c>
      <c r="E5497" s="300"/>
      <c r="F5497" s="83">
        <f>E5497+F5473</f>
        <v>454</v>
      </c>
    </row>
    <row r="5498" spans="1:6" x14ac:dyDescent="0.25">
      <c r="A5498" s="98" t="s">
        <v>16</v>
      </c>
      <c r="B5498" s="359">
        <v>44122</v>
      </c>
      <c r="C5498" s="360">
        <v>2383</v>
      </c>
      <c r="D5498" s="348">
        <f t="shared" si="502"/>
        <v>498224</v>
      </c>
      <c r="E5498" s="360">
        <f>8+7</f>
        <v>15</v>
      </c>
      <c r="F5498" s="99">
        <f t="shared" ref="F5498:F5519" si="503">E5498+F5474</f>
        <v>15717</v>
      </c>
    </row>
    <row r="5499" spans="1:6" x14ac:dyDescent="0.25">
      <c r="A5499" s="100" t="s">
        <v>43</v>
      </c>
      <c r="B5499" s="356">
        <v>44122</v>
      </c>
      <c r="C5499" s="1">
        <v>517</v>
      </c>
      <c r="D5499" s="47">
        <f t="shared" si="502"/>
        <v>139970</v>
      </c>
      <c r="E5499" s="1">
        <f>18+20</f>
        <v>38</v>
      </c>
      <c r="F5499" s="101">
        <f t="shared" si="503"/>
        <v>4339</v>
      </c>
    </row>
    <row r="5500" spans="1:6" x14ac:dyDescent="0.25">
      <c r="A5500" s="100" t="s">
        <v>28</v>
      </c>
      <c r="B5500" s="356">
        <v>44122</v>
      </c>
      <c r="C5500" s="1">
        <v>27</v>
      </c>
      <c r="D5500" s="47">
        <f t="shared" si="502"/>
        <v>480</v>
      </c>
      <c r="F5500" s="101">
        <f t="shared" si="503"/>
        <v>0</v>
      </c>
    </row>
    <row r="5501" spans="1:6" x14ac:dyDescent="0.25">
      <c r="A5501" s="100" t="s">
        <v>15</v>
      </c>
      <c r="B5501" s="356">
        <v>44122</v>
      </c>
      <c r="C5501" s="1">
        <v>232</v>
      </c>
      <c r="D5501" s="47">
        <f t="shared" si="502"/>
        <v>11663</v>
      </c>
      <c r="E5501" s="1">
        <f>1+2</f>
        <v>3</v>
      </c>
      <c r="F5501" s="101">
        <f t="shared" si="503"/>
        <v>360</v>
      </c>
    </row>
    <row r="5502" spans="1:6" x14ac:dyDescent="0.25">
      <c r="A5502" s="100" t="s">
        <v>29</v>
      </c>
      <c r="B5502" s="356">
        <v>44122</v>
      </c>
      <c r="C5502" s="1">
        <v>150</v>
      </c>
      <c r="D5502" s="47">
        <f t="shared" si="502"/>
        <v>9042</v>
      </c>
      <c r="E5502" s="1">
        <f>5+4</f>
        <v>9</v>
      </c>
      <c r="F5502" s="101">
        <f t="shared" si="503"/>
        <v>121</v>
      </c>
    </row>
    <row r="5503" spans="1:6" x14ac:dyDescent="0.25">
      <c r="A5503" s="100" t="s">
        <v>20</v>
      </c>
      <c r="B5503" s="356">
        <v>44122</v>
      </c>
      <c r="C5503" s="1">
        <v>1850</v>
      </c>
      <c r="D5503" s="47">
        <f t="shared" si="502"/>
        <v>62911</v>
      </c>
      <c r="E5503" s="1">
        <f>15+12</f>
        <v>27</v>
      </c>
      <c r="F5503" s="101">
        <f t="shared" si="503"/>
        <v>850</v>
      </c>
    </row>
    <row r="5504" spans="1:6" x14ac:dyDescent="0.25">
      <c r="A5504" s="100" t="s">
        <v>30</v>
      </c>
      <c r="B5504" s="356">
        <v>44122</v>
      </c>
      <c r="C5504" s="1">
        <v>41</v>
      </c>
      <c r="D5504" s="47">
        <f t="shared" si="502"/>
        <v>1978</v>
      </c>
      <c r="F5504" s="101">
        <f t="shared" si="503"/>
        <v>32</v>
      </c>
    </row>
    <row r="5505" spans="1:6" x14ac:dyDescent="0.25">
      <c r="A5505" s="100" t="s">
        <v>31</v>
      </c>
      <c r="B5505" s="356">
        <v>44122</v>
      </c>
      <c r="C5505" s="1">
        <v>279</v>
      </c>
      <c r="D5505" s="47">
        <f t="shared" si="502"/>
        <v>11434</v>
      </c>
      <c r="E5505" s="1">
        <v>1</v>
      </c>
      <c r="F5505" s="101">
        <f t="shared" si="503"/>
        <v>207</v>
      </c>
    </row>
    <row r="5506" spans="1:6" x14ac:dyDescent="0.25">
      <c r="A5506" s="100" t="s">
        <v>41</v>
      </c>
      <c r="B5506" s="356">
        <v>44122</v>
      </c>
      <c r="C5506" s="1">
        <v>-2</v>
      </c>
      <c r="D5506" s="47">
        <f t="shared" si="502"/>
        <v>138</v>
      </c>
      <c r="F5506" s="101">
        <f t="shared" si="503"/>
        <v>1</v>
      </c>
    </row>
    <row r="5507" spans="1:6" x14ac:dyDescent="0.25">
      <c r="A5507" s="100" t="s">
        <v>32</v>
      </c>
      <c r="B5507" s="356">
        <v>44122</v>
      </c>
      <c r="C5507" s="1">
        <v>45</v>
      </c>
      <c r="D5507" s="47">
        <f t="shared" si="502"/>
        <v>17234</v>
      </c>
      <c r="F5507" s="101">
        <f t="shared" si="503"/>
        <v>675</v>
      </c>
    </row>
    <row r="5508" spans="1:6" x14ac:dyDescent="0.25">
      <c r="A5508" s="100" t="s">
        <v>33</v>
      </c>
      <c r="B5508" s="356">
        <v>44122</v>
      </c>
      <c r="C5508" s="1">
        <v>87</v>
      </c>
      <c r="D5508" s="47">
        <f t="shared" si="502"/>
        <v>1618</v>
      </c>
      <c r="F5508" s="101">
        <f t="shared" si="503"/>
        <v>17</v>
      </c>
    </row>
    <row r="5509" spans="1:6" x14ac:dyDescent="0.25">
      <c r="A5509" s="100" t="s">
        <v>21</v>
      </c>
      <c r="B5509" s="356">
        <v>44122</v>
      </c>
      <c r="C5509" s="1">
        <v>181</v>
      </c>
      <c r="D5509" s="47">
        <f t="shared" si="502"/>
        <v>6559</v>
      </c>
      <c r="F5509" s="101">
        <f t="shared" si="503"/>
        <v>202</v>
      </c>
    </row>
    <row r="5510" spans="1:6" x14ac:dyDescent="0.25">
      <c r="A5510" s="100" t="s">
        <v>17</v>
      </c>
      <c r="B5510" s="356">
        <v>44122</v>
      </c>
      <c r="C5510" s="1">
        <v>513</v>
      </c>
      <c r="D5510" s="47">
        <f t="shared" si="502"/>
        <v>37102</v>
      </c>
      <c r="E5510" s="1">
        <f>11+6</f>
        <v>17</v>
      </c>
      <c r="F5510" s="101">
        <f t="shared" si="503"/>
        <v>555</v>
      </c>
    </row>
    <row r="5511" spans="1:6" x14ac:dyDescent="0.25">
      <c r="A5511" s="100" t="s">
        <v>23</v>
      </c>
      <c r="B5511" s="356">
        <v>44122</v>
      </c>
      <c r="C5511" s="1">
        <v>4</v>
      </c>
      <c r="D5511" s="47">
        <f t="shared" si="502"/>
        <v>203</v>
      </c>
      <c r="F5511" s="101">
        <f t="shared" si="503"/>
        <v>4</v>
      </c>
    </row>
    <row r="5512" spans="1:6" x14ac:dyDescent="0.25">
      <c r="A5512" s="100" t="s">
        <v>19</v>
      </c>
      <c r="B5512" s="356">
        <v>44122</v>
      </c>
      <c r="C5512" s="1">
        <v>288</v>
      </c>
      <c r="D5512" s="47">
        <f t="shared" si="502"/>
        <v>15083</v>
      </c>
      <c r="E5512" s="1">
        <f>16+8</f>
        <v>24</v>
      </c>
      <c r="F5512" s="101">
        <f t="shared" si="503"/>
        <v>242</v>
      </c>
    </row>
    <row r="5513" spans="1:6" x14ac:dyDescent="0.25">
      <c r="A5513" s="100" t="s">
        <v>18</v>
      </c>
      <c r="B5513" s="356">
        <v>44122</v>
      </c>
      <c r="C5513" s="1">
        <v>273</v>
      </c>
      <c r="D5513" s="47">
        <f t="shared" si="502"/>
        <v>19191</v>
      </c>
      <c r="E5513" s="1">
        <f>1+4</f>
        <v>5</v>
      </c>
      <c r="F5513" s="101">
        <f t="shared" si="503"/>
        <v>408</v>
      </c>
    </row>
    <row r="5514" spans="1:6" x14ac:dyDescent="0.25">
      <c r="A5514" s="100" t="s">
        <v>34</v>
      </c>
      <c r="B5514" s="356">
        <v>44122</v>
      </c>
      <c r="C5514" s="1">
        <v>168</v>
      </c>
      <c r="D5514" s="47">
        <f t="shared" si="502"/>
        <v>16632</v>
      </c>
      <c r="E5514" s="1">
        <v>13</v>
      </c>
      <c r="F5514" s="101">
        <f>E5514+F5490</f>
        <v>596</v>
      </c>
    </row>
    <row r="5515" spans="1:6" x14ac:dyDescent="0.25">
      <c r="A5515" s="100" t="s">
        <v>35</v>
      </c>
      <c r="B5515" s="356">
        <v>44122</v>
      </c>
      <c r="C5515" s="1">
        <v>1</v>
      </c>
      <c r="D5515" s="47">
        <f t="shared" si="502"/>
        <v>1292</v>
      </c>
      <c r="F5515" s="101">
        <f>E5515+F5491</f>
        <v>51</v>
      </c>
    </row>
    <row r="5516" spans="1:6" x14ac:dyDescent="0.25">
      <c r="A5516" s="100" t="s">
        <v>36</v>
      </c>
      <c r="B5516" s="356">
        <v>44122</v>
      </c>
      <c r="C5516" s="1">
        <v>183</v>
      </c>
      <c r="D5516" s="47">
        <f t="shared" si="502"/>
        <v>3327</v>
      </c>
      <c r="E5516" s="1">
        <f>1</f>
        <v>1</v>
      </c>
      <c r="F5516" s="101">
        <f t="shared" si="503"/>
        <v>36</v>
      </c>
    </row>
    <row r="5517" spans="1:6" x14ac:dyDescent="0.25">
      <c r="A5517" s="100" t="s">
        <v>37</v>
      </c>
      <c r="B5517" s="356">
        <v>44122</v>
      </c>
      <c r="C5517" s="1">
        <v>84</v>
      </c>
      <c r="D5517" s="47">
        <f t="shared" si="502"/>
        <v>7267</v>
      </c>
      <c r="E5517" s="1">
        <f>3</f>
        <v>3</v>
      </c>
      <c r="F5517" s="101">
        <f>E5517+F5493</f>
        <v>100</v>
      </c>
    </row>
    <row r="5518" spans="1:6" x14ac:dyDescent="0.25">
      <c r="A5518" s="100" t="s">
        <v>22</v>
      </c>
      <c r="B5518" s="356">
        <v>44122</v>
      </c>
      <c r="C5518" s="1">
        <v>2015</v>
      </c>
      <c r="D5518" s="47">
        <f t="shared" si="502"/>
        <v>78824</v>
      </c>
      <c r="E5518" s="1">
        <f>1</f>
        <v>1</v>
      </c>
      <c r="F5518" s="101">
        <f>E5518+F5494</f>
        <v>849</v>
      </c>
    </row>
    <row r="5519" spans="1:6" x14ac:dyDescent="0.25">
      <c r="A5519" s="100" t="s">
        <v>38</v>
      </c>
      <c r="B5519" s="356">
        <v>44122</v>
      </c>
      <c r="C5519" s="1">
        <v>262</v>
      </c>
      <c r="D5519" s="47">
        <f>C5519+D5495</f>
        <v>6815</v>
      </c>
      <c r="F5519" s="101">
        <f t="shared" si="503"/>
        <v>97</v>
      </c>
    </row>
    <row r="5520" spans="1:6" x14ac:dyDescent="0.25">
      <c r="A5520" s="100" t="s">
        <v>39</v>
      </c>
      <c r="B5520" s="356">
        <v>44122</v>
      </c>
      <c r="C5520" s="1">
        <v>208</v>
      </c>
      <c r="D5520" s="47">
        <f>C5520+D5496</f>
        <v>8148</v>
      </c>
      <c r="E5520" s="1">
        <f>2</f>
        <v>2</v>
      </c>
      <c r="F5520" s="101">
        <f>E5520+F5496</f>
        <v>102</v>
      </c>
    </row>
    <row r="5521" spans="1:6" ht="15.75" thickBot="1" x14ac:dyDescent="0.3">
      <c r="A5521" s="102" t="s">
        <v>40</v>
      </c>
      <c r="B5521" s="361">
        <v>44122</v>
      </c>
      <c r="C5521" s="362">
        <v>772</v>
      </c>
      <c r="D5521" s="47">
        <f t="shared" ref="D5521:D5542" si="504">C5521+D5497</f>
        <v>34737</v>
      </c>
      <c r="E5521" s="362"/>
      <c r="F5521" s="103">
        <f>E5521+F5497</f>
        <v>454</v>
      </c>
    </row>
    <row r="5522" spans="1:6" x14ac:dyDescent="0.25">
      <c r="A5522" s="98" t="s">
        <v>16</v>
      </c>
      <c r="B5522" s="359">
        <v>44123</v>
      </c>
      <c r="C5522" s="360">
        <v>4206</v>
      </c>
      <c r="D5522" s="348">
        <f t="shared" si="504"/>
        <v>502430</v>
      </c>
      <c r="E5522" s="360">
        <v>197</v>
      </c>
      <c r="F5522" s="104">
        <v>16032</v>
      </c>
    </row>
    <row r="5523" spans="1:6" x14ac:dyDescent="0.25">
      <c r="A5523" s="100" t="s">
        <v>43</v>
      </c>
      <c r="B5523" s="356">
        <v>44123</v>
      </c>
      <c r="C5523" s="1">
        <v>557</v>
      </c>
      <c r="D5523" s="47">
        <f t="shared" si="504"/>
        <v>140527</v>
      </c>
      <c r="E5523" s="1">
        <v>47</v>
      </c>
      <c r="F5523" s="105">
        <v>4227</v>
      </c>
    </row>
    <row r="5524" spans="1:6" x14ac:dyDescent="0.25">
      <c r="A5524" s="100" t="s">
        <v>28</v>
      </c>
      <c r="B5524" s="356">
        <v>44123</v>
      </c>
      <c r="C5524" s="1">
        <v>12</v>
      </c>
      <c r="D5524" s="47">
        <f t="shared" si="504"/>
        <v>492</v>
      </c>
      <c r="F5524" s="105">
        <f>E5524+F5500</f>
        <v>0</v>
      </c>
    </row>
    <row r="5525" spans="1:6" x14ac:dyDescent="0.25">
      <c r="A5525" s="100" t="s">
        <v>15</v>
      </c>
      <c r="B5525" s="356">
        <v>44123</v>
      </c>
      <c r="C5525" s="1">
        <v>185</v>
      </c>
      <c r="D5525" s="47">
        <f t="shared" si="504"/>
        <v>11848</v>
      </c>
      <c r="E5525" s="1">
        <v>8</v>
      </c>
      <c r="F5525" s="105">
        <v>373</v>
      </c>
    </row>
    <row r="5526" spans="1:6" x14ac:dyDescent="0.25">
      <c r="A5526" s="100" t="s">
        <v>29</v>
      </c>
      <c r="B5526" s="356">
        <v>44123</v>
      </c>
      <c r="C5526" s="1">
        <v>220</v>
      </c>
      <c r="D5526" s="47">
        <f t="shared" si="504"/>
        <v>9262</v>
      </c>
      <c r="E5526" s="1">
        <v>1</v>
      </c>
      <c r="F5526" s="105">
        <v>185</v>
      </c>
    </row>
    <row r="5527" spans="1:6" x14ac:dyDescent="0.25">
      <c r="A5527" s="100" t="s">
        <v>20</v>
      </c>
      <c r="B5527" s="356">
        <v>44123</v>
      </c>
      <c r="C5527" s="1">
        <v>1668</v>
      </c>
      <c r="D5527" s="47">
        <f t="shared" si="504"/>
        <v>64579</v>
      </c>
      <c r="E5527" s="1">
        <v>44</v>
      </c>
      <c r="F5527" s="105">
        <v>871</v>
      </c>
    </row>
    <row r="5528" spans="1:6" x14ac:dyDescent="0.25">
      <c r="A5528" s="100" t="s">
        <v>30</v>
      </c>
      <c r="B5528" s="356">
        <v>44123</v>
      </c>
      <c r="C5528" s="1">
        <v>122</v>
      </c>
      <c r="D5528" s="47">
        <f t="shared" si="504"/>
        <v>2100</v>
      </c>
      <c r="E5528" s="1">
        <v>3</v>
      </c>
      <c r="F5528" s="105">
        <v>36</v>
      </c>
    </row>
    <row r="5529" spans="1:6" x14ac:dyDescent="0.25">
      <c r="A5529" s="100" t="s">
        <v>31</v>
      </c>
      <c r="B5529" s="356">
        <v>44123</v>
      </c>
      <c r="C5529" s="1">
        <v>258</v>
      </c>
      <c r="D5529" s="47">
        <f t="shared" si="504"/>
        <v>11692</v>
      </c>
      <c r="E5529" s="1">
        <v>5</v>
      </c>
      <c r="F5529" s="105">
        <v>210</v>
      </c>
    </row>
    <row r="5530" spans="1:6" x14ac:dyDescent="0.25">
      <c r="A5530" s="100" t="s">
        <v>41</v>
      </c>
      <c r="B5530" s="356">
        <v>44123</v>
      </c>
      <c r="C5530" s="1">
        <v>6</v>
      </c>
      <c r="D5530" s="47">
        <f t="shared" si="504"/>
        <v>144</v>
      </c>
      <c r="F5530" s="105">
        <f>E5530+F5506</f>
        <v>1</v>
      </c>
    </row>
    <row r="5531" spans="1:6" x14ac:dyDescent="0.25">
      <c r="A5531" s="100" t="s">
        <v>32</v>
      </c>
      <c r="B5531" s="356">
        <v>44123</v>
      </c>
      <c r="C5531" s="1">
        <v>51</v>
      </c>
      <c r="D5531" s="47">
        <f t="shared" si="504"/>
        <v>17285</v>
      </c>
      <c r="E5531" s="1">
        <v>30</v>
      </c>
      <c r="F5531" s="105">
        <v>734</v>
      </c>
    </row>
    <row r="5532" spans="1:6" x14ac:dyDescent="0.25">
      <c r="A5532" s="100" t="s">
        <v>33</v>
      </c>
      <c r="B5532" s="356">
        <v>44123</v>
      </c>
      <c r="C5532" s="1">
        <v>92</v>
      </c>
      <c r="D5532" s="47">
        <f t="shared" si="504"/>
        <v>1710</v>
      </c>
      <c r="F5532" s="105">
        <v>16</v>
      </c>
    </row>
    <row r="5533" spans="1:6" x14ac:dyDescent="0.25">
      <c r="A5533" s="100" t="s">
        <v>21</v>
      </c>
      <c r="B5533" s="356">
        <v>44123</v>
      </c>
      <c r="C5533" s="1">
        <v>65</v>
      </c>
      <c r="D5533" s="47">
        <f t="shared" si="504"/>
        <v>6624</v>
      </c>
      <c r="E5533" s="1">
        <v>3</v>
      </c>
      <c r="F5533" s="105">
        <v>226</v>
      </c>
    </row>
    <row r="5534" spans="1:6" x14ac:dyDescent="0.25">
      <c r="A5534" s="100" t="s">
        <v>17</v>
      </c>
      <c r="B5534" s="356">
        <v>44123</v>
      </c>
      <c r="C5534" s="1">
        <v>744</v>
      </c>
      <c r="D5534" s="47">
        <f t="shared" si="504"/>
        <v>37846</v>
      </c>
      <c r="E5534" s="1">
        <v>28</v>
      </c>
      <c r="F5534" s="105">
        <v>625</v>
      </c>
    </row>
    <row r="5535" spans="1:6" x14ac:dyDescent="0.25">
      <c r="A5535" s="100" t="s">
        <v>23</v>
      </c>
      <c r="B5535" s="356">
        <v>44123</v>
      </c>
      <c r="C5535" s="1">
        <v>-6</v>
      </c>
      <c r="D5535" s="47">
        <f t="shared" si="504"/>
        <v>197</v>
      </c>
      <c r="F5535" s="105">
        <f>E5535+F5511</f>
        <v>4</v>
      </c>
    </row>
    <row r="5536" spans="1:6" x14ac:dyDescent="0.25">
      <c r="A5536" s="100" t="s">
        <v>19</v>
      </c>
      <c r="B5536" s="356">
        <v>44123</v>
      </c>
      <c r="C5536" s="1">
        <v>271</v>
      </c>
      <c r="D5536" s="47">
        <f t="shared" si="504"/>
        <v>15354</v>
      </c>
      <c r="E5536" s="1">
        <v>4</v>
      </c>
      <c r="F5536" s="105">
        <v>282</v>
      </c>
    </row>
    <row r="5537" spans="1:6" x14ac:dyDescent="0.25">
      <c r="A5537" s="100" t="s">
        <v>18</v>
      </c>
      <c r="B5537" s="356">
        <v>44123</v>
      </c>
      <c r="C5537" s="1">
        <v>207</v>
      </c>
      <c r="D5537" s="47">
        <f t="shared" si="504"/>
        <v>19398</v>
      </c>
      <c r="E5537" s="1">
        <v>11</v>
      </c>
      <c r="F5537" s="105">
        <v>505</v>
      </c>
    </row>
    <row r="5538" spans="1:6" x14ac:dyDescent="0.25">
      <c r="A5538" s="100" t="s">
        <v>34</v>
      </c>
      <c r="B5538" s="356">
        <v>44123</v>
      </c>
      <c r="C5538" s="1">
        <v>80</v>
      </c>
      <c r="D5538" s="47">
        <f t="shared" si="504"/>
        <v>16712</v>
      </c>
      <c r="E5538" s="1">
        <v>18</v>
      </c>
      <c r="F5538" s="105">
        <v>632</v>
      </c>
    </row>
    <row r="5539" spans="1:6" x14ac:dyDescent="0.25">
      <c r="A5539" s="100" t="s">
        <v>35</v>
      </c>
      <c r="B5539" s="356">
        <v>44123</v>
      </c>
      <c r="C5539" s="1">
        <v>10</v>
      </c>
      <c r="D5539" s="47">
        <f t="shared" si="504"/>
        <v>1302</v>
      </c>
      <c r="E5539" s="1">
        <v>2</v>
      </c>
      <c r="F5539" s="105">
        <v>75</v>
      </c>
    </row>
    <row r="5540" spans="1:6" x14ac:dyDescent="0.25">
      <c r="A5540" s="100" t="s">
        <v>36</v>
      </c>
      <c r="B5540" s="356">
        <v>44123</v>
      </c>
      <c r="C5540" s="1">
        <v>277</v>
      </c>
      <c r="D5540" s="47">
        <f t="shared" si="504"/>
        <v>3604</v>
      </c>
      <c r="F5540" s="105">
        <v>51</v>
      </c>
    </row>
    <row r="5541" spans="1:6" x14ac:dyDescent="0.25">
      <c r="A5541" s="100" t="s">
        <v>37</v>
      </c>
      <c r="B5541" s="356">
        <v>44123</v>
      </c>
      <c r="C5541" s="1">
        <v>138</v>
      </c>
      <c r="D5541" s="47">
        <f t="shared" si="504"/>
        <v>7405</v>
      </c>
      <c r="E5541" s="1">
        <v>1</v>
      </c>
      <c r="F5541" s="105">
        <v>99</v>
      </c>
    </row>
    <row r="5542" spans="1:6" x14ac:dyDescent="0.25">
      <c r="A5542" s="100" t="s">
        <v>22</v>
      </c>
      <c r="B5542" s="356">
        <v>44123</v>
      </c>
      <c r="C5542" s="1">
        <v>2050</v>
      </c>
      <c r="D5542" s="47">
        <f t="shared" si="504"/>
        <v>80874</v>
      </c>
      <c r="E5542" s="1">
        <v>28</v>
      </c>
      <c r="F5542" s="105">
        <v>857</v>
      </c>
    </row>
    <row r="5543" spans="1:6" x14ac:dyDescent="0.25">
      <c r="A5543" s="100" t="s">
        <v>38</v>
      </c>
      <c r="B5543" s="356">
        <v>44123</v>
      </c>
      <c r="C5543" s="1">
        <v>145</v>
      </c>
      <c r="D5543" s="47">
        <f>C5543+D5519</f>
        <v>6960</v>
      </c>
      <c r="E5543" s="1">
        <v>1</v>
      </c>
      <c r="F5543" s="105">
        <v>100</v>
      </c>
    </row>
    <row r="5544" spans="1:6" x14ac:dyDescent="0.25">
      <c r="A5544" s="100" t="s">
        <v>39</v>
      </c>
      <c r="B5544" s="356">
        <v>44123</v>
      </c>
      <c r="C5544" s="1">
        <v>238</v>
      </c>
      <c r="D5544" s="47">
        <f>C5544+D5520</f>
        <v>8386</v>
      </c>
      <c r="F5544" s="105">
        <f>E5544+F5520</f>
        <v>102</v>
      </c>
    </row>
    <row r="5545" spans="1:6" ht="15.75" thickBot="1" x14ac:dyDescent="0.3">
      <c r="A5545" s="113" t="s">
        <v>40</v>
      </c>
      <c r="B5545" s="357">
        <v>44123</v>
      </c>
      <c r="C5545" s="300">
        <v>1386</v>
      </c>
      <c r="D5545" s="47">
        <f t="shared" ref="D5545:D5566" si="505">C5545+D5521</f>
        <v>36123</v>
      </c>
      <c r="E5545" s="300">
        <v>17</v>
      </c>
      <c r="F5545" s="105">
        <v>473</v>
      </c>
    </row>
    <row r="5546" spans="1:6" x14ac:dyDescent="0.25">
      <c r="A5546" s="36" t="s">
        <v>16</v>
      </c>
      <c r="B5546" s="354">
        <v>44124</v>
      </c>
      <c r="C5546" s="53">
        <v>4981</v>
      </c>
      <c r="D5546" s="348">
        <f t="shared" si="505"/>
        <v>507411</v>
      </c>
      <c r="E5546" s="53">
        <f>83+60</f>
        <v>143</v>
      </c>
      <c r="F5546" s="77">
        <f t="shared" ref="F5546:F5609" si="506">E5546+F5522</f>
        <v>16175</v>
      </c>
    </row>
    <row r="5547" spans="1:6" x14ac:dyDescent="0.25">
      <c r="A5547" s="84" t="s">
        <v>43</v>
      </c>
      <c r="B5547" s="2">
        <v>44124</v>
      </c>
      <c r="C5547" s="1">
        <v>663</v>
      </c>
      <c r="D5547" s="47">
        <f t="shared" si="505"/>
        <v>141190</v>
      </c>
      <c r="E5547" s="1">
        <f>19+34+1</f>
        <v>54</v>
      </c>
      <c r="F5547" s="78">
        <f t="shared" si="506"/>
        <v>4281</v>
      </c>
    </row>
    <row r="5548" spans="1:6" x14ac:dyDescent="0.25">
      <c r="A5548" s="84" t="s">
        <v>28</v>
      </c>
      <c r="B5548" s="2">
        <v>44124</v>
      </c>
      <c r="C5548" s="1">
        <v>8</v>
      </c>
      <c r="D5548" s="47">
        <f t="shared" si="505"/>
        <v>500</v>
      </c>
      <c r="F5548" s="78">
        <f t="shared" si="506"/>
        <v>0</v>
      </c>
    </row>
    <row r="5549" spans="1:6" x14ac:dyDescent="0.25">
      <c r="A5549" s="84" t="s">
        <v>15</v>
      </c>
      <c r="B5549" s="2">
        <v>44124</v>
      </c>
      <c r="C5549" s="1">
        <v>193</v>
      </c>
      <c r="D5549" s="47">
        <f t="shared" si="505"/>
        <v>12041</v>
      </c>
      <c r="E5549" s="1">
        <f>3+2</f>
        <v>5</v>
      </c>
      <c r="F5549" s="78">
        <f t="shared" si="506"/>
        <v>378</v>
      </c>
    </row>
    <row r="5550" spans="1:6" x14ac:dyDescent="0.25">
      <c r="A5550" s="84" t="s">
        <v>29</v>
      </c>
      <c r="B5550" s="2">
        <v>44124</v>
      </c>
      <c r="C5550" s="1">
        <v>465</v>
      </c>
      <c r="D5550" s="47">
        <f t="shared" si="505"/>
        <v>9727</v>
      </c>
      <c r="E5550" s="1">
        <f>5+2</f>
        <v>7</v>
      </c>
      <c r="F5550" s="78">
        <f t="shared" si="506"/>
        <v>192</v>
      </c>
    </row>
    <row r="5551" spans="1:6" x14ac:dyDescent="0.25">
      <c r="A5551" s="84" t="s">
        <v>20</v>
      </c>
      <c r="B5551" s="2">
        <v>44124</v>
      </c>
      <c r="C5551" s="1">
        <v>1708</v>
      </c>
      <c r="D5551" s="47">
        <f t="shared" si="505"/>
        <v>66287</v>
      </c>
      <c r="E5551" s="1">
        <f>31+21</f>
        <v>52</v>
      </c>
      <c r="F5551" s="78">
        <f t="shared" si="506"/>
        <v>923</v>
      </c>
    </row>
    <row r="5552" spans="1:6" x14ac:dyDescent="0.25">
      <c r="A5552" s="84" t="s">
        <v>30</v>
      </c>
      <c r="B5552" s="2">
        <v>44124</v>
      </c>
      <c r="C5552" s="1">
        <v>34</v>
      </c>
      <c r="D5552" s="47">
        <f t="shared" si="505"/>
        <v>2134</v>
      </c>
      <c r="F5552" s="78">
        <f t="shared" si="506"/>
        <v>36</v>
      </c>
    </row>
    <row r="5553" spans="1:6" x14ac:dyDescent="0.25">
      <c r="A5553" s="84" t="s">
        <v>31</v>
      </c>
      <c r="B5553" s="2">
        <v>44124</v>
      </c>
      <c r="C5553" s="1">
        <v>402</v>
      </c>
      <c r="D5553" s="47">
        <f t="shared" si="505"/>
        <v>12094</v>
      </c>
      <c r="E5553" s="1">
        <f>2+3</f>
        <v>5</v>
      </c>
      <c r="F5553" s="78">
        <f t="shared" si="506"/>
        <v>215</v>
      </c>
    </row>
    <row r="5554" spans="1:6" x14ac:dyDescent="0.25">
      <c r="A5554" s="84" t="s">
        <v>41</v>
      </c>
      <c r="B5554" s="2">
        <v>44124</v>
      </c>
      <c r="C5554" s="1">
        <v>-4</v>
      </c>
      <c r="D5554" s="47">
        <f t="shared" si="505"/>
        <v>140</v>
      </c>
      <c r="F5554" s="78">
        <f t="shared" si="506"/>
        <v>1</v>
      </c>
    </row>
    <row r="5555" spans="1:6" x14ac:dyDescent="0.25">
      <c r="A5555" s="84" t="s">
        <v>32</v>
      </c>
      <c r="B5555" s="2">
        <v>44124</v>
      </c>
      <c r="C5555" s="1">
        <v>59</v>
      </c>
      <c r="D5555" s="47">
        <f t="shared" si="505"/>
        <v>17344</v>
      </c>
      <c r="E5555" s="1">
        <f>2+2</f>
        <v>4</v>
      </c>
      <c r="F5555" s="78">
        <f t="shared" si="506"/>
        <v>738</v>
      </c>
    </row>
    <row r="5556" spans="1:6" x14ac:dyDescent="0.25">
      <c r="A5556" s="84" t="s">
        <v>33</v>
      </c>
      <c r="B5556" s="2">
        <v>44124</v>
      </c>
      <c r="C5556" s="1">
        <v>98</v>
      </c>
      <c r="D5556" s="47">
        <f t="shared" si="505"/>
        <v>1808</v>
      </c>
      <c r="E5556" s="1">
        <f>1+1</f>
        <v>2</v>
      </c>
      <c r="F5556" s="78">
        <f t="shared" si="506"/>
        <v>18</v>
      </c>
    </row>
    <row r="5557" spans="1:6" x14ac:dyDescent="0.25">
      <c r="A5557" s="84" t="s">
        <v>21</v>
      </c>
      <c r="B5557" s="2">
        <v>44124</v>
      </c>
      <c r="C5557" s="1">
        <v>41</v>
      </c>
      <c r="D5557" s="47">
        <f t="shared" si="505"/>
        <v>6665</v>
      </c>
      <c r="E5557" s="1">
        <f>1+1</f>
        <v>2</v>
      </c>
      <c r="F5557" s="78">
        <f t="shared" si="506"/>
        <v>228</v>
      </c>
    </row>
    <row r="5558" spans="1:6" x14ac:dyDescent="0.25">
      <c r="A5558" s="84" t="s">
        <v>17</v>
      </c>
      <c r="B5558" s="2">
        <v>44124</v>
      </c>
      <c r="C5558" s="1">
        <v>968</v>
      </c>
      <c r="D5558" s="47">
        <f t="shared" si="505"/>
        <v>38814</v>
      </c>
      <c r="E5558" s="1">
        <f>7+2</f>
        <v>9</v>
      </c>
      <c r="F5558" s="78">
        <f t="shared" si="506"/>
        <v>634</v>
      </c>
    </row>
    <row r="5559" spans="1:6" x14ac:dyDescent="0.25">
      <c r="A5559" s="84" t="s">
        <v>23</v>
      </c>
      <c r="B5559" s="2">
        <v>44124</v>
      </c>
      <c r="C5559" s="1">
        <v>-2</v>
      </c>
      <c r="D5559" s="47">
        <f t="shared" si="505"/>
        <v>195</v>
      </c>
      <c r="F5559" s="78">
        <f t="shared" si="506"/>
        <v>4</v>
      </c>
    </row>
    <row r="5560" spans="1:6" x14ac:dyDescent="0.25">
      <c r="A5560" s="84" t="s">
        <v>19</v>
      </c>
      <c r="B5560" s="2">
        <v>44124</v>
      </c>
      <c r="C5560" s="1">
        <v>1305</v>
      </c>
      <c r="D5560" s="47">
        <f t="shared" si="505"/>
        <v>16659</v>
      </c>
      <c r="E5560" s="1">
        <f>5+2</f>
        <v>7</v>
      </c>
      <c r="F5560" s="78">
        <f t="shared" si="506"/>
        <v>289</v>
      </c>
    </row>
    <row r="5561" spans="1:6" x14ac:dyDescent="0.25">
      <c r="A5561" s="84" t="s">
        <v>18</v>
      </c>
      <c r="B5561" s="2">
        <v>44124</v>
      </c>
      <c r="C5561" s="1">
        <v>393</v>
      </c>
      <c r="D5561" s="47">
        <f t="shared" si="505"/>
        <v>19791</v>
      </c>
      <c r="E5561" s="1">
        <f>1+1</f>
        <v>2</v>
      </c>
      <c r="F5561" s="78">
        <f t="shared" si="506"/>
        <v>507</v>
      </c>
    </row>
    <row r="5562" spans="1:6" x14ac:dyDescent="0.25">
      <c r="A5562" s="84" t="s">
        <v>34</v>
      </c>
      <c r="B5562" s="2">
        <v>44124</v>
      </c>
      <c r="C5562" s="1">
        <v>201</v>
      </c>
      <c r="D5562" s="47">
        <f t="shared" si="505"/>
        <v>16913</v>
      </c>
      <c r="E5562" s="1">
        <v>6</v>
      </c>
      <c r="F5562" s="78">
        <f t="shared" si="506"/>
        <v>638</v>
      </c>
    </row>
    <row r="5563" spans="1:6" x14ac:dyDescent="0.25">
      <c r="A5563" s="84" t="s">
        <v>35</v>
      </c>
      <c r="B5563" s="2">
        <v>44124</v>
      </c>
      <c r="C5563" s="1">
        <v>5</v>
      </c>
      <c r="D5563" s="47">
        <f t="shared" si="505"/>
        <v>1307</v>
      </c>
      <c r="E5563" s="1">
        <f>1</f>
        <v>1</v>
      </c>
      <c r="F5563" s="78">
        <f t="shared" si="506"/>
        <v>76</v>
      </c>
    </row>
    <row r="5564" spans="1:6" x14ac:dyDescent="0.25">
      <c r="A5564" s="84" t="s">
        <v>36</v>
      </c>
      <c r="B5564" s="2">
        <v>44124</v>
      </c>
      <c r="C5564" s="1">
        <v>266</v>
      </c>
      <c r="D5564" s="47">
        <f t="shared" si="505"/>
        <v>3870</v>
      </c>
      <c r="F5564" s="78">
        <f t="shared" si="506"/>
        <v>51</v>
      </c>
    </row>
    <row r="5565" spans="1:6" x14ac:dyDescent="0.25">
      <c r="A5565" s="84" t="s">
        <v>37</v>
      </c>
      <c r="B5565" s="2">
        <v>44124</v>
      </c>
      <c r="C5565" s="1">
        <v>158</v>
      </c>
      <c r="D5565" s="47">
        <f t="shared" si="505"/>
        <v>7563</v>
      </c>
      <c r="E5565" s="1">
        <v>3</v>
      </c>
      <c r="F5565" s="78">
        <f t="shared" si="506"/>
        <v>102</v>
      </c>
    </row>
    <row r="5566" spans="1:6" x14ac:dyDescent="0.25">
      <c r="A5566" s="84" t="s">
        <v>22</v>
      </c>
      <c r="B5566" s="2">
        <v>44124</v>
      </c>
      <c r="C5566" s="1">
        <v>2575</v>
      </c>
      <c r="D5566" s="47">
        <f t="shared" si="505"/>
        <v>83449</v>
      </c>
      <c r="E5566" s="1">
        <f>33+27</f>
        <v>60</v>
      </c>
      <c r="F5566" s="78">
        <f t="shared" si="506"/>
        <v>917</v>
      </c>
    </row>
    <row r="5567" spans="1:6" x14ac:dyDescent="0.25">
      <c r="A5567" s="84" t="s">
        <v>38</v>
      </c>
      <c r="B5567" s="2">
        <v>44124</v>
      </c>
      <c r="C5567" s="1">
        <v>104</v>
      </c>
      <c r="D5567" s="47">
        <f>C5567+D5543</f>
        <v>7064</v>
      </c>
      <c r="E5567" s="1">
        <f>2+1</f>
        <v>3</v>
      </c>
      <c r="F5567" s="78">
        <f t="shared" si="506"/>
        <v>103</v>
      </c>
    </row>
    <row r="5568" spans="1:6" x14ac:dyDescent="0.25">
      <c r="A5568" s="84" t="s">
        <v>39</v>
      </c>
      <c r="B5568" s="2">
        <v>44124</v>
      </c>
      <c r="C5568" s="1">
        <v>295</v>
      </c>
      <c r="D5568" s="47">
        <f>C5568+D5544</f>
        <v>8681</v>
      </c>
      <c r="E5568" s="1">
        <f>1</f>
        <v>1</v>
      </c>
      <c r="F5568" s="78">
        <f t="shared" si="506"/>
        <v>103</v>
      </c>
    </row>
    <row r="5569" spans="1:6" ht="15.75" thickBot="1" x14ac:dyDescent="0.3">
      <c r="A5569" s="86" t="s">
        <v>40</v>
      </c>
      <c r="B5569" s="42">
        <v>44124</v>
      </c>
      <c r="C5569" s="300">
        <v>1421</v>
      </c>
      <c r="D5569" s="47">
        <f t="shared" ref="D5569:D5590" si="507">C5569+D5545</f>
        <v>37544</v>
      </c>
      <c r="E5569" s="300">
        <f>9+6</f>
        <v>15</v>
      </c>
      <c r="F5569" s="83">
        <f t="shared" si="506"/>
        <v>488</v>
      </c>
    </row>
    <row r="5570" spans="1:6" x14ac:dyDescent="0.25">
      <c r="A5570" s="36" t="s">
        <v>16</v>
      </c>
      <c r="B5570" s="354">
        <v>44125</v>
      </c>
      <c r="C5570" s="53">
        <v>5179</v>
      </c>
      <c r="D5570" s="348">
        <f t="shared" si="507"/>
        <v>512590</v>
      </c>
      <c r="E5570" s="53">
        <f>52+54</f>
        <v>106</v>
      </c>
      <c r="F5570" s="77">
        <f t="shared" si="506"/>
        <v>16281</v>
      </c>
    </row>
    <row r="5571" spans="1:6" x14ac:dyDescent="0.25">
      <c r="A5571" s="84" t="s">
        <v>43</v>
      </c>
      <c r="B5571" s="2">
        <v>44125</v>
      </c>
      <c r="C5571" s="1">
        <v>740</v>
      </c>
      <c r="D5571" s="47">
        <f t="shared" si="507"/>
        <v>141930</v>
      </c>
      <c r="E5571" s="1">
        <f>30+22</f>
        <v>52</v>
      </c>
      <c r="F5571" s="78">
        <f t="shared" si="506"/>
        <v>4333</v>
      </c>
    </row>
    <row r="5572" spans="1:6" x14ac:dyDescent="0.25">
      <c r="A5572" s="84" t="s">
        <v>28</v>
      </c>
      <c r="B5572" s="2">
        <v>44125</v>
      </c>
      <c r="C5572" s="1">
        <v>25</v>
      </c>
      <c r="D5572" s="47">
        <f t="shared" si="507"/>
        <v>525</v>
      </c>
      <c r="F5572" s="78">
        <f t="shared" si="506"/>
        <v>0</v>
      </c>
    </row>
    <row r="5573" spans="1:6" x14ac:dyDescent="0.25">
      <c r="A5573" s="84" t="s">
        <v>15</v>
      </c>
      <c r="B5573" s="2">
        <v>44125</v>
      </c>
      <c r="C5573" s="1">
        <v>255</v>
      </c>
      <c r="D5573" s="47">
        <f t="shared" si="507"/>
        <v>12296</v>
      </c>
      <c r="E5573" s="1">
        <f>2+2</f>
        <v>4</v>
      </c>
      <c r="F5573" s="78">
        <f t="shared" si="506"/>
        <v>382</v>
      </c>
    </row>
    <row r="5574" spans="1:6" x14ac:dyDescent="0.25">
      <c r="A5574" s="84" t="s">
        <v>29</v>
      </c>
      <c r="B5574" s="2">
        <v>44125</v>
      </c>
      <c r="C5574" s="1">
        <v>531</v>
      </c>
      <c r="D5574" s="47">
        <f t="shared" si="507"/>
        <v>10258</v>
      </c>
      <c r="E5574" s="1">
        <f>2</f>
        <v>2</v>
      </c>
      <c r="F5574" s="78">
        <f t="shared" si="506"/>
        <v>194</v>
      </c>
    </row>
    <row r="5575" spans="1:6" x14ac:dyDescent="0.25">
      <c r="A5575" s="84" t="s">
        <v>20</v>
      </c>
      <c r="B5575" s="2">
        <v>44125</v>
      </c>
      <c r="C5575" s="1">
        <v>2480</v>
      </c>
      <c r="D5575" s="47">
        <f t="shared" si="507"/>
        <v>68767</v>
      </c>
      <c r="E5575" s="1">
        <f>29+26</f>
        <v>55</v>
      </c>
      <c r="F5575" s="78">
        <f t="shared" si="506"/>
        <v>978</v>
      </c>
    </row>
    <row r="5576" spans="1:6" x14ac:dyDescent="0.25">
      <c r="A5576" s="84" t="s">
        <v>30</v>
      </c>
      <c r="B5576" s="2">
        <v>44125</v>
      </c>
      <c r="C5576" s="1">
        <v>20</v>
      </c>
      <c r="D5576" s="47">
        <f t="shared" si="507"/>
        <v>2154</v>
      </c>
      <c r="F5576" s="78">
        <f t="shared" si="506"/>
        <v>36</v>
      </c>
    </row>
    <row r="5577" spans="1:6" x14ac:dyDescent="0.25">
      <c r="A5577" s="84" t="s">
        <v>31</v>
      </c>
      <c r="B5577" s="2">
        <v>44125</v>
      </c>
      <c r="C5577" s="1">
        <v>467</v>
      </c>
      <c r="D5577" s="47">
        <f t="shared" si="507"/>
        <v>12561</v>
      </c>
      <c r="E5577" s="1">
        <f>1+2</f>
        <v>3</v>
      </c>
      <c r="F5577" s="78">
        <f t="shared" si="506"/>
        <v>218</v>
      </c>
    </row>
    <row r="5578" spans="1:6" x14ac:dyDescent="0.25">
      <c r="A5578" s="84" t="s">
        <v>41</v>
      </c>
      <c r="B5578" s="2">
        <v>44125</v>
      </c>
      <c r="C5578" s="1">
        <v>7</v>
      </c>
      <c r="D5578" s="47">
        <f t="shared" si="507"/>
        <v>147</v>
      </c>
      <c r="F5578" s="78">
        <f t="shared" si="506"/>
        <v>1</v>
      </c>
    </row>
    <row r="5579" spans="1:6" x14ac:dyDescent="0.25">
      <c r="A5579" s="84" t="s">
        <v>32</v>
      </c>
      <c r="B5579" s="2">
        <v>44125</v>
      </c>
      <c r="C5579" s="1">
        <v>68</v>
      </c>
      <c r="D5579" s="47">
        <f t="shared" si="507"/>
        <v>17412</v>
      </c>
      <c r="E5579" s="1">
        <f>2+1</f>
        <v>3</v>
      </c>
      <c r="F5579" s="78">
        <f t="shared" si="506"/>
        <v>741</v>
      </c>
    </row>
    <row r="5580" spans="1:6" x14ac:dyDescent="0.25">
      <c r="A5580" s="84" t="s">
        <v>33</v>
      </c>
      <c r="B5580" s="2">
        <v>44125</v>
      </c>
      <c r="C5580" s="1">
        <v>161</v>
      </c>
      <c r="D5580" s="47">
        <f t="shared" si="507"/>
        <v>1969</v>
      </c>
      <c r="E5580" s="1">
        <f>2</f>
        <v>2</v>
      </c>
      <c r="F5580" s="78">
        <f t="shared" si="506"/>
        <v>20</v>
      </c>
    </row>
    <row r="5581" spans="1:6" x14ac:dyDescent="0.25">
      <c r="A5581" s="84" t="s">
        <v>21</v>
      </c>
      <c r="B5581" s="2">
        <v>44125</v>
      </c>
      <c r="C5581" s="1">
        <v>134</v>
      </c>
      <c r="D5581" s="47">
        <f t="shared" si="507"/>
        <v>6799</v>
      </c>
      <c r="E5581" s="1">
        <f>6</f>
        <v>6</v>
      </c>
      <c r="F5581" s="78">
        <f t="shared" si="506"/>
        <v>234</v>
      </c>
    </row>
    <row r="5582" spans="1:6" x14ac:dyDescent="0.25">
      <c r="A5582" s="84" t="s">
        <v>17</v>
      </c>
      <c r="B5582" s="2">
        <v>44125</v>
      </c>
      <c r="C5582" s="1">
        <v>1155</v>
      </c>
      <c r="D5582" s="47">
        <f t="shared" si="507"/>
        <v>39969</v>
      </c>
      <c r="E5582" s="1">
        <f>14+7</f>
        <v>21</v>
      </c>
      <c r="F5582" s="78">
        <f t="shared" si="506"/>
        <v>655</v>
      </c>
    </row>
    <row r="5583" spans="1:6" x14ac:dyDescent="0.25">
      <c r="A5583" s="84" t="s">
        <v>23</v>
      </c>
      <c r="B5583" s="2">
        <v>44125</v>
      </c>
      <c r="C5583" s="1">
        <v>3</v>
      </c>
      <c r="D5583" s="47">
        <f t="shared" si="507"/>
        <v>198</v>
      </c>
      <c r="F5583" s="78">
        <f t="shared" si="506"/>
        <v>4</v>
      </c>
    </row>
    <row r="5584" spans="1:6" x14ac:dyDescent="0.25">
      <c r="A5584" s="84" t="s">
        <v>19</v>
      </c>
      <c r="B5584" s="2">
        <v>44125</v>
      </c>
      <c r="C5584" s="1">
        <v>976</v>
      </c>
      <c r="D5584" s="47">
        <f t="shared" si="507"/>
        <v>17635</v>
      </c>
      <c r="E5584" s="1">
        <f>21+7</f>
        <v>28</v>
      </c>
      <c r="F5584" s="78">
        <f t="shared" si="506"/>
        <v>317</v>
      </c>
    </row>
    <row r="5585" spans="1:6" x14ac:dyDescent="0.25">
      <c r="A5585" s="84" t="s">
        <v>18</v>
      </c>
      <c r="B5585" s="2">
        <v>44125</v>
      </c>
      <c r="C5585" s="1">
        <v>536</v>
      </c>
      <c r="D5585" s="47">
        <f t="shared" si="507"/>
        <v>20327</v>
      </c>
      <c r="E5585" s="1">
        <f>7+5</f>
        <v>12</v>
      </c>
      <c r="F5585" s="78">
        <f t="shared" si="506"/>
        <v>519</v>
      </c>
    </row>
    <row r="5586" spans="1:6" x14ac:dyDescent="0.25">
      <c r="A5586" s="84" t="s">
        <v>34</v>
      </c>
      <c r="B5586" s="2">
        <v>44125</v>
      </c>
      <c r="C5586" s="1">
        <v>254</v>
      </c>
      <c r="D5586" s="47">
        <f t="shared" si="507"/>
        <v>17167</v>
      </c>
      <c r="E5586" s="1">
        <v>11</v>
      </c>
      <c r="F5586" s="78">
        <f t="shared" si="506"/>
        <v>649</v>
      </c>
    </row>
    <row r="5587" spans="1:6" x14ac:dyDescent="0.25">
      <c r="A5587" s="84" t="s">
        <v>35</v>
      </c>
      <c r="B5587" s="2">
        <v>44125</v>
      </c>
      <c r="C5587" s="1">
        <v>8</v>
      </c>
      <c r="D5587" s="47">
        <f t="shared" si="507"/>
        <v>1315</v>
      </c>
      <c r="F5587" s="78">
        <f t="shared" si="506"/>
        <v>76</v>
      </c>
    </row>
    <row r="5588" spans="1:6" x14ac:dyDescent="0.25">
      <c r="A5588" s="84" t="s">
        <v>36</v>
      </c>
      <c r="B5588" s="2">
        <v>44125</v>
      </c>
      <c r="C5588" s="1">
        <v>507</v>
      </c>
      <c r="D5588" s="47">
        <f t="shared" si="507"/>
        <v>4377</v>
      </c>
      <c r="F5588" s="78">
        <f t="shared" si="506"/>
        <v>51</v>
      </c>
    </row>
    <row r="5589" spans="1:6" x14ac:dyDescent="0.25">
      <c r="A5589" s="84" t="s">
        <v>37</v>
      </c>
      <c r="B5589" s="2">
        <v>44125</v>
      </c>
      <c r="C5589" s="1">
        <v>197</v>
      </c>
      <c r="D5589" s="47">
        <f t="shared" si="507"/>
        <v>7760</v>
      </c>
      <c r="E5589" s="1">
        <f>1</f>
        <v>1</v>
      </c>
      <c r="F5589" s="78">
        <f t="shared" si="506"/>
        <v>103</v>
      </c>
    </row>
    <row r="5590" spans="1:6" x14ac:dyDescent="0.25">
      <c r="A5590" s="84" t="s">
        <v>22</v>
      </c>
      <c r="B5590" s="2">
        <v>44125</v>
      </c>
      <c r="C5590" s="1">
        <v>2673</v>
      </c>
      <c r="D5590" s="47">
        <f t="shared" si="507"/>
        <v>86122</v>
      </c>
      <c r="E5590" s="1">
        <f>29+23</f>
        <v>52</v>
      </c>
      <c r="F5590" s="78">
        <f t="shared" si="506"/>
        <v>969</v>
      </c>
    </row>
    <row r="5591" spans="1:6" x14ac:dyDescent="0.25">
      <c r="A5591" s="84" t="s">
        <v>38</v>
      </c>
      <c r="B5591" s="2">
        <v>44125</v>
      </c>
      <c r="C5591" s="1">
        <v>185</v>
      </c>
      <c r="D5591" s="47">
        <f>C5591+D5567</f>
        <v>7249</v>
      </c>
      <c r="E5591" s="1">
        <f>1</f>
        <v>1</v>
      </c>
      <c r="F5591" s="78">
        <f t="shared" si="506"/>
        <v>104</v>
      </c>
    </row>
    <row r="5592" spans="1:6" x14ac:dyDescent="0.25">
      <c r="A5592" s="84" t="s">
        <v>39</v>
      </c>
      <c r="B5592" s="2">
        <v>44125</v>
      </c>
      <c r="C5592" s="1">
        <v>205</v>
      </c>
      <c r="D5592" s="47">
        <f>C5592+D5568</f>
        <v>8886</v>
      </c>
      <c r="E5592" s="1">
        <f>4</f>
        <v>4</v>
      </c>
      <c r="F5592" s="78">
        <f t="shared" si="506"/>
        <v>107</v>
      </c>
    </row>
    <row r="5593" spans="1:6" ht="15.75" thickBot="1" x14ac:dyDescent="0.3">
      <c r="A5593" s="85" t="s">
        <v>40</v>
      </c>
      <c r="B5593" s="355">
        <v>44125</v>
      </c>
      <c r="C5593" s="54">
        <v>1560</v>
      </c>
      <c r="D5593" s="47">
        <f t="shared" ref="D5593:D5614" si="508">C5593+D5569</f>
        <v>39104</v>
      </c>
      <c r="E5593" s="54">
        <f>38+20</f>
        <v>58</v>
      </c>
      <c r="F5593" s="83">
        <f t="shared" si="506"/>
        <v>546</v>
      </c>
    </row>
    <row r="5594" spans="1:6" ht="15.75" thickBot="1" x14ac:dyDescent="0.3">
      <c r="A5594" s="36" t="s">
        <v>16</v>
      </c>
      <c r="B5594" s="354">
        <v>44126</v>
      </c>
      <c r="C5594" s="53">
        <v>4854</v>
      </c>
      <c r="D5594" s="348">
        <f t="shared" si="508"/>
        <v>517444</v>
      </c>
      <c r="E5594" s="53">
        <v>193</v>
      </c>
      <c r="F5594" s="77">
        <f t="shared" si="506"/>
        <v>16474</v>
      </c>
    </row>
    <row r="5595" spans="1:6" ht="15.75" thickBot="1" x14ac:dyDescent="0.3">
      <c r="A5595" s="84" t="s">
        <v>43</v>
      </c>
      <c r="B5595" s="354">
        <v>44126</v>
      </c>
      <c r="C5595" s="1">
        <v>566</v>
      </c>
      <c r="D5595" s="47">
        <f t="shared" si="508"/>
        <v>142496</v>
      </c>
      <c r="E5595" s="1">
        <f>31+21</f>
        <v>52</v>
      </c>
      <c r="F5595" s="78">
        <f t="shared" si="506"/>
        <v>4385</v>
      </c>
    </row>
    <row r="5596" spans="1:6" ht="15.75" thickBot="1" x14ac:dyDescent="0.3">
      <c r="A5596" s="84" t="s">
        <v>28</v>
      </c>
      <c r="B5596" s="354">
        <v>44126</v>
      </c>
      <c r="C5596" s="1">
        <v>27</v>
      </c>
      <c r="D5596" s="47">
        <f t="shared" si="508"/>
        <v>552</v>
      </c>
      <c r="F5596" s="78">
        <f t="shared" si="506"/>
        <v>0</v>
      </c>
    </row>
    <row r="5597" spans="1:6" ht="15.75" thickBot="1" x14ac:dyDescent="0.3">
      <c r="A5597" s="84" t="s">
        <v>15</v>
      </c>
      <c r="B5597" s="354">
        <v>44126</v>
      </c>
      <c r="C5597" s="1">
        <v>254</v>
      </c>
      <c r="D5597" s="47">
        <f t="shared" si="508"/>
        <v>12550</v>
      </c>
      <c r="E5597" s="1">
        <f>5+2</f>
        <v>7</v>
      </c>
      <c r="F5597" s="78">
        <f t="shared" si="506"/>
        <v>389</v>
      </c>
    </row>
    <row r="5598" spans="1:6" ht="15.75" thickBot="1" x14ac:dyDescent="0.3">
      <c r="A5598" s="84" t="s">
        <v>29</v>
      </c>
      <c r="B5598" s="354">
        <v>44126</v>
      </c>
      <c r="C5598" s="1">
        <v>670</v>
      </c>
      <c r="D5598" s="47">
        <f t="shared" si="508"/>
        <v>10928</v>
      </c>
      <c r="E5598" s="1">
        <f>2+2</f>
        <v>4</v>
      </c>
      <c r="F5598" s="78">
        <f t="shared" si="506"/>
        <v>198</v>
      </c>
    </row>
    <row r="5599" spans="1:6" ht="15.75" thickBot="1" x14ac:dyDescent="0.3">
      <c r="A5599" s="84" t="s">
        <v>20</v>
      </c>
      <c r="B5599" s="354">
        <v>44126</v>
      </c>
      <c r="C5599" s="1">
        <v>1857</v>
      </c>
      <c r="D5599" s="47">
        <f t="shared" si="508"/>
        <v>70624</v>
      </c>
      <c r="E5599" s="1">
        <f>21+8</f>
        <v>29</v>
      </c>
      <c r="F5599" s="78">
        <f t="shared" si="506"/>
        <v>1007</v>
      </c>
    </row>
    <row r="5600" spans="1:6" ht="15.75" thickBot="1" x14ac:dyDescent="0.3">
      <c r="A5600" s="84" t="s">
        <v>30</v>
      </c>
      <c r="B5600" s="354">
        <v>44126</v>
      </c>
      <c r="C5600" s="1">
        <v>34</v>
      </c>
      <c r="D5600" s="47">
        <f t="shared" si="508"/>
        <v>2188</v>
      </c>
      <c r="F5600" s="78">
        <f t="shared" si="506"/>
        <v>36</v>
      </c>
    </row>
    <row r="5601" spans="1:6" ht="15.75" thickBot="1" x14ac:dyDescent="0.3">
      <c r="A5601" s="84" t="s">
        <v>31</v>
      </c>
      <c r="B5601" s="354">
        <v>44126</v>
      </c>
      <c r="C5601" s="1">
        <v>393</v>
      </c>
      <c r="D5601" s="47">
        <f t="shared" si="508"/>
        <v>12954</v>
      </c>
      <c r="E5601" s="1">
        <f>2+2</f>
        <v>4</v>
      </c>
      <c r="F5601" s="78">
        <f t="shared" si="506"/>
        <v>222</v>
      </c>
    </row>
    <row r="5602" spans="1:6" ht="15.75" thickBot="1" x14ac:dyDescent="0.3">
      <c r="A5602" s="84" t="s">
        <v>41</v>
      </c>
      <c r="B5602" s="354">
        <v>44126</v>
      </c>
      <c r="C5602" s="1">
        <v>-7</v>
      </c>
      <c r="D5602" s="47">
        <f t="shared" si="508"/>
        <v>140</v>
      </c>
      <c r="F5602" s="78">
        <f t="shared" si="506"/>
        <v>1</v>
      </c>
    </row>
    <row r="5603" spans="1:6" ht="15.75" thickBot="1" x14ac:dyDescent="0.3">
      <c r="A5603" s="84" t="s">
        <v>32</v>
      </c>
      <c r="B5603" s="354">
        <v>44126</v>
      </c>
      <c r="C5603" s="1">
        <v>59</v>
      </c>
      <c r="D5603" s="47">
        <f t="shared" si="508"/>
        <v>17471</v>
      </c>
      <c r="E5603" s="1">
        <f>5+1</f>
        <v>6</v>
      </c>
      <c r="F5603" s="78">
        <f t="shared" si="506"/>
        <v>747</v>
      </c>
    </row>
    <row r="5604" spans="1:6" ht="15.75" thickBot="1" x14ac:dyDescent="0.3">
      <c r="A5604" s="84" t="s">
        <v>33</v>
      </c>
      <c r="B5604" s="354">
        <v>44126</v>
      </c>
      <c r="C5604" s="1">
        <v>161</v>
      </c>
      <c r="D5604" s="47">
        <f t="shared" si="508"/>
        <v>2130</v>
      </c>
      <c r="E5604" s="1">
        <f>3</f>
        <v>3</v>
      </c>
      <c r="F5604" s="78">
        <f t="shared" si="506"/>
        <v>23</v>
      </c>
    </row>
    <row r="5605" spans="1:6" ht="15.75" thickBot="1" x14ac:dyDescent="0.3">
      <c r="A5605" s="84" t="s">
        <v>21</v>
      </c>
      <c r="B5605" s="354">
        <v>44126</v>
      </c>
      <c r="C5605" s="1">
        <v>62</v>
      </c>
      <c r="D5605" s="47">
        <f t="shared" si="508"/>
        <v>6861</v>
      </c>
      <c r="F5605" s="78">
        <f t="shared" si="506"/>
        <v>234</v>
      </c>
    </row>
    <row r="5606" spans="1:6" ht="15.75" thickBot="1" x14ac:dyDescent="0.3">
      <c r="A5606" s="84" t="s">
        <v>17</v>
      </c>
      <c r="B5606" s="354">
        <v>44126</v>
      </c>
      <c r="C5606" s="1">
        <v>936</v>
      </c>
      <c r="D5606" s="47">
        <f t="shared" si="508"/>
        <v>40905</v>
      </c>
      <c r="E5606" s="1">
        <f>11+6</f>
        <v>17</v>
      </c>
      <c r="F5606" s="78">
        <f t="shared" si="506"/>
        <v>672</v>
      </c>
    </row>
    <row r="5607" spans="1:6" ht="15.75" thickBot="1" x14ac:dyDescent="0.3">
      <c r="A5607" s="84" t="s">
        <v>23</v>
      </c>
      <c r="B5607" s="354">
        <v>44126</v>
      </c>
      <c r="C5607" s="1">
        <v>9</v>
      </c>
      <c r="D5607" s="47">
        <f t="shared" si="508"/>
        <v>207</v>
      </c>
      <c r="F5607" s="78">
        <f t="shared" si="506"/>
        <v>4</v>
      </c>
    </row>
    <row r="5608" spans="1:6" ht="15.75" thickBot="1" x14ac:dyDescent="0.3">
      <c r="A5608" s="84" t="s">
        <v>19</v>
      </c>
      <c r="B5608" s="354">
        <v>44126</v>
      </c>
      <c r="C5608" s="1">
        <v>567</v>
      </c>
      <c r="D5608" s="47">
        <f t="shared" si="508"/>
        <v>18202</v>
      </c>
      <c r="E5608" s="1">
        <f>1</f>
        <v>1</v>
      </c>
      <c r="F5608" s="78">
        <f t="shared" si="506"/>
        <v>318</v>
      </c>
    </row>
    <row r="5609" spans="1:6" ht="15.75" thickBot="1" x14ac:dyDescent="0.3">
      <c r="A5609" s="84" t="s">
        <v>18</v>
      </c>
      <c r="B5609" s="354">
        <v>44126</v>
      </c>
      <c r="C5609" s="1">
        <v>511</v>
      </c>
      <c r="D5609" s="47">
        <f t="shared" si="508"/>
        <v>20838</v>
      </c>
      <c r="E5609" s="1">
        <f>6+3</f>
        <v>9</v>
      </c>
      <c r="F5609" s="78">
        <f t="shared" si="506"/>
        <v>528</v>
      </c>
    </row>
    <row r="5610" spans="1:6" ht="15.75" thickBot="1" x14ac:dyDescent="0.3">
      <c r="A5610" s="84" t="s">
        <v>34</v>
      </c>
      <c r="B5610" s="354">
        <v>44126</v>
      </c>
      <c r="C5610" s="1">
        <v>287</v>
      </c>
      <c r="D5610" s="47">
        <f t="shared" si="508"/>
        <v>17454</v>
      </c>
      <c r="E5610" s="1">
        <f>14+4</f>
        <v>18</v>
      </c>
      <c r="F5610" s="78">
        <f t="shared" ref="F5610:F5673" si="509">E5610+F5586</f>
        <v>667</v>
      </c>
    </row>
    <row r="5611" spans="1:6" ht="15.75" thickBot="1" x14ac:dyDescent="0.3">
      <c r="A5611" s="84" t="s">
        <v>35</v>
      </c>
      <c r="B5611" s="354">
        <v>44126</v>
      </c>
      <c r="C5611" s="1">
        <v>7</v>
      </c>
      <c r="D5611" s="47">
        <f t="shared" si="508"/>
        <v>1322</v>
      </c>
      <c r="F5611" s="78">
        <f t="shared" si="509"/>
        <v>76</v>
      </c>
    </row>
    <row r="5612" spans="1:6" ht="15.75" thickBot="1" x14ac:dyDescent="0.3">
      <c r="A5612" s="84" t="s">
        <v>36</v>
      </c>
      <c r="B5612" s="354">
        <v>44126</v>
      </c>
      <c r="C5612" s="1">
        <v>369</v>
      </c>
      <c r="D5612" s="47">
        <f t="shared" si="508"/>
        <v>4746</v>
      </c>
      <c r="E5612" s="1">
        <f>1</f>
        <v>1</v>
      </c>
      <c r="F5612" s="78">
        <f t="shared" si="509"/>
        <v>52</v>
      </c>
    </row>
    <row r="5613" spans="1:6" ht="15.75" thickBot="1" x14ac:dyDescent="0.3">
      <c r="A5613" s="84" t="s">
        <v>37</v>
      </c>
      <c r="B5613" s="354">
        <v>44126</v>
      </c>
      <c r="C5613" s="1">
        <v>195</v>
      </c>
      <c r="D5613" s="47">
        <f t="shared" si="508"/>
        <v>7955</v>
      </c>
      <c r="E5613" s="1">
        <f>3+2</f>
        <v>5</v>
      </c>
      <c r="F5613" s="78">
        <f t="shared" si="509"/>
        <v>108</v>
      </c>
    </row>
    <row r="5614" spans="1:6" ht="15.75" thickBot="1" x14ac:dyDescent="0.3">
      <c r="A5614" s="84" t="s">
        <v>22</v>
      </c>
      <c r="B5614" s="354">
        <v>44126</v>
      </c>
      <c r="C5614" s="1">
        <v>2536</v>
      </c>
      <c r="D5614" s="47">
        <f t="shared" si="508"/>
        <v>88658</v>
      </c>
      <c r="E5614" s="1">
        <f>21+17</f>
        <v>38</v>
      </c>
      <c r="F5614" s="78">
        <f t="shared" si="509"/>
        <v>1007</v>
      </c>
    </row>
    <row r="5615" spans="1:6" ht="15.75" thickBot="1" x14ac:dyDescent="0.3">
      <c r="A5615" s="84" t="s">
        <v>38</v>
      </c>
      <c r="B5615" s="354">
        <v>44126</v>
      </c>
      <c r="C5615" s="1">
        <v>247</v>
      </c>
      <c r="D5615" s="47">
        <f>C5615+D5591</f>
        <v>7496</v>
      </c>
      <c r="E5615" s="1">
        <f>2</f>
        <v>2</v>
      </c>
      <c r="F5615" s="78">
        <f t="shared" si="509"/>
        <v>106</v>
      </c>
    </row>
    <row r="5616" spans="1:6" ht="15.75" thickBot="1" x14ac:dyDescent="0.3">
      <c r="A5616" s="84" t="s">
        <v>39</v>
      </c>
      <c r="B5616" s="354">
        <v>44126</v>
      </c>
      <c r="C5616" s="1">
        <v>254</v>
      </c>
      <c r="D5616" s="47">
        <f>C5616+D5592</f>
        <v>9140</v>
      </c>
      <c r="E5616" s="1">
        <f>4+1</f>
        <v>5</v>
      </c>
      <c r="F5616" s="78">
        <f t="shared" si="509"/>
        <v>112</v>
      </c>
    </row>
    <row r="5617" spans="1:6" ht="15.75" thickBot="1" x14ac:dyDescent="0.3">
      <c r="A5617" s="85" t="s">
        <v>40</v>
      </c>
      <c r="B5617" s="354">
        <v>44126</v>
      </c>
      <c r="C5617" s="54">
        <v>1477</v>
      </c>
      <c r="D5617" s="47">
        <f t="shared" ref="D5617:D5638" si="510">C5617+D5593</f>
        <v>40581</v>
      </c>
      <c r="E5617" s="54">
        <f>26+15</f>
        <v>41</v>
      </c>
      <c r="F5617" s="83">
        <f t="shared" si="509"/>
        <v>587</v>
      </c>
    </row>
    <row r="5618" spans="1:6" ht="15.75" thickBot="1" x14ac:dyDescent="0.3">
      <c r="A5618" s="36" t="s">
        <v>16</v>
      </c>
      <c r="B5618" s="354">
        <v>44127</v>
      </c>
      <c r="C5618" s="1">
        <v>4649</v>
      </c>
      <c r="D5618" s="348">
        <f t="shared" si="510"/>
        <v>522093</v>
      </c>
      <c r="E5618" s="1">
        <f>83+56</f>
        <v>139</v>
      </c>
      <c r="F5618" s="77">
        <f t="shared" si="509"/>
        <v>16613</v>
      </c>
    </row>
    <row r="5619" spans="1:6" ht="15.75" thickBot="1" x14ac:dyDescent="0.3">
      <c r="A5619" s="84" t="s">
        <v>43</v>
      </c>
      <c r="B5619" s="354">
        <v>44127</v>
      </c>
      <c r="C5619" s="1">
        <v>585</v>
      </c>
      <c r="D5619" s="47">
        <f t="shared" si="510"/>
        <v>143081</v>
      </c>
      <c r="E5619" s="1">
        <f>1+28+24</f>
        <v>53</v>
      </c>
      <c r="F5619" s="78">
        <f t="shared" si="509"/>
        <v>4438</v>
      </c>
    </row>
    <row r="5620" spans="1:6" ht="15.75" thickBot="1" x14ac:dyDescent="0.3">
      <c r="A5620" s="84" t="s">
        <v>28</v>
      </c>
      <c r="B5620" s="354">
        <v>44127</v>
      </c>
      <c r="C5620" s="1">
        <v>11</v>
      </c>
      <c r="D5620" s="47">
        <f t="shared" si="510"/>
        <v>563</v>
      </c>
      <c r="F5620" s="78">
        <f t="shared" si="509"/>
        <v>0</v>
      </c>
    </row>
    <row r="5621" spans="1:6" ht="15.75" thickBot="1" x14ac:dyDescent="0.3">
      <c r="A5621" s="84" t="s">
        <v>15</v>
      </c>
      <c r="B5621" s="354">
        <v>44127</v>
      </c>
      <c r="C5621" s="1">
        <v>231</v>
      </c>
      <c r="D5621" s="47">
        <f t="shared" si="510"/>
        <v>12781</v>
      </c>
      <c r="E5621" s="1">
        <f>4+1</f>
        <v>5</v>
      </c>
      <c r="F5621" s="78">
        <f t="shared" si="509"/>
        <v>394</v>
      </c>
    </row>
    <row r="5622" spans="1:6" ht="15.75" thickBot="1" x14ac:dyDescent="0.3">
      <c r="A5622" s="84" t="s">
        <v>29</v>
      </c>
      <c r="B5622" s="354">
        <v>44127</v>
      </c>
      <c r="C5622" s="1">
        <v>673</v>
      </c>
      <c r="D5622" s="47">
        <f t="shared" si="510"/>
        <v>11601</v>
      </c>
      <c r="E5622" s="1">
        <f>5+3</f>
        <v>8</v>
      </c>
      <c r="F5622" s="78">
        <f t="shared" si="509"/>
        <v>206</v>
      </c>
    </row>
    <row r="5623" spans="1:6" ht="15.75" thickBot="1" x14ac:dyDescent="0.3">
      <c r="A5623" s="84" t="s">
        <v>20</v>
      </c>
      <c r="B5623" s="354">
        <v>44127</v>
      </c>
      <c r="C5623" s="1">
        <v>2134</v>
      </c>
      <c r="D5623" s="47">
        <f t="shared" si="510"/>
        <v>72758</v>
      </c>
      <c r="E5623" s="1">
        <f>26+13</f>
        <v>39</v>
      </c>
      <c r="F5623" s="78">
        <f t="shared" si="509"/>
        <v>1046</v>
      </c>
    </row>
    <row r="5624" spans="1:6" ht="15.75" thickBot="1" x14ac:dyDescent="0.3">
      <c r="A5624" s="84" t="s">
        <v>30</v>
      </c>
      <c r="B5624" s="354">
        <v>44127</v>
      </c>
      <c r="C5624" s="1">
        <v>12</v>
      </c>
      <c r="D5624" s="47">
        <f t="shared" si="510"/>
        <v>2200</v>
      </c>
      <c r="E5624" s="1">
        <f>2+2</f>
        <v>4</v>
      </c>
      <c r="F5624" s="78">
        <f t="shared" si="509"/>
        <v>40</v>
      </c>
    </row>
    <row r="5625" spans="1:6" ht="15.75" thickBot="1" x14ac:dyDescent="0.3">
      <c r="A5625" s="84" t="s">
        <v>31</v>
      </c>
      <c r="B5625" s="354">
        <v>44127</v>
      </c>
      <c r="C5625" s="1">
        <v>475</v>
      </c>
      <c r="D5625" s="47">
        <f t="shared" si="510"/>
        <v>13429</v>
      </c>
      <c r="E5625" s="1">
        <f>3+2</f>
        <v>5</v>
      </c>
      <c r="F5625" s="78">
        <f t="shared" si="509"/>
        <v>227</v>
      </c>
    </row>
    <row r="5626" spans="1:6" ht="15.75" thickBot="1" x14ac:dyDescent="0.3">
      <c r="A5626" s="84" t="s">
        <v>41</v>
      </c>
      <c r="B5626" s="354">
        <v>44127</v>
      </c>
      <c r="C5626" s="1">
        <v>2</v>
      </c>
      <c r="D5626" s="47">
        <f t="shared" si="510"/>
        <v>142</v>
      </c>
      <c r="F5626" s="78">
        <f t="shared" si="509"/>
        <v>1</v>
      </c>
    </row>
    <row r="5627" spans="1:6" ht="15.75" thickBot="1" x14ac:dyDescent="0.3">
      <c r="A5627" s="84" t="s">
        <v>32</v>
      </c>
      <c r="B5627" s="354">
        <v>44127</v>
      </c>
      <c r="C5627" s="1">
        <v>46</v>
      </c>
      <c r="D5627" s="47">
        <f t="shared" si="510"/>
        <v>17517</v>
      </c>
      <c r="E5627" s="1">
        <f>15+6</f>
        <v>21</v>
      </c>
      <c r="F5627" s="78">
        <f t="shared" si="509"/>
        <v>768</v>
      </c>
    </row>
    <row r="5628" spans="1:6" ht="15.75" thickBot="1" x14ac:dyDescent="0.3">
      <c r="A5628" s="84" t="s">
        <v>33</v>
      </c>
      <c r="B5628" s="354">
        <v>44127</v>
      </c>
      <c r="C5628" s="1">
        <v>129</v>
      </c>
      <c r="D5628" s="47">
        <f t="shared" si="510"/>
        <v>2259</v>
      </c>
      <c r="E5628" s="1">
        <f>2</f>
        <v>2</v>
      </c>
      <c r="F5628" s="78">
        <f t="shared" si="509"/>
        <v>25</v>
      </c>
    </row>
    <row r="5629" spans="1:6" ht="15.75" thickBot="1" x14ac:dyDescent="0.3">
      <c r="A5629" s="84" t="s">
        <v>21</v>
      </c>
      <c r="B5629" s="354">
        <v>44127</v>
      </c>
      <c r="C5629" s="1">
        <v>109</v>
      </c>
      <c r="D5629" s="47">
        <f t="shared" si="510"/>
        <v>6970</v>
      </c>
      <c r="E5629" s="1">
        <f>5</f>
        <v>5</v>
      </c>
      <c r="F5629" s="78">
        <f t="shared" si="509"/>
        <v>239</v>
      </c>
    </row>
    <row r="5630" spans="1:6" ht="15.75" thickBot="1" x14ac:dyDescent="0.3">
      <c r="A5630" s="84" t="s">
        <v>17</v>
      </c>
      <c r="B5630" s="354">
        <v>44127</v>
      </c>
      <c r="C5630" s="1">
        <v>830</v>
      </c>
      <c r="D5630" s="47">
        <f t="shared" si="510"/>
        <v>41735</v>
      </c>
      <c r="E5630" s="1">
        <f>7+4</f>
        <v>11</v>
      </c>
      <c r="F5630" s="78">
        <f t="shared" si="509"/>
        <v>683</v>
      </c>
    </row>
    <row r="5631" spans="1:6" ht="15.75" thickBot="1" x14ac:dyDescent="0.3">
      <c r="A5631" s="84" t="s">
        <v>23</v>
      </c>
      <c r="B5631" s="354">
        <v>44127</v>
      </c>
      <c r="C5631" s="1">
        <v>2</v>
      </c>
      <c r="D5631" s="47">
        <f t="shared" si="510"/>
        <v>209</v>
      </c>
      <c r="F5631" s="78">
        <f t="shared" si="509"/>
        <v>4</v>
      </c>
    </row>
    <row r="5632" spans="1:6" ht="15.75" thickBot="1" x14ac:dyDescent="0.3">
      <c r="A5632" s="84" t="s">
        <v>19</v>
      </c>
      <c r="B5632" s="354">
        <v>44127</v>
      </c>
      <c r="C5632" s="1">
        <v>411</v>
      </c>
      <c r="D5632" s="47">
        <f t="shared" si="510"/>
        <v>18613</v>
      </c>
      <c r="E5632" s="1">
        <v>16</v>
      </c>
      <c r="F5632" s="78">
        <f t="shared" si="509"/>
        <v>334</v>
      </c>
    </row>
    <row r="5633" spans="1:6" ht="15.75" thickBot="1" x14ac:dyDescent="0.3">
      <c r="A5633" s="84" t="s">
        <v>18</v>
      </c>
      <c r="B5633" s="354">
        <v>44127</v>
      </c>
      <c r="C5633" s="1">
        <v>417</v>
      </c>
      <c r="D5633" s="47">
        <f t="shared" si="510"/>
        <v>21255</v>
      </c>
      <c r="E5633" s="1">
        <f>4+7</f>
        <v>11</v>
      </c>
      <c r="F5633" s="78">
        <f t="shared" si="509"/>
        <v>539</v>
      </c>
    </row>
    <row r="5634" spans="1:6" ht="15.75" thickBot="1" x14ac:dyDescent="0.3">
      <c r="A5634" s="84" t="s">
        <v>34</v>
      </c>
      <c r="B5634" s="354">
        <v>44127</v>
      </c>
      <c r="C5634" s="1">
        <v>238</v>
      </c>
      <c r="D5634" s="47">
        <f t="shared" si="510"/>
        <v>17692</v>
      </c>
      <c r="E5634" s="1">
        <v>12</v>
      </c>
      <c r="F5634" s="78">
        <f t="shared" si="509"/>
        <v>679</v>
      </c>
    </row>
    <row r="5635" spans="1:6" ht="15.75" thickBot="1" x14ac:dyDescent="0.3">
      <c r="A5635" s="84" t="s">
        <v>35</v>
      </c>
      <c r="B5635" s="354">
        <v>44127</v>
      </c>
      <c r="C5635" s="1">
        <v>52</v>
      </c>
      <c r="D5635" s="47">
        <f t="shared" si="510"/>
        <v>1374</v>
      </c>
      <c r="F5635" s="78">
        <f t="shared" si="509"/>
        <v>76</v>
      </c>
    </row>
    <row r="5636" spans="1:6" ht="15.75" thickBot="1" x14ac:dyDescent="0.3">
      <c r="A5636" s="84" t="s">
        <v>36</v>
      </c>
      <c r="B5636" s="354">
        <v>44127</v>
      </c>
      <c r="C5636" s="1">
        <v>316</v>
      </c>
      <c r="D5636" s="47">
        <f t="shared" si="510"/>
        <v>5062</v>
      </c>
      <c r="F5636" s="78">
        <f t="shared" si="509"/>
        <v>52</v>
      </c>
    </row>
    <row r="5637" spans="1:6" ht="15.75" thickBot="1" x14ac:dyDescent="0.3">
      <c r="A5637" s="84" t="s">
        <v>37</v>
      </c>
      <c r="B5637" s="354">
        <v>44127</v>
      </c>
      <c r="C5637" s="1">
        <v>200</v>
      </c>
      <c r="D5637" s="47">
        <f t="shared" si="510"/>
        <v>8155</v>
      </c>
      <c r="E5637" s="1">
        <f>4+1</f>
        <v>5</v>
      </c>
      <c r="F5637" s="78">
        <f t="shared" si="509"/>
        <v>113</v>
      </c>
    </row>
    <row r="5638" spans="1:6" ht="15.75" thickBot="1" x14ac:dyDescent="0.3">
      <c r="A5638" s="84" t="s">
        <v>22</v>
      </c>
      <c r="B5638" s="354">
        <v>44127</v>
      </c>
      <c r="C5638" s="1">
        <v>2517</v>
      </c>
      <c r="D5638" s="47">
        <f t="shared" si="510"/>
        <v>91175</v>
      </c>
      <c r="E5638" s="1">
        <f>16+11</f>
        <v>27</v>
      </c>
      <c r="F5638" s="78">
        <f t="shared" si="509"/>
        <v>1034</v>
      </c>
    </row>
    <row r="5639" spans="1:6" ht="15.75" thickBot="1" x14ac:dyDescent="0.3">
      <c r="A5639" s="84" t="s">
        <v>38</v>
      </c>
      <c r="B5639" s="354">
        <v>44127</v>
      </c>
      <c r="C5639" s="1">
        <v>316</v>
      </c>
      <c r="D5639" s="47">
        <f>C5639+D5615</f>
        <v>7812</v>
      </c>
      <c r="F5639" s="78">
        <f t="shared" si="509"/>
        <v>106</v>
      </c>
    </row>
    <row r="5640" spans="1:6" ht="15.75" thickBot="1" x14ac:dyDescent="0.3">
      <c r="A5640" s="84" t="s">
        <v>39</v>
      </c>
      <c r="B5640" s="354">
        <v>44127</v>
      </c>
      <c r="C5640" s="1">
        <v>331</v>
      </c>
      <c r="D5640" s="47">
        <f>C5640+D5616</f>
        <v>9471</v>
      </c>
      <c r="E5640" s="1">
        <f>3+4</f>
        <v>7</v>
      </c>
      <c r="F5640" s="78">
        <f t="shared" si="509"/>
        <v>119</v>
      </c>
    </row>
    <row r="5641" spans="1:6" ht="15.75" thickBot="1" x14ac:dyDescent="0.3">
      <c r="A5641" s="85" t="s">
        <v>40</v>
      </c>
      <c r="B5641" s="354">
        <v>44127</v>
      </c>
      <c r="C5641" s="1">
        <v>1032</v>
      </c>
      <c r="D5641" s="47">
        <f t="shared" ref="D5641:D5662" si="511">C5641+D5617</f>
        <v>41613</v>
      </c>
      <c r="E5641" s="1">
        <f>4+6</f>
        <v>10</v>
      </c>
      <c r="F5641" s="83">
        <f t="shared" si="509"/>
        <v>597</v>
      </c>
    </row>
    <row r="5642" spans="1:6" ht="15.75" thickBot="1" x14ac:dyDescent="0.3">
      <c r="A5642" s="36" t="s">
        <v>16</v>
      </c>
      <c r="B5642" s="354">
        <v>44128</v>
      </c>
      <c r="C5642" s="1">
        <v>3030</v>
      </c>
      <c r="D5642" s="348">
        <f t="shared" si="511"/>
        <v>525123</v>
      </c>
      <c r="E5642" s="1">
        <f>55+41</f>
        <v>96</v>
      </c>
      <c r="F5642" s="77">
        <f t="shared" si="509"/>
        <v>16709</v>
      </c>
    </row>
    <row r="5643" spans="1:6" ht="15.75" thickBot="1" x14ac:dyDescent="0.3">
      <c r="A5643" s="84" t="s">
        <v>43</v>
      </c>
      <c r="B5643" s="354">
        <v>44128</v>
      </c>
      <c r="C5643" s="1">
        <v>464</v>
      </c>
      <c r="D5643" s="47">
        <f t="shared" si="511"/>
        <v>143545</v>
      </c>
      <c r="E5643" s="1">
        <f>1+17+23</f>
        <v>41</v>
      </c>
      <c r="F5643" s="78">
        <f t="shared" si="509"/>
        <v>4479</v>
      </c>
    </row>
    <row r="5644" spans="1:6" ht="15.75" thickBot="1" x14ac:dyDescent="0.3">
      <c r="A5644" s="84" t="s">
        <v>28</v>
      </c>
      <c r="B5644" s="354">
        <v>44128</v>
      </c>
      <c r="C5644" s="1">
        <v>33</v>
      </c>
      <c r="D5644" s="47">
        <f t="shared" si="511"/>
        <v>596</v>
      </c>
      <c r="F5644" s="78">
        <f t="shared" si="509"/>
        <v>0</v>
      </c>
    </row>
    <row r="5645" spans="1:6" ht="15.75" thickBot="1" x14ac:dyDescent="0.3">
      <c r="A5645" s="84" t="s">
        <v>15</v>
      </c>
      <c r="B5645" s="354">
        <v>44128</v>
      </c>
      <c r="C5645" s="1">
        <v>147</v>
      </c>
      <c r="D5645" s="47">
        <f t="shared" si="511"/>
        <v>12928</v>
      </c>
      <c r="E5645" s="1">
        <f>5+1</f>
        <v>6</v>
      </c>
      <c r="F5645" s="78">
        <f t="shared" si="509"/>
        <v>400</v>
      </c>
    </row>
    <row r="5646" spans="1:6" ht="15.75" thickBot="1" x14ac:dyDescent="0.3">
      <c r="A5646" s="84" t="s">
        <v>29</v>
      </c>
      <c r="B5646" s="354">
        <v>44128</v>
      </c>
      <c r="C5646" s="1">
        <v>351</v>
      </c>
      <c r="D5646" s="47">
        <f t="shared" si="511"/>
        <v>11952</v>
      </c>
      <c r="E5646" s="1">
        <f>3+2</f>
        <v>5</v>
      </c>
      <c r="F5646" s="78">
        <f t="shared" si="509"/>
        <v>211</v>
      </c>
    </row>
    <row r="5647" spans="1:6" ht="15.75" thickBot="1" x14ac:dyDescent="0.3">
      <c r="A5647" s="84" t="s">
        <v>20</v>
      </c>
      <c r="B5647" s="354">
        <v>44128</v>
      </c>
      <c r="C5647" s="1">
        <v>1847</v>
      </c>
      <c r="D5647" s="47">
        <f t="shared" si="511"/>
        <v>74605</v>
      </c>
      <c r="E5647" s="1">
        <f>17+13</f>
        <v>30</v>
      </c>
      <c r="F5647" s="78">
        <f t="shared" si="509"/>
        <v>1076</v>
      </c>
    </row>
    <row r="5648" spans="1:6" ht="15.75" thickBot="1" x14ac:dyDescent="0.3">
      <c r="A5648" s="84" t="s">
        <v>30</v>
      </c>
      <c r="B5648" s="354">
        <v>44128</v>
      </c>
      <c r="C5648" s="1">
        <v>45</v>
      </c>
      <c r="D5648" s="47">
        <f t="shared" si="511"/>
        <v>2245</v>
      </c>
      <c r="F5648" s="78">
        <f t="shared" si="509"/>
        <v>40</v>
      </c>
    </row>
    <row r="5649" spans="1:6" ht="15.75" thickBot="1" x14ac:dyDescent="0.3">
      <c r="A5649" s="84" t="s">
        <v>31</v>
      </c>
      <c r="B5649" s="354">
        <v>44128</v>
      </c>
      <c r="C5649" s="1">
        <v>309</v>
      </c>
      <c r="D5649" s="47">
        <f t="shared" si="511"/>
        <v>13738</v>
      </c>
      <c r="E5649" s="1">
        <f>1+1</f>
        <v>2</v>
      </c>
      <c r="F5649" s="78">
        <f t="shared" si="509"/>
        <v>229</v>
      </c>
    </row>
    <row r="5650" spans="1:6" ht="15.75" thickBot="1" x14ac:dyDescent="0.3">
      <c r="A5650" s="84" t="s">
        <v>41</v>
      </c>
      <c r="B5650" s="354">
        <v>44128</v>
      </c>
      <c r="C5650" s="1">
        <v>0</v>
      </c>
      <c r="D5650" s="47">
        <f t="shared" si="511"/>
        <v>142</v>
      </c>
      <c r="F5650" s="78">
        <f t="shared" si="509"/>
        <v>1</v>
      </c>
    </row>
    <row r="5651" spans="1:6" ht="15.75" thickBot="1" x14ac:dyDescent="0.3">
      <c r="A5651" s="84" t="s">
        <v>32</v>
      </c>
      <c r="B5651" s="354">
        <v>44128</v>
      </c>
      <c r="C5651" s="1">
        <v>62</v>
      </c>
      <c r="D5651" s="47">
        <f t="shared" si="511"/>
        <v>17579</v>
      </c>
      <c r="E5651" s="1">
        <f>3+1</f>
        <v>4</v>
      </c>
      <c r="F5651" s="78">
        <f t="shared" si="509"/>
        <v>772</v>
      </c>
    </row>
    <row r="5652" spans="1:6" ht="15.75" thickBot="1" x14ac:dyDescent="0.3">
      <c r="A5652" s="84" t="s">
        <v>33</v>
      </c>
      <c r="B5652" s="354">
        <v>44128</v>
      </c>
      <c r="C5652" s="1">
        <v>77</v>
      </c>
      <c r="D5652" s="47">
        <f t="shared" si="511"/>
        <v>2336</v>
      </c>
      <c r="F5652" s="78">
        <f t="shared" si="509"/>
        <v>25</v>
      </c>
    </row>
    <row r="5653" spans="1:6" ht="15.75" thickBot="1" x14ac:dyDescent="0.3">
      <c r="A5653" s="84" t="s">
        <v>21</v>
      </c>
      <c r="B5653" s="354">
        <v>44128</v>
      </c>
      <c r="C5653" s="1">
        <v>46</v>
      </c>
      <c r="D5653" s="47">
        <f t="shared" si="511"/>
        <v>7016</v>
      </c>
      <c r="F5653" s="78">
        <f t="shared" si="509"/>
        <v>239</v>
      </c>
    </row>
    <row r="5654" spans="1:6" ht="15.75" thickBot="1" x14ac:dyDescent="0.3">
      <c r="A5654" s="84" t="s">
        <v>17</v>
      </c>
      <c r="B5654" s="354">
        <v>44128</v>
      </c>
      <c r="C5654" s="1">
        <v>653</v>
      </c>
      <c r="D5654" s="47">
        <f t="shared" si="511"/>
        <v>42388</v>
      </c>
      <c r="E5654" s="1">
        <f>2+4</f>
        <v>6</v>
      </c>
      <c r="F5654" s="78">
        <f t="shared" si="509"/>
        <v>689</v>
      </c>
    </row>
    <row r="5655" spans="1:6" ht="15.75" thickBot="1" x14ac:dyDescent="0.3">
      <c r="A5655" s="84" t="s">
        <v>23</v>
      </c>
      <c r="B5655" s="354">
        <v>44128</v>
      </c>
      <c r="C5655" s="1">
        <v>3</v>
      </c>
      <c r="D5655" s="47">
        <f t="shared" si="511"/>
        <v>212</v>
      </c>
      <c r="E5655" s="1">
        <f>1</f>
        <v>1</v>
      </c>
      <c r="F5655" s="78">
        <f t="shared" si="509"/>
        <v>5</v>
      </c>
    </row>
    <row r="5656" spans="1:6" ht="15.75" thickBot="1" x14ac:dyDescent="0.3">
      <c r="A5656" s="84" t="s">
        <v>19</v>
      </c>
      <c r="B5656" s="354">
        <v>44128</v>
      </c>
      <c r="C5656" s="1">
        <v>534</v>
      </c>
      <c r="D5656" s="47">
        <f t="shared" si="511"/>
        <v>19147</v>
      </c>
      <c r="F5656" s="78">
        <f t="shared" si="509"/>
        <v>334</v>
      </c>
    </row>
    <row r="5657" spans="1:6" ht="15.75" thickBot="1" x14ac:dyDescent="0.3">
      <c r="A5657" s="84" t="s">
        <v>18</v>
      </c>
      <c r="B5657" s="354">
        <v>44128</v>
      </c>
      <c r="C5657" s="1">
        <v>267</v>
      </c>
      <c r="D5657" s="47">
        <f t="shared" si="511"/>
        <v>21522</v>
      </c>
      <c r="E5657" s="1">
        <f>4+6</f>
        <v>10</v>
      </c>
      <c r="F5657" s="78">
        <f t="shared" si="509"/>
        <v>549</v>
      </c>
    </row>
    <row r="5658" spans="1:6" ht="15.75" thickBot="1" x14ac:dyDescent="0.3">
      <c r="A5658" s="84" t="s">
        <v>34</v>
      </c>
      <c r="B5658" s="354">
        <v>44128</v>
      </c>
      <c r="C5658" s="1">
        <v>193</v>
      </c>
      <c r="D5658" s="47">
        <f t="shared" si="511"/>
        <v>17885</v>
      </c>
      <c r="E5658" s="1">
        <v>3</v>
      </c>
      <c r="F5658" s="78">
        <f t="shared" si="509"/>
        <v>682</v>
      </c>
    </row>
    <row r="5659" spans="1:6" ht="15.75" thickBot="1" x14ac:dyDescent="0.3">
      <c r="A5659" s="84" t="s">
        <v>35</v>
      </c>
      <c r="B5659" s="354">
        <v>44128</v>
      </c>
      <c r="C5659" s="1">
        <v>6</v>
      </c>
      <c r="D5659" s="47">
        <f t="shared" si="511"/>
        <v>1380</v>
      </c>
      <c r="E5659" s="1">
        <f>1</f>
        <v>1</v>
      </c>
      <c r="F5659" s="78">
        <f t="shared" si="509"/>
        <v>77</v>
      </c>
    </row>
    <row r="5660" spans="1:6" ht="15.75" thickBot="1" x14ac:dyDescent="0.3">
      <c r="A5660" s="84" t="s">
        <v>36</v>
      </c>
      <c r="B5660" s="354">
        <v>44128</v>
      </c>
      <c r="C5660" s="1">
        <v>233</v>
      </c>
      <c r="D5660" s="47">
        <f t="shared" si="511"/>
        <v>5295</v>
      </c>
      <c r="F5660" s="78">
        <f t="shared" si="509"/>
        <v>52</v>
      </c>
    </row>
    <row r="5661" spans="1:6" ht="15.75" thickBot="1" x14ac:dyDescent="0.3">
      <c r="A5661" s="84" t="s">
        <v>37</v>
      </c>
      <c r="B5661" s="354">
        <v>44128</v>
      </c>
      <c r="C5661" s="1">
        <v>136</v>
      </c>
      <c r="D5661" s="47">
        <f t="shared" si="511"/>
        <v>8291</v>
      </c>
      <c r="F5661" s="78">
        <f t="shared" si="509"/>
        <v>113</v>
      </c>
    </row>
    <row r="5662" spans="1:6" ht="15.75" thickBot="1" x14ac:dyDescent="0.3">
      <c r="A5662" s="84" t="s">
        <v>22</v>
      </c>
      <c r="B5662" s="354">
        <v>44128</v>
      </c>
      <c r="C5662" s="1">
        <v>1927</v>
      </c>
      <c r="D5662" s="47">
        <f t="shared" si="511"/>
        <v>93102</v>
      </c>
      <c r="E5662" s="1">
        <f>7+10</f>
        <v>17</v>
      </c>
      <c r="F5662" s="78">
        <f t="shared" si="509"/>
        <v>1051</v>
      </c>
    </row>
    <row r="5663" spans="1:6" ht="15.75" thickBot="1" x14ac:dyDescent="0.3">
      <c r="A5663" s="84" t="s">
        <v>38</v>
      </c>
      <c r="B5663" s="354">
        <v>44128</v>
      </c>
      <c r="C5663" s="1">
        <v>311</v>
      </c>
      <c r="D5663" s="47">
        <f>C5663+D5639</f>
        <v>8123</v>
      </c>
      <c r="F5663" s="78">
        <f t="shared" si="509"/>
        <v>106</v>
      </c>
    </row>
    <row r="5664" spans="1:6" ht="15.75" thickBot="1" x14ac:dyDescent="0.3">
      <c r="A5664" s="84" t="s">
        <v>39</v>
      </c>
      <c r="B5664" s="354">
        <v>44128</v>
      </c>
      <c r="C5664" s="1">
        <v>338</v>
      </c>
      <c r="D5664" s="47">
        <f>C5664+D5640</f>
        <v>9809</v>
      </c>
      <c r="E5664" s="1">
        <f>6+1</f>
        <v>7</v>
      </c>
      <c r="F5664" s="78">
        <f t="shared" si="509"/>
        <v>126</v>
      </c>
    </row>
    <row r="5665" spans="1:6" ht="15.75" thickBot="1" x14ac:dyDescent="0.3">
      <c r="A5665" s="86" t="s">
        <v>40</v>
      </c>
      <c r="B5665" s="363">
        <v>44128</v>
      </c>
      <c r="C5665" s="300">
        <v>956</v>
      </c>
      <c r="D5665" s="47">
        <f t="shared" ref="D5665:D5686" si="512">C5665+D5641</f>
        <v>42569</v>
      </c>
      <c r="E5665" s="300">
        <f>29+14</f>
        <v>43</v>
      </c>
      <c r="F5665" s="83">
        <f t="shared" si="509"/>
        <v>640</v>
      </c>
    </row>
    <row r="5666" spans="1:6" x14ac:dyDescent="0.25">
      <c r="A5666" s="36" t="s">
        <v>16</v>
      </c>
      <c r="B5666" s="354">
        <v>44129</v>
      </c>
      <c r="C5666" s="53">
        <v>2170</v>
      </c>
      <c r="D5666" s="348">
        <f t="shared" si="512"/>
        <v>527293</v>
      </c>
      <c r="E5666" s="53">
        <f>40+46</f>
        <v>86</v>
      </c>
      <c r="F5666" s="77">
        <f t="shared" si="509"/>
        <v>16795</v>
      </c>
    </row>
    <row r="5667" spans="1:6" x14ac:dyDescent="0.25">
      <c r="A5667" s="84" t="s">
        <v>43</v>
      </c>
      <c r="B5667" s="2">
        <v>44129</v>
      </c>
      <c r="C5667" s="1">
        <v>445</v>
      </c>
      <c r="D5667" s="47">
        <f t="shared" si="512"/>
        <v>143990</v>
      </c>
      <c r="E5667" s="1">
        <f>22+13</f>
        <v>35</v>
      </c>
      <c r="F5667" s="78">
        <f t="shared" si="509"/>
        <v>4514</v>
      </c>
    </row>
    <row r="5668" spans="1:6" x14ac:dyDescent="0.25">
      <c r="A5668" s="84" t="s">
        <v>28</v>
      </c>
      <c r="B5668" s="2">
        <v>44129</v>
      </c>
      <c r="C5668" s="1">
        <v>35</v>
      </c>
      <c r="D5668" s="47">
        <f t="shared" si="512"/>
        <v>631</v>
      </c>
      <c r="F5668" s="78">
        <f t="shared" si="509"/>
        <v>0</v>
      </c>
    </row>
    <row r="5669" spans="1:6" x14ac:dyDescent="0.25">
      <c r="A5669" s="84" t="s">
        <v>15</v>
      </c>
      <c r="B5669" s="2">
        <v>44129</v>
      </c>
      <c r="C5669" s="1">
        <v>162</v>
      </c>
      <c r="D5669" s="47">
        <f t="shared" si="512"/>
        <v>13090</v>
      </c>
      <c r="E5669" s="1">
        <f>4+1</f>
        <v>5</v>
      </c>
      <c r="F5669" s="78">
        <f t="shared" si="509"/>
        <v>405</v>
      </c>
    </row>
    <row r="5670" spans="1:6" x14ac:dyDescent="0.25">
      <c r="A5670" s="84" t="s">
        <v>29</v>
      </c>
      <c r="B5670" s="2">
        <v>44129</v>
      </c>
      <c r="C5670" s="1">
        <v>485</v>
      </c>
      <c r="D5670" s="47">
        <f t="shared" si="512"/>
        <v>12437</v>
      </c>
      <c r="E5670" s="1">
        <f>4+1</f>
        <v>5</v>
      </c>
      <c r="F5670" s="78">
        <f t="shared" si="509"/>
        <v>216</v>
      </c>
    </row>
    <row r="5671" spans="1:6" x14ac:dyDescent="0.25">
      <c r="A5671" s="84" t="s">
        <v>20</v>
      </c>
      <c r="B5671" s="2">
        <v>44129</v>
      </c>
      <c r="C5671" s="1">
        <v>1390</v>
      </c>
      <c r="D5671" s="47">
        <f t="shared" si="512"/>
        <v>75995</v>
      </c>
      <c r="E5671" s="1">
        <f>15+14</f>
        <v>29</v>
      </c>
      <c r="F5671" s="78">
        <f t="shared" si="509"/>
        <v>1105</v>
      </c>
    </row>
    <row r="5672" spans="1:6" x14ac:dyDescent="0.25">
      <c r="A5672" s="84" t="s">
        <v>30</v>
      </c>
      <c r="B5672" s="2">
        <v>44129</v>
      </c>
      <c r="C5672" s="1">
        <v>24</v>
      </c>
      <c r="D5672" s="47">
        <f t="shared" si="512"/>
        <v>2269</v>
      </c>
      <c r="F5672" s="78">
        <f t="shared" si="509"/>
        <v>40</v>
      </c>
    </row>
    <row r="5673" spans="1:6" x14ac:dyDescent="0.25">
      <c r="A5673" s="84" t="s">
        <v>31</v>
      </c>
      <c r="B5673" s="2">
        <v>44129</v>
      </c>
      <c r="C5673" s="1">
        <v>202</v>
      </c>
      <c r="D5673" s="47">
        <f t="shared" si="512"/>
        <v>13940</v>
      </c>
      <c r="E5673" s="1">
        <f>7+4</f>
        <v>11</v>
      </c>
      <c r="F5673" s="78">
        <f t="shared" si="509"/>
        <v>240</v>
      </c>
    </row>
    <row r="5674" spans="1:6" x14ac:dyDescent="0.25">
      <c r="A5674" s="84" t="s">
        <v>41</v>
      </c>
      <c r="B5674" s="2">
        <v>44129</v>
      </c>
      <c r="C5674" s="1">
        <v>1</v>
      </c>
      <c r="D5674" s="47">
        <f t="shared" si="512"/>
        <v>143</v>
      </c>
      <c r="F5674" s="78">
        <f t="shared" ref="F5674:F5737" si="513">E5674+F5650</f>
        <v>1</v>
      </c>
    </row>
    <row r="5675" spans="1:6" x14ac:dyDescent="0.25">
      <c r="A5675" s="84" t="s">
        <v>32</v>
      </c>
      <c r="B5675" s="2">
        <v>44129</v>
      </c>
      <c r="C5675" s="1">
        <v>35</v>
      </c>
      <c r="D5675" s="47">
        <f t="shared" si="512"/>
        <v>17614</v>
      </c>
      <c r="E5675" s="1">
        <f>4</f>
        <v>4</v>
      </c>
      <c r="F5675" s="78">
        <f t="shared" si="513"/>
        <v>776</v>
      </c>
    </row>
    <row r="5676" spans="1:6" x14ac:dyDescent="0.25">
      <c r="A5676" s="84" t="s">
        <v>33</v>
      </c>
      <c r="B5676" s="2">
        <v>44129</v>
      </c>
      <c r="C5676" s="1">
        <v>120</v>
      </c>
      <c r="D5676" s="47">
        <f t="shared" si="512"/>
        <v>2456</v>
      </c>
      <c r="F5676" s="78">
        <f t="shared" si="513"/>
        <v>25</v>
      </c>
    </row>
    <row r="5677" spans="1:6" x14ac:dyDescent="0.25">
      <c r="A5677" s="84" t="s">
        <v>21</v>
      </c>
      <c r="B5677" s="2">
        <v>44129</v>
      </c>
      <c r="C5677" s="1">
        <v>108</v>
      </c>
      <c r="D5677" s="47">
        <f t="shared" si="512"/>
        <v>7124</v>
      </c>
      <c r="F5677" s="78">
        <f t="shared" si="513"/>
        <v>239</v>
      </c>
    </row>
    <row r="5678" spans="1:6" x14ac:dyDescent="0.25">
      <c r="A5678" s="84" t="s">
        <v>17</v>
      </c>
      <c r="B5678" s="2">
        <v>44129</v>
      </c>
      <c r="C5678" s="1">
        <v>561</v>
      </c>
      <c r="D5678" s="47">
        <f t="shared" si="512"/>
        <v>42949</v>
      </c>
      <c r="E5678" s="1">
        <f>11+5</f>
        <v>16</v>
      </c>
      <c r="F5678" s="78">
        <f t="shared" si="513"/>
        <v>705</v>
      </c>
    </row>
    <row r="5679" spans="1:6" x14ac:dyDescent="0.25">
      <c r="A5679" s="84" t="s">
        <v>23</v>
      </c>
      <c r="B5679" s="2">
        <v>44129</v>
      </c>
      <c r="C5679" s="1">
        <v>5</v>
      </c>
      <c r="D5679" s="47">
        <f t="shared" si="512"/>
        <v>217</v>
      </c>
      <c r="F5679" s="78">
        <f t="shared" si="513"/>
        <v>5</v>
      </c>
    </row>
    <row r="5680" spans="1:6" x14ac:dyDescent="0.25">
      <c r="A5680" s="84" t="s">
        <v>19</v>
      </c>
      <c r="B5680" s="2">
        <v>44129</v>
      </c>
      <c r="C5680" s="1">
        <v>236</v>
      </c>
      <c r="D5680" s="47">
        <f t="shared" si="512"/>
        <v>19383</v>
      </c>
      <c r="E5680" s="1">
        <f>10+10</f>
        <v>20</v>
      </c>
      <c r="F5680" s="78">
        <f t="shared" si="513"/>
        <v>354</v>
      </c>
    </row>
    <row r="5681" spans="1:6" x14ac:dyDescent="0.25">
      <c r="A5681" s="84" t="s">
        <v>18</v>
      </c>
      <c r="B5681" s="2">
        <v>44129</v>
      </c>
      <c r="C5681" s="1">
        <v>238</v>
      </c>
      <c r="D5681" s="47">
        <f t="shared" si="512"/>
        <v>21760</v>
      </c>
      <c r="E5681" s="1">
        <f>7+4</f>
        <v>11</v>
      </c>
      <c r="F5681" s="78">
        <f t="shared" si="513"/>
        <v>560</v>
      </c>
    </row>
    <row r="5682" spans="1:6" x14ac:dyDescent="0.25">
      <c r="A5682" s="84" t="s">
        <v>34</v>
      </c>
      <c r="B5682" s="2">
        <v>44129</v>
      </c>
      <c r="C5682" s="1">
        <v>145</v>
      </c>
      <c r="D5682" s="47">
        <f t="shared" si="512"/>
        <v>18030</v>
      </c>
      <c r="E5682" s="1">
        <v>24</v>
      </c>
      <c r="F5682" s="78">
        <f t="shared" si="513"/>
        <v>706</v>
      </c>
    </row>
    <row r="5683" spans="1:6" x14ac:dyDescent="0.25">
      <c r="A5683" s="84" t="s">
        <v>35</v>
      </c>
      <c r="B5683" s="2">
        <v>44129</v>
      </c>
      <c r="C5683" s="1">
        <v>6</v>
      </c>
      <c r="D5683" s="47">
        <f t="shared" si="512"/>
        <v>1386</v>
      </c>
      <c r="F5683" s="78">
        <f t="shared" si="513"/>
        <v>77</v>
      </c>
    </row>
    <row r="5684" spans="1:6" x14ac:dyDescent="0.25">
      <c r="A5684" s="84" t="s">
        <v>36</v>
      </c>
      <c r="B5684" s="2">
        <v>44129</v>
      </c>
      <c r="C5684" s="1">
        <v>188</v>
      </c>
      <c r="D5684" s="47">
        <f t="shared" si="512"/>
        <v>5483</v>
      </c>
      <c r="F5684" s="78">
        <f t="shared" si="513"/>
        <v>52</v>
      </c>
    </row>
    <row r="5685" spans="1:6" x14ac:dyDescent="0.25">
      <c r="A5685" s="84" t="s">
        <v>37</v>
      </c>
      <c r="B5685" s="2">
        <v>44129</v>
      </c>
      <c r="C5685" s="1">
        <v>178</v>
      </c>
      <c r="D5685" s="47">
        <f t="shared" si="512"/>
        <v>8469</v>
      </c>
      <c r="F5685" s="78">
        <f t="shared" si="513"/>
        <v>113</v>
      </c>
    </row>
    <row r="5686" spans="1:6" x14ac:dyDescent="0.25">
      <c r="A5686" s="84" t="s">
        <v>22</v>
      </c>
      <c r="B5686" s="2">
        <v>44129</v>
      </c>
      <c r="C5686" s="1">
        <v>1405</v>
      </c>
      <c r="D5686" s="47">
        <f t="shared" si="512"/>
        <v>94507</v>
      </c>
      <c r="E5686" s="1">
        <f>3+3</f>
        <v>6</v>
      </c>
      <c r="F5686" s="78">
        <f t="shared" si="513"/>
        <v>1057</v>
      </c>
    </row>
    <row r="5687" spans="1:6" x14ac:dyDescent="0.25">
      <c r="A5687" s="84" t="s">
        <v>38</v>
      </c>
      <c r="B5687" s="2">
        <v>44129</v>
      </c>
      <c r="C5687" s="1">
        <v>262</v>
      </c>
      <c r="D5687" s="47">
        <f>C5687+D5663</f>
        <v>8385</v>
      </c>
      <c r="E5687" s="1">
        <f>5+3</f>
        <v>8</v>
      </c>
      <c r="F5687" s="78">
        <f t="shared" si="513"/>
        <v>114</v>
      </c>
    </row>
    <row r="5688" spans="1:6" x14ac:dyDescent="0.25">
      <c r="A5688" s="84" t="s">
        <v>39</v>
      </c>
      <c r="B5688" s="2">
        <v>44129</v>
      </c>
      <c r="C5688" s="1">
        <v>243</v>
      </c>
      <c r="D5688" s="47">
        <f>C5688+D5664</f>
        <v>10052</v>
      </c>
      <c r="E5688" s="1">
        <f>2</f>
        <v>2</v>
      </c>
      <c r="F5688" s="78">
        <f t="shared" si="513"/>
        <v>128</v>
      </c>
    </row>
    <row r="5689" spans="1:6" ht="15.75" thickBot="1" x14ac:dyDescent="0.3">
      <c r="A5689" s="85" t="s">
        <v>40</v>
      </c>
      <c r="B5689" s="355">
        <v>44129</v>
      </c>
      <c r="C5689" s="54">
        <v>609</v>
      </c>
      <c r="D5689" s="47">
        <f t="shared" ref="D5689:D5710" si="514">C5689+D5665</f>
        <v>43178</v>
      </c>
      <c r="E5689" s="54">
        <f>13+7</f>
        <v>20</v>
      </c>
      <c r="F5689" s="83">
        <f t="shared" si="513"/>
        <v>660</v>
      </c>
    </row>
    <row r="5690" spans="1:6" x14ac:dyDescent="0.25">
      <c r="A5690" s="122" t="s">
        <v>16</v>
      </c>
      <c r="B5690" s="356">
        <v>44130</v>
      </c>
      <c r="C5690" s="293">
        <v>3694</v>
      </c>
      <c r="D5690" s="348">
        <f t="shared" si="514"/>
        <v>530987</v>
      </c>
      <c r="E5690" s="293">
        <v>146</v>
      </c>
      <c r="F5690" s="77">
        <f t="shared" si="513"/>
        <v>16941</v>
      </c>
    </row>
    <row r="5691" spans="1:6" x14ac:dyDescent="0.25">
      <c r="A5691" s="84" t="s">
        <v>43</v>
      </c>
      <c r="B5691" s="2">
        <v>44130</v>
      </c>
      <c r="C5691" s="1">
        <v>515</v>
      </c>
      <c r="D5691" s="47">
        <f t="shared" si="514"/>
        <v>144505</v>
      </c>
      <c r="E5691" s="1">
        <v>64</v>
      </c>
      <c r="F5691" s="78">
        <f t="shared" si="513"/>
        <v>4578</v>
      </c>
    </row>
    <row r="5692" spans="1:6" x14ac:dyDescent="0.25">
      <c r="A5692" s="84" t="s">
        <v>28</v>
      </c>
      <c r="B5692" s="2">
        <v>44130</v>
      </c>
      <c r="C5692" s="1">
        <v>7</v>
      </c>
      <c r="D5692" s="47">
        <f t="shared" si="514"/>
        <v>638</v>
      </c>
      <c r="F5692" s="78">
        <f t="shared" si="513"/>
        <v>0</v>
      </c>
    </row>
    <row r="5693" spans="1:6" x14ac:dyDescent="0.25">
      <c r="A5693" s="84" t="s">
        <v>15</v>
      </c>
      <c r="B5693" s="2">
        <v>44130</v>
      </c>
      <c r="C5693" s="1">
        <v>137</v>
      </c>
      <c r="D5693" s="47">
        <f t="shared" si="514"/>
        <v>13227</v>
      </c>
      <c r="E5693" s="1">
        <v>1</v>
      </c>
      <c r="F5693" s="78">
        <f t="shared" si="513"/>
        <v>406</v>
      </c>
    </row>
    <row r="5694" spans="1:6" x14ac:dyDescent="0.25">
      <c r="A5694" s="84" t="s">
        <v>29</v>
      </c>
      <c r="B5694" s="2">
        <v>44130</v>
      </c>
      <c r="C5694" s="1">
        <v>544</v>
      </c>
      <c r="D5694" s="47">
        <f t="shared" si="514"/>
        <v>12981</v>
      </c>
      <c r="E5694" s="1">
        <v>2</v>
      </c>
      <c r="F5694" s="78">
        <f t="shared" si="513"/>
        <v>218</v>
      </c>
    </row>
    <row r="5695" spans="1:6" x14ac:dyDescent="0.25">
      <c r="A5695" s="84" t="s">
        <v>20</v>
      </c>
      <c r="B5695" s="2">
        <v>44130</v>
      </c>
      <c r="C5695" s="1">
        <v>1271</v>
      </c>
      <c r="D5695" s="47">
        <f t="shared" si="514"/>
        <v>77266</v>
      </c>
      <c r="E5695" s="1">
        <v>32</v>
      </c>
      <c r="F5695" s="78">
        <f t="shared" si="513"/>
        <v>1137</v>
      </c>
    </row>
    <row r="5696" spans="1:6" x14ac:dyDescent="0.25">
      <c r="A5696" s="84" t="s">
        <v>30</v>
      </c>
      <c r="B5696" s="2">
        <v>44130</v>
      </c>
      <c r="C5696" s="1">
        <v>114</v>
      </c>
      <c r="D5696" s="47">
        <f t="shared" si="514"/>
        <v>2383</v>
      </c>
      <c r="E5696" s="1">
        <v>3</v>
      </c>
      <c r="F5696" s="78">
        <f t="shared" si="513"/>
        <v>43</v>
      </c>
    </row>
    <row r="5697" spans="1:6" x14ac:dyDescent="0.25">
      <c r="A5697" s="84" t="s">
        <v>31</v>
      </c>
      <c r="B5697" s="2">
        <v>44130</v>
      </c>
      <c r="C5697" s="1">
        <v>352</v>
      </c>
      <c r="D5697" s="47">
        <f t="shared" si="514"/>
        <v>14292</v>
      </c>
      <c r="E5697" s="1">
        <v>11</v>
      </c>
      <c r="F5697" s="78">
        <f t="shared" si="513"/>
        <v>251</v>
      </c>
    </row>
    <row r="5698" spans="1:6" x14ac:dyDescent="0.25">
      <c r="A5698" s="84" t="s">
        <v>41</v>
      </c>
      <c r="B5698" s="2">
        <v>44130</v>
      </c>
      <c r="C5698" s="1">
        <v>2</v>
      </c>
      <c r="D5698" s="47">
        <f t="shared" si="514"/>
        <v>145</v>
      </c>
      <c r="F5698" s="78">
        <f t="shared" si="513"/>
        <v>1</v>
      </c>
    </row>
    <row r="5699" spans="1:6" x14ac:dyDescent="0.25">
      <c r="A5699" s="84" t="s">
        <v>32</v>
      </c>
      <c r="B5699" s="2">
        <v>44130</v>
      </c>
      <c r="C5699" s="1">
        <v>38</v>
      </c>
      <c r="D5699" s="47">
        <f t="shared" si="514"/>
        <v>17652</v>
      </c>
      <c r="E5699" s="1">
        <v>10</v>
      </c>
      <c r="F5699" s="78">
        <f t="shared" si="513"/>
        <v>786</v>
      </c>
    </row>
    <row r="5700" spans="1:6" x14ac:dyDescent="0.25">
      <c r="A5700" s="84" t="s">
        <v>33</v>
      </c>
      <c r="B5700" s="2">
        <v>44130</v>
      </c>
      <c r="C5700" s="1">
        <v>68</v>
      </c>
      <c r="D5700" s="47">
        <f t="shared" si="514"/>
        <v>2524</v>
      </c>
      <c r="F5700" s="78">
        <f t="shared" si="513"/>
        <v>25</v>
      </c>
    </row>
    <row r="5701" spans="1:6" x14ac:dyDescent="0.25">
      <c r="A5701" s="84" t="s">
        <v>21</v>
      </c>
      <c r="B5701" s="2">
        <v>44130</v>
      </c>
      <c r="C5701" s="1">
        <v>49</v>
      </c>
      <c r="D5701" s="47">
        <f t="shared" si="514"/>
        <v>7173</v>
      </c>
      <c r="E5701" s="1">
        <v>13</v>
      </c>
      <c r="F5701" s="78">
        <f t="shared" si="513"/>
        <v>252</v>
      </c>
    </row>
    <row r="5702" spans="1:6" x14ac:dyDescent="0.25">
      <c r="A5702" s="84" t="s">
        <v>17</v>
      </c>
      <c r="B5702" s="2">
        <v>44130</v>
      </c>
      <c r="C5702" s="1">
        <v>652</v>
      </c>
      <c r="D5702" s="47">
        <f t="shared" si="514"/>
        <v>43601</v>
      </c>
      <c r="E5702" s="1">
        <v>11</v>
      </c>
      <c r="F5702" s="78">
        <f t="shared" si="513"/>
        <v>716</v>
      </c>
    </row>
    <row r="5703" spans="1:6" x14ac:dyDescent="0.25">
      <c r="A5703" s="84" t="s">
        <v>23</v>
      </c>
      <c r="B5703" s="2">
        <v>44130</v>
      </c>
      <c r="C5703" s="1">
        <v>12</v>
      </c>
      <c r="D5703" s="47">
        <f t="shared" si="514"/>
        <v>229</v>
      </c>
      <c r="F5703" s="78">
        <f t="shared" si="513"/>
        <v>5</v>
      </c>
    </row>
    <row r="5704" spans="1:6" x14ac:dyDescent="0.25">
      <c r="A5704" s="84" t="s">
        <v>19</v>
      </c>
      <c r="B5704" s="2">
        <v>44130</v>
      </c>
      <c r="C5704" s="1">
        <v>395</v>
      </c>
      <c r="D5704" s="47">
        <f t="shared" si="514"/>
        <v>19778</v>
      </c>
      <c r="E5704" s="1">
        <v>6</v>
      </c>
      <c r="F5704" s="78">
        <f t="shared" si="513"/>
        <v>360</v>
      </c>
    </row>
    <row r="5705" spans="1:6" x14ac:dyDescent="0.25">
      <c r="A5705" s="84" t="s">
        <v>18</v>
      </c>
      <c r="B5705" s="2">
        <v>44130</v>
      </c>
      <c r="C5705" s="1">
        <v>308</v>
      </c>
      <c r="D5705" s="47">
        <f t="shared" si="514"/>
        <v>22068</v>
      </c>
      <c r="E5705" s="1">
        <v>12</v>
      </c>
      <c r="F5705" s="78">
        <f t="shared" si="513"/>
        <v>572</v>
      </c>
    </row>
    <row r="5706" spans="1:6" x14ac:dyDescent="0.25">
      <c r="A5706" s="84" t="s">
        <v>34</v>
      </c>
      <c r="B5706" s="2">
        <v>44130</v>
      </c>
      <c r="C5706" s="1">
        <v>95</v>
      </c>
      <c r="D5706" s="47">
        <f t="shared" si="514"/>
        <v>18125</v>
      </c>
      <c r="E5706" s="1">
        <v>24</v>
      </c>
      <c r="F5706" s="78">
        <f t="shared" si="513"/>
        <v>730</v>
      </c>
    </row>
    <row r="5707" spans="1:6" x14ac:dyDescent="0.25">
      <c r="A5707" s="84" t="s">
        <v>35</v>
      </c>
      <c r="B5707" s="2">
        <v>44130</v>
      </c>
      <c r="C5707" s="1">
        <v>10</v>
      </c>
      <c r="D5707" s="47">
        <f t="shared" si="514"/>
        <v>1396</v>
      </c>
      <c r="F5707" s="78">
        <f t="shared" si="513"/>
        <v>77</v>
      </c>
    </row>
    <row r="5708" spans="1:6" x14ac:dyDescent="0.25">
      <c r="A5708" s="84" t="s">
        <v>36</v>
      </c>
      <c r="B5708" s="2">
        <v>44130</v>
      </c>
      <c r="C5708" s="1">
        <v>136</v>
      </c>
      <c r="D5708" s="47">
        <f t="shared" si="514"/>
        <v>5619</v>
      </c>
      <c r="F5708" s="78">
        <f t="shared" si="513"/>
        <v>52</v>
      </c>
    </row>
    <row r="5709" spans="1:6" x14ac:dyDescent="0.25">
      <c r="A5709" s="84" t="s">
        <v>37</v>
      </c>
      <c r="B5709" s="2">
        <v>44130</v>
      </c>
      <c r="C5709" s="1">
        <v>86</v>
      </c>
      <c r="D5709" s="47">
        <f t="shared" si="514"/>
        <v>8555</v>
      </c>
      <c r="E5709" s="1">
        <v>3</v>
      </c>
      <c r="F5709" s="78">
        <f t="shared" si="513"/>
        <v>116</v>
      </c>
    </row>
    <row r="5710" spans="1:6" x14ac:dyDescent="0.25">
      <c r="A5710" s="84" t="s">
        <v>22</v>
      </c>
      <c r="B5710" s="2">
        <v>44130</v>
      </c>
      <c r="C5710" s="1">
        <v>1733</v>
      </c>
      <c r="D5710" s="47">
        <f t="shared" si="514"/>
        <v>96240</v>
      </c>
      <c r="E5710" s="1">
        <v>37</v>
      </c>
      <c r="F5710" s="78">
        <f t="shared" si="513"/>
        <v>1094</v>
      </c>
    </row>
    <row r="5711" spans="1:6" x14ac:dyDescent="0.25">
      <c r="A5711" s="84" t="s">
        <v>38</v>
      </c>
      <c r="B5711" s="2">
        <v>44130</v>
      </c>
      <c r="C5711" s="1">
        <v>240</v>
      </c>
      <c r="D5711" s="47">
        <f>C5711+D5687</f>
        <v>8625</v>
      </c>
      <c r="E5711" s="1">
        <v>1</v>
      </c>
      <c r="F5711" s="78">
        <f t="shared" si="513"/>
        <v>115</v>
      </c>
    </row>
    <row r="5712" spans="1:6" x14ac:dyDescent="0.25">
      <c r="A5712" s="84" t="s">
        <v>39</v>
      </c>
      <c r="B5712" s="2">
        <v>44130</v>
      </c>
      <c r="C5712" s="1">
        <v>305</v>
      </c>
      <c r="D5712" s="47">
        <f>C5712+D5688</f>
        <v>10357</v>
      </c>
      <c r="E5712" s="1">
        <v>4</v>
      </c>
      <c r="F5712" s="78">
        <f t="shared" si="513"/>
        <v>132</v>
      </c>
    </row>
    <row r="5713" spans="1:6" ht="15.75" thickBot="1" x14ac:dyDescent="0.3">
      <c r="A5713" s="85" t="s">
        <v>40</v>
      </c>
      <c r="B5713" s="355">
        <v>44130</v>
      </c>
      <c r="C5713" s="54">
        <v>949</v>
      </c>
      <c r="D5713" s="47">
        <f t="shared" ref="D5713:D5734" si="515">C5713+D5689</f>
        <v>44127</v>
      </c>
      <c r="E5713" s="54">
        <v>26</v>
      </c>
      <c r="F5713" s="83">
        <f t="shared" si="513"/>
        <v>686</v>
      </c>
    </row>
    <row r="5714" spans="1:6" x14ac:dyDescent="0.25">
      <c r="A5714" s="122" t="s">
        <v>16</v>
      </c>
      <c r="B5714" s="356">
        <v>44131</v>
      </c>
      <c r="C5714" s="293">
        <v>4221</v>
      </c>
      <c r="D5714" s="348">
        <f t="shared" si="515"/>
        <v>535208</v>
      </c>
      <c r="E5714" s="293">
        <v>179</v>
      </c>
      <c r="F5714" s="77">
        <f t="shared" si="513"/>
        <v>17120</v>
      </c>
    </row>
    <row r="5715" spans="1:6" x14ac:dyDescent="0.25">
      <c r="A5715" s="84" t="s">
        <v>43</v>
      </c>
      <c r="B5715" s="356">
        <v>44131</v>
      </c>
      <c r="C5715" s="1">
        <v>598</v>
      </c>
      <c r="D5715" s="47">
        <f t="shared" si="515"/>
        <v>145103</v>
      </c>
      <c r="E5715" s="1">
        <f>30+17+1</f>
        <v>48</v>
      </c>
      <c r="F5715" s="78">
        <f t="shared" si="513"/>
        <v>4626</v>
      </c>
    </row>
    <row r="5716" spans="1:6" x14ac:dyDescent="0.25">
      <c r="A5716" s="84" t="s">
        <v>28</v>
      </c>
      <c r="B5716" s="356">
        <v>44131</v>
      </c>
      <c r="C5716" s="1">
        <v>28</v>
      </c>
      <c r="D5716" s="47">
        <f t="shared" si="515"/>
        <v>666</v>
      </c>
      <c r="F5716" s="78">
        <f t="shared" si="513"/>
        <v>0</v>
      </c>
    </row>
    <row r="5717" spans="1:6" x14ac:dyDescent="0.25">
      <c r="A5717" s="84" t="s">
        <v>15</v>
      </c>
      <c r="B5717" s="356">
        <v>44131</v>
      </c>
      <c r="C5717" s="1">
        <v>167</v>
      </c>
      <c r="D5717" s="47">
        <f t="shared" si="515"/>
        <v>13394</v>
      </c>
      <c r="E5717" s="1">
        <f>4+3</f>
        <v>7</v>
      </c>
      <c r="F5717" s="78">
        <f t="shared" si="513"/>
        <v>413</v>
      </c>
    </row>
    <row r="5718" spans="1:6" x14ac:dyDescent="0.25">
      <c r="A5718" s="84" t="s">
        <v>29</v>
      </c>
      <c r="B5718" s="356">
        <v>44131</v>
      </c>
      <c r="C5718" s="1">
        <v>318</v>
      </c>
      <c r="D5718" s="47">
        <f t="shared" si="515"/>
        <v>13299</v>
      </c>
      <c r="E5718" s="1">
        <f>13+11</f>
        <v>24</v>
      </c>
      <c r="F5718" s="78">
        <f t="shared" si="513"/>
        <v>242</v>
      </c>
    </row>
    <row r="5719" spans="1:6" x14ac:dyDescent="0.25">
      <c r="A5719" s="84" t="s">
        <v>20</v>
      </c>
      <c r="B5719" s="356">
        <v>44131</v>
      </c>
      <c r="C5719" s="1">
        <v>1819</v>
      </c>
      <c r="D5719" s="47">
        <f t="shared" si="515"/>
        <v>79085</v>
      </c>
      <c r="E5719" s="1">
        <f>19+19</f>
        <v>38</v>
      </c>
      <c r="F5719" s="78">
        <f t="shared" si="513"/>
        <v>1175</v>
      </c>
    </row>
    <row r="5720" spans="1:6" x14ac:dyDescent="0.25">
      <c r="A5720" s="84" t="s">
        <v>30</v>
      </c>
      <c r="B5720" s="356">
        <v>44131</v>
      </c>
      <c r="C5720" s="1">
        <v>17</v>
      </c>
      <c r="D5720" s="47">
        <f t="shared" si="515"/>
        <v>2400</v>
      </c>
      <c r="F5720" s="78">
        <f t="shared" si="513"/>
        <v>43</v>
      </c>
    </row>
    <row r="5721" spans="1:6" x14ac:dyDescent="0.25">
      <c r="A5721" s="84" t="s">
        <v>31</v>
      </c>
      <c r="B5721" s="356">
        <v>44131</v>
      </c>
      <c r="C5721" s="1">
        <v>395</v>
      </c>
      <c r="D5721" s="47">
        <f t="shared" si="515"/>
        <v>14687</v>
      </c>
      <c r="E5721" s="1">
        <f>4+2</f>
        <v>6</v>
      </c>
      <c r="F5721" s="78">
        <f t="shared" si="513"/>
        <v>257</v>
      </c>
    </row>
    <row r="5722" spans="1:6" x14ac:dyDescent="0.25">
      <c r="A5722" s="84" t="s">
        <v>41</v>
      </c>
      <c r="B5722" s="356">
        <v>44131</v>
      </c>
      <c r="C5722" s="1">
        <v>3</v>
      </c>
      <c r="D5722" s="47">
        <f t="shared" si="515"/>
        <v>148</v>
      </c>
      <c r="F5722" s="78">
        <f t="shared" si="513"/>
        <v>1</v>
      </c>
    </row>
    <row r="5723" spans="1:6" x14ac:dyDescent="0.25">
      <c r="A5723" s="84" t="s">
        <v>32</v>
      </c>
      <c r="B5723" s="356">
        <v>44131</v>
      </c>
      <c r="C5723" s="1">
        <v>35</v>
      </c>
      <c r="D5723" s="47">
        <f t="shared" si="515"/>
        <v>17687</v>
      </c>
      <c r="E5723" s="1">
        <f>9+2</f>
        <v>11</v>
      </c>
      <c r="F5723" s="78">
        <f t="shared" si="513"/>
        <v>797</v>
      </c>
    </row>
    <row r="5724" spans="1:6" x14ac:dyDescent="0.25">
      <c r="A5724" s="84" t="s">
        <v>33</v>
      </c>
      <c r="B5724" s="356">
        <v>44131</v>
      </c>
      <c r="C5724" s="1">
        <v>144</v>
      </c>
      <c r="D5724" s="47">
        <f t="shared" si="515"/>
        <v>2668</v>
      </c>
      <c r="E5724" s="1">
        <v>4</v>
      </c>
      <c r="F5724" s="78">
        <f t="shared" si="513"/>
        <v>29</v>
      </c>
    </row>
    <row r="5725" spans="1:6" x14ac:dyDescent="0.25">
      <c r="A5725" s="84" t="s">
        <v>21</v>
      </c>
      <c r="B5725" s="356">
        <v>44131</v>
      </c>
      <c r="C5725" s="1">
        <v>123</v>
      </c>
      <c r="D5725" s="47">
        <f t="shared" si="515"/>
        <v>7296</v>
      </c>
      <c r="E5725" s="1">
        <f>5+3</f>
        <v>8</v>
      </c>
      <c r="F5725" s="78">
        <f t="shared" si="513"/>
        <v>260</v>
      </c>
    </row>
    <row r="5726" spans="1:6" x14ac:dyDescent="0.25">
      <c r="A5726" s="84" t="s">
        <v>17</v>
      </c>
      <c r="B5726" s="356">
        <v>44131</v>
      </c>
      <c r="C5726" s="1">
        <v>771</v>
      </c>
      <c r="D5726" s="47">
        <f t="shared" si="515"/>
        <v>44372</v>
      </c>
      <c r="E5726" s="1">
        <f>8+4</f>
        <v>12</v>
      </c>
      <c r="F5726" s="78">
        <f t="shared" si="513"/>
        <v>728</v>
      </c>
    </row>
    <row r="5727" spans="1:6" x14ac:dyDescent="0.25">
      <c r="A5727" s="84" t="s">
        <v>23</v>
      </c>
      <c r="B5727" s="356">
        <v>44131</v>
      </c>
      <c r="C5727" s="1">
        <v>11</v>
      </c>
      <c r="D5727" s="47">
        <f t="shared" si="515"/>
        <v>240</v>
      </c>
      <c r="F5727" s="78">
        <f t="shared" si="513"/>
        <v>5</v>
      </c>
    </row>
    <row r="5728" spans="1:6" x14ac:dyDescent="0.25">
      <c r="A5728" s="84" t="s">
        <v>19</v>
      </c>
      <c r="B5728" s="356">
        <v>44131</v>
      </c>
      <c r="C5728" s="1">
        <v>414</v>
      </c>
      <c r="D5728" s="47">
        <f t="shared" si="515"/>
        <v>20192</v>
      </c>
      <c r="E5728" s="1">
        <f>5+5</f>
        <v>10</v>
      </c>
      <c r="F5728" s="78">
        <f t="shared" si="513"/>
        <v>370</v>
      </c>
    </row>
    <row r="5729" spans="1:6" x14ac:dyDescent="0.25">
      <c r="A5729" s="84" t="s">
        <v>18</v>
      </c>
      <c r="B5729" s="356">
        <v>44131</v>
      </c>
      <c r="C5729" s="1">
        <v>461</v>
      </c>
      <c r="D5729" s="47">
        <f t="shared" si="515"/>
        <v>22529</v>
      </c>
      <c r="E5729" s="1">
        <f>5+4</f>
        <v>9</v>
      </c>
      <c r="F5729" s="78">
        <f t="shared" si="513"/>
        <v>581</v>
      </c>
    </row>
    <row r="5730" spans="1:6" x14ac:dyDescent="0.25">
      <c r="A5730" s="84" t="s">
        <v>34</v>
      </c>
      <c r="B5730" s="356">
        <v>44131</v>
      </c>
      <c r="C5730" s="1">
        <v>156</v>
      </c>
      <c r="D5730" s="47">
        <f t="shared" si="515"/>
        <v>18281</v>
      </c>
      <c r="E5730" s="1">
        <f>5+4</f>
        <v>9</v>
      </c>
      <c r="F5730" s="78">
        <f t="shared" si="513"/>
        <v>739</v>
      </c>
    </row>
    <row r="5731" spans="1:6" x14ac:dyDescent="0.25">
      <c r="A5731" s="84" t="s">
        <v>35</v>
      </c>
      <c r="B5731" s="356">
        <v>44131</v>
      </c>
      <c r="C5731" s="1">
        <v>40</v>
      </c>
      <c r="D5731" s="47">
        <f t="shared" si="515"/>
        <v>1436</v>
      </c>
      <c r="E5731" s="1">
        <f>1</f>
        <v>1</v>
      </c>
      <c r="F5731" s="78">
        <f t="shared" si="513"/>
        <v>78</v>
      </c>
    </row>
    <row r="5732" spans="1:6" x14ac:dyDescent="0.25">
      <c r="A5732" s="84" t="s">
        <v>36</v>
      </c>
      <c r="B5732" s="356">
        <v>44131</v>
      </c>
      <c r="C5732" s="1">
        <v>446</v>
      </c>
      <c r="D5732" s="47">
        <f t="shared" si="515"/>
        <v>6065</v>
      </c>
      <c r="E5732" s="1">
        <f>1</f>
        <v>1</v>
      </c>
      <c r="F5732" s="78">
        <f t="shared" si="513"/>
        <v>53</v>
      </c>
    </row>
    <row r="5733" spans="1:6" x14ac:dyDescent="0.25">
      <c r="A5733" s="84" t="s">
        <v>37</v>
      </c>
      <c r="B5733" s="356">
        <v>44131</v>
      </c>
      <c r="C5733" s="1">
        <v>91</v>
      </c>
      <c r="D5733" s="47">
        <f t="shared" si="515"/>
        <v>8646</v>
      </c>
      <c r="E5733" s="1">
        <f>1</f>
        <v>1</v>
      </c>
      <c r="F5733" s="78">
        <f t="shared" si="513"/>
        <v>117</v>
      </c>
    </row>
    <row r="5734" spans="1:6" x14ac:dyDescent="0.25">
      <c r="A5734" s="84" t="s">
        <v>22</v>
      </c>
      <c r="B5734" s="356">
        <v>44131</v>
      </c>
      <c r="C5734" s="1">
        <v>2235</v>
      </c>
      <c r="D5734" s="47">
        <f t="shared" si="515"/>
        <v>98475</v>
      </c>
      <c r="E5734" s="1">
        <f>19+10</f>
        <v>29</v>
      </c>
      <c r="F5734" s="78">
        <f t="shared" si="513"/>
        <v>1123</v>
      </c>
    </row>
    <row r="5735" spans="1:6" x14ac:dyDescent="0.25">
      <c r="A5735" s="84" t="s">
        <v>38</v>
      </c>
      <c r="B5735" s="356">
        <v>44131</v>
      </c>
      <c r="C5735" s="1">
        <v>144</v>
      </c>
      <c r="D5735" s="47">
        <f>C5735+D5711</f>
        <v>8769</v>
      </c>
      <c r="E5735" s="1">
        <f>1</f>
        <v>1</v>
      </c>
      <c r="F5735" s="78">
        <f t="shared" si="513"/>
        <v>116</v>
      </c>
    </row>
    <row r="5736" spans="1:6" x14ac:dyDescent="0.25">
      <c r="A5736" s="84" t="s">
        <v>39</v>
      </c>
      <c r="B5736" s="356">
        <v>44131</v>
      </c>
      <c r="C5736" s="1">
        <v>231</v>
      </c>
      <c r="D5736" s="47">
        <f>C5736+D5712</f>
        <v>10588</v>
      </c>
      <c r="E5736" s="1">
        <v>5</v>
      </c>
      <c r="F5736" s="78">
        <f t="shared" si="513"/>
        <v>137</v>
      </c>
    </row>
    <row r="5737" spans="1:6" ht="15.75" thickBot="1" x14ac:dyDescent="0.3">
      <c r="A5737" s="85" t="s">
        <v>40</v>
      </c>
      <c r="B5737" s="356">
        <v>44131</v>
      </c>
      <c r="C5737" s="54">
        <v>1440</v>
      </c>
      <c r="D5737" s="47">
        <f t="shared" ref="D5737:D5758" si="516">C5737+D5713</f>
        <v>45567</v>
      </c>
      <c r="E5737" s="54">
        <f>12+11</f>
        <v>23</v>
      </c>
      <c r="F5737" s="83">
        <f t="shared" si="513"/>
        <v>709</v>
      </c>
    </row>
    <row r="5738" spans="1:6" x14ac:dyDescent="0.25">
      <c r="A5738" s="122" t="s">
        <v>16</v>
      </c>
      <c r="B5738" s="356">
        <v>44132</v>
      </c>
      <c r="C5738" s="1">
        <v>4238</v>
      </c>
      <c r="D5738" s="348">
        <f t="shared" si="516"/>
        <v>539446</v>
      </c>
      <c r="E5738" s="1">
        <f>61+61</f>
        <v>122</v>
      </c>
      <c r="F5738" s="77">
        <f t="shared" ref="F5738:F5801" si="517">E5738+F5714</f>
        <v>17242</v>
      </c>
    </row>
    <row r="5739" spans="1:6" x14ac:dyDescent="0.25">
      <c r="A5739" s="84" t="s">
        <v>43</v>
      </c>
      <c r="B5739" s="356">
        <v>44132</v>
      </c>
      <c r="C5739" s="1">
        <v>641</v>
      </c>
      <c r="D5739" s="47">
        <f t="shared" si="516"/>
        <v>145744</v>
      </c>
      <c r="E5739" s="1">
        <f>20+16</f>
        <v>36</v>
      </c>
      <c r="F5739" s="78">
        <f t="shared" si="517"/>
        <v>4662</v>
      </c>
    </row>
    <row r="5740" spans="1:6" x14ac:dyDescent="0.25">
      <c r="A5740" s="84" t="s">
        <v>28</v>
      </c>
      <c r="B5740" s="356">
        <v>44132</v>
      </c>
      <c r="C5740" s="1">
        <v>54</v>
      </c>
      <c r="D5740" s="47">
        <f t="shared" si="516"/>
        <v>720</v>
      </c>
      <c r="F5740" s="78">
        <f t="shared" si="517"/>
        <v>0</v>
      </c>
    </row>
    <row r="5741" spans="1:6" x14ac:dyDescent="0.25">
      <c r="A5741" s="84" t="s">
        <v>15</v>
      </c>
      <c r="B5741" s="356">
        <v>44132</v>
      </c>
      <c r="C5741" s="1">
        <v>186</v>
      </c>
      <c r="D5741" s="47">
        <f t="shared" si="516"/>
        <v>13580</v>
      </c>
      <c r="E5741" s="1">
        <f>1+5</f>
        <v>6</v>
      </c>
      <c r="F5741" s="78">
        <f t="shared" si="517"/>
        <v>419</v>
      </c>
    </row>
    <row r="5742" spans="1:6" x14ac:dyDescent="0.25">
      <c r="A5742" s="84" t="s">
        <v>29</v>
      </c>
      <c r="B5742" s="356">
        <v>44132</v>
      </c>
      <c r="C5742" s="1">
        <v>295</v>
      </c>
      <c r="D5742" s="47">
        <f t="shared" si="516"/>
        <v>13594</v>
      </c>
      <c r="F5742" s="78">
        <f t="shared" si="517"/>
        <v>242</v>
      </c>
    </row>
    <row r="5743" spans="1:6" x14ac:dyDescent="0.25">
      <c r="A5743" s="84" t="s">
        <v>20</v>
      </c>
      <c r="B5743" s="356">
        <v>44132</v>
      </c>
      <c r="C5743" s="1">
        <v>1848</v>
      </c>
      <c r="D5743" s="47">
        <f t="shared" si="516"/>
        <v>80933</v>
      </c>
      <c r="E5743" s="1">
        <f>16+17</f>
        <v>33</v>
      </c>
      <c r="F5743" s="78">
        <f t="shared" si="517"/>
        <v>1208</v>
      </c>
    </row>
    <row r="5744" spans="1:6" x14ac:dyDescent="0.25">
      <c r="A5744" s="84" t="s">
        <v>30</v>
      </c>
      <c r="B5744" s="356">
        <v>44132</v>
      </c>
      <c r="C5744" s="1">
        <v>69</v>
      </c>
      <c r="D5744" s="47">
        <f t="shared" si="516"/>
        <v>2469</v>
      </c>
      <c r="E5744" s="1">
        <f>2+2</f>
        <v>4</v>
      </c>
      <c r="F5744" s="78">
        <f t="shared" si="517"/>
        <v>47</v>
      </c>
    </row>
    <row r="5745" spans="1:6" x14ac:dyDescent="0.25">
      <c r="A5745" s="84" t="s">
        <v>31</v>
      </c>
      <c r="B5745" s="356">
        <v>44132</v>
      </c>
      <c r="C5745" s="1">
        <v>343</v>
      </c>
      <c r="D5745" s="47">
        <f t="shared" si="516"/>
        <v>15030</v>
      </c>
      <c r="E5745" s="1">
        <v>10</v>
      </c>
      <c r="F5745" s="78">
        <f t="shared" si="517"/>
        <v>267</v>
      </c>
    </row>
    <row r="5746" spans="1:6" x14ac:dyDescent="0.25">
      <c r="A5746" s="84" t="s">
        <v>41</v>
      </c>
      <c r="B5746" s="356">
        <v>44132</v>
      </c>
      <c r="C5746" s="1">
        <v>1</v>
      </c>
      <c r="D5746" s="47">
        <f t="shared" si="516"/>
        <v>149</v>
      </c>
      <c r="F5746" s="78">
        <f t="shared" si="517"/>
        <v>1</v>
      </c>
    </row>
    <row r="5747" spans="1:6" x14ac:dyDescent="0.25">
      <c r="A5747" s="84" t="s">
        <v>32</v>
      </c>
      <c r="B5747" s="356">
        <v>44132</v>
      </c>
      <c r="C5747" s="1">
        <v>53</v>
      </c>
      <c r="D5747" s="47">
        <f t="shared" si="516"/>
        <v>17740</v>
      </c>
      <c r="E5747" s="1">
        <f>1+1</f>
        <v>2</v>
      </c>
      <c r="F5747" s="78">
        <f t="shared" si="517"/>
        <v>799</v>
      </c>
    </row>
    <row r="5748" spans="1:6" x14ac:dyDescent="0.25">
      <c r="A5748" s="84" t="s">
        <v>33</v>
      </c>
      <c r="B5748" s="356">
        <v>44132</v>
      </c>
      <c r="C5748" s="1">
        <v>161</v>
      </c>
      <c r="D5748" s="47">
        <f t="shared" si="516"/>
        <v>2829</v>
      </c>
      <c r="F5748" s="78">
        <f t="shared" si="517"/>
        <v>29</v>
      </c>
    </row>
    <row r="5749" spans="1:6" x14ac:dyDescent="0.25">
      <c r="A5749" s="84" t="s">
        <v>21</v>
      </c>
      <c r="B5749" s="356">
        <v>44132</v>
      </c>
      <c r="C5749" s="1">
        <v>90</v>
      </c>
      <c r="D5749" s="47">
        <f t="shared" si="516"/>
        <v>7386</v>
      </c>
      <c r="E5749" s="1">
        <f>4</f>
        <v>4</v>
      </c>
      <c r="F5749" s="78">
        <f t="shared" si="517"/>
        <v>264</v>
      </c>
    </row>
    <row r="5750" spans="1:6" x14ac:dyDescent="0.25">
      <c r="A5750" s="84" t="s">
        <v>17</v>
      </c>
      <c r="B5750" s="356">
        <v>44132</v>
      </c>
      <c r="C5750" s="1">
        <v>675</v>
      </c>
      <c r="D5750" s="47">
        <f t="shared" si="516"/>
        <v>45047</v>
      </c>
      <c r="E5750" s="1">
        <f>7+5</f>
        <v>12</v>
      </c>
      <c r="F5750" s="78">
        <f t="shared" si="517"/>
        <v>740</v>
      </c>
    </row>
    <row r="5751" spans="1:6" x14ac:dyDescent="0.25">
      <c r="A5751" s="84" t="s">
        <v>23</v>
      </c>
      <c r="B5751" s="356">
        <v>44132</v>
      </c>
      <c r="C5751" s="1">
        <v>9</v>
      </c>
      <c r="D5751" s="47">
        <f t="shared" si="516"/>
        <v>249</v>
      </c>
      <c r="F5751" s="78">
        <f t="shared" si="517"/>
        <v>5</v>
      </c>
    </row>
    <row r="5752" spans="1:6" x14ac:dyDescent="0.25">
      <c r="A5752" s="84" t="s">
        <v>19</v>
      </c>
      <c r="B5752" s="356">
        <v>44132</v>
      </c>
      <c r="C5752" s="1">
        <v>384</v>
      </c>
      <c r="D5752" s="47">
        <f t="shared" si="516"/>
        <v>20576</v>
      </c>
      <c r="E5752" s="1">
        <f>8+5</f>
        <v>13</v>
      </c>
      <c r="F5752" s="78">
        <f t="shared" si="517"/>
        <v>383</v>
      </c>
    </row>
    <row r="5753" spans="1:6" x14ac:dyDescent="0.25">
      <c r="A5753" s="84" t="s">
        <v>18</v>
      </c>
      <c r="B5753" s="356">
        <v>44132</v>
      </c>
      <c r="C5753" s="1">
        <v>450</v>
      </c>
      <c r="D5753" s="47">
        <f t="shared" si="516"/>
        <v>22979</v>
      </c>
      <c r="E5753" s="1">
        <f>5+5</f>
        <v>10</v>
      </c>
      <c r="F5753" s="78">
        <f t="shared" si="517"/>
        <v>591</v>
      </c>
    </row>
    <row r="5754" spans="1:6" x14ac:dyDescent="0.25">
      <c r="A5754" s="84" t="s">
        <v>34</v>
      </c>
      <c r="B5754" s="356">
        <v>44132</v>
      </c>
      <c r="C5754" s="1">
        <v>219</v>
      </c>
      <c r="D5754" s="47">
        <f t="shared" si="516"/>
        <v>18500</v>
      </c>
      <c r="E5754" s="1">
        <f>7+5</f>
        <v>12</v>
      </c>
      <c r="F5754" s="78">
        <f t="shared" si="517"/>
        <v>751</v>
      </c>
    </row>
    <row r="5755" spans="1:6" x14ac:dyDescent="0.25">
      <c r="A5755" s="84" t="s">
        <v>35</v>
      </c>
      <c r="B5755" s="356">
        <v>44132</v>
      </c>
      <c r="C5755" s="1">
        <v>144</v>
      </c>
      <c r="D5755" s="47">
        <f t="shared" si="516"/>
        <v>1580</v>
      </c>
      <c r="E5755" s="1">
        <f>2+3</f>
        <v>5</v>
      </c>
      <c r="F5755" s="78">
        <f t="shared" si="517"/>
        <v>83</v>
      </c>
    </row>
    <row r="5756" spans="1:6" x14ac:dyDescent="0.25">
      <c r="A5756" s="84" t="s">
        <v>36</v>
      </c>
      <c r="B5756" s="356">
        <v>44132</v>
      </c>
      <c r="C5756" s="1">
        <v>167</v>
      </c>
      <c r="D5756" s="47">
        <f t="shared" si="516"/>
        <v>6232</v>
      </c>
      <c r="F5756" s="78">
        <f t="shared" si="517"/>
        <v>53</v>
      </c>
    </row>
    <row r="5757" spans="1:6" x14ac:dyDescent="0.25">
      <c r="A5757" s="84" t="s">
        <v>37</v>
      </c>
      <c r="B5757" s="356">
        <v>44132</v>
      </c>
      <c r="C5757" s="1">
        <v>239</v>
      </c>
      <c r="D5757" s="47">
        <f t="shared" si="516"/>
        <v>8885</v>
      </c>
      <c r="F5757" s="78">
        <f t="shared" si="517"/>
        <v>117</v>
      </c>
    </row>
    <row r="5758" spans="1:6" x14ac:dyDescent="0.25">
      <c r="A5758" s="84" t="s">
        <v>22</v>
      </c>
      <c r="B5758" s="356">
        <v>44132</v>
      </c>
      <c r="C5758" s="1">
        <v>2003</v>
      </c>
      <c r="D5758" s="47">
        <f t="shared" si="516"/>
        <v>100478</v>
      </c>
      <c r="E5758" s="1">
        <f>24+19</f>
        <v>43</v>
      </c>
      <c r="F5758" s="78">
        <f t="shared" si="517"/>
        <v>1166</v>
      </c>
    </row>
    <row r="5759" spans="1:6" x14ac:dyDescent="0.25">
      <c r="A5759" s="84" t="s">
        <v>38</v>
      </c>
      <c r="B5759" s="356">
        <v>44132</v>
      </c>
      <c r="C5759" s="1">
        <v>292</v>
      </c>
      <c r="D5759" s="47">
        <f>C5759+D5735</f>
        <v>9061</v>
      </c>
      <c r="E5759" s="1">
        <f>2+2</f>
        <v>4</v>
      </c>
      <c r="F5759" s="78">
        <f t="shared" si="517"/>
        <v>120</v>
      </c>
    </row>
    <row r="5760" spans="1:6" x14ac:dyDescent="0.25">
      <c r="A5760" s="84" t="s">
        <v>39</v>
      </c>
      <c r="B5760" s="356">
        <v>44132</v>
      </c>
      <c r="C5760" s="1">
        <v>236</v>
      </c>
      <c r="D5760" s="47">
        <f>C5760+D5736</f>
        <v>10824</v>
      </c>
      <c r="E5760" s="1">
        <f>3+1</f>
        <v>4</v>
      </c>
      <c r="F5760" s="78">
        <f t="shared" si="517"/>
        <v>141</v>
      </c>
    </row>
    <row r="5761" spans="1:6" ht="15.75" thickBot="1" x14ac:dyDescent="0.3">
      <c r="A5761" s="85" t="s">
        <v>40</v>
      </c>
      <c r="B5761" s="356">
        <v>44132</v>
      </c>
      <c r="C5761" s="1">
        <v>1127</v>
      </c>
      <c r="D5761" s="47">
        <f>C5761+D5737</f>
        <v>46694</v>
      </c>
      <c r="E5761" s="1">
        <f>17+7</f>
        <v>24</v>
      </c>
      <c r="F5761" s="83">
        <f t="shared" si="517"/>
        <v>733</v>
      </c>
    </row>
    <row r="5762" spans="1:6" x14ac:dyDescent="0.25">
      <c r="A5762" s="122" t="s">
        <v>16</v>
      </c>
      <c r="B5762" s="356">
        <v>44133</v>
      </c>
      <c r="C5762" s="1">
        <v>3708</v>
      </c>
      <c r="D5762" s="348">
        <f>543181</f>
        <v>543181</v>
      </c>
      <c r="E5762" s="1">
        <f>78+60</f>
        <v>138</v>
      </c>
      <c r="F5762" s="77">
        <f t="shared" si="517"/>
        <v>17380</v>
      </c>
    </row>
    <row r="5763" spans="1:6" x14ac:dyDescent="0.25">
      <c r="A5763" s="84" t="s">
        <v>43</v>
      </c>
      <c r="B5763" s="356">
        <v>44133</v>
      </c>
      <c r="C5763" s="1">
        <v>512</v>
      </c>
      <c r="D5763" s="47">
        <f t="shared" ref="D5763:D5825" si="518">C5763+D5739</f>
        <v>146256</v>
      </c>
      <c r="E5763" s="1">
        <v>39</v>
      </c>
      <c r="F5763" s="78">
        <f t="shared" si="517"/>
        <v>4701</v>
      </c>
    </row>
    <row r="5764" spans="1:6" x14ac:dyDescent="0.25">
      <c r="A5764" s="84" t="s">
        <v>28</v>
      </c>
      <c r="B5764" s="356">
        <v>44133</v>
      </c>
      <c r="C5764" s="1">
        <v>16</v>
      </c>
      <c r="D5764" s="47">
        <f t="shared" si="518"/>
        <v>736</v>
      </c>
      <c r="F5764" s="78">
        <f t="shared" si="517"/>
        <v>0</v>
      </c>
    </row>
    <row r="5765" spans="1:6" x14ac:dyDescent="0.25">
      <c r="A5765" s="84" t="s">
        <v>15</v>
      </c>
      <c r="B5765" s="356">
        <v>44133</v>
      </c>
      <c r="C5765" s="1">
        <v>130</v>
      </c>
      <c r="D5765" s="47">
        <f t="shared" si="518"/>
        <v>13710</v>
      </c>
      <c r="E5765" s="1">
        <f>2+2</f>
        <v>4</v>
      </c>
      <c r="F5765" s="78">
        <f t="shared" si="517"/>
        <v>423</v>
      </c>
    </row>
    <row r="5766" spans="1:6" x14ac:dyDescent="0.25">
      <c r="A5766" s="84" t="s">
        <v>29</v>
      </c>
      <c r="B5766" s="356">
        <v>44133</v>
      </c>
      <c r="C5766" s="1">
        <v>284</v>
      </c>
      <c r="D5766" s="47">
        <f t="shared" si="518"/>
        <v>13878</v>
      </c>
      <c r="E5766" s="1">
        <f>2</f>
        <v>2</v>
      </c>
      <c r="F5766" s="78">
        <f t="shared" si="517"/>
        <v>244</v>
      </c>
    </row>
    <row r="5767" spans="1:6" x14ac:dyDescent="0.25">
      <c r="A5767" s="84" t="s">
        <v>20</v>
      </c>
      <c r="B5767" s="356">
        <v>44133</v>
      </c>
      <c r="C5767" s="1">
        <v>1457</v>
      </c>
      <c r="D5767" s="47">
        <f t="shared" si="518"/>
        <v>82390</v>
      </c>
      <c r="E5767" s="1">
        <f>19+16</f>
        <v>35</v>
      </c>
      <c r="F5767" s="78">
        <f t="shared" si="517"/>
        <v>1243</v>
      </c>
    </row>
    <row r="5768" spans="1:6" x14ac:dyDescent="0.25">
      <c r="A5768" s="84" t="s">
        <v>30</v>
      </c>
      <c r="B5768" s="356">
        <v>44133</v>
      </c>
      <c r="C5768" s="1">
        <v>61</v>
      </c>
      <c r="D5768" s="47">
        <f t="shared" si="518"/>
        <v>2530</v>
      </c>
      <c r="F5768" s="78">
        <f t="shared" si="517"/>
        <v>47</v>
      </c>
    </row>
    <row r="5769" spans="1:6" x14ac:dyDescent="0.25">
      <c r="A5769" s="84" t="s">
        <v>31</v>
      </c>
      <c r="B5769" s="356">
        <v>44133</v>
      </c>
      <c r="C5769" s="1">
        <v>360</v>
      </c>
      <c r="D5769" s="47">
        <f t="shared" si="518"/>
        <v>15390</v>
      </c>
      <c r="E5769" s="1">
        <f>2+2</f>
        <v>4</v>
      </c>
      <c r="F5769" s="78">
        <f t="shared" si="517"/>
        <v>271</v>
      </c>
    </row>
    <row r="5770" spans="1:6" x14ac:dyDescent="0.25">
      <c r="A5770" s="84" t="s">
        <v>41</v>
      </c>
      <c r="B5770" s="356">
        <v>44133</v>
      </c>
      <c r="C5770" s="1">
        <v>1</v>
      </c>
      <c r="D5770" s="47">
        <f t="shared" si="518"/>
        <v>150</v>
      </c>
      <c r="F5770" s="78">
        <f t="shared" si="517"/>
        <v>1</v>
      </c>
    </row>
    <row r="5771" spans="1:6" x14ac:dyDescent="0.25">
      <c r="A5771" s="84" t="s">
        <v>32</v>
      </c>
      <c r="B5771" s="356">
        <v>44133</v>
      </c>
      <c r="C5771" s="1">
        <v>46</v>
      </c>
      <c r="D5771" s="47">
        <f t="shared" si="518"/>
        <v>17786</v>
      </c>
      <c r="E5771" s="1">
        <f>2+2</f>
        <v>4</v>
      </c>
      <c r="F5771" s="78">
        <f t="shared" si="517"/>
        <v>803</v>
      </c>
    </row>
    <row r="5772" spans="1:6" x14ac:dyDescent="0.25">
      <c r="A5772" s="84" t="s">
        <v>33</v>
      </c>
      <c r="B5772" s="356">
        <v>44133</v>
      </c>
      <c r="C5772" s="1">
        <v>231</v>
      </c>
      <c r="D5772" s="47">
        <f t="shared" si="518"/>
        <v>3060</v>
      </c>
      <c r="E5772" s="1">
        <f>3</f>
        <v>3</v>
      </c>
      <c r="F5772" s="78">
        <f t="shared" si="517"/>
        <v>32</v>
      </c>
    </row>
    <row r="5773" spans="1:6" x14ac:dyDescent="0.25">
      <c r="A5773" s="84" t="s">
        <v>21</v>
      </c>
      <c r="B5773" s="356">
        <v>44133</v>
      </c>
      <c r="C5773" s="1">
        <v>55</v>
      </c>
      <c r="D5773" s="47">
        <f t="shared" si="518"/>
        <v>7441</v>
      </c>
      <c r="F5773" s="78">
        <f t="shared" si="517"/>
        <v>264</v>
      </c>
    </row>
    <row r="5774" spans="1:6" x14ac:dyDescent="0.25">
      <c r="A5774" s="84" t="s">
        <v>17</v>
      </c>
      <c r="B5774" s="356">
        <v>44133</v>
      </c>
      <c r="C5774" s="1">
        <v>813</v>
      </c>
      <c r="D5774" s="47">
        <f t="shared" si="518"/>
        <v>45860</v>
      </c>
      <c r="E5774" s="1">
        <f>13+3</f>
        <v>16</v>
      </c>
      <c r="F5774" s="78">
        <f t="shared" si="517"/>
        <v>756</v>
      </c>
    </row>
    <row r="5775" spans="1:6" x14ac:dyDescent="0.25">
      <c r="A5775" s="84" t="s">
        <v>23</v>
      </c>
      <c r="B5775" s="356">
        <v>44133</v>
      </c>
      <c r="C5775" s="1">
        <v>11</v>
      </c>
      <c r="D5775" s="47">
        <f t="shared" si="518"/>
        <v>260</v>
      </c>
      <c r="F5775" s="78">
        <f t="shared" si="517"/>
        <v>5</v>
      </c>
    </row>
    <row r="5776" spans="1:6" x14ac:dyDescent="0.25">
      <c r="A5776" s="84" t="s">
        <v>19</v>
      </c>
      <c r="B5776" s="356">
        <v>44133</v>
      </c>
      <c r="C5776" s="1">
        <v>499</v>
      </c>
      <c r="D5776" s="47">
        <f t="shared" si="518"/>
        <v>21075</v>
      </c>
      <c r="E5776" s="1">
        <f>2</f>
        <v>2</v>
      </c>
      <c r="F5776" s="78">
        <f t="shared" si="517"/>
        <v>385</v>
      </c>
    </row>
    <row r="5777" spans="1:6" x14ac:dyDescent="0.25">
      <c r="A5777" s="84" t="s">
        <v>18</v>
      </c>
      <c r="B5777" s="356">
        <v>44133</v>
      </c>
      <c r="C5777" s="1">
        <v>451</v>
      </c>
      <c r="D5777" s="47">
        <v>23450</v>
      </c>
      <c r="E5777" s="1">
        <f>7+6</f>
        <v>13</v>
      </c>
      <c r="F5777" s="78">
        <f t="shared" si="517"/>
        <v>604</v>
      </c>
    </row>
    <row r="5778" spans="1:6" x14ac:dyDescent="0.25">
      <c r="A5778" s="84" t="s">
        <v>34</v>
      </c>
      <c r="B5778" s="356">
        <v>44133</v>
      </c>
      <c r="C5778" s="1">
        <v>157</v>
      </c>
      <c r="D5778" s="47">
        <v>18409</v>
      </c>
      <c r="E5778" s="1">
        <v>11</v>
      </c>
      <c r="F5778" s="78">
        <f t="shared" si="517"/>
        <v>762</v>
      </c>
    </row>
    <row r="5779" spans="1:6" x14ac:dyDescent="0.25">
      <c r="A5779" s="84" t="s">
        <v>35</v>
      </c>
      <c r="B5779" s="356">
        <v>44133</v>
      </c>
      <c r="C5779" s="1">
        <v>297</v>
      </c>
      <c r="D5779" s="47">
        <f t="shared" si="518"/>
        <v>1877</v>
      </c>
      <c r="E5779" s="1">
        <f>1</f>
        <v>1</v>
      </c>
      <c r="F5779" s="78">
        <f t="shared" si="517"/>
        <v>84</v>
      </c>
    </row>
    <row r="5780" spans="1:6" x14ac:dyDescent="0.25">
      <c r="A5780" s="84" t="s">
        <v>36</v>
      </c>
      <c r="B5780" s="356">
        <v>44133</v>
      </c>
      <c r="C5780" s="1">
        <v>314</v>
      </c>
      <c r="D5780" s="47">
        <v>6556</v>
      </c>
      <c r="E5780" s="1">
        <f>1</f>
        <v>1</v>
      </c>
      <c r="F5780" s="78">
        <f t="shared" si="517"/>
        <v>54</v>
      </c>
    </row>
    <row r="5781" spans="1:6" x14ac:dyDescent="0.25">
      <c r="A5781" s="84" t="s">
        <v>37</v>
      </c>
      <c r="B5781" s="356">
        <v>44133</v>
      </c>
      <c r="C5781" s="1">
        <v>250</v>
      </c>
      <c r="D5781" s="47">
        <f t="shared" si="518"/>
        <v>9135</v>
      </c>
      <c r="E5781" s="1">
        <f>6+5</f>
        <v>11</v>
      </c>
      <c r="F5781" s="78">
        <f t="shared" si="517"/>
        <v>128</v>
      </c>
    </row>
    <row r="5782" spans="1:6" x14ac:dyDescent="0.25">
      <c r="A5782" s="84" t="s">
        <v>22</v>
      </c>
      <c r="B5782" s="356">
        <v>44133</v>
      </c>
      <c r="C5782" s="1">
        <v>2013</v>
      </c>
      <c r="D5782" s="47">
        <v>102490</v>
      </c>
      <c r="E5782" s="1">
        <f>42+24</f>
        <v>66</v>
      </c>
      <c r="F5782" s="78">
        <f t="shared" si="517"/>
        <v>1232</v>
      </c>
    </row>
    <row r="5783" spans="1:6" x14ac:dyDescent="0.25">
      <c r="A5783" s="84" t="s">
        <v>38</v>
      </c>
      <c r="B5783" s="356">
        <v>44133</v>
      </c>
      <c r="C5783" s="1">
        <v>308</v>
      </c>
      <c r="D5783" s="47">
        <v>9369</v>
      </c>
      <c r="E5783" s="1">
        <f>1</f>
        <v>1</v>
      </c>
      <c r="F5783" s="78">
        <f t="shared" si="517"/>
        <v>121</v>
      </c>
    </row>
    <row r="5784" spans="1:6" x14ac:dyDescent="0.25">
      <c r="A5784" s="84" t="s">
        <v>39</v>
      </c>
      <c r="B5784" s="356">
        <v>44133</v>
      </c>
      <c r="C5784" s="1">
        <v>204</v>
      </c>
      <c r="D5784" s="47">
        <f t="shared" si="518"/>
        <v>11028</v>
      </c>
      <c r="E5784" s="1">
        <f>3+1</f>
        <v>4</v>
      </c>
      <c r="F5784" s="78">
        <f t="shared" si="517"/>
        <v>145</v>
      </c>
    </row>
    <row r="5785" spans="1:6" ht="15.75" thickBot="1" x14ac:dyDescent="0.3">
      <c r="A5785" s="85" t="s">
        <v>40</v>
      </c>
      <c r="B5785" s="356">
        <v>44133</v>
      </c>
      <c r="C5785" s="1">
        <v>1089</v>
      </c>
      <c r="D5785" s="47">
        <f>C5785+D5761</f>
        <v>47783</v>
      </c>
      <c r="E5785" s="1">
        <f>10+5</f>
        <v>15</v>
      </c>
      <c r="F5785" s="83">
        <f t="shared" si="517"/>
        <v>748</v>
      </c>
    </row>
    <row r="5786" spans="1:6" x14ac:dyDescent="0.25">
      <c r="A5786" s="122" t="s">
        <v>16</v>
      </c>
      <c r="B5786" s="356">
        <v>44134</v>
      </c>
      <c r="C5786" s="1">
        <v>3830</v>
      </c>
      <c r="D5786" s="348">
        <f t="shared" si="518"/>
        <v>547011</v>
      </c>
      <c r="E5786" s="1">
        <f>70+47</f>
        <v>117</v>
      </c>
      <c r="F5786" s="77">
        <f t="shared" si="517"/>
        <v>17497</v>
      </c>
    </row>
    <row r="5787" spans="1:6" x14ac:dyDescent="0.25">
      <c r="A5787" s="84" t="s">
        <v>43</v>
      </c>
      <c r="B5787" s="356">
        <v>44134</v>
      </c>
      <c r="C5787" s="1">
        <v>504</v>
      </c>
      <c r="D5787" s="47">
        <f t="shared" si="518"/>
        <v>146760</v>
      </c>
      <c r="E5787" s="1">
        <f>14+22</f>
        <v>36</v>
      </c>
      <c r="F5787" s="78">
        <f t="shared" si="517"/>
        <v>4737</v>
      </c>
    </row>
    <row r="5788" spans="1:6" x14ac:dyDescent="0.25">
      <c r="A5788" s="84" t="s">
        <v>28</v>
      </c>
      <c r="B5788" s="356">
        <v>44134</v>
      </c>
      <c r="C5788" s="1">
        <v>83</v>
      </c>
      <c r="D5788" s="47">
        <f t="shared" si="518"/>
        <v>819</v>
      </c>
      <c r="F5788" s="78">
        <f t="shared" si="517"/>
        <v>0</v>
      </c>
    </row>
    <row r="5789" spans="1:6" x14ac:dyDescent="0.25">
      <c r="A5789" s="84" t="s">
        <v>15</v>
      </c>
      <c r="B5789" s="356">
        <v>44134</v>
      </c>
      <c r="C5789" s="1">
        <v>203</v>
      </c>
      <c r="D5789" s="47">
        <f t="shared" si="518"/>
        <v>13913</v>
      </c>
      <c r="E5789" s="1">
        <f>1</f>
        <v>1</v>
      </c>
      <c r="F5789" s="78">
        <f t="shared" si="517"/>
        <v>424</v>
      </c>
    </row>
    <row r="5790" spans="1:6" x14ac:dyDescent="0.25">
      <c r="A5790" s="84" t="s">
        <v>29</v>
      </c>
      <c r="B5790" s="356">
        <v>44134</v>
      </c>
      <c r="C5790" s="1">
        <v>309</v>
      </c>
      <c r="D5790" s="47">
        <f t="shared" si="518"/>
        <v>14187</v>
      </c>
      <c r="E5790" s="1">
        <f>1+1</f>
        <v>2</v>
      </c>
      <c r="F5790" s="78">
        <f t="shared" si="517"/>
        <v>246</v>
      </c>
    </row>
    <row r="5791" spans="1:6" x14ac:dyDescent="0.25">
      <c r="A5791" s="84" t="s">
        <v>20</v>
      </c>
      <c r="B5791" s="356">
        <v>44134</v>
      </c>
      <c r="C5791" s="1">
        <v>1601</v>
      </c>
      <c r="D5791" s="47">
        <f t="shared" si="518"/>
        <v>83991</v>
      </c>
      <c r="E5791" s="1">
        <f>15+12</f>
        <v>27</v>
      </c>
      <c r="F5791" s="78">
        <f t="shared" si="517"/>
        <v>1270</v>
      </c>
    </row>
    <row r="5792" spans="1:6" x14ac:dyDescent="0.25">
      <c r="A5792" s="84" t="s">
        <v>30</v>
      </c>
      <c r="B5792" s="356">
        <v>44134</v>
      </c>
      <c r="C5792" s="1">
        <v>9</v>
      </c>
      <c r="D5792" s="47">
        <f t="shared" si="518"/>
        <v>2539</v>
      </c>
      <c r="F5792" s="78">
        <f t="shared" si="517"/>
        <v>47</v>
      </c>
    </row>
    <row r="5793" spans="1:6" x14ac:dyDescent="0.25">
      <c r="A5793" s="84" t="s">
        <v>31</v>
      </c>
      <c r="B5793" s="356">
        <v>44134</v>
      </c>
      <c r="C5793" s="1">
        <v>343</v>
      </c>
      <c r="D5793" s="47">
        <f t="shared" si="518"/>
        <v>15733</v>
      </c>
      <c r="E5793" s="1">
        <f>2+3</f>
        <v>5</v>
      </c>
      <c r="F5793" s="78">
        <f t="shared" si="517"/>
        <v>276</v>
      </c>
    </row>
    <row r="5794" spans="1:6" x14ac:dyDescent="0.25">
      <c r="A5794" s="84" t="s">
        <v>41</v>
      </c>
      <c r="B5794" s="356">
        <v>44134</v>
      </c>
      <c r="C5794" s="1">
        <v>-1</v>
      </c>
      <c r="D5794" s="47">
        <f t="shared" si="518"/>
        <v>149</v>
      </c>
      <c r="F5794" s="78">
        <f t="shared" si="517"/>
        <v>1</v>
      </c>
    </row>
    <row r="5795" spans="1:6" x14ac:dyDescent="0.25">
      <c r="A5795" s="84" t="s">
        <v>32</v>
      </c>
      <c r="B5795" s="356">
        <v>44134</v>
      </c>
      <c r="C5795" s="1">
        <v>37</v>
      </c>
      <c r="D5795" s="47">
        <f t="shared" si="518"/>
        <v>17823</v>
      </c>
      <c r="E5795" s="1">
        <f>1+3</f>
        <v>4</v>
      </c>
      <c r="F5795" s="78">
        <f t="shared" si="517"/>
        <v>807</v>
      </c>
    </row>
    <row r="5796" spans="1:6" x14ac:dyDescent="0.25">
      <c r="A5796" s="84" t="s">
        <v>33</v>
      </c>
      <c r="B5796" s="356">
        <v>44134</v>
      </c>
      <c r="C5796" s="1">
        <v>129</v>
      </c>
      <c r="D5796" s="47">
        <f t="shared" si="518"/>
        <v>3189</v>
      </c>
      <c r="F5796" s="78">
        <f t="shared" si="517"/>
        <v>32</v>
      </c>
    </row>
    <row r="5797" spans="1:6" x14ac:dyDescent="0.25">
      <c r="A5797" s="84" t="s">
        <v>21</v>
      </c>
      <c r="B5797" s="356">
        <v>44134</v>
      </c>
      <c r="C5797" s="1">
        <v>73</v>
      </c>
      <c r="D5797" s="47">
        <f t="shared" si="518"/>
        <v>7514</v>
      </c>
      <c r="E5797" s="1">
        <f>3+3</f>
        <v>6</v>
      </c>
      <c r="F5797" s="78">
        <f t="shared" si="517"/>
        <v>270</v>
      </c>
    </row>
    <row r="5798" spans="1:6" x14ac:dyDescent="0.25">
      <c r="A5798" s="84" t="s">
        <v>17</v>
      </c>
      <c r="B5798" s="356">
        <v>44134</v>
      </c>
      <c r="C5798" s="1">
        <v>704</v>
      </c>
      <c r="D5798" s="47">
        <f t="shared" si="518"/>
        <v>46564</v>
      </c>
      <c r="E5798" s="1">
        <f>14+3</f>
        <v>17</v>
      </c>
      <c r="F5798" s="78">
        <f t="shared" si="517"/>
        <v>773</v>
      </c>
    </row>
    <row r="5799" spans="1:6" x14ac:dyDescent="0.25">
      <c r="A5799" s="84" t="s">
        <v>23</v>
      </c>
      <c r="B5799" s="356">
        <v>44134</v>
      </c>
      <c r="C5799" s="1">
        <v>10</v>
      </c>
      <c r="D5799" s="47">
        <f t="shared" si="518"/>
        <v>270</v>
      </c>
      <c r="F5799" s="78">
        <f t="shared" si="517"/>
        <v>5</v>
      </c>
    </row>
    <row r="5800" spans="1:6" x14ac:dyDescent="0.25">
      <c r="A5800" s="84" t="s">
        <v>19</v>
      </c>
      <c r="B5800" s="356">
        <v>44134</v>
      </c>
      <c r="C5800" s="1">
        <v>696</v>
      </c>
      <c r="D5800" s="47">
        <f t="shared" si="518"/>
        <v>21771</v>
      </c>
      <c r="E5800" s="1">
        <f>12+8</f>
        <v>20</v>
      </c>
      <c r="F5800" s="78">
        <f t="shared" si="517"/>
        <v>405</v>
      </c>
    </row>
    <row r="5801" spans="1:6" x14ac:dyDescent="0.25">
      <c r="A5801" s="84" t="s">
        <v>18</v>
      </c>
      <c r="B5801" s="356">
        <v>44134</v>
      </c>
      <c r="C5801" s="1">
        <v>288</v>
      </c>
      <c r="D5801" s="47">
        <f t="shared" si="518"/>
        <v>23738</v>
      </c>
      <c r="E5801" s="1">
        <f>4+1</f>
        <v>5</v>
      </c>
      <c r="F5801" s="78">
        <f t="shared" si="517"/>
        <v>609</v>
      </c>
    </row>
    <row r="5802" spans="1:6" x14ac:dyDescent="0.25">
      <c r="A5802" s="84" t="s">
        <v>34</v>
      </c>
      <c r="B5802" s="356">
        <v>44134</v>
      </c>
      <c r="C5802" s="1">
        <v>191</v>
      </c>
      <c r="D5802" s="47">
        <f t="shared" si="518"/>
        <v>18600</v>
      </c>
      <c r="E5802" s="1">
        <f>8+6</f>
        <v>14</v>
      </c>
      <c r="F5802" s="78">
        <f t="shared" ref="F5802:F5865" si="519">E5802+F5778</f>
        <v>776</v>
      </c>
    </row>
    <row r="5803" spans="1:6" x14ac:dyDescent="0.25">
      <c r="A5803" s="84" t="s">
        <v>35</v>
      </c>
      <c r="B5803" s="356">
        <v>44134</v>
      </c>
      <c r="C5803" s="1">
        <v>379</v>
      </c>
      <c r="D5803" s="47">
        <f t="shared" si="518"/>
        <v>2256</v>
      </c>
      <c r="E5803" s="1">
        <f>7+10</f>
        <v>17</v>
      </c>
      <c r="F5803" s="78">
        <f t="shared" si="519"/>
        <v>101</v>
      </c>
    </row>
    <row r="5804" spans="1:6" x14ac:dyDescent="0.25">
      <c r="A5804" s="84" t="s">
        <v>36</v>
      </c>
      <c r="B5804" s="356">
        <v>44134</v>
      </c>
      <c r="C5804" s="1">
        <v>258</v>
      </c>
      <c r="D5804" s="47">
        <f t="shared" si="518"/>
        <v>6814</v>
      </c>
      <c r="F5804" s="78">
        <f t="shared" si="519"/>
        <v>54</v>
      </c>
    </row>
    <row r="5805" spans="1:6" x14ac:dyDescent="0.25">
      <c r="A5805" s="84" t="s">
        <v>37</v>
      </c>
      <c r="B5805" s="356">
        <v>44134</v>
      </c>
      <c r="C5805" s="1">
        <v>214</v>
      </c>
      <c r="D5805" s="47">
        <f t="shared" si="518"/>
        <v>9349</v>
      </c>
      <c r="E5805" s="1">
        <f>1+1</f>
        <v>2</v>
      </c>
      <c r="F5805" s="78">
        <f t="shared" si="519"/>
        <v>130</v>
      </c>
    </row>
    <row r="5806" spans="1:6" x14ac:dyDescent="0.25">
      <c r="A5806" s="84" t="s">
        <v>22</v>
      </c>
      <c r="B5806" s="356">
        <v>44134</v>
      </c>
      <c r="C5806" s="1">
        <v>2140</v>
      </c>
      <c r="D5806" s="47">
        <f t="shared" si="518"/>
        <v>104630</v>
      </c>
      <c r="E5806" s="1">
        <f>29+20</f>
        <v>49</v>
      </c>
      <c r="F5806" s="78">
        <f t="shared" si="519"/>
        <v>1281</v>
      </c>
    </row>
    <row r="5807" spans="1:6" x14ac:dyDescent="0.25">
      <c r="A5807" s="84" t="s">
        <v>38</v>
      </c>
      <c r="B5807" s="356">
        <v>44134</v>
      </c>
      <c r="C5807" s="1">
        <v>209</v>
      </c>
      <c r="D5807" s="47">
        <f t="shared" si="518"/>
        <v>9578</v>
      </c>
      <c r="E5807" s="1">
        <f>4+4</f>
        <v>8</v>
      </c>
      <c r="F5807" s="78">
        <f t="shared" si="519"/>
        <v>129</v>
      </c>
    </row>
    <row r="5808" spans="1:6" x14ac:dyDescent="0.25">
      <c r="A5808" s="84" t="s">
        <v>39</v>
      </c>
      <c r="B5808" s="356">
        <v>44134</v>
      </c>
      <c r="C5808" s="1">
        <v>159</v>
      </c>
      <c r="D5808" s="47">
        <f t="shared" si="518"/>
        <v>11187</v>
      </c>
      <c r="E5808" s="1">
        <f>2</f>
        <v>2</v>
      </c>
      <c r="F5808" s="78">
        <f t="shared" si="519"/>
        <v>147</v>
      </c>
    </row>
    <row r="5809" spans="1:6" ht="15.75" thickBot="1" x14ac:dyDescent="0.3">
      <c r="A5809" s="86" t="s">
        <v>40</v>
      </c>
      <c r="B5809" s="357">
        <v>44134</v>
      </c>
      <c r="C5809" s="300">
        <v>1011</v>
      </c>
      <c r="D5809" s="81">
        <f>C5809+D5785</f>
        <v>48794</v>
      </c>
      <c r="E5809" s="300">
        <f>9+9</f>
        <v>18</v>
      </c>
      <c r="F5809" s="83">
        <f t="shared" si="519"/>
        <v>766</v>
      </c>
    </row>
    <row r="5810" spans="1:6" x14ac:dyDescent="0.25">
      <c r="A5810" s="36" t="s">
        <v>16</v>
      </c>
      <c r="B5810" s="354">
        <v>44135</v>
      </c>
      <c r="C5810" s="53">
        <v>2354</v>
      </c>
      <c r="D5810" s="211">
        <f t="shared" si="518"/>
        <v>549365</v>
      </c>
      <c r="E5810" s="53">
        <f>69+44+1</f>
        <v>114</v>
      </c>
      <c r="F5810" s="77">
        <f t="shared" si="519"/>
        <v>17611</v>
      </c>
    </row>
    <row r="5811" spans="1:6" x14ac:dyDescent="0.25">
      <c r="A5811" s="84" t="s">
        <v>43</v>
      </c>
      <c r="B5811" s="356">
        <v>44135</v>
      </c>
      <c r="C5811" s="1">
        <v>441</v>
      </c>
      <c r="D5811" s="47">
        <f t="shared" si="518"/>
        <v>147201</v>
      </c>
      <c r="E5811" s="1">
        <f>4+14</f>
        <v>18</v>
      </c>
      <c r="F5811" s="78">
        <f t="shared" si="519"/>
        <v>4755</v>
      </c>
    </row>
    <row r="5812" spans="1:6" x14ac:dyDescent="0.25">
      <c r="A5812" s="84" t="s">
        <v>28</v>
      </c>
      <c r="B5812" s="356">
        <v>44135</v>
      </c>
      <c r="C5812" s="1">
        <v>77</v>
      </c>
      <c r="D5812" s="47">
        <f t="shared" si="518"/>
        <v>896</v>
      </c>
      <c r="F5812" s="78">
        <f t="shared" si="519"/>
        <v>0</v>
      </c>
    </row>
    <row r="5813" spans="1:6" x14ac:dyDescent="0.25">
      <c r="A5813" s="84" t="s">
        <v>15</v>
      </c>
      <c r="B5813" s="356">
        <v>44135</v>
      </c>
      <c r="C5813" s="1">
        <v>137</v>
      </c>
      <c r="D5813" s="47">
        <f t="shared" si="518"/>
        <v>14050</v>
      </c>
      <c r="E5813" s="1">
        <f>2+1</f>
        <v>3</v>
      </c>
      <c r="F5813" s="78">
        <f t="shared" si="519"/>
        <v>427</v>
      </c>
    </row>
    <row r="5814" spans="1:6" x14ac:dyDescent="0.25">
      <c r="A5814" s="84" t="s">
        <v>29</v>
      </c>
      <c r="B5814" s="356">
        <v>44135</v>
      </c>
      <c r="C5814" s="1">
        <v>195</v>
      </c>
      <c r="D5814" s="47">
        <f t="shared" si="518"/>
        <v>14382</v>
      </c>
      <c r="E5814" s="1">
        <f>1+1</f>
        <v>2</v>
      </c>
      <c r="F5814" s="78">
        <f t="shared" si="519"/>
        <v>248</v>
      </c>
    </row>
    <row r="5815" spans="1:6" x14ac:dyDescent="0.25">
      <c r="A5815" s="84" t="s">
        <v>20</v>
      </c>
      <c r="B5815" s="356">
        <v>44135</v>
      </c>
      <c r="C5815" s="1">
        <v>1424</v>
      </c>
      <c r="D5815" s="47">
        <f t="shared" si="518"/>
        <v>85415</v>
      </c>
      <c r="E5815" s="1">
        <f>12+9</f>
        <v>21</v>
      </c>
      <c r="F5815" s="78">
        <f t="shared" si="519"/>
        <v>1291</v>
      </c>
    </row>
    <row r="5816" spans="1:6" x14ac:dyDescent="0.25">
      <c r="A5816" s="84" t="s">
        <v>30</v>
      </c>
      <c r="B5816" s="356">
        <v>44135</v>
      </c>
      <c r="C5816" s="1">
        <v>10</v>
      </c>
      <c r="D5816" s="47">
        <f t="shared" si="518"/>
        <v>2549</v>
      </c>
      <c r="F5816" s="78">
        <f t="shared" si="519"/>
        <v>47</v>
      </c>
    </row>
    <row r="5817" spans="1:6" x14ac:dyDescent="0.25">
      <c r="A5817" s="84" t="s">
        <v>31</v>
      </c>
      <c r="B5817" s="356">
        <v>44135</v>
      </c>
      <c r="C5817" s="1">
        <v>264</v>
      </c>
      <c r="D5817" s="47">
        <f t="shared" si="518"/>
        <v>15997</v>
      </c>
      <c r="E5817" s="1">
        <f>1</f>
        <v>1</v>
      </c>
      <c r="F5817" s="78">
        <f t="shared" si="519"/>
        <v>277</v>
      </c>
    </row>
    <row r="5818" spans="1:6" x14ac:dyDescent="0.25">
      <c r="A5818" s="84" t="s">
        <v>41</v>
      </c>
      <c r="B5818" s="356">
        <v>44135</v>
      </c>
      <c r="C5818" s="1">
        <v>4</v>
      </c>
      <c r="D5818" s="47">
        <f t="shared" si="518"/>
        <v>153</v>
      </c>
      <c r="F5818" s="78">
        <f t="shared" si="519"/>
        <v>1</v>
      </c>
    </row>
    <row r="5819" spans="1:6" x14ac:dyDescent="0.25">
      <c r="A5819" s="84" t="s">
        <v>32</v>
      </c>
      <c r="B5819" s="356">
        <v>44135</v>
      </c>
      <c r="C5819" s="1">
        <v>33</v>
      </c>
      <c r="D5819" s="47">
        <f t="shared" si="518"/>
        <v>17856</v>
      </c>
      <c r="E5819" s="1">
        <f>3+1</f>
        <v>4</v>
      </c>
      <c r="F5819" s="78">
        <f t="shared" si="519"/>
        <v>811</v>
      </c>
    </row>
    <row r="5820" spans="1:6" x14ac:dyDescent="0.25">
      <c r="A5820" s="84" t="s">
        <v>33</v>
      </c>
      <c r="B5820" s="356">
        <v>44135</v>
      </c>
      <c r="C5820" s="1">
        <v>90</v>
      </c>
      <c r="D5820" s="47">
        <f t="shared" si="518"/>
        <v>3279</v>
      </c>
      <c r="E5820" s="1">
        <f>1</f>
        <v>1</v>
      </c>
      <c r="F5820" s="78">
        <f t="shared" si="519"/>
        <v>33</v>
      </c>
    </row>
    <row r="5821" spans="1:6" x14ac:dyDescent="0.25">
      <c r="A5821" s="84" t="s">
        <v>21</v>
      </c>
      <c r="B5821" s="356">
        <v>44135</v>
      </c>
      <c r="C5821" s="1">
        <v>55</v>
      </c>
      <c r="D5821" s="47">
        <f t="shared" si="518"/>
        <v>7569</v>
      </c>
      <c r="E5821" s="1">
        <f>2</f>
        <v>2</v>
      </c>
      <c r="F5821" s="78">
        <f t="shared" si="519"/>
        <v>272</v>
      </c>
    </row>
    <row r="5822" spans="1:6" x14ac:dyDescent="0.25">
      <c r="A5822" s="84" t="s">
        <v>17</v>
      </c>
      <c r="B5822" s="356">
        <v>44135</v>
      </c>
      <c r="C5822" s="1">
        <v>509</v>
      </c>
      <c r="D5822" s="47">
        <f t="shared" si="518"/>
        <v>47073</v>
      </c>
      <c r="E5822" s="1">
        <f>4+1</f>
        <v>5</v>
      </c>
      <c r="F5822" s="78">
        <f t="shared" si="519"/>
        <v>778</v>
      </c>
    </row>
    <row r="5823" spans="1:6" x14ac:dyDescent="0.25">
      <c r="A5823" s="84" t="s">
        <v>23</v>
      </c>
      <c r="B5823" s="356">
        <v>44135</v>
      </c>
      <c r="C5823" s="1">
        <v>-9</v>
      </c>
      <c r="D5823" s="47">
        <f t="shared" si="518"/>
        <v>261</v>
      </c>
      <c r="F5823" s="78">
        <f t="shared" si="519"/>
        <v>5</v>
      </c>
    </row>
    <row r="5824" spans="1:6" x14ac:dyDescent="0.25">
      <c r="A5824" s="84" t="s">
        <v>19</v>
      </c>
      <c r="B5824" s="356">
        <v>44135</v>
      </c>
      <c r="C5824" s="1">
        <v>467</v>
      </c>
      <c r="D5824" s="47">
        <f t="shared" si="518"/>
        <v>22238</v>
      </c>
      <c r="E5824" s="1">
        <v>0</v>
      </c>
      <c r="F5824" s="78">
        <f t="shared" si="519"/>
        <v>405</v>
      </c>
    </row>
    <row r="5825" spans="1:6" x14ac:dyDescent="0.25">
      <c r="A5825" s="84" t="s">
        <v>18</v>
      </c>
      <c r="B5825" s="356">
        <v>44135</v>
      </c>
      <c r="C5825" s="1">
        <v>255</v>
      </c>
      <c r="D5825" s="47">
        <f t="shared" si="518"/>
        <v>23993</v>
      </c>
      <c r="E5825" s="1">
        <f>1+2</f>
        <v>3</v>
      </c>
      <c r="F5825" s="78">
        <f t="shared" si="519"/>
        <v>612</v>
      </c>
    </row>
    <row r="5826" spans="1:6" x14ac:dyDescent="0.25">
      <c r="A5826" s="84" t="s">
        <v>34</v>
      </c>
      <c r="B5826" s="356">
        <v>44135</v>
      </c>
      <c r="C5826" s="1">
        <v>146</v>
      </c>
      <c r="D5826" s="47">
        <f t="shared" ref="D5826:D5832" si="520">C5826+D5802</f>
        <v>18746</v>
      </c>
      <c r="E5826" s="1">
        <f>4+3</f>
        <v>7</v>
      </c>
      <c r="F5826" s="78">
        <f t="shared" si="519"/>
        <v>783</v>
      </c>
    </row>
    <row r="5827" spans="1:6" x14ac:dyDescent="0.25">
      <c r="A5827" s="84" t="s">
        <v>35</v>
      </c>
      <c r="B5827" s="356">
        <v>44135</v>
      </c>
      <c r="C5827" s="1">
        <v>110</v>
      </c>
      <c r="D5827" s="47">
        <f t="shared" si="520"/>
        <v>2366</v>
      </c>
      <c r="F5827" s="78">
        <f t="shared" si="519"/>
        <v>101</v>
      </c>
    </row>
    <row r="5828" spans="1:6" x14ac:dyDescent="0.25">
      <c r="A5828" s="84" t="s">
        <v>36</v>
      </c>
      <c r="B5828" s="356">
        <v>44135</v>
      </c>
      <c r="C5828" s="1">
        <v>167</v>
      </c>
      <c r="D5828" s="47">
        <f t="shared" si="520"/>
        <v>6981</v>
      </c>
      <c r="F5828" s="78">
        <f t="shared" si="519"/>
        <v>54</v>
      </c>
    </row>
    <row r="5829" spans="1:6" x14ac:dyDescent="0.25">
      <c r="A5829" s="84" t="s">
        <v>37</v>
      </c>
      <c r="B5829" s="356">
        <v>44135</v>
      </c>
      <c r="C5829" s="1">
        <v>159</v>
      </c>
      <c r="D5829" s="47">
        <f t="shared" si="520"/>
        <v>9508</v>
      </c>
      <c r="E5829" s="1">
        <f>3</f>
        <v>3</v>
      </c>
      <c r="F5829" s="78">
        <f t="shared" si="519"/>
        <v>133</v>
      </c>
    </row>
    <row r="5830" spans="1:6" x14ac:dyDescent="0.25">
      <c r="A5830" s="84" t="s">
        <v>22</v>
      </c>
      <c r="B5830" s="356">
        <v>44135</v>
      </c>
      <c r="C5830" s="1">
        <v>1718</v>
      </c>
      <c r="D5830" s="47">
        <f t="shared" si="520"/>
        <v>106348</v>
      </c>
      <c r="E5830" s="1">
        <f>5+11</f>
        <v>16</v>
      </c>
      <c r="F5830" s="78">
        <f t="shared" si="519"/>
        <v>1297</v>
      </c>
    </row>
    <row r="5831" spans="1:6" x14ac:dyDescent="0.25">
      <c r="A5831" s="84" t="s">
        <v>38</v>
      </c>
      <c r="B5831" s="356">
        <v>44135</v>
      </c>
      <c r="C5831" s="1">
        <v>221</v>
      </c>
      <c r="D5831" s="47">
        <f t="shared" si="520"/>
        <v>9799</v>
      </c>
      <c r="E5831" s="1">
        <f>3</f>
        <v>3</v>
      </c>
      <c r="F5831" s="78">
        <f t="shared" si="519"/>
        <v>132</v>
      </c>
    </row>
    <row r="5832" spans="1:6" x14ac:dyDescent="0.25">
      <c r="A5832" s="84" t="s">
        <v>39</v>
      </c>
      <c r="B5832" s="356">
        <v>44135</v>
      </c>
      <c r="C5832" s="1">
        <v>189</v>
      </c>
      <c r="D5832" s="47">
        <f t="shared" si="520"/>
        <v>11376</v>
      </c>
      <c r="E5832" s="1">
        <f>1</f>
        <v>1</v>
      </c>
      <c r="F5832" s="78">
        <f t="shared" si="519"/>
        <v>148</v>
      </c>
    </row>
    <row r="5833" spans="1:6" ht="15.75" thickBot="1" x14ac:dyDescent="0.3">
      <c r="A5833" s="85" t="s">
        <v>40</v>
      </c>
      <c r="B5833" s="358">
        <v>44135</v>
      </c>
      <c r="C5833" s="54">
        <v>729</v>
      </c>
      <c r="D5833" s="214">
        <f>C5833+D5809</f>
        <v>49523</v>
      </c>
      <c r="E5833" s="54">
        <f>3+3</f>
        <v>6</v>
      </c>
      <c r="F5833" s="79">
        <f t="shared" si="519"/>
        <v>772</v>
      </c>
    </row>
    <row r="5834" spans="1:6" x14ac:dyDescent="0.25">
      <c r="A5834" s="36" t="s">
        <v>16</v>
      </c>
      <c r="B5834" s="356">
        <v>44136</v>
      </c>
      <c r="C5834" s="293">
        <v>1574</v>
      </c>
      <c r="D5834" s="211">
        <f t="shared" ref="D5834:D5897" si="521">C5834+D5810</f>
        <v>550939</v>
      </c>
      <c r="E5834" s="293">
        <v>41</v>
      </c>
      <c r="F5834" s="77">
        <f t="shared" si="519"/>
        <v>17652</v>
      </c>
    </row>
    <row r="5835" spans="1:6" x14ac:dyDescent="0.25">
      <c r="A5835" s="84" t="s">
        <v>43</v>
      </c>
      <c r="B5835" s="356">
        <v>44136</v>
      </c>
      <c r="C5835" s="1">
        <v>258</v>
      </c>
      <c r="D5835" s="47">
        <f t="shared" si="521"/>
        <v>147459</v>
      </c>
      <c r="E5835" s="1">
        <v>41</v>
      </c>
      <c r="F5835" s="78">
        <f t="shared" si="519"/>
        <v>4796</v>
      </c>
    </row>
    <row r="5836" spans="1:6" x14ac:dyDescent="0.25">
      <c r="A5836" s="84" t="s">
        <v>28</v>
      </c>
      <c r="B5836" s="356">
        <v>44136</v>
      </c>
      <c r="C5836" s="1">
        <v>39</v>
      </c>
      <c r="D5836" s="47">
        <f t="shared" si="521"/>
        <v>935</v>
      </c>
      <c r="F5836" s="78">
        <f t="shared" si="519"/>
        <v>0</v>
      </c>
    </row>
    <row r="5837" spans="1:6" x14ac:dyDescent="0.25">
      <c r="A5837" s="84" t="s">
        <v>15</v>
      </c>
      <c r="B5837" s="356">
        <v>44136</v>
      </c>
      <c r="C5837" s="1">
        <v>141</v>
      </c>
      <c r="D5837" s="47">
        <f t="shared" si="521"/>
        <v>14191</v>
      </c>
      <c r="E5837" s="1">
        <v>5</v>
      </c>
      <c r="F5837" s="78">
        <f t="shared" si="519"/>
        <v>432</v>
      </c>
    </row>
    <row r="5838" spans="1:6" x14ac:dyDescent="0.25">
      <c r="A5838" s="84" t="s">
        <v>29</v>
      </c>
      <c r="B5838" s="356">
        <v>44136</v>
      </c>
      <c r="C5838" s="1">
        <v>93</v>
      </c>
      <c r="D5838" s="47">
        <f t="shared" si="521"/>
        <v>14475</v>
      </c>
      <c r="E5838" s="1">
        <v>1</v>
      </c>
      <c r="F5838" s="78">
        <f t="shared" si="519"/>
        <v>249</v>
      </c>
    </row>
    <row r="5839" spans="1:6" x14ac:dyDescent="0.25">
      <c r="A5839" s="84" t="s">
        <v>20</v>
      </c>
      <c r="B5839" s="356">
        <v>44136</v>
      </c>
      <c r="C5839" s="1">
        <v>903</v>
      </c>
      <c r="D5839" s="47">
        <f t="shared" si="521"/>
        <v>86318</v>
      </c>
      <c r="E5839" s="1">
        <v>18</v>
      </c>
      <c r="F5839" s="78">
        <f t="shared" si="519"/>
        <v>1309</v>
      </c>
    </row>
    <row r="5840" spans="1:6" x14ac:dyDescent="0.25">
      <c r="A5840" s="84" t="s">
        <v>30</v>
      </c>
      <c r="B5840" s="356">
        <v>44136</v>
      </c>
      <c r="C5840" s="1">
        <v>4</v>
      </c>
      <c r="D5840" s="47">
        <f t="shared" si="521"/>
        <v>2553</v>
      </c>
      <c r="F5840" s="78">
        <f t="shared" si="519"/>
        <v>47</v>
      </c>
    </row>
    <row r="5841" spans="1:6" x14ac:dyDescent="0.25">
      <c r="A5841" s="84" t="s">
        <v>31</v>
      </c>
      <c r="B5841" s="356">
        <v>44136</v>
      </c>
      <c r="C5841" s="1">
        <v>198</v>
      </c>
      <c r="D5841" s="47">
        <f t="shared" si="521"/>
        <v>16195</v>
      </c>
      <c r="E5841" s="1">
        <v>1</v>
      </c>
      <c r="F5841" s="78">
        <f t="shared" si="519"/>
        <v>278</v>
      </c>
    </row>
    <row r="5842" spans="1:6" x14ac:dyDescent="0.25">
      <c r="A5842" s="84" t="s">
        <v>41</v>
      </c>
      <c r="B5842" s="356">
        <v>44136</v>
      </c>
      <c r="C5842" s="1">
        <v>-2</v>
      </c>
      <c r="D5842" s="47">
        <f t="shared" si="521"/>
        <v>151</v>
      </c>
      <c r="E5842" s="1">
        <v>1</v>
      </c>
      <c r="F5842" s="78">
        <f t="shared" si="519"/>
        <v>2</v>
      </c>
    </row>
    <row r="5843" spans="1:6" x14ac:dyDescent="0.25">
      <c r="A5843" s="84" t="s">
        <v>32</v>
      </c>
      <c r="B5843" s="356">
        <v>44136</v>
      </c>
      <c r="C5843" s="1">
        <v>28</v>
      </c>
      <c r="D5843" s="47">
        <f t="shared" si="521"/>
        <v>17884</v>
      </c>
      <c r="E5843" s="1">
        <v>1</v>
      </c>
      <c r="F5843" s="78">
        <f t="shared" si="519"/>
        <v>812</v>
      </c>
    </row>
    <row r="5844" spans="1:6" x14ac:dyDescent="0.25">
      <c r="A5844" s="84" t="s">
        <v>33</v>
      </c>
      <c r="B5844" s="356">
        <v>44136</v>
      </c>
      <c r="C5844" s="1">
        <v>82</v>
      </c>
      <c r="D5844" s="47">
        <f t="shared" si="521"/>
        <v>3361</v>
      </c>
      <c r="F5844" s="78">
        <f t="shared" si="519"/>
        <v>33</v>
      </c>
    </row>
    <row r="5845" spans="1:6" x14ac:dyDescent="0.25">
      <c r="A5845" s="84" t="s">
        <v>21</v>
      </c>
      <c r="B5845" s="356">
        <v>44136</v>
      </c>
      <c r="C5845" s="1">
        <v>35</v>
      </c>
      <c r="D5845" s="47">
        <f t="shared" si="521"/>
        <v>7604</v>
      </c>
      <c r="F5845" s="78">
        <f t="shared" si="519"/>
        <v>272</v>
      </c>
    </row>
    <row r="5846" spans="1:6" x14ac:dyDescent="0.25">
      <c r="A5846" s="84" t="s">
        <v>17</v>
      </c>
      <c r="B5846" s="356">
        <v>44136</v>
      </c>
      <c r="C5846" s="1">
        <v>207</v>
      </c>
      <c r="D5846" s="47">
        <f t="shared" si="521"/>
        <v>47280</v>
      </c>
      <c r="E5846" s="1">
        <v>1</v>
      </c>
      <c r="F5846" s="78">
        <f t="shared" si="519"/>
        <v>779</v>
      </c>
    </row>
    <row r="5847" spans="1:6" x14ac:dyDescent="0.25">
      <c r="A5847" s="84" t="s">
        <v>23</v>
      </c>
      <c r="B5847" s="356">
        <v>44136</v>
      </c>
      <c r="C5847" s="1">
        <v>17</v>
      </c>
      <c r="D5847" s="47">
        <f t="shared" si="521"/>
        <v>278</v>
      </c>
      <c r="F5847" s="78">
        <f t="shared" si="519"/>
        <v>5</v>
      </c>
    </row>
    <row r="5848" spans="1:6" x14ac:dyDescent="0.25">
      <c r="A5848" s="84" t="s">
        <v>19</v>
      </c>
      <c r="B5848" s="356">
        <v>44136</v>
      </c>
      <c r="C5848" s="1">
        <v>256</v>
      </c>
      <c r="D5848" s="47">
        <f t="shared" si="521"/>
        <v>22494</v>
      </c>
      <c r="E5848" s="1">
        <v>1</v>
      </c>
      <c r="F5848" s="78">
        <f t="shared" si="519"/>
        <v>406</v>
      </c>
    </row>
    <row r="5849" spans="1:6" x14ac:dyDescent="0.25">
      <c r="A5849" s="84" t="s">
        <v>18</v>
      </c>
      <c r="B5849" s="356">
        <v>44136</v>
      </c>
      <c r="C5849" s="1">
        <v>144</v>
      </c>
      <c r="D5849" s="47">
        <f t="shared" si="521"/>
        <v>24137</v>
      </c>
      <c r="E5849" s="1">
        <v>2</v>
      </c>
      <c r="F5849" s="78">
        <f t="shared" si="519"/>
        <v>614</v>
      </c>
    </row>
    <row r="5850" spans="1:6" x14ac:dyDescent="0.25">
      <c r="A5850" s="84" t="s">
        <v>34</v>
      </c>
      <c r="B5850" s="356">
        <v>44136</v>
      </c>
      <c r="C5850" s="1">
        <v>139</v>
      </c>
      <c r="D5850" s="47">
        <f t="shared" si="521"/>
        <v>18885</v>
      </c>
      <c r="E5850" s="1">
        <v>6</v>
      </c>
      <c r="F5850" s="78">
        <f t="shared" si="519"/>
        <v>789</v>
      </c>
    </row>
    <row r="5851" spans="1:6" x14ac:dyDescent="0.25">
      <c r="A5851" s="84" t="s">
        <v>35</v>
      </c>
      <c r="B5851" s="356">
        <v>44136</v>
      </c>
      <c r="C5851" s="1">
        <v>59</v>
      </c>
      <c r="D5851" s="47">
        <f t="shared" si="521"/>
        <v>2425</v>
      </c>
      <c r="F5851" s="78">
        <f t="shared" si="519"/>
        <v>101</v>
      </c>
    </row>
    <row r="5852" spans="1:6" x14ac:dyDescent="0.25">
      <c r="A5852" s="84" t="s">
        <v>36</v>
      </c>
      <c r="B5852" s="356">
        <v>44136</v>
      </c>
      <c r="C5852" s="1">
        <v>248</v>
      </c>
      <c r="D5852" s="47">
        <f t="shared" si="521"/>
        <v>7229</v>
      </c>
      <c r="F5852" s="78">
        <f t="shared" si="519"/>
        <v>54</v>
      </c>
    </row>
    <row r="5853" spans="1:6" x14ac:dyDescent="0.25">
      <c r="A5853" s="84" t="s">
        <v>37</v>
      </c>
      <c r="B5853" s="356">
        <v>44136</v>
      </c>
      <c r="C5853" s="1">
        <v>176</v>
      </c>
      <c r="D5853" s="47">
        <f t="shared" si="521"/>
        <v>9684</v>
      </c>
      <c r="E5853" s="1">
        <v>2</v>
      </c>
      <c r="F5853" s="78">
        <f t="shared" si="519"/>
        <v>135</v>
      </c>
    </row>
    <row r="5854" spans="1:6" x14ac:dyDescent="0.25">
      <c r="A5854" s="84" t="s">
        <v>22</v>
      </c>
      <c r="B5854" s="356">
        <v>44136</v>
      </c>
      <c r="C5854" s="1">
        <v>1170</v>
      </c>
      <c r="D5854" s="47">
        <f t="shared" si="521"/>
        <v>107518</v>
      </c>
      <c r="E5854" s="1">
        <v>17</v>
      </c>
      <c r="F5854" s="78">
        <f t="shared" si="519"/>
        <v>1314</v>
      </c>
    </row>
    <row r="5855" spans="1:6" x14ac:dyDescent="0.25">
      <c r="A5855" s="84" t="s">
        <v>38</v>
      </c>
      <c r="B5855" s="356">
        <v>44136</v>
      </c>
      <c r="C5855" s="1">
        <v>182</v>
      </c>
      <c r="D5855" s="47">
        <f t="shared" si="521"/>
        <v>9981</v>
      </c>
      <c r="E5855" s="1">
        <v>1</v>
      </c>
      <c r="F5855" s="78">
        <f t="shared" si="519"/>
        <v>133</v>
      </c>
    </row>
    <row r="5856" spans="1:6" x14ac:dyDescent="0.25">
      <c r="A5856" s="84" t="s">
        <v>39</v>
      </c>
      <c r="B5856" s="356">
        <v>44136</v>
      </c>
      <c r="C5856" s="1">
        <v>205</v>
      </c>
      <c r="D5856" s="47">
        <f t="shared" si="521"/>
        <v>11581</v>
      </c>
      <c r="E5856" s="1">
        <v>2</v>
      </c>
      <c r="F5856" s="78">
        <f t="shared" si="519"/>
        <v>150</v>
      </c>
    </row>
    <row r="5857" spans="1:6" ht="15.75" thickBot="1" x14ac:dyDescent="0.3">
      <c r="A5857" s="85" t="s">
        <v>40</v>
      </c>
      <c r="B5857" s="356">
        <v>44136</v>
      </c>
      <c r="C5857" s="1">
        <v>453</v>
      </c>
      <c r="D5857" s="214">
        <f>C5857+D5833</f>
        <v>49976</v>
      </c>
      <c r="F5857" s="79">
        <f t="shared" si="519"/>
        <v>772</v>
      </c>
    </row>
    <row r="5858" spans="1:6" x14ac:dyDescent="0.25">
      <c r="A5858" s="36" t="s">
        <v>16</v>
      </c>
      <c r="B5858" s="356">
        <v>44137</v>
      </c>
      <c r="C5858" s="1">
        <v>3022</v>
      </c>
      <c r="D5858" s="211">
        <f t="shared" si="521"/>
        <v>553961</v>
      </c>
      <c r="E5858" s="1">
        <v>203</v>
      </c>
      <c r="F5858" s="77">
        <f t="shared" si="519"/>
        <v>17855</v>
      </c>
    </row>
    <row r="5859" spans="1:6" x14ac:dyDescent="0.25">
      <c r="A5859" s="84" t="s">
        <v>43</v>
      </c>
      <c r="B5859" s="356">
        <v>44137</v>
      </c>
      <c r="C5859" s="1">
        <v>425</v>
      </c>
      <c r="D5859" s="47">
        <f t="shared" si="521"/>
        <v>147884</v>
      </c>
      <c r="E5859" s="1">
        <v>35</v>
      </c>
      <c r="F5859" s="78">
        <f t="shared" si="519"/>
        <v>4831</v>
      </c>
    </row>
    <row r="5860" spans="1:6" x14ac:dyDescent="0.25">
      <c r="A5860" s="84" t="s">
        <v>28</v>
      </c>
      <c r="B5860" s="356">
        <v>44137</v>
      </c>
      <c r="C5860" s="1">
        <v>45</v>
      </c>
      <c r="D5860" s="47">
        <f t="shared" si="521"/>
        <v>980</v>
      </c>
      <c r="F5860" s="78">
        <f t="shared" si="519"/>
        <v>0</v>
      </c>
    </row>
    <row r="5861" spans="1:6" x14ac:dyDescent="0.25">
      <c r="A5861" s="84" t="s">
        <v>15</v>
      </c>
      <c r="B5861" s="356">
        <v>44137</v>
      </c>
      <c r="C5861" s="1">
        <v>73</v>
      </c>
      <c r="D5861" s="47">
        <f t="shared" si="521"/>
        <v>14264</v>
      </c>
      <c r="E5861" s="1">
        <v>2</v>
      </c>
      <c r="F5861" s="78">
        <f t="shared" si="519"/>
        <v>434</v>
      </c>
    </row>
    <row r="5862" spans="1:6" x14ac:dyDescent="0.25">
      <c r="A5862" s="84" t="s">
        <v>29</v>
      </c>
      <c r="B5862" s="356">
        <v>44137</v>
      </c>
      <c r="C5862" s="1">
        <v>316</v>
      </c>
      <c r="D5862" s="47">
        <f t="shared" si="521"/>
        <v>14791</v>
      </c>
      <c r="E5862" s="1">
        <v>5</v>
      </c>
      <c r="F5862" s="78">
        <f t="shared" si="519"/>
        <v>254</v>
      </c>
    </row>
    <row r="5863" spans="1:6" x14ac:dyDescent="0.25">
      <c r="A5863" s="84" t="s">
        <v>20</v>
      </c>
      <c r="B5863" s="356">
        <v>44137</v>
      </c>
      <c r="C5863" s="1">
        <v>633</v>
      </c>
      <c r="D5863" s="47">
        <f t="shared" si="521"/>
        <v>86951</v>
      </c>
      <c r="E5863" s="1">
        <v>27</v>
      </c>
      <c r="F5863" s="78">
        <f t="shared" si="519"/>
        <v>1336</v>
      </c>
    </row>
    <row r="5864" spans="1:6" x14ac:dyDescent="0.25">
      <c r="A5864" s="84" t="s">
        <v>30</v>
      </c>
      <c r="B5864" s="356">
        <v>44137</v>
      </c>
      <c r="C5864" s="1">
        <v>40</v>
      </c>
      <c r="D5864" s="47">
        <f t="shared" si="521"/>
        <v>2593</v>
      </c>
      <c r="F5864" s="78">
        <f t="shared" si="519"/>
        <v>47</v>
      </c>
    </row>
    <row r="5865" spans="1:6" x14ac:dyDescent="0.25">
      <c r="A5865" s="84" t="s">
        <v>31</v>
      </c>
      <c r="B5865" s="356">
        <v>44137</v>
      </c>
      <c r="C5865" s="1">
        <v>231</v>
      </c>
      <c r="D5865" s="47">
        <f t="shared" si="521"/>
        <v>16426</v>
      </c>
      <c r="E5865" s="1">
        <v>9</v>
      </c>
      <c r="F5865" s="78">
        <f t="shared" si="519"/>
        <v>287</v>
      </c>
    </row>
    <row r="5866" spans="1:6" x14ac:dyDescent="0.25">
      <c r="A5866" s="84" t="s">
        <v>41</v>
      </c>
      <c r="B5866" s="356">
        <v>44137</v>
      </c>
      <c r="C5866" s="1">
        <v>7</v>
      </c>
      <c r="D5866" s="47">
        <f t="shared" si="521"/>
        <v>158</v>
      </c>
      <c r="F5866" s="78">
        <f t="shared" ref="F5866:F5930" si="522">E5866+F5842</f>
        <v>2</v>
      </c>
    </row>
    <row r="5867" spans="1:6" x14ac:dyDescent="0.25">
      <c r="A5867" s="84" t="s">
        <v>32</v>
      </c>
      <c r="B5867" s="356">
        <v>44137</v>
      </c>
      <c r="C5867" s="1">
        <v>34</v>
      </c>
      <c r="D5867" s="47">
        <f t="shared" si="521"/>
        <v>17918</v>
      </c>
      <c r="E5867" s="1">
        <v>3</v>
      </c>
      <c r="F5867" s="78">
        <f t="shared" si="522"/>
        <v>815</v>
      </c>
    </row>
    <row r="5868" spans="1:6" x14ac:dyDescent="0.25">
      <c r="A5868" s="84" t="s">
        <v>33</v>
      </c>
      <c r="B5868" s="356">
        <v>44137</v>
      </c>
      <c r="C5868" s="1">
        <v>119</v>
      </c>
      <c r="D5868" s="47">
        <f t="shared" si="521"/>
        <v>3480</v>
      </c>
      <c r="E5868" s="1">
        <v>3</v>
      </c>
      <c r="F5868" s="78">
        <f t="shared" si="522"/>
        <v>36</v>
      </c>
    </row>
    <row r="5869" spans="1:6" x14ac:dyDescent="0.25">
      <c r="A5869" s="84" t="s">
        <v>21</v>
      </c>
      <c r="B5869" s="356">
        <v>44137</v>
      </c>
      <c r="C5869" s="1">
        <v>36</v>
      </c>
      <c r="D5869" s="47">
        <f t="shared" si="521"/>
        <v>7640</v>
      </c>
      <c r="E5869" s="1">
        <v>2</v>
      </c>
      <c r="F5869" s="78">
        <f t="shared" si="522"/>
        <v>274</v>
      </c>
    </row>
    <row r="5870" spans="1:6" x14ac:dyDescent="0.25">
      <c r="A5870" s="84" t="s">
        <v>17</v>
      </c>
      <c r="B5870" s="356">
        <v>44137</v>
      </c>
      <c r="C5870" s="1">
        <v>513</v>
      </c>
      <c r="D5870" s="47">
        <f t="shared" si="521"/>
        <v>47793</v>
      </c>
      <c r="E5870" s="1">
        <v>19</v>
      </c>
      <c r="F5870" s="78">
        <f t="shared" si="522"/>
        <v>798</v>
      </c>
    </row>
    <row r="5871" spans="1:6" x14ac:dyDescent="0.25">
      <c r="A5871" s="84" t="s">
        <v>23</v>
      </c>
      <c r="B5871" s="356">
        <v>44137</v>
      </c>
      <c r="C5871" s="1">
        <v>4</v>
      </c>
      <c r="D5871" s="47">
        <f t="shared" si="521"/>
        <v>282</v>
      </c>
      <c r="F5871" s="78">
        <f t="shared" si="522"/>
        <v>5</v>
      </c>
    </row>
    <row r="5872" spans="1:6" x14ac:dyDescent="0.25">
      <c r="A5872" s="84" t="s">
        <v>19</v>
      </c>
      <c r="B5872" s="356">
        <v>44137</v>
      </c>
      <c r="C5872" s="1">
        <v>250</v>
      </c>
      <c r="D5872" s="47">
        <f t="shared" si="521"/>
        <v>22744</v>
      </c>
      <c r="E5872" s="1">
        <v>2</v>
      </c>
      <c r="F5872" s="78">
        <f t="shared" si="522"/>
        <v>408</v>
      </c>
    </row>
    <row r="5873" spans="1:6" x14ac:dyDescent="0.25">
      <c r="A5873" s="84" t="s">
        <v>18</v>
      </c>
      <c r="B5873" s="356">
        <v>44137</v>
      </c>
      <c r="C5873" s="1">
        <v>275</v>
      </c>
      <c r="D5873" s="47">
        <f t="shared" si="521"/>
        <v>24412</v>
      </c>
      <c r="E5873" s="1">
        <v>17</v>
      </c>
      <c r="F5873" s="78">
        <f t="shared" si="522"/>
        <v>631</v>
      </c>
    </row>
    <row r="5874" spans="1:6" x14ac:dyDescent="0.25">
      <c r="A5874" s="84" t="s">
        <v>34</v>
      </c>
      <c r="B5874" s="356">
        <v>44137</v>
      </c>
      <c r="C5874" s="1">
        <v>64</v>
      </c>
      <c r="D5874" s="47">
        <f t="shared" si="521"/>
        <v>18949</v>
      </c>
      <c r="E5874" s="1">
        <v>4</v>
      </c>
      <c r="F5874" s="78">
        <f t="shared" si="522"/>
        <v>793</v>
      </c>
    </row>
    <row r="5875" spans="1:6" x14ac:dyDescent="0.25">
      <c r="A5875" s="84" t="s">
        <v>35</v>
      </c>
      <c r="B5875" s="356">
        <v>44137</v>
      </c>
      <c r="C5875" s="1">
        <v>304</v>
      </c>
      <c r="D5875" s="47">
        <f t="shared" si="521"/>
        <v>2729</v>
      </c>
      <c r="F5875" s="78">
        <f t="shared" si="522"/>
        <v>101</v>
      </c>
    </row>
    <row r="5876" spans="1:6" x14ac:dyDescent="0.25">
      <c r="A5876" s="84" t="s">
        <v>36</v>
      </c>
      <c r="B5876" s="356">
        <v>44137</v>
      </c>
      <c r="C5876" s="1">
        <v>380</v>
      </c>
      <c r="D5876" s="47">
        <f t="shared" si="521"/>
        <v>7609</v>
      </c>
      <c r="E5876" s="1">
        <v>17</v>
      </c>
      <c r="F5876" s="78">
        <f t="shared" si="522"/>
        <v>71</v>
      </c>
    </row>
    <row r="5877" spans="1:6" x14ac:dyDescent="0.25">
      <c r="A5877" s="84" t="s">
        <v>37</v>
      </c>
      <c r="B5877" s="356">
        <v>44137</v>
      </c>
      <c r="C5877" s="1">
        <v>131</v>
      </c>
      <c r="D5877" s="47">
        <f t="shared" si="521"/>
        <v>9815</v>
      </c>
      <c r="E5877" s="1">
        <v>6</v>
      </c>
      <c r="F5877" s="78">
        <f t="shared" si="522"/>
        <v>141</v>
      </c>
    </row>
    <row r="5878" spans="1:6" x14ac:dyDescent="0.25">
      <c r="A5878" s="84" t="s">
        <v>22</v>
      </c>
      <c r="B5878" s="356">
        <v>44137</v>
      </c>
      <c r="C5878" s="1">
        <v>1793</v>
      </c>
      <c r="D5878" s="47">
        <f t="shared" si="521"/>
        <v>109311</v>
      </c>
      <c r="E5878" s="1">
        <v>75</v>
      </c>
      <c r="F5878" s="78">
        <f t="shared" si="522"/>
        <v>1389</v>
      </c>
    </row>
    <row r="5879" spans="1:6" x14ac:dyDescent="0.25">
      <c r="A5879" s="84" t="s">
        <v>38</v>
      </c>
      <c r="B5879" s="356">
        <v>44137</v>
      </c>
      <c r="C5879" s="1">
        <v>111</v>
      </c>
      <c r="D5879" s="47">
        <f t="shared" si="521"/>
        <v>10092</v>
      </c>
      <c r="E5879" s="1">
        <v>1</v>
      </c>
      <c r="F5879" s="78">
        <f t="shared" si="522"/>
        <v>134</v>
      </c>
    </row>
    <row r="5880" spans="1:6" x14ac:dyDescent="0.25">
      <c r="A5880" s="84" t="s">
        <v>39</v>
      </c>
      <c r="B5880" s="356">
        <v>44137</v>
      </c>
      <c r="C5880" s="1">
        <v>127</v>
      </c>
      <c r="D5880" s="47">
        <f t="shared" si="521"/>
        <v>11708</v>
      </c>
      <c r="E5880" s="1">
        <v>7</v>
      </c>
      <c r="F5880" s="78">
        <f t="shared" si="522"/>
        <v>157</v>
      </c>
    </row>
    <row r="5881" spans="1:6" ht="15.75" thickBot="1" x14ac:dyDescent="0.3">
      <c r="A5881" s="85" t="s">
        <v>40</v>
      </c>
      <c r="B5881" s="356">
        <v>44137</v>
      </c>
      <c r="C5881" s="1">
        <v>666</v>
      </c>
      <c r="D5881" s="214">
        <f>C5881+D5857</f>
        <v>50642</v>
      </c>
      <c r="E5881" s="1">
        <v>41</v>
      </c>
      <c r="F5881" s="79">
        <f t="shared" si="522"/>
        <v>813</v>
      </c>
    </row>
    <row r="5882" spans="1:6" x14ac:dyDescent="0.25">
      <c r="A5882" s="36" t="s">
        <v>16</v>
      </c>
      <c r="B5882" s="356">
        <v>44138</v>
      </c>
      <c r="C5882" s="1">
        <v>3615</v>
      </c>
      <c r="D5882" s="211">
        <f t="shared" si="521"/>
        <v>557576</v>
      </c>
      <c r="E5882" s="1">
        <v>188</v>
      </c>
      <c r="F5882" s="77">
        <f t="shared" si="522"/>
        <v>18043</v>
      </c>
    </row>
    <row r="5883" spans="1:6" x14ac:dyDescent="0.25">
      <c r="A5883" s="84" t="s">
        <v>43</v>
      </c>
      <c r="B5883" s="356">
        <v>44138</v>
      </c>
      <c r="C5883" s="1">
        <v>460</v>
      </c>
      <c r="D5883" s="47">
        <f t="shared" si="521"/>
        <v>148344</v>
      </c>
      <c r="E5883" s="1">
        <v>25</v>
      </c>
      <c r="F5883" s="78">
        <f t="shared" si="522"/>
        <v>4856</v>
      </c>
    </row>
    <row r="5884" spans="1:6" x14ac:dyDescent="0.25">
      <c r="A5884" s="84" t="s">
        <v>28</v>
      </c>
      <c r="B5884" s="356">
        <v>44138</v>
      </c>
      <c r="C5884" s="1">
        <v>31</v>
      </c>
      <c r="D5884" s="47">
        <f t="shared" si="521"/>
        <v>1011</v>
      </c>
      <c r="F5884" s="78">
        <f t="shared" si="522"/>
        <v>0</v>
      </c>
    </row>
    <row r="5885" spans="1:6" x14ac:dyDescent="0.25">
      <c r="A5885" s="84" t="s">
        <v>15</v>
      </c>
      <c r="B5885" s="356">
        <v>44138</v>
      </c>
      <c r="C5885" s="1">
        <v>131</v>
      </c>
      <c r="D5885" s="47">
        <f t="shared" si="521"/>
        <v>14395</v>
      </c>
      <c r="E5885" s="1">
        <v>7</v>
      </c>
      <c r="F5885" s="78">
        <f t="shared" si="522"/>
        <v>441</v>
      </c>
    </row>
    <row r="5886" spans="1:6" x14ac:dyDescent="0.25">
      <c r="A5886" s="84" t="s">
        <v>29</v>
      </c>
      <c r="B5886" s="356">
        <v>44138</v>
      </c>
      <c r="C5886" s="1">
        <v>421</v>
      </c>
      <c r="D5886" s="47">
        <f t="shared" si="521"/>
        <v>15212</v>
      </c>
      <c r="F5886" s="78">
        <f t="shared" si="522"/>
        <v>254</v>
      </c>
    </row>
    <row r="5887" spans="1:6" x14ac:dyDescent="0.25">
      <c r="A5887" s="84" t="s">
        <v>20</v>
      </c>
      <c r="B5887" s="356">
        <v>44138</v>
      </c>
      <c r="C5887" s="1">
        <v>1339</v>
      </c>
      <c r="D5887" s="47">
        <f t="shared" si="521"/>
        <v>88290</v>
      </c>
      <c r="E5887" s="1">
        <v>22</v>
      </c>
      <c r="F5887" s="78">
        <f t="shared" si="522"/>
        <v>1358</v>
      </c>
    </row>
    <row r="5888" spans="1:6" x14ac:dyDescent="0.25">
      <c r="A5888" s="84" t="s">
        <v>30</v>
      </c>
      <c r="B5888" s="356">
        <v>44138</v>
      </c>
      <c r="C5888" s="1">
        <v>26</v>
      </c>
      <c r="D5888" s="47">
        <f t="shared" si="521"/>
        <v>2619</v>
      </c>
      <c r="F5888" s="78">
        <f t="shared" si="522"/>
        <v>47</v>
      </c>
    </row>
    <row r="5889" spans="1:6" x14ac:dyDescent="0.25">
      <c r="A5889" s="84" t="s">
        <v>31</v>
      </c>
      <c r="B5889" s="356">
        <v>44138</v>
      </c>
      <c r="C5889" s="1">
        <v>258</v>
      </c>
      <c r="D5889" s="47">
        <f t="shared" si="521"/>
        <v>16684</v>
      </c>
      <c r="E5889" s="1">
        <v>7</v>
      </c>
      <c r="F5889" s="78">
        <f t="shared" si="522"/>
        <v>294</v>
      </c>
    </row>
    <row r="5890" spans="1:6" x14ac:dyDescent="0.25">
      <c r="A5890" s="84" t="s">
        <v>41</v>
      </c>
      <c r="B5890" s="356">
        <v>44138</v>
      </c>
      <c r="C5890" s="1">
        <v>0</v>
      </c>
      <c r="D5890" s="47">
        <f t="shared" si="521"/>
        <v>158</v>
      </c>
      <c r="F5890" s="78">
        <f t="shared" si="522"/>
        <v>2</v>
      </c>
    </row>
    <row r="5891" spans="1:6" x14ac:dyDescent="0.25">
      <c r="A5891" s="84" t="s">
        <v>32</v>
      </c>
      <c r="B5891" s="356">
        <v>44138</v>
      </c>
      <c r="C5891" s="1">
        <v>22</v>
      </c>
      <c r="D5891" s="47">
        <f t="shared" si="521"/>
        <v>17940</v>
      </c>
      <c r="E5891" s="1">
        <v>2</v>
      </c>
      <c r="F5891" s="78">
        <f t="shared" si="522"/>
        <v>817</v>
      </c>
    </row>
    <row r="5892" spans="1:6" x14ac:dyDescent="0.25">
      <c r="A5892" s="84" t="s">
        <v>33</v>
      </c>
      <c r="B5892" s="356">
        <v>44138</v>
      </c>
      <c r="C5892" s="1">
        <v>84</v>
      </c>
      <c r="D5892" s="47">
        <f t="shared" si="521"/>
        <v>3564</v>
      </c>
      <c r="F5892" s="78">
        <f t="shared" si="522"/>
        <v>36</v>
      </c>
    </row>
    <row r="5893" spans="1:6" x14ac:dyDescent="0.25">
      <c r="A5893" s="84" t="s">
        <v>21</v>
      </c>
      <c r="B5893" s="356">
        <v>44138</v>
      </c>
      <c r="C5893" s="1">
        <v>42</v>
      </c>
      <c r="D5893" s="47">
        <f t="shared" si="521"/>
        <v>7682</v>
      </c>
      <c r="E5893" s="1">
        <v>9</v>
      </c>
      <c r="F5893" s="78">
        <f t="shared" si="522"/>
        <v>283</v>
      </c>
    </row>
    <row r="5894" spans="1:6" x14ac:dyDescent="0.25">
      <c r="A5894" s="84" t="s">
        <v>17</v>
      </c>
      <c r="B5894" s="356">
        <v>44138</v>
      </c>
      <c r="C5894" s="1">
        <v>515</v>
      </c>
      <c r="D5894" s="47">
        <f t="shared" si="521"/>
        <v>48308</v>
      </c>
      <c r="E5894" s="1">
        <v>15</v>
      </c>
      <c r="F5894" s="78">
        <f t="shared" si="522"/>
        <v>813</v>
      </c>
    </row>
    <row r="5895" spans="1:6" x14ac:dyDescent="0.25">
      <c r="A5895" s="84" t="s">
        <v>23</v>
      </c>
      <c r="B5895" s="356">
        <v>44138</v>
      </c>
      <c r="C5895" s="1">
        <v>16</v>
      </c>
      <c r="D5895" s="47">
        <f t="shared" si="521"/>
        <v>298</v>
      </c>
      <c r="E5895" s="1">
        <v>1</v>
      </c>
      <c r="F5895" s="78">
        <f t="shared" si="522"/>
        <v>6</v>
      </c>
    </row>
    <row r="5896" spans="1:6" x14ac:dyDescent="0.25">
      <c r="A5896" s="84" t="s">
        <v>19</v>
      </c>
      <c r="B5896" s="356">
        <v>44138</v>
      </c>
      <c r="C5896" s="1">
        <v>934</v>
      </c>
      <c r="D5896" s="47">
        <f t="shared" si="521"/>
        <v>23678</v>
      </c>
      <c r="E5896" s="1">
        <v>5</v>
      </c>
      <c r="F5896" s="78">
        <f t="shared" si="522"/>
        <v>413</v>
      </c>
    </row>
    <row r="5897" spans="1:6" x14ac:dyDescent="0.25">
      <c r="A5897" s="84" t="s">
        <v>18</v>
      </c>
      <c r="B5897" s="356">
        <v>44138</v>
      </c>
      <c r="C5897" s="1">
        <v>395</v>
      </c>
      <c r="D5897" s="47">
        <f t="shared" si="521"/>
        <v>24807</v>
      </c>
      <c r="E5897" s="1">
        <v>3</v>
      </c>
      <c r="F5897" s="78">
        <f t="shared" si="522"/>
        <v>634</v>
      </c>
    </row>
    <row r="5898" spans="1:6" x14ac:dyDescent="0.25">
      <c r="A5898" s="84" t="s">
        <v>34</v>
      </c>
      <c r="B5898" s="356">
        <v>44138</v>
      </c>
      <c r="C5898" s="1">
        <v>110</v>
      </c>
      <c r="D5898" s="47">
        <f t="shared" ref="D5898:D5904" si="523">C5898+D5874</f>
        <v>19059</v>
      </c>
      <c r="E5898" s="1">
        <v>7</v>
      </c>
      <c r="F5898" s="78">
        <f t="shared" si="522"/>
        <v>800</v>
      </c>
    </row>
    <row r="5899" spans="1:6" x14ac:dyDescent="0.25">
      <c r="A5899" s="84" t="s">
        <v>35</v>
      </c>
      <c r="B5899" s="356">
        <v>44138</v>
      </c>
      <c r="C5899" s="1">
        <v>164</v>
      </c>
      <c r="D5899" s="47">
        <f t="shared" si="523"/>
        <v>2893</v>
      </c>
      <c r="E5899" s="1">
        <v>1</v>
      </c>
      <c r="F5899" s="78">
        <f t="shared" si="522"/>
        <v>102</v>
      </c>
    </row>
    <row r="5900" spans="1:6" x14ac:dyDescent="0.25">
      <c r="A5900" s="84" t="s">
        <v>36</v>
      </c>
      <c r="B5900" s="356">
        <v>44138</v>
      </c>
      <c r="C5900" s="1">
        <v>247</v>
      </c>
      <c r="D5900" s="47">
        <f t="shared" si="523"/>
        <v>7856</v>
      </c>
      <c r="E5900" s="1">
        <v>21</v>
      </c>
      <c r="F5900" s="78">
        <f t="shared" si="522"/>
        <v>92</v>
      </c>
    </row>
    <row r="5901" spans="1:6" x14ac:dyDescent="0.25">
      <c r="A5901" s="84" t="s">
        <v>37</v>
      </c>
      <c r="B5901" s="356">
        <v>44138</v>
      </c>
      <c r="C5901" s="1">
        <v>250</v>
      </c>
      <c r="D5901" s="47">
        <f t="shared" si="523"/>
        <v>10065</v>
      </c>
      <c r="E5901" s="1">
        <v>6</v>
      </c>
      <c r="F5901" s="78">
        <f t="shared" si="522"/>
        <v>147</v>
      </c>
    </row>
    <row r="5902" spans="1:6" x14ac:dyDescent="0.25">
      <c r="A5902" s="84" t="s">
        <v>22</v>
      </c>
      <c r="B5902" s="356">
        <v>44138</v>
      </c>
      <c r="C5902" s="1">
        <v>1764</v>
      </c>
      <c r="D5902" s="47">
        <f t="shared" si="523"/>
        <v>111075</v>
      </c>
      <c r="E5902" s="1">
        <v>85</v>
      </c>
      <c r="F5902" s="78">
        <f t="shared" si="522"/>
        <v>1474</v>
      </c>
    </row>
    <row r="5903" spans="1:6" x14ac:dyDescent="0.25">
      <c r="A5903" s="84" t="s">
        <v>38</v>
      </c>
      <c r="B5903" s="356">
        <v>44138</v>
      </c>
      <c r="C5903" s="1">
        <v>82</v>
      </c>
      <c r="D5903" s="47">
        <f t="shared" si="523"/>
        <v>10174</v>
      </c>
      <c r="E5903" s="1">
        <v>1</v>
      </c>
      <c r="F5903" s="78">
        <f t="shared" si="522"/>
        <v>135</v>
      </c>
    </row>
    <row r="5904" spans="1:6" x14ac:dyDescent="0.25">
      <c r="A5904" s="84" t="s">
        <v>39</v>
      </c>
      <c r="B5904" s="356">
        <v>44138</v>
      </c>
      <c r="C5904" s="1">
        <v>266</v>
      </c>
      <c r="D5904" s="47">
        <f t="shared" si="523"/>
        <v>11974</v>
      </c>
      <c r="E5904" s="1">
        <v>2</v>
      </c>
      <c r="F5904" s="78">
        <f t="shared" si="522"/>
        <v>159</v>
      </c>
    </row>
    <row r="5905" spans="1:6" ht="15.75" thickBot="1" x14ac:dyDescent="0.3">
      <c r="A5905" s="86" t="s">
        <v>40</v>
      </c>
      <c r="B5905" s="357">
        <v>44138</v>
      </c>
      <c r="C5905" s="300">
        <v>973</v>
      </c>
      <c r="D5905" s="81">
        <f>C5905+D5881</f>
        <v>51615</v>
      </c>
      <c r="E5905" s="300">
        <v>21</v>
      </c>
      <c r="F5905" s="83">
        <f t="shared" si="522"/>
        <v>834</v>
      </c>
    </row>
    <row r="5906" spans="1:6" x14ac:dyDescent="0.25">
      <c r="A5906" s="36" t="s">
        <v>16</v>
      </c>
      <c r="B5906" s="354">
        <v>44139</v>
      </c>
      <c r="C5906" s="17">
        <v>3123</v>
      </c>
      <c r="D5906" s="211">
        <f t="shared" ref="D5906:D5969" si="524">C5906+D5882</f>
        <v>560699</v>
      </c>
      <c r="E5906" s="17">
        <v>226</v>
      </c>
      <c r="F5906" s="77">
        <f t="shared" si="522"/>
        <v>18269</v>
      </c>
    </row>
    <row r="5907" spans="1:6" x14ac:dyDescent="0.25">
      <c r="A5907" s="84" t="s">
        <v>43</v>
      </c>
      <c r="B5907" s="356">
        <v>44139</v>
      </c>
      <c r="C5907" s="17">
        <v>476</v>
      </c>
      <c r="D5907" s="47">
        <f t="shared" si="524"/>
        <v>148820</v>
      </c>
      <c r="E5907" s="17">
        <v>20</v>
      </c>
      <c r="F5907" s="78">
        <f t="shared" si="522"/>
        <v>4876</v>
      </c>
    </row>
    <row r="5908" spans="1:6" x14ac:dyDescent="0.25">
      <c r="A5908" s="84" t="s">
        <v>28</v>
      </c>
      <c r="B5908" s="356">
        <v>44139</v>
      </c>
      <c r="C5908" s="17">
        <v>62</v>
      </c>
      <c r="D5908" s="47">
        <f t="shared" si="524"/>
        <v>1073</v>
      </c>
      <c r="E5908" s="17"/>
      <c r="F5908" s="78">
        <f t="shared" si="522"/>
        <v>0</v>
      </c>
    </row>
    <row r="5909" spans="1:6" x14ac:dyDescent="0.25">
      <c r="A5909" s="84" t="s">
        <v>15</v>
      </c>
      <c r="B5909" s="356">
        <v>44139</v>
      </c>
      <c r="C5909" s="17">
        <v>98</v>
      </c>
      <c r="D5909" s="47">
        <f t="shared" si="524"/>
        <v>14493</v>
      </c>
      <c r="E5909" s="17">
        <v>7</v>
      </c>
      <c r="F5909" s="78">
        <f t="shared" si="522"/>
        <v>448</v>
      </c>
    </row>
    <row r="5910" spans="1:6" x14ac:dyDescent="0.25">
      <c r="A5910" s="84" t="s">
        <v>29</v>
      </c>
      <c r="B5910" s="356">
        <v>44139</v>
      </c>
      <c r="C5910" s="17">
        <v>500</v>
      </c>
      <c r="D5910" s="47">
        <f t="shared" si="524"/>
        <v>15712</v>
      </c>
      <c r="E5910" s="17">
        <v>6</v>
      </c>
      <c r="F5910" s="78">
        <f t="shared" si="522"/>
        <v>260</v>
      </c>
    </row>
    <row r="5911" spans="1:6" x14ac:dyDescent="0.25">
      <c r="A5911" s="84" t="s">
        <v>20</v>
      </c>
      <c r="B5911" s="356">
        <v>44139</v>
      </c>
      <c r="C5911" s="17">
        <v>1196</v>
      </c>
      <c r="D5911" s="47">
        <f t="shared" si="524"/>
        <v>89486</v>
      </c>
      <c r="E5911" s="17">
        <v>37</v>
      </c>
      <c r="F5911" s="78">
        <f t="shared" si="522"/>
        <v>1395</v>
      </c>
    </row>
    <row r="5912" spans="1:6" x14ac:dyDescent="0.25">
      <c r="A5912" s="84" t="s">
        <v>30</v>
      </c>
      <c r="B5912" s="356">
        <v>44139</v>
      </c>
      <c r="C5912" s="17">
        <v>14</v>
      </c>
      <c r="D5912" s="47">
        <f t="shared" si="524"/>
        <v>2633</v>
      </c>
      <c r="E5912" s="17">
        <v>2</v>
      </c>
      <c r="F5912" s="78">
        <f t="shared" si="522"/>
        <v>49</v>
      </c>
    </row>
    <row r="5913" spans="1:6" x14ac:dyDescent="0.25">
      <c r="A5913" s="84" t="s">
        <v>31</v>
      </c>
      <c r="B5913" s="356">
        <v>44139</v>
      </c>
      <c r="C5913" s="17">
        <v>325</v>
      </c>
      <c r="D5913" s="47">
        <f t="shared" si="524"/>
        <v>17009</v>
      </c>
      <c r="E5913" s="17">
        <v>7</v>
      </c>
      <c r="F5913" s="78">
        <f t="shared" si="522"/>
        <v>301</v>
      </c>
    </row>
    <row r="5914" spans="1:6" x14ac:dyDescent="0.25">
      <c r="A5914" s="84" t="s">
        <v>41</v>
      </c>
      <c r="B5914" s="356">
        <v>44139</v>
      </c>
      <c r="C5914" s="17">
        <v>5</v>
      </c>
      <c r="D5914" s="47">
        <f t="shared" si="524"/>
        <v>163</v>
      </c>
      <c r="E5914" s="17">
        <v>1</v>
      </c>
      <c r="F5914" s="78">
        <f t="shared" si="522"/>
        <v>3</v>
      </c>
    </row>
    <row r="5915" spans="1:6" x14ac:dyDescent="0.25">
      <c r="A5915" s="84" t="s">
        <v>32</v>
      </c>
      <c r="B5915" s="356">
        <v>44139</v>
      </c>
      <c r="C5915" s="17">
        <v>22</v>
      </c>
      <c r="D5915" s="47">
        <f t="shared" si="524"/>
        <v>17962</v>
      </c>
      <c r="E5915" s="17"/>
      <c r="F5915" s="78">
        <f t="shared" si="522"/>
        <v>817</v>
      </c>
    </row>
    <row r="5916" spans="1:6" x14ac:dyDescent="0.25">
      <c r="A5916" s="84" t="s">
        <v>33</v>
      </c>
      <c r="B5916" s="356">
        <v>44139</v>
      </c>
      <c r="C5916" s="17">
        <v>137</v>
      </c>
      <c r="D5916" s="47">
        <f t="shared" si="524"/>
        <v>3701</v>
      </c>
      <c r="E5916" s="17"/>
      <c r="F5916" s="78">
        <f t="shared" si="522"/>
        <v>36</v>
      </c>
    </row>
    <row r="5917" spans="1:6" x14ac:dyDescent="0.25">
      <c r="A5917" s="84" t="s">
        <v>21</v>
      </c>
      <c r="B5917" s="356">
        <v>44139</v>
      </c>
      <c r="C5917" s="17">
        <v>61</v>
      </c>
      <c r="D5917" s="47">
        <f t="shared" si="524"/>
        <v>7743</v>
      </c>
      <c r="E5917" s="17"/>
      <c r="F5917" s="78">
        <f t="shared" si="522"/>
        <v>283</v>
      </c>
    </row>
    <row r="5918" spans="1:6" x14ac:dyDescent="0.25">
      <c r="A5918" s="84" t="s">
        <v>17</v>
      </c>
      <c r="B5918" s="356">
        <v>44139</v>
      </c>
      <c r="C5918" s="17">
        <v>518</v>
      </c>
      <c r="D5918" s="47">
        <f t="shared" si="524"/>
        <v>48826</v>
      </c>
      <c r="E5918" s="17">
        <v>41</v>
      </c>
      <c r="F5918" s="78">
        <f t="shared" si="522"/>
        <v>854</v>
      </c>
    </row>
    <row r="5919" spans="1:6" x14ac:dyDescent="0.25">
      <c r="A5919" s="84" t="s">
        <v>23</v>
      </c>
      <c r="B5919" s="356">
        <v>44139</v>
      </c>
      <c r="C5919" s="17">
        <v>-11</v>
      </c>
      <c r="D5919" s="47">
        <f t="shared" si="524"/>
        <v>287</v>
      </c>
      <c r="E5919" s="17"/>
      <c r="F5919" s="78">
        <f t="shared" si="522"/>
        <v>6</v>
      </c>
    </row>
    <row r="5920" spans="1:6" x14ac:dyDescent="0.25">
      <c r="A5920" s="84" t="s">
        <v>19</v>
      </c>
      <c r="B5920" s="356">
        <v>44139</v>
      </c>
      <c r="C5920" s="17">
        <v>298</v>
      </c>
      <c r="D5920" s="47">
        <f t="shared" si="524"/>
        <v>23976</v>
      </c>
      <c r="E5920" s="17">
        <v>1</v>
      </c>
      <c r="F5920" s="78">
        <f t="shared" si="522"/>
        <v>414</v>
      </c>
    </row>
    <row r="5921" spans="1:6" x14ac:dyDescent="0.25">
      <c r="A5921" s="84" t="s">
        <v>18</v>
      </c>
      <c r="B5921" s="356">
        <v>44139</v>
      </c>
      <c r="C5921" s="17">
        <v>371</v>
      </c>
      <c r="D5921" s="47">
        <f t="shared" si="524"/>
        <v>25178</v>
      </c>
      <c r="E5921" s="17">
        <v>8</v>
      </c>
      <c r="F5921" s="78">
        <f t="shared" si="522"/>
        <v>642</v>
      </c>
    </row>
    <row r="5922" spans="1:6" x14ac:dyDescent="0.25">
      <c r="A5922" s="84" t="s">
        <v>34</v>
      </c>
      <c r="B5922" s="356">
        <v>44139</v>
      </c>
      <c r="C5922" s="17">
        <v>134</v>
      </c>
      <c r="D5922" s="47">
        <f t="shared" si="524"/>
        <v>19193</v>
      </c>
      <c r="E5922" s="17">
        <v>22</v>
      </c>
      <c r="F5922" s="78">
        <f t="shared" si="522"/>
        <v>822</v>
      </c>
    </row>
    <row r="5923" spans="1:6" x14ac:dyDescent="0.25">
      <c r="A5923" s="84" t="s">
        <v>35</v>
      </c>
      <c r="B5923" s="356">
        <v>44139</v>
      </c>
      <c r="C5923" s="17">
        <v>180</v>
      </c>
      <c r="D5923" s="47">
        <f t="shared" si="524"/>
        <v>3073</v>
      </c>
      <c r="E5923" s="17"/>
      <c r="F5923" s="78">
        <f t="shared" si="522"/>
        <v>102</v>
      </c>
    </row>
    <row r="5924" spans="1:6" x14ac:dyDescent="0.25">
      <c r="A5924" s="84" t="s">
        <v>36</v>
      </c>
      <c r="B5924" s="356">
        <v>44139</v>
      </c>
      <c r="C5924" s="17">
        <v>247</v>
      </c>
      <c r="D5924" s="47">
        <f t="shared" si="524"/>
        <v>8103</v>
      </c>
      <c r="E5924" s="17">
        <v>10</v>
      </c>
      <c r="F5924" s="78">
        <f t="shared" si="522"/>
        <v>102</v>
      </c>
    </row>
    <row r="5925" spans="1:6" x14ac:dyDescent="0.25">
      <c r="A5925" s="84" t="s">
        <v>37</v>
      </c>
      <c r="B5925" s="356">
        <v>44139</v>
      </c>
      <c r="C5925" s="17">
        <v>185</v>
      </c>
      <c r="D5925" s="47">
        <f t="shared" si="524"/>
        <v>10250</v>
      </c>
      <c r="E5925" s="17">
        <v>2</v>
      </c>
      <c r="F5925" s="78">
        <f t="shared" si="522"/>
        <v>149</v>
      </c>
    </row>
    <row r="5926" spans="1:6" x14ac:dyDescent="0.25">
      <c r="A5926" s="84" t="s">
        <v>22</v>
      </c>
      <c r="B5926" s="356">
        <v>44139</v>
      </c>
      <c r="C5926" s="17">
        <v>1543</v>
      </c>
      <c r="D5926" s="47">
        <f t="shared" si="524"/>
        <v>112618</v>
      </c>
      <c r="E5926" s="17">
        <v>56</v>
      </c>
      <c r="F5926" s="78">
        <f t="shared" si="522"/>
        <v>1530</v>
      </c>
    </row>
    <row r="5927" spans="1:6" x14ac:dyDescent="0.25">
      <c r="A5927" s="84" t="s">
        <v>38</v>
      </c>
      <c r="B5927" s="356">
        <v>44139</v>
      </c>
      <c r="C5927" s="17">
        <v>213</v>
      </c>
      <c r="D5927" s="47">
        <f t="shared" si="524"/>
        <v>10387</v>
      </c>
      <c r="E5927" s="17"/>
      <c r="F5927" s="78">
        <f t="shared" si="522"/>
        <v>135</v>
      </c>
    </row>
    <row r="5928" spans="1:6" x14ac:dyDescent="0.25">
      <c r="A5928" s="84" t="s">
        <v>39</v>
      </c>
      <c r="B5928" s="356">
        <v>44139</v>
      </c>
      <c r="C5928" s="17">
        <v>205</v>
      </c>
      <c r="D5928" s="47">
        <f t="shared" si="524"/>
        <v>12179</v>
      </c>
      <c r="E5928" s="17">
        <v>2</v>
      </c>
      <c r="F5928" s="78">
        <f t="shared" si="522"/>
        <v>161</v>
      </c>
    </row>
    <row r="5929" spans="1:6" ht="15.75" thickBot="1" x14ac:dyDescent="0.3">
      <c r="A5929" s="85" t="s">
        <v>40</v>
      </c>
      <c r="B5929" s="358">
        <v>44139</v>
      </c>
      <c r="C5929" s="17">
        <v>750</v>
      </c>
      <c r="D5929" s="214">
        <f>C5929+D5905</f>
        <v>52365</v>
      </c>
      <c r="E5929" s="17">
        <v>17</v>
      </c>
      <c r="F5929" s="79">
        <f t="shared" si="522"/>
        <v>851</v>
      </c>
    </row>
    <row r="5930" spans="1:6" x14ac:dyDescent="0.25">
      <c r="A5930" s="36" t="s">
        <v>16</v>
      </c>
      <c r="B5930" s="357">
        <v>44140</v>
      </c>
      <c r="C5930" s="293">
        <v>3239</v>
      </c>
      <c r="D5930" s="211">
        <f t="shared" si="524"/>
        <v>563938</v>
      </c>
      <c r="E5930" s="293">
        <f>43+38</f>
        <v>81</v>
      </c>
      <c r="F5930" s="77">
        <f t="shared" si="522"/>
        <v>18350</v>
      </c>
    </row>
    <row r="5931" spans="1:6" x14ac:dyDescent="0.25">
      <c r="A5931" s="84" t="s">
        <v>43</v>
      </c>
      <c r="B5931" s="2">
        <v>44140</v>
      </c>
      <c r="C5931" s="1">
        <v>476</v>
      </c>
      <c r="D5931" s="47">
        <f t="shared" si="524"/>
        <v>149296</v>
      </c>
      <c r="E5931" s="1">
        <f>12+1+14</f>
        <v>27</v>
      </c>
      <c r="F5931" s="78">
        <f t="shared" ref="F5931:F5994" si="525">E5931+F5907</f>
        <v>4903</v>
      </c>
    </row>
    <row r="5932" spans="1:6" x14ac:dyDescent="0.25">
      <c r="A5932" s="84" t="s">
        <v>28</v>
      </c>
      <c r="B5932" s="2">
        <v>44140</v>
      </c>
      <c r="C5932" s="1">
        <v>47</v>
      </c>
      <c r="D5932" s="47">
        <f t="shared" si="524"/>
        <v>1120</v>
      </c>
      <c r="F5932" s="78">
        <f t="shared" si="525"/>
        <v>0</v>
      </c>
    </row>
    <row r="5933" spans="1:6" x14ac:dyDescent="0.25">
      <c r="A5933" s="84" t="s">
        <v>15</v>
      </c>
      <c r="B5933" s="2">
        <v>44140</v>
      </c>
      <c r="C5933" s="1">
        <v>145</v>
      </c>
      <c r="D5933" s="47">
        <f t="shared" si="524"/>
        <v>14638</v>
      </c>
      <c r="E5933" s="1">
        <f>4+1</f>
        <v>5</v>
      </c>
      <c r="F5933" s="78">
        <f t="shared" si="525"/>
        <v>453</v>
      </c>
    </row>
    <row r="5934" spans="1:6" x14ac:dyDescent="0.25">
      <c r="A5934" s="84" t="s">
        <v>29</v>
      </c>
      <c r="B5934" s="2">
        <v>44140</v>
      </c>
      <c r="C5934" s="1">
        <v>441</v>
      </c>
      <c r="D5934" s="47">
        <f t="shared" si="524"/>
        <v>16153</v>
      </c>
      <c r="E5934" s="1">
        <f>9+5</f>
        <v>14</v>
      </c>
      <c r="F5934" s="78">
        <f t="shared" si="525"/>
        <v>274</v>
      </c>
    </row>
    <row r="5935" spans="1:6" x14ac:dyDescent="0.25">
      <c r="A5935" s="84" t="s">
        <v>20</v>
      </c>
      <c r="B5935" s="2">
        <v>44140</v>
      </c>
      <c r="C5935" s="1">
        <v>1054</v>
      </c>
      <c r="D5935" s="47">
        <f t="shared" si="524"/>
        <v>90540</v>
      </c>
      <c r="E5935" s="1">
        <f>13+6</f>
        <v>19</v>
      </c>
      <c r="F5935" s="78">
        <f t="shared" si="525"/>
        <v>1414</v>
      </c>
    </row>
    <row r="5936" spans="1:6" x14ac:dyDescent="0.25">
      <c r="A5936" s="84" t="s">
        <v>30</v>
      </c>
      <c r="B5936" s="2">
        <v>44140</v>
      </c>
      <c r="C5936" s="1">
        <v>18</v>
      </c>
      <c r="D5936" s="47">
        <f t="shared" si="524"/>
        <v>2651</v>
      </c>
      <c r="F5936" s="78">
        <f t="shared" si="525"/>
        <v>49</v>
      </c>
    </row>
    <row r="5937" spans="1:6" x14ac:dyDescent="0.25">
      <c r="A5937" s="84" t="s">
        <v>31</v>
      </c>
      <c r="B5937" s="2">
        <v>44140</v>
      </c>
      <c r="C5937" s="1">
        <v>336</v>
      </c>
      <c r="D5937" s="47">
        <f t="shared" si="524"/>
        <v>17345</v>
      </c>
      <c r="E5937" s="1">
        <f>5</f>
        <v>5</v>
      </c>
      <c r="F5937" s="78">
        <f t="shared" si="525"/>
        <v>306</v>
      </c>
    </row>
    <row r="5938" spans="1:6" x14ac:dyDescent="0.25">
      <c r="A5938" s="84" t="s">
        <v>41</v>
      </c>
      <c r="B5938" s="2">
        <v>44140</v>
      </c>
      <c r="C5938" s="1">
        <v>-3</v>
      </c>
      <c r="D5938" s="47">
        <f t="shared" si="524"/>
        <v>160</v>
      </c>
      <c r="F5938" s="78">
        <f t="shared" si="525"/>
        <v>3</v>
      </c>
    </row>
    <row r="5939" spans="1:6" x14ac:dyDescent="0.25">
      <c r="A5939" s="84" t="s">
        <v>32</v>
      </c>
      <c r="B5939" s="2">
        <v>44140</v>
      </c>
      <c r="C5939" s="1">
        <v>13</v>
      </c>
      <c r="D5939" s="47">
        <f t="shared" si="524"/>
        <v>17975</v>
      </c>
      <c r="E5939" s="1">
        <f>4</f>
        <v>4</v>
      </c>
      <c r="F5939" s="78">
        <f t="shared" si="525"/>
        <v>821</v>
      </c>
    </row>
    <row r="5940" spans="1:6" x14ac:dyDescent="0.25">
      <c r="A5940" s="84" t="s">
        <v>33</v>
      </c>
      <c r="B5940" s="2">
        <v>44140</v>
      </c>
      <c r="C5940" s="1">
        <v>111</v>
      </c>
      <c r="D5940" s="47">
        <f t="shared" si="524"/>
        <v>3812</v>
      </c>
      <c r="F5940" s="78">
        <f t="shared" si="525"/>
        <v>36</v>
      </c>
    </row>
    <row r="5941" spans="1:6" x14ac:dyDescent="0.25">
      <c r="A5941" s="84" t="s">
        <v>21</v>
      </c>
      <c r="B5941" s="2">
        <v>44140</v>
      </c>
      <c r="C5941" s="1">
        <v>20</v>
      </c>
      <c r="D5941" s="47">
        <f t="shared" si="524"/>
        <v>7763</v>
      </c>
      <c r="E5941" s="1">
        <f>3+2</f>
        <v>5</v>
      </c>
      <c r="F5941" s="78">
        <f t="shared" si="525"/>
        <v>288</v>
      </c>
    </row>
    <row r="5942" spans="1:6" x14ac:dyDescent="0.25">
      <c r="A5942" s="84" t="s">
        <v>17</v>
      </c>
      <c r="B5942" s="2">
        <v>44140</v>
      </c>
      <c r="C5942" s="1">
        <v>628</v>
      </c>
      <c r="D5942" s="47">
        <f t="shared" si="524"/>
        <v>49454</v>
      </c>
      <c r="E5942" s="1">
        <f>8+5</f>
        <v>13</v>
      </c>
      <c r="F5942" s="78">
        <f t="shared" si="525"/>
        <v>867</v>
      </c>
    </row>
    <row r="5943" spans="1:6" x14ac:dyDescent="0.25">
      <c r="A5943" s="84" t="s">
        <v>23</v>
      </c>
      <c r="B5943" s="2">
        <v>44140</v>
      </c>
      <c r="C5943" s="1">
        <v>18</v>
      </c>
      <c r="D5943" s="47">
        <f t="shared" si="524"/>
        <v>305</v>
      </c>
      <c r="F5943" s="78">
        <f t="shared" si="525"/>
        <v>6</v>
      </c>
    </row>
    <row r="5944" spans="1:6" x14ac:dyDescent="0.25">
      <c r="A5944" s="84" t="s">
        <v>19</v>
      </c>
      <c r="B5944" s="2">
        <v>44140</v>
      </c>
      <c r="C5944" s="1">
        <v>462</v>
      </c>
      <c r="D5944" s="47">
        <f t="shared" si="524"/>
        <v>24438</v>
      </c>
      <c r="F5944" s="78">
        <f t="shared" si="525"/>
        <v>414</v>
      </c>
    </row>
    <row r="5945" spans="1:6" x14ac:dyDescent="0.25">
      <c r="A5945" s="84" t="s">
        <v>18</v>
      </c>
      <c r="B5945" s="2">
        <v>44140</v>
      </c>
      <c r="C5945" s="1">
        <v>355</v>
      </c>
      <c r="D5945" s="47">
        <f t="shared" si="524"/>
        <v>25533</v>
      </c>
      <c r="E5945" s="1">
        <f>4+1</f>
        <v>5</v>
      </c>
      <c r="F5945" s="78">
        <f t="shared" si="525"/>
        <v>647</v>
      </c>
    </row>
    <row r="5946" spans="1:6" x14ac:dyDescent="0.25">
      <c r="A5946" s="84" t="s">
        <v>34</v>
      </c>
      <c r="B5946" s="2">
        <v>44140</v>
      </c>
      <c r="C5946" s="1">
        <v>112</v>
      </c>
      <c r="D5946" s="47">
        <f t="shared" si="524"/>
        <v>19305</v>
      </c>
      <c r="E5946" s="1">
        <v>7</v>
      </c>
      <c r="F5946" s="78">
        <f t="shared" si="525"/>
        <v>829</v>
      </c>
    </row>
    <row r="5947" spans="1:6" x14ac:dyDescent="0.25">
      <c r="A5947" s="84" t="s">
        <v>35</v>
      </c>
      <c r="B5947" s="2">
        <v>44140</v>
      </c>
      <c r="C5947" s="1">
        <v>134</v>
      </c>
      <c r="D5947" s="47">
        <f t="shared" si="524"/>
        <v>3207</v>
      </c>
      <c r="F5947" s="78">
        <f t="shared" si="525"/>
        <v>102</v>
      </c>
    </row>
    <row r="5948" spans="1:6" x14ac:dyDescent="0.25">
      <c r="A5948" s="84" t="s">
        <v>36</v>
      </c>
      <c r="B5948" s="2">
        <v>44140</v>
      </c>
      <c r="C5948" s="1">
        <v>293</v>
      </c>
      <c r="D5948" s="47">
        <f t="shared" si="524"/>
        <v>8396</v>
      </c>
      <c r="E5948" s="1">
        <f>3+6</f>
        <v>9</v>
      </c>
      <c r="F5948" s="78">
        <f t="shared" si="525"/>
        <v>111</v>
      </c>
    </row>
    <row r="5949" spans="1:6" x14ac:dyDescent="0.25">
      <c r="A5949" s="84" t="s">
        <v>37</v>
      </c>
      <c r="B5949" s="2">
        <v>44140</v>
      </c>
      <c r="C5949" s="1">
        <v>269</v>
      </c>
      <c r="D5949" s="47">
        <f t="shared" si="524"/>
        <v>10519</v>
      </c>
      <c r="E5949" s="1">
        <f>5+5</f>
        <v>10</v>
      </c>
      <c r="F5949" s="78">
        <f t="shared" si="525"/>
        <v>159</v>
      </c>
    </row>
    <row r="5950" spans="1:6" x14ac:dyDescent="0.25">
      <c r="A5950" s="84" t="s">
        <v>22</v>
      </c>
      <c r="B5950" s="2">
        <v>44140</v>
      </c>
      <c r="C5950" s="1">
        <v>1741</v>
      </c>
      <c r="D5950" s="47">
        <f t="shared" si="524"/>
        <v>114359</v>
      </c>
      <c r="E5950" s="1">
        <f>11+8</f>
        <v>19</v>
      </c>
      <c r="F5950" s="78">
        <f t="shared" si="525"/>
        <v>1549</v>
      </c>
    </row>
    <row r="5951" spans="1:6" x14ac:dyDescent="0.25">
      <c r="A5951" s="84" t="s">
        <v>38</v>
      </c>
      <c r="B5951" s="2">
        <v>44140</v>
      </c>
      <c r="C5951" s="1">
        <v>320</v>
      </c>
      <c r="D5951" s="47">
        <f t="shared" si="524"/>
        <v>10707</v>
      </c>
      <c r="E5951" s="1">
        <v>3</v>
      </c>
      <c r="F5951" s="78">
        <f t="shared" si="525"/>
        <v>138</v>
      </c>
    </row>
    <row r="5952" spans="1:6" x14ac:dyDescent="0.25">
      <c r="A5952" s="84" t="s">
        <v>39</v>
      </c>
      <c r="B5952" s="2">
        <v>44140</v>
      </c>
      <c r="C5952" s="1">
        <v>267</v>
      </c>
      <c r="D5952" s="47">
        <f t="shared" si="524"/>
        <v>12446</v>
      </c>
      <c r="E5952" s="1">
        <f>2</f>
        <v>2</v>
      </c>
      <c r="F5952" s="78">
        <f t="shared" si="525"/>
        <v>163</v>
      </c>
    </row>
    <row r="5953" spans="1:6" ht="15.75" thickBot="1" x14ac:dyDescent="0.3">
      <c r="A5953" s="86" t="s">
        <v>40</v>
      </c>
      <c r="B5953" s="42">
        <v>44140</v>
      </c>
      <c r="C5953" s="300">
        <v>603</v>
      </c>
      <c r="D5953" s="81">
        <f>C5953+D5929</f>
        <v>52968</v>
      </c>
      <c r="E5953" s="300">
        <f>7+11</f>
        <v>18</v>
      </c>
      <c r="F5953" s="83">
        <f t="shared" si="525"/>
        <v>869</v>
      </c>
    </row>
    <row r="5954" spans="1:6" x14ac:dyDescent="0.25">
      <c r="A5954" s="36" t="s">
        <v>16</v>
      </c>
      <c r="B5954" s="354">
        <v>44141</v>
      </c>
      <c r="C5954" s="53">
        <v>3089</v>
      </c>
      <c r="D5954" s="211">
        <f t="shared" si="524"/>
        <v>567027</v>
      </c>
      <c r="E5954" s="53">
        <f>1+74+81</f>
        <v>156</v>
      </c>
      <c r="F5954" s="77">
        <f t="shared" si="525"/>
        <v>18506</v>
      </c>
    </row>
    <row r="5955" spans="1:6" x14ac:dyDescent="0.25">
      <c r="A5955" s="84" t="s">
        <v>43</v>
      </c>
      <c r="B5955" s="2">
        <v>44141</v>
      </c>
      <c r="C5955" s="1">
        <v>641</v>
      </c>
      <c r="D5955" s="47">
        <f t="shared" si="524"/>
        <v>149937</v>
      </c>
      <c r="E5955" s="1">
        <f>1+22+17</f>
        <v>40</v>
      </c>
      <c r="F5955" s="78">
        <f t="shared" si="525"/>
        <v>4943</v>
      </c>
    </row>
    <row r="5956" spans="1:6" x14ac:dyDescent="0.25">
      <c r="A5956" s="84" t="s">
        <v>28</v>
      </c>
      <c r="B5956" s="2">
        <v>44141</v>
      </c>
      <c r="C5956" s="1">
        <v>3</v>
      </c>
      <c r="D5956" s="47">
        <f t="shared" si="524"/>
        <v>1123</v>
      </c>
      <c r="F5956" s="78">
        <f t="shared" si="525"/>
        <v>0</v>
      </c>
    </row>
    <row r="5957" spans="1:6" x14ac:dyDescent="0.25">
      <c r="A5957" s="84" t="s">
        <v>15</v>
      </c>
      <c r="B5957" s="2">
        <v>44141</v>
      </c>
      <c r="C5957" s="1">
        <v>121</v>
      </c>
      <c r="D5957" s="47">
        <f t="shared" si="524"/>
        <v>14759</v>
      </c>
      <c r="E5957" s="1">
        <f>3+2</f>
        <v>5</v>
      </c>
      <c r="F5957" s="78">
        <f t="shared" si="525"/>
        <v>458</v>
      </c>
    </row>
    <row r="5958" spans="1:6" x14ac:dyDescent="0.25">
      <c r="A5958" s="84" t="s">
        <v>29</v>
      </c>
      <c r="B5958" s="2">
        <v>44141</v>
      </c>
      <c r="C5958" s="1">
        <v>392</v>
      </c>
      <c r="D5958" s="47">
        <f t="shared" si="524"/>
        <v>16545</v>
      </c>
      <c r="E5958" s="1">
        <f>1+1</f>
        <v>2</v>
      </c>
      <c r="F5958" s="78">
        <f t="shared" si="525"/>
        <v>276</v>
      </c>
    </row>
    <row r="5959" spans="1:6" x14ac:dyDescent="0.25">
      <c r="A5959" s="84" t="s">
        <v>20</v>
      </c>
      <c r="B5959" s="2">
        <v>44141</v>
      </c>
      <c r="C5959" s="1">
        <v>1258</v>
      </c>
      <c r="D5959" s="47">
        <f t="shared" si="524"/>
        <v>91798</v>
      </c>
      <c r="E5959" s="1">
        <f>21+7</f>
        <v>28</v>
      </c>
      <c r="F5959" s="78">
        <f t="shared" si="525"/>
        <v>1442</v>
      </c>
    </row>
    <row r="5960" spans="1:6" x14ac:dyDescent="0.25">
      <c r="A5960" s="84" t="s">
        <v>30</v>
      </c>
      <c r="B5960" s="2">
        <v>44141</v>
      </c>
      <c r="C5960" s="1">
        <v>106</v>
      </c>
      <c r="D5960" s="47">
        <f t="shared" si="524"/>
        <v>2757</v>
      </c>
      <c r="E5960" s="1">
        <f>5+2</f>
        <v>7</v>
      </c>
      <c r="F5960" s="78">
        <f t="shared" si="525"/>
        <v>56</v>
      </c>
    </row>
    <row r="5961" spans="1:6" x14ac:dyDescent="0.25">
      <c r="A5961" s="84" t="s">
        <v>31</v>
      </c>
      <c r="B5961" s="2">
        <v>44141</v>
      </c>
      <c r="C5961" s="1">
        <v>338</v>
      </c>
      <c r="D5961" s="47">
        <f t="shared" si="524"/>
        <v>17683</v>
      </c>
      <c r="E5961" s="1">
        <f>7+4</f>
        <v>11</v>
      </c>
      <c r="F5961" s="78">
        <f t="shared" si="525"/>
        <v>317</v>
      </c>
    </row>
    <row r="5962" spans="1:6" x14ac:dyDescent="0.25">
      <c r="A5962" s="84" t="s">
        <v>41</v>
      </c>
      <c r="B5962" s="2">
        <v>44141</v>
      </c>
      <c r="C5962" s="1">
        <v>2</v>
      </c>
      <c r="D5962" s="47">
        <f t="shared" si="524"/>
        <v>162</v>
      </c>
      <c r="F5962" s="78">
        <f t="shared" si="525"/>
        <v>3</v>
      </c>
    </row>
    <row r="5963" spans="1:6" x14ac:dyDescent="0.25">
      <c r="A5963" s="84" t="s">
        <v>32</v>
      </c>
      <c r="B5963" s="2">
        <v>44141</v>
      </c>
      <c r="C5963" s="1">
        <v>14</v>
      </c>
      <c r="D5963" s="47">
        <f t="shared" si="524"/>
        <v>17989</v>
      </c>
      <c r="F5963" s="78">
        <f t="shared" si="525"/>
        <v>821</v>
      </c>
    </row>
    <row r="5964" spans="1:6" x14ac:dyDescent="0.25">
      <c r="A5964" s="84" t="s">
        <v>33</v>
      </c>
      <c r="B5964" s="2">
        <v>44141</v>
      </c>
      <c r="C5964" s="1">
        <v>104</v>
      </c>
      <c r="D5964" s="47">
        <f t="shared" si="524"/>
        <v>3916</v>
      </c>
      <c r="F5964" s="78">
        <f t="shared" si="525"/>
        <v>36</v>
      </c>
    </row>
    <row r="5965" spans="1:6" x14ac:dyDescent="0.25">
      <c r="A5965" s="84" t="s">
        <v>21</v>
      </c>
      <c r="B5965" s="2">
        <v>44141</v>
      </c>
      <c r="C5965" s="1">
        <v>18</v>
      </c>
      <c r="D5965" s="47">
        <f t="shared" si="524"/>
        <v>7781</v>
      </c>
      <c r="E5965" s="1">
        <v>1</v>
      </c>
      <c r="F5965" s="78">
        <f t="shared" si="525"/>
        <v>289</v>
      </c>
    </row>
    <row r="5966" spans="1:6" x14ac:dyDescent="0.25">
      <c r="A5966" s="84" t="s">
        <v>17</v>
      </c>
      <c r="B5966" s="2">
        <v>44141</v>
      </c>
      <c r="C5966" s="1">
        <v>626</v>
      </c>
      <c r="D5966" s="47">
        <f t="shared" si="524"/>
        <v>50080</v>
      </c>
      <c r="E5966" s="1">
        <f>15+7</f>
        <v>22</v>
      </c>
      <c r="F5966" s="78">
        <f t="shared" si="525"/>
        <v>889</v>
      </c>
    </row>
    <row r="5967" spans="1:6" x14ac:dyDescent="0.25">
      <c r="A5967" s="84" t="s">
        <v>23</v>
      </c>
      <c r="B5967" s="2">
        <v>44141</v>
      </c>
      <c r="C5967" s="1">
        <v>15</v>
      </c>
      <c r="D5967" s="47">
        <f t="shared" si="524"/>
        <v>320</v>
      </c>
      <c r="F5967" s="78">
        <f t="shared" si="525"/>
        <v>6</v>
      </c>
    </row>
    <row r="5968" spans="1:6" x14ac:dyDescent="0.25">
      <c r="A5968" s="84" t="s">
        <v>19</v>
      </c>
      <c r="B5968" s="2">
        <v>44141</v>
      </c>
      <c r="C5968" s="1">
        <v>310</v>
      </c>
      <c r="D5968" s="47">
        <f t="shared" si="524"/>
        <v>24748</v>
      </c>
      <c r="E5968" s="1">
        <f>4+4</f>
        <v>8</v>
      </c>
      <c r="F5968" s="78">
        <f t="shared" si="525"/>
        <v>422</v>
      </c>
    </row>
    <row r="5969" spans="1:6" x14ac:dyDescent="0.25">
      <c r="A5969" s="84" t="s">
        <v>18</v>
      </c>
      <c r="B5969" s="2">
        <v>44141</v>
      </c>
      <c r="C5969" s="1">
        <v>383</v>
      </c>
      <c r="D5969" s="47">
        <f t="shared" si="524"/>
        <v>25916</v>
      </c>
      <c r="E5969" s="1">
        <f>3+2</f>
        <v>5</v>
      </c>
      <c r="F5969" s="78">
        <f t="shared" si="525"/>
        <v>652</v>
      </c>
    </row>
    <row r="5970" spans="1:6" x14ac:dyDescent="0.25">
      <c r="A5970" s="84" t="s">
        <v>34</v>
      </c>
      <c r="B5970" s="2">
        <v>44141</v>
      </c>
      <c r="C5970" s="1">
        <v>93</v>
      </c>
      <c r="D5970" s="47">
        <f t="shared" ref="D5970:D5976" si="526">C5970+D5946</f>
        <v>19398</v>
      </c>
      <c r="E5970" s="1">
        <v>9</v>
      </c>
      <c r="F5970" s="78">
        <f t="shared" si="525"/>
        <v>838</v>
      </c>
    </row>
    <row r="5971" spans="1:6" x14ac:dyDescent="0.25">
      <c r="A5971" s="84" t="s">
        <v>35</v>
      </c>
      <c r="B5971" s="2">
        <v>44141</v>
      </c>
      <c r="C5971" s="1">
        <v>191</v>
      </c>
      <c r="D5971" s="47">
        <f t="shared" si="526"/>
        <v>3398</v>
      </c>
      <c r="F5971" s="78">
        <f t="shared" si="525"/>
        <v>102</v>
      </c>
    </row>
    <row r="5972" spans="1:6" x14ac:dyDescent="0.25">
      <c r="A5972" s="84" t="s">
        <v>36</v>
      </c>
      <c r="B5972" s="2">
        <v>44141</v>
      </c>
      <c r="C5972" s="1">
        <v>468</v>
      </c>
      <c r="D5972" s="47">
        <f t="shared" si="526"/>
        <v>8864</v>
      </c>
      <c r="E5972" s="1">
        <f>9+1</f>
        <v>10</v>
      </c>
      <c r="F5972" s="78">
        <f t="shared" si="525"/>
        <v>121</v>
      </c>
    </row>
    <row r="5973" spans="1:6" x14ac:dyDescent="0.25">
      <c r="A5973" s="84" t="s">
        <v>37</v>
      </c>
      <c r="B5973" s="2">
        <v>44141</v>
      </c>
      <c r="C5973" s="1">
        <v>222</v>
      </c>
      <c r="D5973" s="47">
        <f t="shared" si="526"/>
        <v>10741</v>
      </c>
      <c r="E5973" s="1">
        <f>2+2</f>
        <v>4</v>
      </c>
      <c r="F5973" s="78">
        <f t="shared" si="525"/>
        <v>163</v>
      </c>
    </row>
    <row r="5974" spans="1:6" x14ac:dyDescent="0.25">
      <c r="A5974" s="84" t="s">
        <v>22</v>
      </c>
      <c r="B5974" s="2">
        <v>44141</v>
      </c>
      <c r="C5974" s="1">
        <v>1736</v>
      </c>
      <c r="D5974" s="47">
        <f t="shared" si="526"/>
        <v>116095</v>
      </c>
      <c r="E5974" s="1">
        <f>1+30+22</f>
        <v>53</v>
      </c>
      <c r="F5974" s="78">
        <f t="shared" si="525"/>
        <v>1602</v>
      </c>
    </row>
    <row r="5975" spans="1:6" x14ac:dyDescent="0.25">
      <c r="A5975" s="84" t="s">
        <v>38</v>
      </c>
      <c r="B5975" s="2">
        <v>44141</v>
      </c>
      <c r="C5975" s="1">
        <v>223</v>
      </c>
      <c r="D5975" s="47">
        <f t="shared" si="526"/>
        <v>10930</v>
      </c>
      <c r="E5975" s="1">
        <f>3</f>
        <v>3</v>
      </c>
      <c r="F5975" s="78">
        <f t="shared" si="525"/>
        <v>141</v>
      </c>
    </row>
    <row r="5976" spans="1:6" x14ac:dyDescent="0.25">
      <c r="A5976" s="84" t="s">
        <v>39</v>
      </c>
      <c r="B5976" s="2">
        <v>44141</v>
      </c>
      <c r="C5976" s="1">
        <v>311</v>
      </c>
      <c r="D5976" s="47">
        <f t="shared" si="526"/>
        <v>12757</v>
      </c>
      <c r="F5976" s="78">
        <f t="shared" si="525"/>
        <v>163</v>
      </c>
    </row>
    <row r="5977" spans="1:6" ht="15.75" thickBot="1" x14ac:dyDescent="0.3">
      <c r="A5977" s="86" t="s">
        <v>40</v>
      </c>
      <c r="B5977" s="42">
        <v>44141</v>
      </c>
      <c r="C5977" s="300">
        <v>1122</v>
      </c>
      <c r="D5977" s="81">
        <f>C5977+D5953</f>
        <v>54090</v>
      </c>
      <c r="E5977" s="300">
        <f>3+3</f>
        <v>6</v>
      </c>
      <c r="F5977" s="83">
        <f t="shared" si="525"/>
        <v>875</v>
      </c>
    </row>
    <row r="5978" spans="1:6" x14ac:dyDescent="0.25">
      <c r="A5978" s="36" t="s">
        <v>16</v>
      </c>
      <c r="B5978" s="42">
        <v>44142</v>
      </c>
      <c r="C5978" s="1">
        <v>2161</v>
      </c>
      <c r="D5978" s="211">
        <f t="shared" ref="D5978:D6041" si="527">C5978+D5954</f>
        <v>569188</v>
      </c>
      <c r="E5978" s="1">
        <f>42+33</f>
        <v>75</v>
      </c>
      <c r="F5978" s="77">
        <f t="shared" si="525"/>
        <v>18581</v>
      </c>
    </row>
    <row r="5979" spans="1:6" x14ac:dyDescent="0.25">
      <c r="A5979" s="84" t="s">
        <v>43</v>
      </c>
      <c r="B5979" s="42">
        <v>44142</v>
      </c>
      <c r="C5979" s="1">
        <v>394</v>
      </c>
      <c r="D5979" s="47">
        <f t="shared" si="527"/>
        <v>150331</v>
      </c>
      <c r="E5979" s="1">
        <f>13+11</f>
        <v>24</v>
      </c>
      <c r="F5979" s="78">
        <f t="shared" si="525"/>
        <v>4967</v>
      </c>
    </row>
    <row r="5980" spans="1:6" x14ac:dyDescent="0.25">
      <c r="A5980" s="84" t="s">
        <v>28</v>
      </c>
      <c r="B5980" s="42">
        <v>44142</v>
      </c>
      <c r="C5980" s="1">
        <v>41</v>
      </c>
      <c r="D5980" s="47">
        <f t="shared" si="527"/>
        <v>1164</v>
      </c>
      <c r="E5980" s="1">
        <f>2</f>
        <v>2</v>
      </c>
      <c r="F5980" s="78">
        <f t="shared" si="525"/>
        <v>2</v>
      </c>
    </row>
    <row r="5981" spans="1:6" x14ac:dyDescent="0.25">
      <c r="A5981" s="84" t="s">
        <v>15</v>
      </c>
      <c r="B5981" s="42">
        <v>44142</v>
      </c>
      <c r="C5981" s="1">
        <v>157</v>
      </c>
      <c r="D5981" s="47">
        <f t="shared" si="527"/>
        <v>14916</v>
      </c>
      <c r="E5981" s="1">
        <f>2+4</f>
        <v>6</v>
      </c>
      <c r="F5981" s="78">
        <f t="shared" si="525"/>
        <v>464</v>
      </c>
    </row>
    <row r="5982" spans="1:6" x14ac:dyDescent="0.25">
      <c r="A5982" s="84" t="s">
        <v>29</v>
      </c>
      <c r="B5982" s="42">
        <v>44142</v>
      </c>
      <c r="C5982" s="1">
        <v>231</v>
      </c>
      <c r="D5982" s="47">
        <f t="shared" si="527"/>
        <v>16776</v>
      </c>
      <c r="F5982" s="78">
        <f t="shared" si="525"/>
        <v>276</v>
      </c>
    </row>
    <row r="5983" spans="1:6" x14ac:dyDescent="0.25">
      <c r="A5983" s="84" t="s">
        <v>20</v>
      </c>
      <c r="B5983" s="42">
        <v>44142</v>
      </c>
      <c r="C5983" s="1">
        <v>1006</v>
      </c>
      <c r="D5983" s="47">
        <f t="shared" si="527"/>
        <v>92804</v>
      </c>
      <c r="E5983" s="1">
        <f>6+5</f>
        <v>11</v>
      </c>
      <c r="F5983" s="78">
        <f t="shared" si="525"/>
        <v>1453</v>
      </c>
    </row>
    <row r="5984" spans="1:6" x14ac:dyDescent="0.25">
      <c r="A5984" s="84" t="s">
        <v>30</v>
      </c>
      <c r="B5984" s="42">
        <v>44142</v>
      </c>
      <c r="C5984" s="1">
        <v>76</v>
      </c>
      <c r="D5984" s="47">
        <f t="shared" si="527"/>
        <v>2833</v>
      </c>
      <c r="F5984" s="78">
        <f t="shared" si="525"/>
        <v>56</v>
      </c>
    </row>
    <row r="5985" spans="1:6" x14ac:dyDescent="0.25">
      <c r="A5985" s="84" t="s">
        <v>31</v>
      </c>
      <c r="B5985" s="42">
        <v>44142</v>
      </c>
      <c r="C5985" s="1">
        <v>234</v>
      </c>
      <c r="D5985" s="47">
        <f t="shared" si="527"/>
        <v>17917</v>
      </c>
      <c r="E5985" s="1">
        <f>6+2</f>
        <v>8</v>
      </c>
      <c r="F5985" s="78">
        <f t="shared" si="525"/>
        <v>325</v>
      </c>
    </row>
    <row r="5986" spans="1:6" x14ac:dyDescent="0.25">
      <c r="A5986" s="84" t="s">
        <v>41</v>
      </c>
      <c r="B5986" s="42">
        <v>44142</v>
      </c>
      <c r="C5986" s="1">
        <v>0</v>
      </c>
      <c r="D5986" s="47">
        <f t="shared" si="527"/>
        <v>162</v>
      </c>
      <c r="F5986" s="78">
        <f t="shared" si="525"/>
        <v>3</v>
      </c>
    </row>
    <row r="5987" spans="1:6" x14ac:dyDescent="0.25">
      <c r="A5987" s="84" t="s">
        <v>32</v>
      </c>
      <c r="B5987" s="42">
        <v>44142</v>
      </c>
      <c r="C5987" s="1">
        <v>24</v>
      </c>
      <c r="D5987" s="47">
        <f t="shared" si="527"/>
        <v>18013</v>
      </c>
      <c r="E5987" s="1">
        <f>4</f>
        <v>4</v>
      </c>
      <c r="F5987" s="78">
        <f t="shared" si="525"/>
        <v>825</v>
      </c>
    </row>
    <row r="5988" spans="1:6" x14ac:dyDescent="0.25">
      <c r="A5988" s="84" t="s">
        <v>33</v>
      </c>
      <c r="B5988" s="42">
        <v>44142</v>
      </c>
      <c r="C5988" s="1">
        <v>106</v>
      </c>
      <c r="D5988" s="47">
        <f t="shared" si="527"/>
        <v>4022</v>
      </c>
      <c r="F5988" s="78">
        <f t="shared" si="525"/>
        <v>36</v>
      </c>
    </row>
    <row r="5989" spans="1:6" x14ac:dyDescent="0.25">
      <c r="A5989" s="84" t="s">
        <v>21</v>
      </c>
      <c r="B5989" s="42">
        <v>44142</v>
      </c>
      <c r="C5989" s="1">
        <v>13</v>
      </c>
      <c r="D5989" s="47">
        <f t="shared" si="527"/>
        <v>7794</v>
      </c>
      <c r="F5989" s="78">
        <f t="shared" si="525"/>
        <v>289</v>
      </c>
    </row>
    <row r="5990" spans="1:6" x14ac:dyDescent="0.25">
      <c r="A5990" s="84" t="s">
        <v>17</v>
      </c>
      <c r="B5990" s="42">
        <v>44142</v>
      </c>
      <c r="C5990" s="1">
        <v>354</v>
      </c>
      <c r="D5990" s="47">
        <f t="shared" si="527"/>
        <v>50434</v>
      </c>
      <c r="E5990" s="1">
        <f>14+5</f>
        <v>19</v>
      </c>
      <c r="F5990" s="78">
        <f t="shared" si="525"/>
        <v>908</v>
      </c>
    </row>
    <row r="5991" spans="1:6" x14ac:dyDescent="0.25">
      <c r="A5991" s="84" t="s">
        <v>23</v>
      </c>
      <c r="B5991" s="42">
        <v>44142</v>
      </c>
      <c r="C5991" s="1">
        <v>10</v>
      </c>
      <c r="D5991" s="47">
        <f t="shared" si="527"/>
        <v>330</v>
      </c>
      <c r="F5991" s="78">
        <f t="shared" si="525"/>
        <v>6</v>
      </c>
    </row>
    <row r="5992" spans="1:6" x14ac:dyDescent="0.25">
      <c r="A5992" s="84" t="s">
        <v>19</v>
      </c>
      <c r="B5992" s="42">
        <v>44142</v>
      </c>
      <c r="C5992" s="1">
        <v>352</v>
      </c>
      <c r="D5992" s="47">
        <f t="shared" si="527"/>
        <v>25100</v>
      </c>
      <c r="F5992" s="78">
        <f t="shared" si="525"/>
        <v>422</v>
      </c>
    </row>
    <row r="5993" spans="1:6" x14ac:dyDescent="0.25">
      <c r="A5993" s="84" t="s">
        <v>18</v>
      </c>
      <c r="B5993" s="42">
        <v>44142</v>
      </c>
      <c r="C5993" s="1">
        <v>187</v>
      </c>
      <c r="D5993" s="47">
        <f t="shared" si="527"/>
        <v>26103</v>
      </c>
      <c r="E5993" s="1">
        <f>7+3</f>
        <v>10</v>
      </c>
      <c r="F5993" s="78">
        <f t="shared" si="525"/>
        <v>662</v>
      </c>
    </row>
    <row r="5994" spans="1:6" x14ac:dyDescent="0.25">
      <c r="A5994" s="84" t="s">
        <v>34</v>
      </c>
      <c r="B5994" s="42">
        <v>44142</v>
      </c>
      <c r="C5994" s="1">
        <v>112</v>
      </c>
      <c r="D5994" s="47">
        <f t="shared" si="527"/>
        <v>19510</v>
      </c>
      <c r="E5994" s="1">
        <f>6+7</f>
        <v>13</v>
      </c>
      <c r="F5994" s="78">
        <f t="shared" si="525"/>
        <v>851</v>
      </c>
    </row>
    <row r="5995" spans="1:6" x14ac:dyDescent="0.25">
      <c r="A5995" s="84" t="s">
        <v>35</v>
      </c>
      <c r="B5995" s="42">
        <v>44142</v>
      </c>
      <c r="C5995" s="1">
        <v>138</v>
      </c>
      <c r="D5995" s="47">
        <f t="shared" si="527"/>
        <v>3536</v>
      </c>
      <c r="F5995" s="78">
        <f t="shared" ref="F5995:F6058" si="528">E5995+F5971</f>
        <v>102</v>
      </c>
    </row>
    <row r="5996" spans="1:6" x14ac:dyDescent="0.25">
      <c r="A5996" s="84" t="s">
        <v>36</v>
      </c>
      <c r="B5996" s="42">
        <v>44142</v>
      </c>
      <c r="C5996" s="1">
        <v>153</v>
      </c>
      <c r="D5996" s="47">
        <f t="shared" si="527"/>
        <v>9017</v>
      </c>
      <c r="F5996" s="78">
        <f t="shared" si="528"/>
        <v>121</v>
      </c>
    </row>
    <row r="5997" spans="1:6" x14ac:dyDescent="0.25">
      <c r="A5997" s="84" t="s">
        <v>37</v>
      </c>
      <c r="B5997" s="42">
        <v>44142</v>
      </c>
      <c r="C5997" s="1">
        <v>169</v>
      </c>
      <c r="D5997" s="47">
        <f t="shared" si="527"/>
        <v>10910</v>
      </c>
      <c r="E5997" s="1">
        <f>1</f>
        <v>1</v>
      </c>
      <c r="F5997" s="78">
        <f t="shared" si="528"/>
        <v>164</v>
      </c>
    </row>
    <row r="5998" spans="1:6" x14ac:dyDescent="0.25">
      <c r="A5998" s="84" t="s">
        <v>22</v>
      </c>
      <c r="B5998" s="42">
        <v>44142</v>
      </c>
      <c r="C5998" s="1">
        <v>1328</v>
      </c>
      <c r="D5998" s="47">
        <f t="shared" si="527"/>
        <v>117423</v>
      </c>
      <c r="E5998" s="1">
        <f>20+6</f>
        <v>26</v>
      </c>
      <c r="F5998" s="78">
        <f t="shared" si="528"/>
        <v>1628</v>
      </c>
    </row>
    <row r="5999" spans="1:6" x14ac:dyDescent="0.25">
      <c r="A5999" s="84" t="s">
        <v>38</v>
      </c>
      <c r="B5999" s="42">
        <v>44142</v>
      </c>
      <c r="C5999" s="1">
        <v>226</v>
      </c>
      <c r="D5999" s="47">
        <f t="shared" si="527"/>
        <v>11156</v>
      </c>
      <c r="E5999" s="1">
        <f>1</f>
        <v>1</v>
      </c>
      <c r="F5999" s="78">
        <f t="shared" si="528"/>
        <v>142</v>
      </c>
    </row>
    <row r="6000" spans="1:6" x14ac:dyDescent="0.25">
      <c r="A6000" s="84" t="s">
        <v>39</v>
      </c>
      <c r="B6000" s="42">
        <v>44142</v>
      </c>
      <c r="C6000" s="1">
        <v>201</v>
      </c>
      <c r="D6000" s="47">
        <f t="shared" si="527"/>
        <v>12958</v>
      </c>
      <c r="E6000" s="1">
        <f>3</f>
        <v>3</v>
      </c>
      <c r="F6000" s="78">
        <f t="shared" si="528"/>
        <v>166</v>
      </c>
    </row>
    <row r="6001" spans="1:6" ht="15.75" thickBot="1" x14ac:dyDescent="0.3">
      <c r="A6001" s="86" t="s">
        <v>40</v>
      </c>
      <c r="B6001" s="42">
        <v>44142</v>
      </c>
      <c r="C6001" s="1">
        <v>364</v>
      </c>
      <c r="D6001" s="81">
        <f>C6001+D5977</f>
        <v>54454</v>
      </c>
      <c r="E6001" s="1">
        <f>7+3</f>
        <v>10</v>
      </c>
      <c r="F6001" s="83">
        <f t="shared" si="528"/>
        <v>885</v>
      </c>
    </row>
    <row r="6002" spans="1:6" x14ac:dyDescent="0.25">
      <c r="A6002" s="36" t="s">
        <v>16</v>
      </c>
      <c r="B6002" s="42">
        <v>44143</v>
      </c>
      <c r="C6002" s="1">
        <v>1309</v>
      </c>
      <c r="D6002" s="211">
        <f t="shared" si="527"/>
        <v>570497</v>
      </c>
      <c r="E6002" s="1">
        <v>72</v>
      </c>
      <c r="F6002" s="77">
        <f t="shared" si="528"/>
        <v>18653</v>
      </c>
    </row>
    <row r="6003" spans="1:6" x14ac:dyDescent="0.25">
      <c r="A6003" s="84" t="s">
        <v>43</v>
      </c>
      <c r="B6003" s="42">
        <v>44143</v>
      </c>
      <c r="C6003" s="1">
        <v>245</v>
      </c>
      <c r="D6003" s="47">
        <f t="shared" si="527"/>
        <v>150576</v>
      </c>
      <c r="E6003" s="1">
        <f>11+4</f>
        <v>15</v>
      </c>
      <c r="F6003" s="78">
        <f t="shared" si="528"/>
        <v>4982</v>
      </c>
    </row>
    <row r="6004" spans="1:6" x14ac:dyDescent="0.25">
      <c r="A6004" s="84" t="s">
        <v>28</v>
      </c>
      <c r="B6004" s="42">
        <v>44143</v>
      </c>
      <c r="C6004" s="1">
        <v>15</v>
      </c>
      <c r="D6004" s="47">
        <f t="shared" si="527"/>
        <v>1179</v>
      </c>
      <c r="F6004" s="78">
        <f t="shared" si="528"/>
        <v>2</v>
      </c>
    </row>
    <row r="6005" spans="1:6" x14ac:dyDescent="0.25">
      <c r="A6005" s="84" t="s">
        <v>15</v>
      </c>
      <c r="B6005" s="42">
        <v>44143</v>
      </c>
      <c r="C6005" s="1">
        <v>122</v>
      </c>
      <c r="D6005" s="47">
        <f t="shared" si="527"/>
        <v>15038</v>
      </c>
      <c r="E6005" s="1">
        <f>1</f>
        <v>1</v>
      </c>
      <c r="F6005" s="78">
        <f t="shared" si="528"/>
        <v>465</v>
      </c>
    </row>
    <row r="6006" spans="1:6" x14ac:dyDescent="0.25">
      <c r="A6006" s="84" t="s">
        <v>29</v>
      </c>
      <c r="B6006" s="42">
        <v>44143</v>
      </c>
      <c r="C6006" s="1">
        <v>119</v>
      </c>
      <c r="D6006" s="47">
        <f t="shared" si="527"/>
        <v>16895</v>
      </c>
      <c r="F6006" s="78">
        <f t="shared" si="528"/>
        <v>276</v>
      </c>
    </row>
    <row r="6007" spans="1:6" x14ac:dyDescent="0.25">
      <c r="A6007" s="84" t="s">
        <v>20</v>
      </c>
      <c r="B6007" s="42">
        <v>44143</v>
      </c>
      <c r="C6007" s="1">
        <v>775</v>
      </c>
      <c r="D6007" s="47">
        <f t="shared" si="527"/>
        <v>93579</v>
      </c>
      <c r="E6007" s="1">
        <f>18+5</f>
        <v>23</v>
      </c>
      <c r="F6007" s="78">
        <f t="shared" si="528"/>
        <v>1476</v>
      </c>
    </row>
    <row r="6008" spans="1:6" x14ac:dyDescent="0.25">
      <c r="A6008" s="84" t="s">
        <v>30</v>
      </c>
      <c r="B6008" s="42">
        <v>44143</v>
      </c>
      <c r="C6008" s="1">
        <v>77</v>
      </c>
      <c r="D6008" s="47">
        <f t="shared" si="527"/>
        <v>2910</v>
      </c>
      <c r="E6008" s="1">
        <f>1</f>
        <v>1</v>
      </c>
      <c r="F6008" s="78">
        <f t="shared" si="528"/>
        <v>57</v>
      </c>
    </row>
    <row r="6009" spans="1:6" x14ac:dyDescent="0.25">
      <c r="A6009" s="84" t="s">
        <v>31</v>
      </c>
      <c r="B6009" s="42">
        <v>44143</v>
      </c>
      <c r="C6009" s="1">
        <v>187</v>
      </c>
      <c r="D6009" s="47">
        <f t="shared" si="527"/>
        <v>18104</v>
      </c>
      <c r="E6009" s="1">
        <f>2+1</f>
        <v>3</v>
      </c>
      <c r="F6009" s="78">
        <f t="shared" si="528"/>
        <v>328</v>
      </c>
    </row>
    <row r="6010" spans="1:6" x14ac:dyDescent="0.25">
      <c r="A6010" s="84" t="s">
        <v>41</v>
      </c>
      <c r="B6010" s="42">
        <v>44143</v>
      </c>
      <c r="C6010" s="1">
        <v>0</v>
      </c>
      <c r="D6010" s="47">
        <f t="shared" si="527"/>
        <v>162</v>
      </c>
      <c r="F6010" s="78">
        <f t="shared" si="528"/>
        <v>3</v>
      </c>
    </row>
    <row r="6011" spans="1:6" x14ac:dyDescent="0.25">
      <c r="A6011" s="84" t="s">
        <v>32</v>
      </c>
      <c r="B6011" s="42">
        <v>44143</v>
      </c>
      <c r="C6011" s="1">
        <v>12</v>
      </c>
      <c r="D6011" s="47">
        <f t="shared" si="527"/>
        <v>18025</v>
      </c>
      <c r="F6011" s="78">
        <f t="shared" si="528"/>
        <v>825</v>
      </c>
    </row>
    <row r="6012" spans="1:6" x14ac:dyDescent="0.25">
      <c r="A6012" s="84" t="s">
        <v>33</v>
      </c>
      <c r="B6012" s="42">
        <v>44143</v>
      </c>
      <c r="C6012" s="1">
        <v>99</v>
      </c>
      <c r="D6012" s="47">
        <f t="shared" si="527"/>
        <v>4121</v>
      </c>
      <c r="E6012" s="1">
        <f>3+2</f>
        <v>5</v>
      </c>
      <c r="F6012" s="78">
        <f t="shared" si="528"/>
        <v>41</v>
      </c>
    </row>
    <row r="6013" spans="1:6" x14ac:dyDescent="0.25">
      <c r="A6013" s="84" t="s">
        <v>21</v>
      </c>
      <c r="B6013" s="42">
        <v>44143</v>
      </c>
      <c r="C6013" s="1">
        <v>55</v>
      </c>
      <c r="D6013" s="47">
        <f t="shared" si="527"/>
        <v>7849</v>
      </c>
      <c r="E6013" s="1">
        <f>3</f>
        <v>3</v>
      </c>
      <c r="F6013" s="78">
        <f t="shared" si="528"/>
        <v>292</v>
      </c>
    </row>
    <row r="6014" spans="1:6" x14ac:dyDescent="0.25">
      <c r="A6014" s="84" t="s">
        <v>17</v>
      </c>
      <c r="B6014" s="42">
        <v>44143</v>
      </c>
      <c r="C6014" s="1">
        <v>140</v>
      </c>
      <c r="D6014" s="47">
        <f t="shared" si="527"/>
        <v>50574</v>
      </c>
      <c r="E6014" s="1">
        <f>12+4</f>
        <v>16</v>
      </c>
      <c r="F6014" s="78">
        <f t="shared" si="528"/>
        <v>924</v>
      </c>
    </row>
    <row r="6015" spans="1:6" x14ac:dyDescent="0.25">
      <c r="A6015" s="84" t="s">
        <v>23</v>
      </c>
      <c r="B6015" s="42">
        <v>44143</v>
      </c>
      <c r="C6015" s="1">
        <v>3</v>
      </c>
      <c r="D6015" s="47">
        <f t="shared" si="527"/>
        <v>333</v>
      </c>
      <c r="F6015" s="78">
        <f t="shared" si="528"/>
        <v>6</v>
      </c>
    </row>
    <row r="6016" spans="1:6" x14ac:dyDescent="0.25">
      <c r="A6016" s="84" t="s">
        <v>19</v>
      </c>
      <c r="B6016" s="42">
        <v>44143</v>
      </c>
      <c r="C6016" s="1">
        <v>154</v>
      </c>
      <c r="D6016" s="47">
        <f t="shared" si="527"/>
        <v>25254</v>
      </c>
      <c r="F6016" s="78">
        <f t="shared" si="528"/>
        <v>422</v>
      </c>
    </row>
    <row r="6017" spans="1:6" x14ac:dyDescent="0.25">
      <c r="A6017" s="84" t="s">
        <v>18</v>
      </c>
      <c r="B6017" s="42">
        <v>44143</v>
      </c>
      <c r="C6017" s="1">
        <v>126</v>
      </c>
      <c r="D6017" s="47">
        <f t="shared" si="527"/>
        <v>26229</v>
      </c>
      <c r="E6017" s="1">
        <f>1+1</f>
        <v>2</v>
      </c>
      <c r="F6017" s="78">
        <f t="shared" si="528"/>
        <v>664</v>
      </c>
    </row>
    <row r="6018" spans="1:6" x14ac:dyDescent="0.25">
      <c r="A6018" s="84" t="s">
        <v>34</v>
      </c>
      <c r="B6018" s="42">
        <v>44143</v>
      </c>
      <c r="C6018" s="1">
        <v>36</v>
      </c>
      <c r="D6018" s="47">
        <f t="shared" si="527"/>
        <v>19546</v>
      </c>
      <c r="E6018" s="1">
        <f>25+5</f>
        <v>30</v>
      </c>
      <c r="F6018" s="78">
        <f t="shared" si="528"/>
        <v>881</v>
      </c>
    </row>
    <row r="6019" spans="1:6" x14ac:dyDescent="0.25">
      <c r="A6019" s="84" t="s">
        <v>35</v>
      </c>
      <c r="B6019" s="42">
        <v>44143</v>
      </c>
      <c r="C6019" s="1">
        <v>127</v>
      </c>
      <c r="D6019" s="47">
        <f t="shared" si="527"/>
        <v>3663</v>
      </c>
      <c r="F6019" s="78">
        <f t="shared" si="528"/>
        <v>102</v>
      </c>
    </row>
    <row r="6020" spans="1:6" x14ac:dyDescent="0.25">
      <c r="A6020" s="84" t="s">
        <v>36</v>
      </c>
      <c r="B6020" s="42">
        <v>44143</v>
      </c>
      <c r="C6020" s="1">
        <v>54</v>
      </c>
      <c r="D6020" s="47">
        <f t="shared" si="527"/>
        <v>9071</v>
      </c>
      <c r="E6020" s="1">
        <f>1</f>
        <v>1</v>
      </c>
      <c r="F6020" s="78">
        <f t="shared" si="528"/>
        <v>122</v>
      </c>
    </row>
    <row r="6021" spans="1:6" x14ac:dyDescent="0.25">
      <c r="A6021" s="84" t="s">
        <v>37</v>
      </c>
      <c r="B6021" s="42">
        <v>44143</v>
      </c>
      <c r="C6021" s="1">
        <v>176</v>
      </c>
      <c r="D6021" s="47">
        <f t="shared" si="527"/>
        <v>11086</v>
      </c>
      <c r="E6021" s="1">
        <v>1</v>
      </c>
      <c r="F6021" s="78">
        <f t="shared" si="528"/>
        <v>165</v>
      </c>
    </row>
    <row r="6022" spans="1:6" x14ac:dyDescent="0.25">
      <c r="A6022" s="84" t="s">
        <v>22</v>
      </c>
      <c r="B6022" s="42">
        <v>44143</v>
      </c>
      <c r="C6022" s="1">
        <v>879</v>
      </c>
      <c r="D6022" s="47">
        <f t="shared" si="527"/>
        <v>118302</v>
      </c>
      <c r="E6022" s="1">
        <f>17+20</f>
        <v>37</v>
      </c>
      <c r="F6022" s="78">
        <f t="shared" si="528"/>
        <v>1665</v>
      </c>
    </row>
    <row r="6023" spans="1:6" x14ac:dyDescent="0.25">
      <c r="A6023" s="84" t="s">
        <v>38</v>
      </c>
      <c r="B6023" s="42">
        <v>44143</v>
      </c>
      <c r="C6023" s="1">
        <v>170</v>
      </c>
      <c r="D6023" s="47">
        <f t="shared" si="527"/>
        <v>11326</v>
      </c>
      <c r="F6023" s="78">
        <f t="shared" si="528"/>
        <v>142</v>
      </c>
    </row>
    <row r="6024" spans="1:6" x14ac:dyDescent="0.25">
      <c r="A6024" s="84" t="s">
        <v>39</v>
      </c>
      <c r="B6024" s="42">
        <v>44143</v>
      </c>
      <c r="C6024" s="1">
        <v>178</v>
      </c>
      <c r="D6024" s="47">
        <f t="shared" si="527"/>
        <v>13136</v>
      </c>
      <c r="F6024" s="78">
        <f t="shared" si="528"/>
        <v>166</v>
      </c>
    </row>
    <row r="6025" spans="1:6" ht="15.75" thickBot="1" x14ac:dyDescent="0.3">
      <c r="A6025" s="86" t="s">
        <v>40</v>
      </c>
      <c r="B6025" s="42">
        <v>44143</v>
      </c>
      <c r="C6025" s="1">
        <v>273</v>
      </c>
      <c r="D6025" s="81">
        <f>C6025+D6001</f>
        <v>54727</v>
      </c>
      <c r="E6025" s="1">
        <v>1</v>
      </c>
      <c r="F6025" s="83">
        <f t="shared" si="528"/>
        <v>886</v>
      </c>
    </row>
    <row r="6026" spans="1:6" x14ac:dyDescent="0.25">
      <c r="A6026" s="36" t="s">
        <v>16</v>
      </c>
      <c r="B6026" s="42">
        <v>44144</v>
      </c>
      <c r="C6026" s="1">
        <v>2391</v>
      </c>
      <c r="D6026" s="211">
        <f t="shared" si="527"/>
        <v>572888</v>
      </c>
      <c r="E6026" s="1">
        <v>114</v>
      </c>
      <c r="F6026" s="77">
        <f t="shared" si="528"/>
        <v>18767</v>
      </c>
    </row>
    <row r="6027" spans="1:6" x14ac:dyDescent="0.25">
      <c r="A6027" s="84" t="s">
        <v>43</v>
      </c>
      <c r="B6027" s="42">
        <v>44144</v>
      </c>
      <c r="C6027" s="1">
        <v>401</v>
      </c>
      <c r="D6027" s="47">
        <f t="shared" si="527"/>
        <v>150977</v>
      </c>
      <c r="E6027" s="1">
        <v>14</v>
      </c>
      <c r="F6027" s="78">
        <f t="shared" si="528"/>
        <v>4996</v>
      </c>
    </row>
    <row r="6028" spans="1:6" x14ac:dyDescent="0.25">
      <c r="A6028" s="84" t="s">
        <v>28</v>
      </c>
      <c r="B6028" s="42">
        <v>44144</v>
      </c>
      <c r="C6028" s="1">
        <v>45</v>
      </c>
      <c r="D6028" s="47">
        <f t="shared" si="527"/>
        <v>1224</v>
      </c>
      <c r="F6028" s="78">
        <f t="shared" si="528"/>
        <v>2</v>
      </c>
    </row>
    <row r="6029" spans="1:6" x14ac:dyDescent="0.25">
      <c r="A6029" s="84" t="s">
        <v>15</v>
      </c>
      <c r="B6029" s="42">
        <v>44144</v>
      </c>
      <c r="C6029" s="1">
        <v>125</v>
      </c>
      <c r="D6029" s="47">
        <f t="shared" si="527"/>
        <v>15163</v>
      </c>
      <c r="E6029" s="1">
        <v>4</v>
      </c>
      <c r="F6029" s="78">
        <f t="shared" si="528"/>
        <v>469</v>
      </c>
    </row>
    <row r="6030" spans="1:6" x14ac:dyDescent="0.25">
      <c r="A6030" s="84" t="s">
        <v>29</v>
      </c>
      <c r="B6030" s="42">
        <v>44144</v>
      </c>
      <c r="C6030" s="1">
        <v>288</v>
      </c>
      <c r="D6030" s="47">
        <f t="shared" si="527"/>
        <v>17183</v>
      </c>
      <c r="E6030" s="1">
        <v>1</v>
      </c>
      <c r="F6030" s="78">
        <f t="shared" si="528"/>
        <v>277</v>
      </c>
    </row>
    <row r="6031" spans="1:6" x14ac:dyDescent="0.25">
      <c r="A6031" s="84" t="s">
        <v>20</v>
      </c>
      <c r="B6031" s="42">
        <v>44144</v>
      </c>
      <c r="C6031" s="1">
        <v>866</v>
      </c>
      <c r="D6031" s="47">
        <f t="shared" si="527"/>
        <v>94445</v>
      </c>
      <c r="E6031" s="1">
        <v>26</v>
      </c>
      <c r="F6031" s="78">
        <f t="shared" si="528"/>
        <v>1502</v>
      </c>
    </row>
    <row r="6032" spans="1:6" x14ac:dyDescent="0.25">
      <c r="A6032" s="84" t="s">
        <v>30</v>
      </c>
      <c r="B6032" s="42">
        <v>44144</v>
      </c>
      <c r="C6032" s="1">
        <v>137</v>
      </c>
      <c r="D6032" s="47">
        <f t="shared" si="527"/>
        <v>3047</v>
      </c>
      <c r="E6032" s="1">
        <v>4</v>
      </c>
      <c r="F6032" s="78">
        <f t="shared" si="528"/>
        <v>61</v>
      </c>
    </row>
    <row r="6033" spans="1:6" x14ac:dyDescent="0.25">
      <c r="A6033" s="84" t="s">
        <v>31</v>
      </c>
      <c r="B6033" s="42">
        <v>44144</v>
      </c>
      <c r="C6033" s="1">
        <v>156</v>
      </c>
      <c r="D6033" s="47">
        <f t="shared" si="527"/>
        <v>18260</v>
      </c>
      <c r="E6033" s="1">
        <v>8</v>
      </c>
      <c r="F6033" s="78">
        <f t="shared" si="528"/>
        <v>336</v>
      </c>
    </row>
    <row r="6034" spans="1:6" x14ac:dyDescent="0.25">
      <c r="A6034" s="84" t="s">
        <v>41</v>
      </c>
      <c r="B6034" s="42">
        <v>44144</v>
      </c>
      <c r="C6034" s="1">
        <v>-1</v>
      </c>
      <c r="D6034" s="47">
        <f t="shared" si="527"/>
        <v>161</v>
      </c>
      <c r="F6034" s="78">
        <f t="shared" si="528"/>
        <v>3</v>
      </c>
    </row>
    <row r="6035" spans="1:6" x14ac:dyDescent="0.25">
      <c r="A6035" s="84" t="s">
        <v>32</v>
      </c>
      <c r="B6035" s="42">
        <v>44144</v>
      </c>
      <c r="C6035" s="1">
        <v>16</v>
      </c>
      <c r="D6035" s="47">
        <f t="shared" si="527"/>
        <v>18041</v>
      </c>
      <c r="F6035" s="78">
        <f t="shared" si="528"/>
        <v>825</v>
      </c>
    </row>
    <row r="6036" spans="1:6" x14ac:dyDescent="0.25">
      <c r="A6036" s="84" t="s">
        <v>33</v>
      </c>
      <c r="B6036" s="42">
        <v>44144</v>
      </c>
      <c r="C6036" s="1">
        <v>71</v>
      </c>
      <c r="D6036" s="47">
        <f t="shared" si="527"/>
        <v>4192</v>
      </c>
      <c r="F6036" s="78">
        <f t="shared" si="528"/>
        <v>41</v>
      </c>
    </row>
    <row r="6037" spans="1:6" x14ac:dyDescent="0.25">
      <c r="A6037" s="84" t="s">
        <v>21</v>
      </c>
      <c r="B6037" s="42">
        <v>44144</v>
      </c>
      <c r="C6037" s="1">
        <v>21</v>
      </c>
      <c r="D6037" s="47">
        <f t="shared" si="527"/>
        <v>7870</v>
      </c>
      <c r="F6037" s="78">
        <f t="shared" si="528"/>
        <v>292</v>
      </c>
    </row>
    <row r="6038" spans="1:6" x14ac:dyDescent="0.25">
      <c r="A6038" s="84" t="s">
        <v>17</v>
      </c>
      <c r="B6038" s="42">
        <v>44144</v>
      </c>
      <c r="C6038" s="1">
        <v>326</v>
      </c>
      <c r="D6038" s="47">
        <f t="shared" si="527"/>
        <v>50900</v>
      </c>
      <c r="E6038" s="1">
        <v>11</v>
      </c>
      <c r="F6038" s="78">
        <f t="shared" si="528"/>
        <v>935</v>
      </c>
    </row>
    <row r="6039" spans="1:6" x14ac:dyDescent="0.25">
      <c r="A6039" s="84" t="s">
        <v>23</v>
      </c>
      <c r="B6039" s="42">
        <v>44144</v>
      </c>
      <c r="C6039" s="1">
        <v>7</v>
      </c>
      <c r="D6039" s="47">
        <f t="shared" si="527"/>
        <v>340</v>
      </c>
      <c r="E6039" s="1">
        <v>1</v>
      </c>
      <c r="F6039" s="78">
        <f t="shared" si="528"/>
        <v>7</v>
      </c>
    </row>
    <row r="6040" spans="1:6" x14ac:dyDescent="0.25">
      <c r="A6040" s="84" t="s">
        <v>19</v>
      </c>
      <c r="B6040" s="42">
        <v>44144</v>
      </c>
      <c r="C6040" s="1">
        <v>149</v>
      </c>
      <c r="D6040" s="47">
        <f t="shared" si="527"/>
        <v>25403</v>
      </c>
      <c r="E6040" s="1">
        <v>1</v>
      </c>
      <c r="F6040" s="78">
        <f t="shared" si="528"/>
        <v>423</v>
      </c>
    </row>
    <row r="6041" spans="1:6" x14ac:dyDescent="0.25">
      <c r="A6041" s="84" t="s">
        <v>18</v>
      </c>
      <c r="B6041" s="42">
        <v>44144</v>
      </c>
      <c r="C6041" s="1">
        <v>356</v>
      </c>
      <c r="D6041" s="47">
        <f t="shared" si="527"/>
        <v>26585</v>
      </c>
      <c r="E6041" s="1">
        <v>7</v>
      </c>
      <c r="F6041" s="78">
        <f t="shared" si="528"/>
        <v>671</v>
      </c>
    </row>
    <row r="6042" spans="1:6" x14ac:dyDescent="0.25">
      <c r="A6042" s="84" t="s">
        <v>34</v>
      </c>
      <c r="B6042" s="42">
        <v>44144</v>
      </c>
      <c r="C6042" s="1">
        <v>65</v>
      </c>
      <c r="D6042" s="47">
        <f t="shared" ref="D6042:D6048" si="529">C6042+D6018</f>
        <v>19611</v>
      </c>
      <c r="E6042" s="1">
        <v>17</v>
      </c>
      <c r="F6042" s="78">
        <f t="shared" si="528"/>
        <v>898</v>
      </c>
    </row>
    <row r="6043" spans="1:6" x14ac:dyDescent="0.25">
      <c r="A6043" s="84" t="s">
        <v>35</v>
      </c>
      <c r="B6043" s="42">
        <v>44144</v>
      </c>
      <c r="C6043" s="1">
        <v>154</v>
      </c>
      <c r="D6043" s="47">
        <f t="shared" si="529"/>
        <v>3817</v>
      </c>
      <c r="E6043" s="1">
        <v>21</v>
      </c>
      <c r="F6043" s="78">
        <f t="shared" si="528"/>
        <v>123</v>
      </c>
    </row>
    <row r="6044" spans="1:6" x14ac:dyDescent="0.25">
      <c r="A6044" s="84" t="s">
        <v>36</v>
      </c>
      <c r="B6044" s="42">
        <v>44144</v>
      </c>
      <c r="C6044" s="1">
        <v>298</v>
      </c>
      <c r="D6044" s="47">
        <f t="shared" si="529"/>
        <v>9369</v>
      </c>
      <c r="E6044" s="1">
        <v>10</v>
      </c>
      <c r="F6044" s="78">
        <f t="shared" si="528"/>
        <v>132</v>
      </c>
    </row>
    <row r="6045" spans="1:6" x14ac:dyDescent="0.25">
      <c r="A6045" s="84" t="s">
        <v>37</v>
      </c>
      <c r="B6045" s="42">
        <v>44144</v>
      </c>
      <c r="C6045" s="1">
        <v>136</v>
      </c>
      <c r="D6045" s="47">
        <f t="shared" si="529"/>
        <v>11222</v>
      </c>
      <c r="E6045" s="1">
        <v>10</v>
      </c>
      <c r="F6045" s="78">
        <f t="shared" si="528"/>
        <v>175</v>
      </c>
    </row>
    <row r="6046" spans="1:6" x14ac:dyDescent="0.25">
      <c r="A6046" s="84" t="s">
        <v>22</v>
      </c>
      <c r="B6046" s="42">
        <v>44144</v>
      </c>
      <c r="C6046" s="1">
        <v>1291</v>
      </c>
      <c r="D6046" s="47">
        <f t="shared" si="529"/>
        <v>119593</v>
      </c>
      <c r="E6046" s="1">
        <v>60</v>
      </c>
      <c r="F6046" s="78">
        <f t="shared" si="528"/>
        <v>1725</v>
      </c>
    </row>
    <row r="6047" spans="1:6" x14ac:dyDescent="0.25">
      <c r="A6047" s="84" t="s">
        <v>38</v>
      </c>
      <c r="B6047" s="42">
        <v>44144</v>
      </c>
      <c r="C6047" s="1">
        <v>205</v>
      </c>
      <c r="D6047" s="47">
        <f t="shared" si="529"/>
        <v>11531</v>
      </c>
      <c r="E6047" s="1">
        <v>4</v>
      </c>
      <c r="F6047" s="78">
        <f t="shared" si="528"/>
        <v>146</v>
      </c>
    </row>
    <row r="6048" spans="1:6" x14ac:dyDescent="0.25">
      <c r="A6048" s="84" t="s">
        <v>39</v>
      </c>
      <c r="B6048" s="42">
        <v>44144</v>
      </c>
      <c r="C6048" s="1">
        <v>173</v>
      </c>
      <c r="D6048" s="47">
        <f t="shared" si="529"/>
        <v>13309</v>
      </c>
      <c r="E6048" s="1">
        <v>2</v>
      </c>
      <c r="F6048" s="78">
        <f t="shared" si="528"/>
        <v>168</v>
      </c>
    </row>
    <row r="6049" spans="1:6" ht="15.75" thickBot="1" x14ac:dyDescent="0.3">
      <c r="A6049" s="86" t="s">
        <v>40</v>
      </c>
      <c r="B6049" s="42">
        <v>44144</v>
      </c>
      <c r="C6049" s="1">
        <v>641</v>
      </c>
      <c r="D6049" s="81">
        <f>C6049+D6025</f>
        <v>55368</v>
      </c>
      <c r="E6049" s="1">
        <v>33</v>
      </c>
      <c r="F6049" s="83">
        <f t="shared" si="528"/>
        <v>919</v>
      </c>
    </row>
    <row r="6050" spans="1:6" x14ac:dyDescent="0.25">
      <c r="A6050" s="36" t="s">
        <v>16</v>
      </c>
      <c r="B6050" s="42">
        <v>44145</v>
      </c>
      <c r="C6050" s="1">
        <v>3428</v>
      </c>
      <c r="D6050" s="211">
        <f t="shared" ref="D6050:D6113" si="530">C6050+D6026</f>
        <v>576316</v>
      </c>
      <c r="E6050" s="1">
        <v>81</v>
      </c>
      <c r="F6050" s="77">
        <f t="shared" si="528"/>
        <v>18848</v>
      </c>
    </row>
    <row r="6051" spans="1:6" x14ac:dyDescent="0.25">
      <c r="A6051" s="84" t="s">
        <v>43</v>
      </c>
      <c r="B6051" s="42">
        <v>44145</v>
      </c>
      <c r="C6051" s="1">
        <v>560</v>
      </c>
      <c r="D6051" s="47">
        <f t="shared" si="530"/>
        <v>151537</v>
      </c>
      <c r="E6051" s="1">
        <v>16</v>
      </c>
      <c r="F6051" s="78">
        <f t="shared" si="528"/>
        <v>5012</v>
      </c>
    </row>
    <row r="6052" spans="1:6" x14ac:dyDescent="0.25">
      <c r="A6052" s="84" t="s">
        <v>28</v>
      </c>
      <c r="B6052" s="42">
        <v>44145</v>
      </c>
      <c r="C6052" s="1">
        <v>27</v>
      </c>
      <c r="D6052" s="47">
        <f t="shared" si="530"/>
        <v>1251</v>
      </c>
      <c r="F6052" s="78">
        <f t="shared" si="528"/>
        <v>2</v>
      </c>
    </row>
    <row r="6053" spans="1:6" x14ac:dyDescent="0.25">
      <c r="A6053" s="84" t="s">
        <v>15</v>
      </c>
      <c r="B6053" s="42">
        <v>44145</v>
      </c>
      <c r="C6053" s="1">
        <v>144</v>
      </c>
      <c r="D6053" s="47">
        <f t="shared" si="530"/>
        <v>15307</v>
      </c>
      <c r="E6053" s="1">
        <v>6</v>
      </c>
      <c r="F6053" s="78">
        <f t="shared" si="528"/>
        <v>475</v>
      </c>
    </row>
    <row r="6054" spans="1:6" x14ac:dyDescent="0.25">
      <c r="A6054" s="84" t="s">
        <v>29</v>
      </c>
      <c r="B6054" s="42">
        <v>44145</v>
      </c>
      <c r="C6054" s="1">
        <v>511</v>
      </c>
      <c r="D6054" s="47">
        <f t="shared" si="530"/>
        <v>17694</v>
      </c>
      <c r="E6054" s="1">
        <v>13</v>
      </c>
      <c r="F6054" s="78">
        <f t="shared" si="528"/>
        <v>290</v>
      </c>
    </row>
    <row r="6055" spans="1:6" x14ac:dyDescent="0.25">
      <c r="A6055" s="84" t="s">
        <v>20</v>
      </c>
      <c r="B6055" s="42">
        <v>44145</v>
      </c>
      <c r="C6055" s="1">
        <v>1622</v>
      </c>
      <c r="D6055" s="47">
        <f t="shared" si="530"/>
        <v>96067</v>
      </c>
      <c r="E6055" s="1">
        <v>27</v>
      </c>
      <c r="F6055" s="78">
        <f t="shared" si="528"/>
        <v>1529</v>
      </c>
    </row>
    <row r="6056" spans="1:6" x14ac:dyDescent="0.25">
      <c r="A6056" s="84" t="s">
        <v>30</v>
      </c>
      <c r="B6056" s="42">
        <v>44145</v>
      </c>
      <c r="C6056" s="1">
        <v>62</v>
      </c>
      <c r="D6056" s="47">
        <f t="shared" si="530"/>
        <v>3109</v>
      </c>
      <c r="E6056" s="1">
        <v>2</v>
      </c>
      <c r="F6056" s="78">
        <f t="shared" si="528"/>
        <v>63</v>
      </c>
    </row>
    <row r="6057" spans="1:6" x14ac:dyDescent="0.25">
      <c r="A6057" s="84" t="s">
        <v>31</v>
      </c>
      <c r="B6057" s="42">
        <v>44145</v>
      </c>
      <c r="C6057" s="1">
        <v>338</v>
      </c>
      <c r="D6057" s="47">
        <f t="shared" si="530"/>
        <v>18598</v>
      </c>
      <c r="E6057" s="1">
        <v>9</v>
      </c>
      <c r="F6057" s="78">
        <f t="shared" si="528"/>
        <v>345</v>
      </c>
    </row>
    <row r="6058" spans="1:6" x14ac:dyDescent="0.25">
      <c r="A6058" s="84" t="s">
        <v>41</v>
      </c>
      <c r="B6058" s="42">
        <v>44145</v>
      </c>
      <c r="C6058" s="1">
        <v>2</v>
      </c>
      <c r="D6058" s="47">
        <f t="shared" si="530"/>
        <v>163</v>
      </c>
      <c r="F6058" s="78">
        <f t="shared" si="528"/>
        <v>3</v>
      </c>
    </row>
    <row r="6059" spans="1:6" x14ac:dyDescent="0.25">
      <c r="A6059" s="84" t="s">
        <v>32</v>
      </c>
      <c r="B6059" s="42">
        <v>44145</v>
      </c>
      <c r="C6059" s="1">
        <v>24</v>
      </c>
      <c r="D6059" s="47">
        <f t="shared" si="530"/>
        <v>18065</v>
      </c>
      <c r="E6059" s="1">
        <v>7</v>
      </c>
      <c r="F6059" s="78">
        <f t="shared" ref="F6059:F6122" si="531">E6059+F6035</f>
        <v>832</v>
      </c>
    </row>
    <row r="6060" spans="1:6" x14ac:dyDescent="0.25">
      <c r="A6060" s="84" t="s">
        <v>33</v>
      </c>
      <c r="B6060" s="42">
        <v>44145</v>
      </c>
      <c r="C6060" s="1">
        <v>96</v>
      </c>
      <c r="D6060" s="47">
        <f t="shared" si="530"/>
        <v>4288</v>
      </c>
      <c r="E6060" s="1">
        <v>1</v>
      </c>
      <c r="F6060" s="78">
        <f t="shared" si="531"/>
        <v>42</v>
      </c>
    </row>
    <row r="6061" spans="1:6" x14ac:dyDescent="0.25">
      <c r="A6061" s="84" t="s">
        <v>21</v>
      </c>
      <c r="B6061" s="42">
        <v>44145</v>
      </c>
      <c r="C6061" s="1">
        <v>48</v>
      </c>
      <c r="D6061" s="47">
        <f t="shared" si="530"/>
        <v>7918</v>
      </c>
      <c r="F6061" s="78">
        <f t="shared" si="531"/>
        <v>292</v>
      </c>
    </row>
    <row r="6062" spans="1:6" x14ac:dyDescent="0.25">
      <c r="A6062" s="84" t="s">
        <v>17</v>
      </c>
      <c r="B6062" s="42">
        <v>44145</v>
      </c>
      <c r="C6062" s="1">
        <v>520</v>
      </c>
      <c r="D6062" s="47">
        <f t="shared" si="530"/>
        <v>51420</v>
      </c>
      <c r="E6062" s="1">
        <v>16</v>
      </c>
      <c r="F6062" s="78">
        <f t="shared" si="531"/>
        <v>951</v>
      </c>
    </row>
    <row r="6063" spans="1:6" x14ac:dyDescent="0.25">
      <c r="A6063" s="84" t="s">
        <v>23</v>
      </c>
      <c r="B6063" s="42">
        <v>44145</v>
      </c>
      <c r="C6063" s="1">
        <v>21</v>
      </c>
      <c r="D6063" s="47">
        <f t="shared" si="530"/>
        <v>361</v>
      </c>
      <c r="F6063" s="78">
        <f t="shared" si="531"/>
        <v>7</v>
      </c>
    </row>
    <row r="6064" spans="1:6" x14ac:dyDescent="0.25">
      <c r="A6064" s="84" t="s">
        <v>19</v>
      </c>
      <c r="B6064" s="42">
        <v>44145</v>
      </c>
      <c r="C6064" s="1">
        <v>351</v>
      </c>
      <c r="D6064" s="47">
        <f t="shared" si="530"/>
        <v>25754</v>
      </c>
      <c r="E6064" s="1">
        <v>1</v>
      </c>
      <c r="F6064" s="78">
        <f t="shared" si="531"/>
        <v>424</v>
      </c>
    </row>
    <row r="6065" spans="1:6" x14ac:dyDescent="0.25">
      <c r="A6065" s="84" t="s">
        <v>18</v>
      </c>
      <c r="B6065" s="42">
        <v>44145</v>
      </c>
      <c r="C6065" s="1">
        <v>539</v>
      </c>
      <c r="D6065" s="47">
        <f t="shared" si="530"/>
        <v>27124</v>
      </c>
      <c r="E6065" s="1">
        <v>11</v>
      </c>
      <c r="F6065" s="78">
        <f t="shared" si="531"/>
        <v>682</v>
      </c>
    </row>
    <row r="6066" spans="1:6" x14ac:dyDescent="0.25">
      <c r="A6066" s="84" t="s">
        <v>34</v>
      </c>
      <c r="B6066" s="42">
        <v>44145</v>
      </c>
      <c r="C6066" s="1">
        <v>89</v>
      </c>
      <c r="D6066" s="47">
        <f t="shared" si="530"/>
        <v>19700</v>
      </c>
      <c r="E6066" s="1">
        <v>5</v>
      </c>
      <c r="F6066" s="78">
        <f t="shared" si="531"/>
        <v>903</v>
      </c>
    </row>
    <row r="6067" spans="1:6" x14ac:dyDescent="0.25">
      <c r="A6067" s="84" t="s">
        <v>35</v>
      </c>
      <c r="B6067" s="42">
        <v>44145</v>
      </c>
      <c r="C6067" s="1">
        <v>142</v>
      </c>
      <c r="D6067" s="47">
        <f t="shared" si="530"/>
        <v>3959</v>
      </c>
      <c r="F6067" s="78">
        <f t="shared" si="531"/>
        <v>123</v>
      </c>
    </row>
    <row r="6068" spans="1:6" x14ac:dyDescent="0.25">
      <c r="A6068" s="84" t="s">
        <v>36</v>
      </c>
      <c r="B6068" s="42">
        <v>44145</v>
      </c>
      <c r="C6068" s="1">
        <v>452</v>
      </c>
      <c r="D6068" s="47">
        <f t="shared" si="530"/>
        <v>9821</v>
      </c>
      <c r="E6068" s="1">
        <v>2</v>
      </c>
      <c r="F6068" s="78">
        <f t="shared" si="531"/>
        <v>134</v>
      </c>
    </row>
    <row r="6069" spans="1:6" x14ac:dyDescent="0.25">
      <c r="A6069" s="84" t="s">
        <v>37</v>
      </c>
      <c r="B6069" s="42">
        <v>44145</v>
      </c>
      <c r="C6069" s="1">
        <v>257</v>
      </c>
      <c r="D6069" s="47">
        <f t="shared" si="530"/>
        <v>11479</v>
      </c>
      <c r="E6069" s="1">
        <v>5</v>
      </c>
      <c r="F6069" s="78">
        <f t="shared" si="531"/>
        <v>180</v>
      </c>
    </row>
    <row r="6070" spans="1:6" x14ac:dyDescent="0.25">
      <c r="A6070" s="84" t="s">
        <v>22</v>
      </c>
      <c r="B6070" s="42">
        <v>44145</v>
      </c>
      <c r="C6070" s="1">
        <v>1691</v>
      </c>
      <c r="D6070" s="47">
        <f t="shared" si="530"/>
        <v>121284</v>
      </c>
      <c r="E6070" s="1">
        <v>44</v>
      </c>
      <c r="F6070" s="78">
        <f t="shared" si="531"/>
        <v>1769</v>
      </c>
    </row>
    <row r="6071" spans="1:6" x14ac:dyDescent="0.25">
      <c r="A6071" s="84" t="s">
        <v>38</v>
      </c>
      <c r="B6071" s="42">
        <v>44145</v>
      </c>
      <c r="C6071" s="1">
        <v>129</v>
      </c>
      <c r="D6071" s="47">
        <f t="shared" si="530"/>
        <v>11660</v>
      </c>
      <c r="E6071" s="1">
        <v>5</v>
      </c>
      <c r="F6071" s="78">
        <f t="shared" si="531"/>
        <v>151</v>
      </c>
    </row>
    <row r="6072" spans="1:6" x14ac:dyDescent="0.25">
      <c r="A6072" s="84" t="s">
        <v>39</v>
      </c>
      <c r="B6072" s="42">
        <v>44145</v>
      </c>
      <c r="C6072" s="1">
        <v>235</v>
      </c>
      <c r="D6072" s="47">
        <f t="shared" si="530"/>
        <v>13544</v>
      </c>
      <c r="E6072" s="1">
        <v>1</v>
      </c>
      <c r="F6072" s="78">
        <f t="shared" si="531"/>
        <v>169</v>
      </c>
    </row>
    <row r="6073" spans="1:6" ht="15.75" thickBot="1" x14ac:dyDescent="0.3">
      <c r="A6073" s="86" t="s">
        <v>40</v>
      </c>
      <c r="B6073" s="42">
        <v>44145</v>
      </c>
      <c r="C6073" s="1">
        <v>689</v>
      </c>
      <c r="D6073" s="81">
        <f>C6073+D6049</f>
        <v>56057</v>
      </c>
      <c r="E6073" s="1">
        <v>27</v>
      </c>
      <c r="F6073" s="83">
        <f t="shared" si="531"/>
        <v>946</v>
      </c>
    </row>
    <row r="6074" spans="1:6" x14ac:dyDescent="0.25">
      <c r="A6074" s="36" t="s">
        <v>16</v>
      </c>
      <c r="B6074" s="42">
        <v>44146</v>
      </c>
      <c r="C6074" s="1">
        <v>3040</v>
      </c>
      <c r="D6074" s="211">
        <f t="shared" si="530"/>
        <v>579356</v>
      </c>
      <c r="E6074" s="1">
        <v>128</v>
      </c>
      <c r="F6074" s="77">
        <f t="shared" si="531"/>
        <v>18976</v>
      </c>
    </row>
    <row r="6075" spans="1:6" x14ac:dyDescent="0.25">
      <c r="A6075" s="84" t="s">
        <v>43</v>
      </c>
      <c r="B6075" s="42">
        <v>44146</v>
      </c>
      <c r="C6075" s="1">
        <v>549</v>
      </c>
      <c r="D6075" s="47">
        <f t="shared" si="530"/>
        <v>152086</v>
      </c>
      <c r="E6075" s="1">
        <v>10</v>
      </c>
      <c r="F6075" s="78">
        <f t="shared" si="531"/>
        <v>5022</v>
      </c>
    </row>
    <row r="6076" spans="1:6" x14ac:dyDescent="0.25">
      <c r="A6076" s="84" t="s">
        <v>28</v>
      </c>
      <c r="B6076" s="42">
        <v>44146</v>
      </c>
      <c r="C6076" s="1">
        <v>51</v>
      </c>
      <c r="D6076" s="47">
        <f t="shared" si="530"/>
        <v>1302</v>
      </c>
      <c r="F6076" s="78">
        <f t="shared" si="531"/>
        <v>2</v>
      </c>
    </row>
    <row r="6077" spans="1:6" x14ac:dyDescent="0.25">
      <c r="A6077" s="84" t="s">
        <v>15</v>
      </c>
      <c r="B6077" s="42">
        <v>44146</v>
      </c>
      <c r="C6077" s="1">
        <v>205</v>
      </c>
      <c r="D6077" s="47">
        <f t="shared" si="530"/>
        <v>15512</v>
      </c>
      <c r="E6077" s="1">
        <v>2</v>
      </c>
      <c r="F6077" s="78">
        <f t="shared" si="531"/>
        <v>477</v>
      </c>
    </row>
    <row r="6078" spans="1:6" x14ac:dyDescent="0.25">
      <c r="A6078" s="84" t="s">
        <v>29</v>
      </c>
      <c r="B6078" s="42">
        <v>44146</v>
      </c>
      <c r="C6078" s="1">
        <v>354</v>
      </c>
      <c r="D6078" s="47">
        <f t="shared" si="530"/>
        <v>18048</v>
      </c>
      <c r="E6078" s="1">
        <v>7</v>
      </c>
      <c r="F6078" s="78">
        <f t="shared" si="531"/>
        <v>297</v>
      </c>
    </row>
    <row r="6079" spans="1:6" x14ac:dyDescent="0.25">
      <c r="A6079" s="84" t="s">
        <v>20</v>
      </c>
      <c r="B6079" s="42">
        <v>44146</v>
      </c>
      <c r="C6079" s="1">
        <v>1361</v>
      </c>
      <c r="D6079" s="47">
        <f t="shared" si="530"/>
        <v>97428</v>
      </c>
      <c r="E6079" s="1">
        <v>28</v>
      </c>
      <c r="F6079" s="78">
        <f t="shared" si="531"/>
        <v>1557</v>
      </c>
    </row>
    <row r="6080" spans="1:6" x14ac:dyDescent="0.25">
      <c r="A6080" s="84" t="s">
        <v>30</v>
      </c>
      <c r="B6080" s="42">
        <v>44146</v>
      </c>
      <c r="C6080" s="1">
        <v>135</v>
      </c>
      <c r="D6080" s="47">
        <f t="shared" si="530"/>
        <v>3244</v>
      </c>
      <c r="F6080" s="78">
        <f t="shared" si="531"/>
        <v>63</v>
      </c>
    </row>
    <row r="6081" spans="1:6" x14ac:dyDescent="0.25">
      <c r="A6081" s="84" t="s">
        <v>31</v>
      </c>
      <c r="B6081" s="42">
        <v>44146</v>
      </c>
      <c r="C6081" s="1">
        <v>357</v>
      </c>
      <c r="D6081" s="47">
        <f t="shared" si="530"/>
        <v>18955</v>
      </c>
      <c r="E6081" s="1">
        <v>4</v>
      </c>
      <c r="F6081" s="78">
        <f t="shared" si="531"/>
        <v>349</v>
      </c>
    </row>
    <row r="6082" spans="1:6" x14ac:dyDescent="0.25">
      <c r="A6082" s="84" t="s">
        <v>41</v>
      </c>
      <c r="B6082" s="42">
        <v>44146</v>
      </c>
      <c r="C6082" s="1">
        <v>2</v>
      </c>
      <c r="D6082" s="47">
        <f t="shared" si="530"/>
        <v>165</v>
      </c>
      <c r="F6082" s="78">
        <f t="shared" si="531"/>
        <v>3</v>
      </c>
    </row>
    <row r="6083" spans="1:6" x14ac:dyDescent="0.25">
      <c r="A6083" s="84" t="s">
        <v>32</v>
      </c>
      <c r="B6083" s="42">
        <v>44146</v>
      </c>
      <c r="C6083" s="1">
        <v>10</v>
      </c>
      <c r="D6083" s="47">
        <f t="shared" si="530"/>
        <v>18075</v>
      </c>
      <c r="F6083" s="78">
        <f t="shared" si="531"/>
        <v>832</v>
      </c>
    </row>
    <row r="6084" spans="1:6" x14ac:dyDescent="0.25">
      <c r="A6084" s="84" t="s">
        <v>33</v>
      </c>
      <c r="B6084" s="42">
        <v>44146</v>
      </c>
      <c r="C6084" s="1">
        <v>92</v>
      </c>
      <c r="D6084" s="47">
        <f t="shared" si="530"/>
        <v>4380</v>
      </c>
      <c r="E6084" s="1">
        <v>4</v>
      </c>
      <c r="F6084" s="78">
        <f t="shared" si="531"/>
        <v>46</v>
      </c>
    </row>
    <row r="6085" spans="1:6" x14ac:dyDescent="0.25">
      <c r="A6085" s="84" t="s">
        <v>21</v>
      </c>
      <c r="B6085" s="42">
        <v>44146</v>
      </c>
      <c r="C6085" s="1">
        <v>41</v>
      </c>
      <c r="D6085" s="47">
        <f t="shared" si="530"/>
        <v>7959</v>
      </c>
      <c r="F6085" s="78">
        <f t="shared" si="531"/>
        <v>292</v>
      </c>
    </row>
    <row r="6086" spans="1:6" x14ac:dyDescent="0.25">
      <c r="A6086" s="84" t="s">
        <v>17</v>
      </c>
      <c r="B6086" s="42">
        <v>44146</v>
      </c>
      <c r="C6086" s="1">
        <v>474</v>
      </c>
      <c r="D6086" s="47">
        <f t="shared" si="530"/>
        <v>51894</v>
      </c>
      <c r="E6086" s="1">
        <v>41</v>
      </c>
      <c r="F6086" s="78">
        <f t="shared" si="531"/>
        <v>992</v>
      </c>
    </row>
    <row r="6087" spans="1:6" x14ac:dyDescent="0.25">
      <c r="A6087" s="84" t="s">
        <v>23</v>
      </c>
      <c r="B6087" s="42">
        <v>44146</v>
      </c>
      <c r="C6087" s="1">
        <v>-2</v>
      </c>
      <c r="D6087" s="47">
        <f t="shared" si="530"/>
        <v>359</v>
      </c>
      <c r="F6087" s="78">
        <f t="shared" si="531"/>
        <v>7</v>
      </c>
    </row>
    <row r="6088" spans="1:6" x14ac:dyDescent="0.25">
      <c r="A6088" s="84" t="s">
        <v>19</v>
      </c>
      <c r="B6088" s="42">
        <v>44146</v>
      </c>
      <c r="C6088" s="1">
        <v>129</v>
      </c>
      <c r="D6088" s="47">
        <f t="shared" si="530"/>
        <v>25883</v>
      </c>
      <c r="E6088" s="1">
        <v>42</v>
      </c>
      <c r="F6088" s="78">
        <f t="shared" si="531"/>
        <v>466</v>
      </c>
    </row>
    <row r="6089" spans="1:6" x14ac:dyDescent="0.25">
      <c r="A6089" s="84" t="s">
        <v>18</v>
      </c>
      <c r="B6089" s="42">
        <v>44146</v>
      </c>
      <c r="C6089" s="1">
        <v>207</v>
      </c>
      <c r="D6089" s="47">
        <f t="shared" si="530"/>
        <v>27331</v>
      </c>
      <c r="E6089" s="1">
        <v>6</v>
      </c>
      <c r="F6089" s="78">
        <f t="shared" si="531"/>
        <v>688</v>
      </c>
    </row>
    <row r="6090" spans="1:6" x14ac:dyDescent="0.25">
      <c r="A6090" s="84" t="s">
        <v>34</v>
      </c>
      <c r="B6090" s="42">
        <v>44146</v>
      </c>
      <c r="C6090" s="1">
        <v>93</v>
      </c>
      <c r="D6090" s="47">
        <f t="shared" si="530"/>
        <v>19793</v>
      </c>
      <c r="E6090" s="1">
        <v>7</v>
      </c>
      <c r="F6090" s="78">
        <f t="shared" si="531"/>
        <v>910</v>
      </c>
    </row>
    <row r="6091" spans="1:6" x14ac:dyDescent="0.25">
      <c r="A6091" s="84" t="s">
        <v>35</v>
      </c>
      <c r="B6091" s="42">
        <v>44146</v>
      </c>
      <c r="C6091" s="1">
        <v>157</v>
      </c>
      <c r="D6091" s="47">
        <f t="shared" si="530"/>
        <v>4116</v>
      </c>
      <c r="F6091" s="78">
        <f t="shared" si="531"/>
        <v>123</v>
      </c>
    </row>
    <row r="6092" spans="1:6" x14ac:dyDescent="0.25">
      <c r="A6092" s="84" t="s">
        <v>36</v>
      </c>
      <c r="B6092" s="42">
        <v>44146</v>
      </c>
      <c r="C6092" s="1">
        <v>363</v>
      </c>
      <c r="D6092" s="47">
        <f t="shared" si="530"/>
        <v>10184</v>
      </c>
      <c r="E6092" s="1">
        <v>5</v>
      </c>
      <c r="F6092" s="78">
        <f t="shared" si="531"/>
        <v>139</v>
      </c>
    </row>
    <row r="6093" spans="1:6" x14ac:dyDescent="0.25">
      <c r="A6093" s="84" t="s">
        <v>37</v>
      </c>
      <c r="B6093" s="42">
        <v>44146</v>
      </c>
      <c r="C6093" s="1">
        <v>305</v>
      </c>
      <c r="D6093" s="47">
        <f t="shared" si="530"/>
        <v>11784</v>
      </c>
      <c r="E6093" s="1">
        <v>2</v>
      </c>
      <c r="F6093" s="78">
        <f t="shared" si="531"/>
        <v>182</v>
      </c>
    </row>
    <row r="6094" spans="1:6" x14ac:dyDescent="0.25">
      <c r="A6094" s="84" t="s">
        <v>22</v>
      </c>
      <c r="B6094" s="42">
        <v>44146</v>
      </c>
      <c r="C6094" s="1">
        <v>1545</v>
      </c>
      <c r="D6094" s="47">
        <f t="shared" si="530"/>
        <v>122829</v>
      </c>
      <c r="E6094" s="1">
        <v>47</v>
      </c>
      <c r="F6094" s="78">
        <f t="shared" si="531"/>
        <v>1816</v>
      </c>
    </row>
    <row r="6095" spans="1:6" x14ac:dyDescent="0.25">
      <c r="A6095" s="84" t="s">
        <v>38</v>
      </c>
      <c r="B6095" s="42">
        <v>44146</v>
      </c>
      <c r="C6095" s="1">
        <v>252</v>
      </c>
      <c r="D6095" s="47">
        <f t="shared" si="530"/>
        <v>11912</v>
      </c>
      <c r="F6095" s="78">
        <f t="shared" si="531"/>
        <v>151</v>
      </c>
    </row>
    <row r="6096" spans="1:6" x14ac:dyDescent="0.25">
      <c r="A6096" s="84" t="s">
        <v>39</v>
      </c>
      <c r="B6096" s="42">
        <v>44146</v>
      </c>
      <c r="C6096" s="1">
        <v>123</v>
      </c>
      <c r="D6096" s="47">
        <f t="shared" si="530"/>
        <v>13667</v>
      </c>
      <c r="E6096" s="1">
        <v>3</v>
      </c>
      <c r="F6096" s="78">
        <f t="shared" si="531"/>
        <v>172</v>
      </c>
    </row>
    <row r="6097" spans="1:6" ht="15.75" thickBot="1" x14ac:dyDescent="0.3">
      <c r="A6097" s="86" t="s">
        <v>40</v>
      </c>
      <c r="B6097" s="42">
        <v>44146</v>
      </c>
      <c r="C6097" s="1">
        <v>1037</v>
      </c>
      <c r="D6097" s="81">
        <f>C6097+D6073</f>
        <v>57094</v>
      </c>
      <c r="E6097" s="1">
        <v>12</v>
      </c>
      <c r="F6097" s="83">
        <f t="shared" si="531"/>
        <v>958</v>
      </c>
    </row>
    <row r="6098" spans="1:6" x14ac:dyDescent="0.25">
      <c r="A6098" s="36" t="s">
        <v>16</v>
      </c>
      <c r="B6098" s="42">
        <v>44147</v>
      </c>
      <c r="C6098" s="1">
        <v>3391</v>
      </c>
      <c r="D6098" s="211">
        <f t="shared" si="530"/>
        <v>582747</v>
      </c>
      <c r="E6098" s="1">
        <v>67</v>
      </c>
      <c r="F6098" s="77">
        <f t="shared" si="531"/>
        <v>19043</v>
      </c>
    </row>
    <row r="6099" spans="1:6" x14ac:dyDescent="0.25">
      <c r="A6099" s="84" t="s">
        <v>43</v>
      </c>
      <c r="B6099" s="42">
        <v>44147</v>
      </c>
      <c r="C6099" s="1">
        <v>499</v>
      </c>
      <c r="D6099" s="47">
        <f t="shared" si="530"/>
        <v>152585</v>
      </c>
      <c r="E6099" s="1">
        <v>19</v>
      </c>
      <c r="F6099" s="78">
        <f t="shared" si="531"/>
        <v>5041</v>
      </c>
    </row>
    <row r="6100" spans="1:6" x14ac:dyDescent="0.25">
      <c r="A6100" s="84" t="s">
        <v>28</v>
      </c>
      <c r="B6100" s="42">
        <v>44147</v>
      </c>
      <c r="C6100" s="1">
        <v>26</v>
      </c>
      <c r="D6100" s="47">
        <f t="shared" si="530"/>
        <v>1328</v>
      </c>
      <c r="E6100" s="1">
        <v>2</v>
      </c>
      <c r="F6100" s="78">
        <f t="shared" si="531"/>
        <v>4</v>
      </c>
    </row>
    <row r="6101" spans="1:6" x14ac:dyDescent="0.25">
      <c r="A6101" s="84" t="s">
        <v>15</v>
      </c>
      <c r="B6101" s="42">
        <v>44147</v>
      </c>
      <c r="C6101" s="1">
        <v>203</v>
      </c>
      <c r="D6101" s="47">
        <f t="shared" si="530"/>
        <v>15715</v>
      </c>
      <c r="E6101" s="1">
        <v>5</v>
      </c>
      <c r="F6101" s="78">
        <f t="shared" si="531"/>
        <v>482</v>
      </c>
    </row>
    <row r="6102" spans="1:6" x14ac:dyDescent="0.25">
      <c r="A6102" s="84" t="s">
        <v>29</v>
      </c>
      <c r="B6102" s="42">
        <v>44147</v>
      </c>
      <c r="C6102" s="1">
        <v>342</v>
      </c>
      <c r="D6102" s="47">
        <f t="shared" si="530"/>
        <v>18390</v>
      </c>
      <c r="E6102" s="1">
        <v>13</v>
      </c>
      <c r="F6102" s="78">
        <f t="shared" si="531"/>
        <v>310</v>
      </c>
    </row>
    <row r="6103" spans="1:6" x14ac:dyDescent="0.25">
      <c r="A6103" s="84" t="s">
        <v>20</v>
      </c>
      <c r="B6103" s="42">
        <v>44147</v>
      </c>
      <c r="C6103" s="1">
        <v>1432</v>
      </c>
      <c r="D6103" s="47">
        <f t="shared" si="530"/>
        <v>98860</v>
      </c>
      <c r="E6103" s="1">
        <v>26</v>
      </c>
      <c r="F6103" s="78">
        <f t="shared" si="531"/>
        <v>1583</v>
      </c>
    </row>
    <row r="6104" spans="1:6" x14ac:dyDescent="0.25">
      <c r="A6104" s="84" t="s">
        <v>30</v>
      </c>
      <c r="B6104" s="42">
        <v>44147</v>
      </c>
      <c r="C6104" s="1">
        <v>171</v>
      </c>
      <c r="D6104" s="47">
        <f t="shared" si="530"/>
        <v>3415</v>
      </c>
      <c r="E6104" s="1">
        <v>2</v>
      </c>
      <c r="F6104" s="78">
        <f t="shared" si="531"/>
        <v>65</v>
      </c>
    </row>
    <row r="6105" spans="1:6" x14ac:dyDescent="0.25">
      <c r="A6105" s="84" t="s">
        <v>31</v>
      </c>
      <c r="B6105" s="42">
        <v>44147</v>
      </c>
      <c r="C6105" s="1">
        <v>308</v>
      </c>
      <c r="D6105" s="47">
        <f t="shared" si="530"/>
        <v>19263</v>
      </c>
      <c r="E6105" s="1">
        <v>9</v>
      </c>
      <c r="F6105" s="78">
        <f t="shared" si="531"/>
        <v>358</v>
      </c>
    </row>
    <row r="6106" spans="1:6" x14ac:dyDescent="0.25">
      <c r="A6106" s="84" t="s">
        <v>41</v>
      </c>
      <c r="B6106" s="42">
        <v>44147</v>
      </c>
      <c r="C6106" s="1">
        <v>1</v>
      </c>
      <c r="D6106" s="47">
        <f t="shared" si="530"/>
        <v>166</v>
      </c>
      <c r="E6106" s="1">
        <v>0</v>
      </c>
      <c r="F6106" s="78">
        <f t="shared" si="531"/>
        <v>3</v>
      </c>
    </row>
    <row r="6107" spans="1:6" x14ac:dyDescent="0.25">
      <c r="A6107" s="84" t="s">
        <v>32</v>
      </c>
      <c r="B6107" s="42">
        <v>44147</v>
      </c>
      <c r="C6107" s="1">
        <v>20</v>
      </c>
      <c r="D6107" s="47">
        <f t="shared" si="530"/>
        <v>18095</v>
      </c>
      <c r="E6107" s="1">
        <v>4</v>
      </c>
      <c r="F6107" s="78">
        <f t="shared" si="531"/>
        <v>836</v>
      </c>
    </row>
    <row r="6108" spans="1:6" x14ac:dyDescent="0.25">
      <c r="A6108" s="84" t="s">
        <v>33</v>
      </c>
      <c r="B6108" s="42">
        <v>44147</v>
      </c>
      <c r="C6108" s="1">
        <v>86</v>
      </c>
      <c r="D6108" s="47">
        <f t="shared" si="530"/>
        <v>4466</v>
      </c>
      <c r="E6108" s="1">
        <v>2</v>
      </c>
      <c r="F6108" s="78">
        <f t="shared" si="531"/>
        <v>48</v>
      </c>
    </row>
    <row r="6109" spans="1:6" x14ac:dyDescent="0.25">
      <c r="A6109" s="84" t="s">
        <v>21</v>
      </c>
      <c r="B6109" s="42">
        <v>44147</v>
      </c>
      <c r="C6109" s="1">
        <v>48</v>
      </c>
      <c r="D6109" s="47">
        <f t="shared" si="530"/>
        <v>8007</v>
      </c>
      <c r="E6109" s="1">
        <v>6</v>
      </c>
      <c r="F6109" s="78">
        <f t="shared" si="531"/>
        <v>298</v>
      </c>
    </row>
    <row r="6110" spans="1:6" x14ac:dyDescent="0.25">
      <c r="A6110" s="84" t="s">
        <v>17</v>
      </c>
      <c r="B6110" s="42">
        <v>44147</v>
      </c>
      <c r="C6110" s="1">
        <v>380</v>
      </c>
      <c r="D6110" s="47">
        <f t="shared" si="530"/>
        <v>52274</v>
      </c>
      <c r="E6110" s="1">
        <v>7</v>
      </c>
      <c r="F6110" s="78">
        <f t="shared" si="531"/>
        <v>999</v>
      </c>
    </row>
    <row r="6111" spans="1:6" x14ac:dyDescent="0.25">
      <c r="A6111" s="84" t="s">
        <v>23</v>
      </c>
      <c r="B6111" s="42">
        <v>44147</v>
      </c>
      <c r="C6111" s="1">
        <v>0</v>
      </c>
      <c r="D6111" s="47">
        <f t="shared" si="530"/>
        <v>359</v>
      </c>
      <c r="F6111" s="78">
        <f t="shared" si="531"/>
        <v>7</v>
      </c>
    </row>
    <row r="6112" spans="1:6" x14ac:dyDescent="0.25">
      <c r="A6112" s="84" t="s">
        <v>19</v>
      </c>
      <c r="B6112" s="42">
        <v>44147</v>
      </c>
      <c r="C6112" s="1">
        <v>355</v>
      </c>
      <c r="D6112" s="47">
        <f t="shared" si="530"/>
        <v>26238</v>
      </c>
      <c r="E6112" s="1">
        <v>17</v>
      </c>
      <c r="F6112" s="78">
        <f t="shared" si="531"/>
        <v>483</v>
      </c>
    </row>
    <row r="6113" spans="1:6" x14ac:dyDescent="0.25">
      <c r="A6113" s="84" t="s">
        <v>18</v>
      </c>
      <c r="B6113" s="42">
        <v>44147</v>
      </c>
      <c r="C6113" s="1">
        <v>429</v>
      </c>
      <c r="D6113" s="47">
        <f t="shared" si="530"/>
        <v>27760</v>
      </c>
      <c r="E6113" s="1">
        <v>8</v>
      </c>
      <c r="F6113" s="78">
        <f t="shared" si="531"/>
        <v>696</v>
      </c>
    </row>
    <row r="6114" spans="1:6" x14ac:dyDescent="0.25">
      <c r="A6114" s="84" t="s">
        <v>34</v>
      </c>
      <c r="B6114" s="42">
        <v>44147</v>
      </c>
      <c r="C6114" s="1">
        <v>116</v>
      </c>
      <c r="D6114" s="47">
        <f t="shared" ref="D6114:D6120" si="532">C6114+D6090</f>
        <v>19909</v>
      </c>
      <c r="E6114" s="1">
        <v>1</v>
      </c>
      <c r="F6114" s="78">
        <f t="shared" si="531"/>
        <v>911</v>
      </c>
    </row>
    <row r="6115" spans="1:6" x14ac:dyDescent="0.25">
      <c r="A6115" s="84" t="s">
        <v>35</v>
      </c>
      <c r="B6115" s="42">
        <v>44147</v>
      </c>
      <c r="C6115" s="1">
        <v>118</v>
      </c>
      <c r="D6115" s="47">
        <f t="shared" si="532"/>
        <v>4234</v>
      </c>
      <c r="F6115" s="78">
        <f t="shared" si="531"/>
        <v>123</v>
      </c>
    </row>
    <row r="6116" spans="1:6" x14ac:dyDescent="0.25">
      <c r="A6116" s="84" t="s">
        <v>36</v>
      </c>
      <c r="B6116" s="42">
        <v>44147</v>
      </c>
      <c r="C6116" s="1">
        <v>346</v>
      </c>
      <c r="D6116" s="47">
        <f t="shared" si="532"/>
        <v>10530</v>
      </c>
      <c r="E6116" s="1">
        <v>6</v>
      </c>
      <c r="F6116" s="78">
        <f t="shared" si="531"/>
        <v>145</v>
      </c>
    </row>
    <row r="6117" spans="1:6" x14ac:dyDescent="0.25">
      <c r="A6117" s="84" t="s">
        <v>37</v>
      </c>
      <c r="B6117" s="42">
        <v>44147</v>
      </c>
      <c r="C6117" s="1">
        <v>260</v>
      </c>
      <c r="D6117" s="47">
        <f t="shared" si="532"/>
        <v>12044</v>
      </c>
      <c r="E6117" s="1">
        <v>3</v>
      </c>
      <c r="F6117" s="78">
        <f t="shared" si="531"/>
        <v>185</v>
      </c>
    </row>
    <row r="6118" spans="1:6" x14ac:dyDescent="0.25">
      <c r="A6118" s="84" t="s">
        <v>22</v>
      </c>
      <c r="B6118" s="42">
        <v>44147</v>
      </c>
      <c r="C6118" s="1">
        <v>1597</v>
      </c>
      <c r="D6118" s="47">
        <f t="shared" si="532"/>
        <v>124426</v>
      </c>
      <c r="E6118" s="1">
        <v>33</v>
      </c>
      <c r="F6118" s="78">
        <f t="shared" si="531"/>
        <v>1849</v>
      </c>
    </row>
    <row r="6119" spans="1:6" x14ac:dyDescent="0.25">
      <c r="A6119" s="84" t="s">
        <v>38</v>
      </c>
      <c r="B6119" s="42">
        <v>44147</v>
      </c>
      <c r="C6119" s="1">
        <v>188</v>
      </c>
      <c r="D6119" s="47">
        <f t="shared" si="532"/>
        <v>12100</v>
      </c>
      <c r="E6119" s="1">
        <v>1</v>
      </c>
      <c r="F6119" s="78">
        <f t="shared" si="531"/>
        <v>152</v>
      </c>
    </row>
    <row r="6120" spans="1:6" x14ac:dyDescent="0.25">
      <c r="A6120" s="84" t="s">
        <v>39</v>
      </c>
      <c r="B6120" s="42">
        <v>44147</v>
      </c>
      <c r="C6120" s="1">
        <v>214</v>
      </c>
      <c r="D6120" s="47">
        <f t="shared" si="532"/>
        <v>13881</v>
      </c>
      <c r="E6120" s="1">
        <v>16</v>
      </c>
      <c r="F6120" s="78">
        <f t="shared" si="531"/>
        <v>188</v>
      </c>
    </row>
    <row r="6121" spans="1:6" ht="15.75" thickBot="1" x14ac:dyDescent="0.3">
      <c r="A6121" s="86" t="s">
        <v>40</v>
      </c>
      <c r="B6121" s="42">
        <v>44147</v>
      </c>
      <c r="C6121" s="1">
        <v>633</v>
      </c>
      <c r="D6121" s="81">
        <f>C6121+D6097</f>
        <v>57727</v>
      </c>
      <c r="E6121" s="1">
        <v>2</v>
      </c>
      <c r="F6121" s="83">
        <f t="shared" si="531"/>
        <v>960</v>
      </c>
    </row>
    <row r="6122" spans="1:6" x14ac:dyDescent="0.25">
      <c r="A6122" s="36" t="s">
        <v>16</v>
      </c>
      <c r="B6122" s="42">
        <v>44148</v>
      </c>
      <c r="C6122" s="1">
        <v>2761</v>
      </c>
      <c r="D6122" s="211">
        <f t="shared" ref="D6122:D6185" si="533">C6122+D6098</f>
        <v>585508</v>
      </c>
      <c r="E6122" s="1">
        <f>53+34</f>
        <v>87</v>
      </c>
      <c r="F6122" s="77">
        <f t="shared" si="531"/>
        <v>19130</v>
      </c>
    </row>
    <row r="6123" spans="1:6" x14ac:dyDescent="0.25">
      <c r="A6123" s="84" t="s">
        <v>43</v>
      </c>
      <c r="B6123" s="42">
        <v>44148</v>
      </c>
      <c r="C6123" s="1">
        <v>397</v>
      </c>
      <c r="D6123" s="47">
        <f t="shared" si="533"/>
        <v>152982</v>
      </c>
      <c r="E6123" s="1">
        <f>13+3</f>
        <v>16</v>
      </c>
      <c r="F6123" s="78">
        <f t="shared" ref="F6123:F6186" si="534">E6123+F6099</f>
        <v>5057</v>
      </c>
    </row>
    <row r="6124" spans="1:6" x14ac:dyDescent="0.25">
      <c r="A6124" s="84" t="s">
        <v>28</v>
      </c>
      <c r="B6124" s="42">
        <v>44148</v>
      </c>
      <c r="C6124" s="1">
        <v>59</v>
      </c>
      <c r="D6124" s="47">
        <f t="shared" si="533"/>
        <v>1387</v>
      </c>
      <c r="E6124" s="1">
        <f>1+2</f>
        <v>3</v>
      </c>
      <c r="F6124" s="78">
        <f t="shared" si="534"/>
        <v>7</v>
      </c>
    </row>
    <row r="6125" spans="1:6" x14ac:dyDescent="0.25">
      <c r="A6125" s="84" t="s">
        <v>15</v>
      </c>
      <c r="B6125" s="42">
        <v>44148</v>
      </c>
      <c r="C6125" s="1">
        <v>258</v>
      </c>
      <c r="D6125" s="47">
        <f t="shared" si="533"/>
        <v>15973</v>
      </c>
      <c r="E6125" s="1">
        <f>2</f>
        <v>2</v>
      </c>
      <c r="F6125" s="78">
        <f t="shared" si="534"/>
        <v>484</v>
      </c>
    </row>
    <row r="6126" spans="1:6" x14ac:dyDescent="0.25">
      <c r="A6126" s="84" t="s">
        <v>29</v>
      </c>
      <c r="B6126" s="42">
        <v>44148</v>
      </c>
      <c r="C6126" s="1">
        <v>367</v>
      </c>
      <c r="D6126" s="47">
        <f t="shared" si="533"/>
        <v>18757</v>
      </c>
      <c r="E6126" s="1">
        <v>8</v>
      </c>
      <c r="F6126" s="78">
        <f t="shared" si="534"/>
        <v>318</v>
      </c>
    </row>
    <row r="6127" spans="1:6" x14ac:dyDescent="0.25">
      <c r="A6127" s="84" t="s">
        <v>20</v>
      </c>
      <c r="B6127" s="42">
        <v>44148</v>
      </c>
      <c r="C6127" s="1">
        <v>1631</v>
      </c>
      <c r="D6127" s="47">
        <f t="shared" si="533"/>
        <v>100491</v>
      </c>
      <c r="E6127" s="1">
        <f>15+14</f>
        <v>29</v>
      </c>
      <c r="F6127" s="78">
        <f t="shared" si="534"/>
        <v>1612</v>
      </c>
    </row>
    <row r="6128" spans="1:6" x14ac:dyDescent="0.25">
      <c r="A6128" s="84" t="s">
        <v>30</v>
      </c>
      <c r="B6128" s="42">
        <v>44148</v>
      </c>
      <c r="C6128" s="1">
        <v>64</v>
      </c>
      <c r="D6128" s="47">
        <f t="shared" si="533"/>
        <v>3479</v>
      </c>
      <c r="E6128" s="1">
        <f>3</f>
        <v>3</v>
      </c>
      <c r="F6128" s="78">
        <f t="shared" si="534"/>
        <v>68</v>
      </c>
    </row>
    <row r="6129" spans="1:6" x14ac:dyDescent="0.25">
      <c r="A6129" s="84" t="s">
        <v>31</v>
      </c>
      <c r="B6129" s="42">
        <v>44148</v>
      </c>
      <c r="C6129" s="1">
        <v>297</v>
      </c>
      <c r="D6129" s="47">
        <f t="shared" si="533"/>
        <v>19560</v>
      </c>
      <c r="E6129" s="1">
        <f>2+3</f>
        <v>5</v>
      </c>
      <c r="F6129" s="78">
        <f t="shared" si="534"/>
        <v>363</v>
      </c>
    </row>
    <row r="6130" spans="1:6" x14ac:dyDescent="0.25">
      <c r="A6130" s="84" t="s">
        <v>41</v>
      </c>
      <c r="B6130" s="42">
        <v>44148</v>
      </c>
      <c r="C6130" s="1">
        <v>1</v>
      </c>
      <c r="D6130" s="47">
        <f t="shared" si="533"/>
        <v>167</v>
      </c>
      <c r="F6130" s="78">
        <f t="shared" si="534"/>
        <v>3</v>
      </c>
    </row>
    <row r="6131" spans="1:6" x14ac:dyDescent="0.25">
      <c r="A6131" s="84" t="s">
        <v>32</v>
      </c>
      <c r="B6131" s="42">
        <v>44148</v>
      </c>
      <c r="C6131" s="1">
        <v>30</v>
      </c>
      <c r="D6131" s="47">
        <f t="shared" si="533"/>
        <v>18125</v>
      </c>
      <c r="E6131" s="1">
        <f>1</f>
        <v>1</v>
      </c>
      <c r="F6131" s="78">
        <f t="shared" si="534"/>
        <v>837</v>
      </c>
    </row>
    <row r="6132" spans="1:6" x14ac:dyDescent="0.25">
      <c r="A6132" s="84" t="s">
        <v>33</v>
      </c>
      <c r="B6132" s="42">
        <v>44148</v>
      </c>
      <c r="C6132" s="1">
        <v>82</v>
      </c>
      <c r="D6132" s="47">
        <f t="shared" si="533"/>
        <v>4548</v>
      </c>
      <c r="E6132" s="1">
        <f>1</f>
        <v>1</v>
      </c>
      <c r="F6132" s="78">
        <f t="shared" si="534"/>
        <v>49</v>
      </c>
    </row>
    <row r="6133" spans="1:6" x14ac:dyDescent="0.25">
      <c r="A6133" s="84" t="s">
        <v>21</v>
      </c>
      <c r="B6133" s="42">
        <v>44148</v>
      </c>
      <c r="C6133" s="1">
        <v>69</v>
      </c>
      <c r="D6133" s="47">
        <f t="shared" si="533"/>
        <v>8076</v>
      </c>
      <c r="F6133" s="78">
        <f t="shared" si="534"/>
        <v>298</v>
      </c>
    </row>
    <row r="6134" spans="1:6" x14ac:dyDescent="0.25">
      <c r="A6134" s="84" t="s">
        <v>17</v>
      </c>
      <c r="B6134" s="42">
        <v>44148</v>
      </c>
      <c r="C6134" s="1">
        <v>425</v>
      </c>
      <c r="D6134" s="47">
        <f t="shared" si="533"/>
        <v>52699</v>
      </c>
      <c r="E6134" s="1">
        <f>6+2</f>
        <v>8</v>
      </c>
      <c r="F6134" s="78">
        <f t="shared" si="534"/>
        <v>1007</v>
      </c>
    </row>
    <row r="6135" spans="1:6" x14ac:dyDescent="0.25">
      <c r="A6135" s="84" t="s">
        <v>23</v>
      </c>
      <c r="B6135" s="42">
        <v>44148</v>
      </c>
      <c r="C6135" s="1">
        <v>9</v>
      </c>
      <c r="D6135" s="47">
        <f t="shared" si="533"/>
        <v>368</v>
      </c>
      <c r="F6135" s="78">
        <f t="shared" si="534"/>
        <v>7</v>
      </c>
    </row>
    <row r="6136" spans="1:6" x14ac:dyDescent="0.25">
      <c r="A6136" s="84" t="s">
        <v>19</v>
      </c>
      <c r="B6136" s="42">
        <v>44148</v>
      </c>
      <c r="C6136" s="1">
        <v>255</v>
      </c>
      <c r="D6136" s="47">
        <f t="shared" si="533"/>
        <v>26493</v>
      </c>
      <c r="E6136" s="1">
        <f>24+8</f>
        <v>32</v>
      </c>
      <c r="F6136" s="78">
        <f t="shared" si="534"/>
        <v>515</v>
      </c>
    </row>
    <row r="6137" spans="1:6" x14ac:dyDescent="0.25">
      <c r="A6137" s="84" t="s">
        <v>18</v>
      </c>
      <c r="B6137" s="42">
        <v>44148</v>
      </c>
      <c r="C6137" s="1">
        <v>335</v>
      </c>
      <c r="D6137" s="47">
        <f t="shared" si="533"/>
        <v>28095</v>
      </c>
      <c r="E6137" s="1">
        <f>5+3</f>
        <v>8</v>
      </c>
      <c r="F6137" s="78">
        <f t="shared" si="534"/>
        <v>704</v>
      </c>
    </row>
    <row r="6138" spans="1:6" x14ac:dyDescent="0.25">
      <c r="A6138" s="84" t="s">
        <v>34</v>
      </c>
      <c r="B6138" s="42">
        <v>44148</v>
      </c>
      <c r="C6138" s="1">
        <v>157</v>
      </c>
      <c r="D6138" s="47">
        <f t="shared" si="533"/>
        <v>20066</v>
      </c>
      <c r="E6138" s="1">
        <f>1+2</f>
        <v>3</v>
      </c>
      <c r="F6138" s="78">
        <f t="shared" si="534"/>
        <v>914</v>
      </c>
    </row>
    <row r="6139" spans="1:6" x14ac:dyDescent="0.25">
      <c r="A6139" s="84" t="s">
        <v>35</v>
      </c>
      <c r="B6139" s="42">
        <v>44148</v>
      </c>
      <c r="C6139" s="1">
        <v>98</v>
      </c>
      <c r="D6139" s="47">
        <f t="shared" si="533"/>
        <v>4332</v>
      </c>
      <c r="E6139" s="1">
        <f>10+3</f>
        <v>13</v>
      </c>
      <c r="F6139" s="78">
        <f t="shared" si="534"/>
        <v>136</v>
      </c>
    </row>
    <row r="6140" spans="1:6" x14ac:dyDescent="0.25">
      <c r="A6140" s="84" t="s">
        <v>36</v>
      </c>
      <c r="B6140" s="42">
        <v>44148</v>
      </c>
      <c r="C6140" s="1">
        <v>465</v>
      </c>
      <c r="D6140" s="47">
        <f t="shared" si="533"/>
        <v>10995</v>
      </c>
      <c r="E6140" s="1">
        <f>4+3</f>
        <v>7</v>
      </c>
      <c r="F6140" s="78">
        <f t="shared" si="534"/>
        <v>152</v>
      </c>
    </row>
    <row r="6141" spans="1:6" x14ac:dyDescent="0.25">
      <c r="A6141" s="84" t="s">
        <v>37</v>
      </c>
      <c r="B6141" s="42">
        <v>44148</v>
      </c>
      <c r="C6141" s="1">
        <v>265</v>
      </c>
      <c r="D6141" s="47">
        <f t="shared" si="533"/>
        <v>12309</v>
      </c>
      <c r="E6141" s="1">
        <f>1</f>
        <v>1</v>
      </c>
      <c r="F6141" s="78">
        <f t="shared" si="534"/>
        <v>186</v>
      </c>
    </row>
    <row r="6142" spans="1:6" x14ac:dyDescent="0.25">
      <c r="A6142" s="84" t="s">
        <v>22</v>
      </c>
      <c r="B6142" s="42">
        <v>44148</v>
      </c>
      <c r="C6142" s="1">
        <v>1683</v>
      </c>
      <c r="D6142" s="47">
        <f t="shared" si="533"/>
        <v>126109</v>
      </c>
      <c r="E6142" s="1">
        <f>6+2</f>
        <v>8</v>
      </c>
      <c r="F6142" s="78">
        <f t="shared" si="534"/>
        <v>1857</v>
      </c>
    </row>
    <row r="6143" spans="1:6" x14ac:dyDescent="0.25">
      <c r="A6143" s="84" t="s">
        <v>38</v>
      </c>
      <c r="B6143" s="42">
        <v>44148</v>
      </c>
      <c r="C6143" s="1">
        <v>504</v>
      </c>
      <c r="D6143" s="47">
        <f t="shared" si="533"/>
        <v>12604</v>
      </c>
      <c r="E6143" s="1">
        <f>3</f>
        <v>3</v>
      </c>
      <c r="F6143" s="78">
        <f t="shared" si="534"/>
        <v>155</v>
      </c>
    </row>
    <row r="6144" spans="1:6" x14ac:dyDescent="0.25">
      <c r="A6144" s="84" t="s">
        <v>39</v>
      </c>
      <c r="B6144" s="42">
        <v>44148</v>
      </c>
      <c r="C6144" s="1">
        <v>171</v>
      </c>
      <c r="D6144" s="47">
        <f t="shared" si="533"/>
        <v>14052</v>
      </c>
      <c r="E6144" s="1">
        <f>5+1</f>
        <v>6</v>
      </c>
      <c r="F6144" s="78">
        <f t="shared" si="534"/>
        <v>194</v>
      </c>
    </row>
    <row r="6145" spans="1:6" ht="15.75" thickBot="1" x14ac:dyDescent="0.3">
      <c r="A6145" s="86" t="s">
        <v>40</v>
      </c>
      <c r="B6145" s="42">
        <v>44148</v>
      </c>
      <c r="C6145" s="1">
        <v>1476</v>
      </c>
      <c r="D6145" s="81">
        <f>C6145+D6121</f>
        <v>59203</v>
      </c>
      <c r="E6145" s="1">
        <f>7+4</f>
        <v>11</v>
      </c>
      <c r="F6145" s="83">
        <f t="shared" si="534"/>
        <v>971</v>
      </c>
    </row>
    <row r="6146" spans="1:6" x14ac:dyDescent="0.25">
      <c r="A6146" s="36" t="s">
        <v>16</v>
      </c>
      <c r="B6146" s="42">
        <v>44149</v>
      </c>
      <c r="C6146" s="1">
        <v>2300</v>
      </c>
      <c r="D6146" s="211">
        <f t="shared" si="533"/>
        <v>587808</v>
      </c>
      <c r="E6146" s="1">
        <f>105+72</f>
        <v>177</v>
      </c>
      <c r="F6146" s="77">
        <f t="shared" si="534"/>
        <v>19307</v>
      </c>
    </row>
    <row r="6147" spans="1:6" x14ac:dyDescent="0.25">
      <c r="A6147" s="84" t="s">
        <v>43</v>
      </c>
      <c r="B6147" s="42">
        <v>44149</v>
      </c>
      <c r="C6147" s="1">
        <v>506</v>
      </c>
      <c r="D6147" s="47">
        <f t="shared" si="533"/>
        <v>153488</v>
      </c>
      <c r="E6147" s="1">
        <f>6+8</f>
        <v>14</v>
      </c>
      <c r="F6147" s="78">
        <f t="shared" si="534"/>
        <v>5071</v>
      </c>
    </row>
    <row r="6148" spans="1:6" x14ac:dyDescent="0.25">
      <c r="A6148" s="84" t="s">
        <v>28</v>
      </c>
      <c r="B6148" s="42">
        <v>44149</v>
      </c>
      <c r="C6148" s="1">
        <v>34</v>
      </c>
      <c r="D6148" s="47">
        <f t="shared" si="533"/>
        <v>1421</v>
      </c>
      <c r="F6148" s="78">
        <f t="shared" si="534"/>
        <v>7</v>
      </c>
    </row>
    <row r="6149" spans="1:6" x14ac:dyDescent="0.25">
      <c r="A6149" s="84" t="s">
        <v>15</v>
      </c>
      <c r="B6149" s="42">
        <v>44149</v>
      </c>
      <c r="C6149" s="1">
        <v>215</v>
      </c>
      <c r="D6149" s="47">
        <f t="shared" si="533"/>
        <v>16188</v>
      </c>
      <c r="E6149" s="1">
        <f>2</f>
        <v>2</v>
      </c>
      <c r="F6149" s="78">
        <f t="shared" si="534"/>
        <v>486</v>
      </c>
    </row>
    <row r="6150" spans="1:6" x14ac:dyDescent="0.25">
      <c r="A6150" s="84" t="s">
        <v>29</v>
      </c>
      <c r="B6150" s="42">
        <v>44149</v>
      </c>
      <c r="C6150" s="1">
        <v>275</v>
      </c>
      <c r="D6150" s="47">
        <f t="shared" si="533"/>
        <v>19032</v>
      </c>
      <c r="E6150" s="1">
        <f>1+1</f>
        <v>2</v>
      </c>
      <c r="F6150" s="78">
        <f t="shared" si="534"/>
        <v>320</v>
      </c>
    </row>
    <row r="6151" spans="1:6" x14ac:dyDescent="0.25">
      <c r="A6151" s="84" t="s">
        <v>20</v>
      </c>
      <c r="B6151" s="42">
        <v>44149</v>
      </c>
      <c r="C6151" s="1">
        <v>1139</v>
      </c>
      <c r="D6151" s="47">
        <f t="shared" si="533"/>
        <v>101630</v>
      </c>
      <c r="E6151" s="1">
        <f>8+11</f>
        <v>19</v>
      </c>
      <c r="F6151" s="78">
        <f t="shared" si="534"/>
        <v>1631</v>
      </c>
    </row>
    <row r="6152" spans="1:6" x14ac:dyDescent="0.25">
      <c r="A6152" s="84" t="s">
        <v>30</v>
      </c>
      <c r="B6152" s="42">
        <v>44149</v>
      </c>
      <c r="C6152" s="1">
        <v>144</v>
      </c>
      <c r="D6152" s="47">
        <f t="shared" si="533"/>
        <v>3623</v>
      </c>
      <c r="E6152" s="1">
        <f>1</f>
        <v>1</v>
      </c>
      <c r="F6152" s="78">
        <f t="shared" si="534"/>
        <v>69</v>
      </c>
    </row>
    <row r="6153" spans="1:6" x14ac:dyDescent="0.25">
      <c r="A6153" s="84" t="s">
        <v>31</v>
      </c>
      <c r="B6153" s="42">
        <v>44149</v>
      </c>
      <c r="C6153" s="1">
        <v>306</v>
      </c>
      <c r="D6153" s="47">
        <f t="shared" si="533"/>
        <v>19866</v>
      </c>
      <c r="E6153" s="1">
        <f>5+2</f>
        <v>7</v>
      </c>
      <c r="F6153" s="78">
        <f t="shared" si="534"/>
        <v>370</v>
      </c>
    </row>
    <row r="6154" spans="1:6" x14ac:dyDescent="0.25">
      <c r="A6154" s="84" t="s">
        <v>41</v>
      </c>
      <c r="B6154" s="42">
        <v>44149</v>
      </c>
      <c r="C6154" s="1">
        <v>1</v>
      </c>
      <c r="D6154" s="47">
        <f t="shared" si="533"/>
        <v>168</v>
      </c>
      <c r="F6154" s="78">
        <f t="shared" si="534"/>
        <v>3</v>
      </c>
    </row>
    <row r="6155" spans="1:6" x14ac:dyDescent="0.25">
      <c r="A6155" s="84" t="s">
        <v>32</v>
      </c>
      <c r="B6155" s="42">
        <v>44149</v>
      </c>
      <c r="C6155" s="1">
        <v>22</v>
      </c>
      <c r="D6155" s="47">
        <f t="shared" si="533"/>
        <v>18147</v>
      </c>
      <c r="E6155" s="1">
        <f>1</f>
        <v>1</v>
      </c>
      <c r="F6155" s="78">
        <f t="shared" si="534"/>
        <v>838</v>
      </c>
    </row>
    <row r="6156" spans="1:6" x14ac:dyDescent="0.25">
      <c r="A6156" s="84" t="s">
        <v>33</v>
      </c>
      <c r="B6156" s="42">
        <v>44149</v>
      </c>
      <c r="C6156" s="1">
        <v>95</v>
      </c>
      <c r="D6156" s="47">
        <f t="shared" si="533"/>
        <v>4643</v>
      </c>
      <c r="F6156" s="78">
        <f t="shared" si="534"/>
        <v>49</v>
      </c>
    </row>
    <row r="6157" spans="1:6" x14ac:dyDescent="0.25">
      <c r="A6157" s="84" t="s">
        <v>21</v>
      </c>
      <c r="B6157" s="42">
        <v>44149</v>
      </c>
      <c r="C6157" s="1">
        <v>80</v>
      </c>
      <c r="D6157" s="47">
        <f t="shared" si="533"/>
        <v>8156</v>
      </c>
      <c r="F6157" s="78">
        <f t="shared" si="534"/>
        <v>298</v>
      </c>
    </row>
    <row r="6158" spans="1:6" x14ac:dyDescent="0.25">
      <c r="A6158" s="84" t="s">
        <v>17</v>
      </c>
      <c r="B6158" s="42">
        <v>44149</v>
      </c>
      <c r="C6158" s="1">
        <v>294</v>
      </c>
      <c r="D6158" s="47">
        <f t="shared" si="533"/>
        <v>52993</v>
      </c>
      <c r="E6158" s="1">
        <f>1+2</f>
        <v>3</v>
      </c>
      <c r="F6158" s="78">
        <f t="shared" si="534"/>
        <v>1010</v>
      </c>
    </row>
    <row r="6159" spans="1:6" x14ac:dyDescent="0.25">
      <c r="A6159" s="84" t="s">
        <v>23</v>
      </c>
      <c r="B6159" s="42">
        <v>44149</v>
      </c>
      <c r="C6159" s="1">
        <v>4</v>
      </c>
      <c r="D6159" s="47">
        <f t="shared" si="533"/>
        <v>372</v>
      </c>
      <c r="F6159" s="78">
        <f t="shared" si="534"/>
        <v>7</v>
      </c>
    </row>
    <row r="6160" spans="1:6" x14ac:dyDescent="0.25">
      <c r="A6160" s="84" t="s">
        <v>19</v>
      </c>
      <c r="B6160" s="42">
        <v>44149</v>
      </c>
      <c r="C6160" s="1">
        <v>181</v>
      </c>
      <c r="D6160" s="47">
        <f t="shared" si="533"/>
        <v>26674</v>
      </c>
      <c r="F6160" s="78">
        <f t="shared" si="534"/>
        <v>515</v>
      </c>
    </row>
    <row r="6161" spans="1:6" x14ac:dyDescent="0.25">
      <c r="A6161" s="84" t="s">
        <v>18</v>
      </c>
      <c r="B6161" s="42">
        <v>44149</v>
      </c>
      <c r="C6161" s="1">
        <v>217</v>
      </c>
      <c r="D6161" s="47">
        <f t="shared" si="533"/>
        <v>28312</v>
      </c>
      <c r="E6161" s="1">
        <f>4+3</f>
        <v>7</v>
      </c>
      <c r="F6161" s="78">
        <f t="shared" si="534"/>
        <v>711</v>
      </c>
    </row>
    <row r="6162" spans="1:6" x14ac:dyDescent="0.25">
      <c r="A6162" s="84" t="s">
        <v>34</v>
      </c>
      <c r="B6162" s="42">
        <v>44149</v>
      </c>
      <c r="C6162" s="1">
        <v>59</v>
      </c>
      <c r="D6162" s="47">
        <f t="shared" si="533"/>
        <v>20125</v>
      </c>
      <c r="E6162" s="1">
        <f>3+2</f>
        <v>5</v>
      </c>
      <c r="F6162" s="78">
        <f t="shared" si="534"/>
        <v>919</v>
      </c>
    </row>
    <row r="6163" spans="1:6" x14ac:dyDescent="0.25">
      <c r="A6163" s="84" t="s">
        <v>35</v>
      </c>
      <c r="B6163" s="42">
        <v>44149</v>
      </c>
      <c r="C6163" s="1">
        <v>88</v>
      </c>
      <c r="D6163" s="47">
        <f t="shared" si="533"/>
        <v>4420</v>
      </c>
      <c r="F6163" s="78">
        <f t="shared" si="534"/>
        <v>136</v>
      </c>
    </row>
    <row r="6164" spans="1:6" x14ac:dyDescent="0.25">
      <c r="A6164" s="84" t="s">
        <v>36</v>
      </c>
      <c r="B6164" s="42">
        <v>44149</v>
      </c>
      <c r="C6164" s="1">
        <v>199</v>
      </c>
      <c r="D6164" s="47">
        <f t="shared" si="533"/>
        <v>11194</v>
      </c>
      <c r="F6164" s="78">
        <f t="shared" si="534"/>
        <v>152</v>
      </c>
    </row>
    <row r="6165" spans="1:6" x14ac:dyDescent="0.25">
      <c r="A6165" s="84" t="s">
        <v>37</v>
      </c>
      <c r="B6165" s="42">
        <v>44149</v>
      </c>
      <c r="C6165" s="1">
        <v>160</v>
      </c>
      <c r="D6165" s="47">
        <f t="shared" si="533"/>
        <v>12469</v>
      </c>
      <c r="E6165" s="1">
        <f>1</f>
        <v>1</v>
      </c>
      <c r="F6165" s="78">
        <f t="shared" si="534"/>
        <v>187</v>
      </c>
    </row>
    <row r="6166" spans="1:6" x14ac:dyDescent="0.25">
      <c r="A6166" s="84" t="s">
        <v>22</v>
      </c>
      <c r="B6166" s="42">
        <v>44149</v>
      </c>
      <c r="C6166" s="1">
        <v>1339</v>
      </c>
      <c r="D6166" s="47">
        <f t="shared" si="533"/>
        <v>127448</v>
      </c>
      <c r="E6166" s="1">
        <f>7+5</f>
        <v>12</v>
      </c>
      <c r="F6166" s="78">
        <f t="shared" si="534"/>
        <v>1869</v>
      </c>
    </row>
    <row r="6167" spans="1:6" x14ac:dyDescent="0.25">
      <c r="A6167" s="84" t="s">
        <v>38</v>
      </c>
      <c r="B6167" s="42">
        <v>44149</v>
      </c>
      <c r="C6167" s="1">
        <v>264</v>
      </c>
      <c r="D6167" s="47">
        <f t="shared" si="533"/>
        <v>12868</v>
      </c>
      <c r="E6167" s="1">
        <f>2</f>
        <v>2</v>
      </c>
      <c r="F6167" s="78">
        <f t="shared" si="534"/>
        <v>157</v>
      </c>
    </row>
    <row r="6168" spans="1:6" x14ac:dyDescent="0.25">
      <c r="A6168" s="84" t="s">
        <v>39</v>
      </c>
      <c r="B6168" s="42">
        <v>44149</v>
      </c>
      <c r="C6168" s="1">
        <v>120</v>
      </c>
      <c r="D6168" s="47">
        <f t="shared" si="533"/>
        <v>14172</v>
      </c>
      <c r="E6168" s="1">
        <f>1</f>
        <v>1</v>
      </c>
      <c r="F6168" s="78">
        <f t="shared" si="534"/>
        <v>195</v>
      </c>
    </row>
    <row r="6169" spans="1:6" ht="15.75" thickBot="1" x14ac:dyDescent="0.3">
      <c r="A6169" s="86" t="s">
        <v>40</v>
      </c>
      <c r="B6169" s="42">
        <v>44149</v>
      </c>
      <c r="C6169" s="1">
        <v>426</v>
      </c>
      <c r="D6169" s="81">
        <f>C6169+D6145</f>
        <v>59629</v>
      </c>
      <c r="E6169" s="1">
        <f>3+5</f>
        <v>8</v>
      </c>
      <c r="F6169" s="83">
        <f t="shared" si="534"/>
        <v>979</v>
      </c>
    </row>
    <row r="6170" spans="1:6" x14ac:dyDescent="0.25">
      <c r="A6170" s="36" t="s">
        <v>16</v>
      </c>
      <c r="B6170" s="42">
        <v>44150</v>
      </c>
      <c r="C6170" s="1">
        <v>1446</v>
      </c>
      <c r="D6170" s="211">
        <f t="shared" si="533"/>
        <v>589254</v>
      </c>
      <c r="E6170" s="1">
        <f>37+32</f>
        <v>69</v>
      </c>
      <c r="F6170" s="77">
        <f t="shared" si="534"/>
        <v>19376</v>
      </c>
    </row>
    <row r="6171" spans="1:6" x14ac:dyDescent="0.25">
      <c r="A6171" s="84" t="s">
        <v>43</v>
      </c>
      <c r="B6171" s="42">
        <v>44150</v>
      </c>
      <c r="C6171" s="1">
        <v>297</v>
      </c>
      <c r="D6171" s="47">
        <f t="shared" si="533"/>
        <v>153785</v>
      </c>
      <c r="E6171" s="1">
        <f>3+2</f>
        <v>5</v>
      </c>
      <c r="F6171" s="78">
        <f t="shared" si="534"/>
        <v>5076</v>
      </c>
    </row>
    <row r="6172" spans="1:6" x14ac:dyDescent="0.25">
      <c r="A6172" s="84" t="s">
        <v>28</v>
      </c>
      <c r="B6172" s="42">
        <v>44150</v>
      </c>
      <c r="C6172" s="1">
        <v>45</v>
      </c>
      <c r="D6172" s="47">
        <f t="shared" si="533"/>
        <v>1466</v>
      </c>
      <c r="F6172" s="78">
        <f t="shared" si="534"/>
        <v>7</v>
      </c>
    </row>
    <row r="6173" spans="1:6" x14ac:dyDescent="0.25">
      <c r="A6173" s="84" t="s">
        <v>15</v>
      </c>
      <c r="B6173" s="42">
        <v>44150</v>
      </c>
      <c r="C6173" s="1">
        <v>130</v>
      </c>
      <c r="D6173" s="47">
        <f t="shared" si="533"/>
        <v>16318</v>
      </c>
      <c r="E6173" s="1">
        <f>2+2</f>
        <v>4</v>
      </c>
      <c r="F6173" s="78">
        <f t="shared" si="534"/>
        <v>490</v>
      </c>
    </row>
    <row r="6174" spans="1:6" x14ac:dyDescent="0.25">
      <c r="A6174" s="84" t="s">
        <v>29</v>
      </c>
      <c r="B6174" s="42">
        <v>44150</v>
      </c>
      <c r="C6174" s="1">
        <v>159</v>
      </c>
      <c r="D6174" s="47">
        <f t="shared" si="533"/>
        <v>19191</v>
      </c>
      <c r="E6174" s="1">
        <v>2</v>
      </c>
      <c r="F6174" s="78">
        <f t="shared" si="534"/>
        <v>322</v>
      </c>
    </row>
    <row r="6175" spans="1:6" x14ac:dyDescent="0.25">
      <c r="A6175" s="84" t="s">
        <v>20</v>
      </c>
      <c r="B6175" s="42">
        <v>44150</v>
      </c>
      <c r="C6175" s="1">
        <v>832</v>
      </c>
      <c r="D6175" s="47">
        <f t="shared" si="533"/>
        <v>102462</v>
      </c>
      <c r="E6175" s="1">
        <f>9+5</f>
        <v>14</v>
      </c>
      <c r="F6175" s="78">
        <f t="shared" si="534"/>
        <v>1645</v>
      </c>
    </row>
    <row r="6176" spans="1:6" x14ac:dyDescent="0.25">
      <c r="A6176" s="84" t="s">
        <v>30</v>
      </c>
      <c r="B6176" s="42">
        <v>44150</v>
      </c>
      <c r="C6176" s="1">
        <v>93</v>
      </c>
      <c r="D6176" s="47">
        <f t="shared" si="533"/>
        <v>3716</v>
      </c>
      <c r="F6176" s="78">
        <f t="shared" si="534"/>
        <v>69</v>
      </c>
    </row>
    <row r="6177" spans="1:6" x14ac:dyDescent="0.25">
      <c r="A6177" s="84" t="s">
        <v>31</v>
      </c>
      <c r="B6177" s="42">
        <v>44150</v>
      </c>
      <c r="C6177" s="1">
        <v>180</v>
      </c>
      <c r="D6177" s="47">
        <f t="shared" si="533"/>
        <v>20046</v>
      </c>
      <c r="E6177" s="1">
        <f>1+2</f>
        <v>3</v>
      </c>
      <c r="F6177" s="78">
        <f t="shared" si="534"/>
        <v>373</v>
      </c>
    </row>
    <row r="6178" spans="1:6" x14ac:dyDescent="0.25">
      <c r="A6178" s="84" t="s">
        <v>41</v>
      </c>
      <c r="B6178" s="42">
        <v>44150</v>
      </c>
      <c r="C6178" s="1">
        <v>0</v>
      </c>
      <c r="D6178" s="47">
        <f t="shared" si="533"/>
        <v>168</v>
      </c>
      <c r="F6178" s="78">
        <f t="shared" si="534"/>
        <v>3</v>
      </c>
    </row>
    <row r="6179" spans="1:6" x14ac:dyDescent="0.25">
      <c r="A6179" s="84" t="s">
        <v>32</v>
      </c>
      <c r="B6179" s="42">
        <v>44150</v>
      </c>
      <c r="C6179" s="1">
        <v>21</v>
      </c>
      <c r="D6179" s="47">
        <f t="shared" si="533"/>
        <v>18168</v>
      </c>
      <c r="F6179" s="78">
        <f t="shared" si="534"/>
        <v>838</v>
      </c>
    </row>
    <row r="6180" spans="1:6" x14ac:dyDescent="0.25">
      <c r="A6180" s="84" t="s">
        <v>33</v>
      </c>
      <c r="B6180" s="42">
        <v>44150</v>
      </c>
      <c r="C6180" s="1">
        <v>65</v>
      </c>
      <c r="D6180" s="47">
        <f t="shared" si="533"/>
        <v>4708</v>
      </c>
      <c r="F6180" s="78">
        <f t="shared" si="534"/>
        <v>49</v>
      </c>
    </row>
    <row r="6181" spans="1:6" x14ac:dyDescent="0.25">
      <c r="A6181" s="84" t="s">
        <v>21</v>
      </c>
      <c r="B6181" s="42">
        <v>44150</v>
      </c>
      <c r="C6181" s="1">
        <v>24</v>
      </c>
      <c r="D6181" s="47">
        <f t="shared" si="533"/>
        <v>8180</v>
      </c>
      <c r="F6181" s="78">
        <f t="shared" si="534"/>
        <v>298</v>
      </c>
    </row>
    <row r="6182" spans="1:6" x14ac:dyDescent="0.25">
      <c r="A6182" s="84" t="s">
        <v>17</v>
      </c>
      <c r="B6182" s="42">
        <v>44150</v>
      </c>
      <c r="C6182" s="1">
        <v>94</v>
      </c>
      <c r="D6182" s="47">
        <f t="shared" si="533"/>
        <v>53087</v>
      </c>
      <c r="E6182" s="1">
        <f>2</f>
        <v>2</v>
      </c>
      <c r="F6182" s="78">
        <f t="shared" si="534"/>
        <v>1012</v>
      </c>
    </row>
    <row r="6183" spans="1:6" x14ac:dyDescent="0.25">
      <c r="A6183" s="84" t="s">
        <v>23</v>
      </c>
      <c r="B6183" s="42">
        <v>44150</v>
      </c>
      <c r="C6183" s="1">
        <v>3</v>
      </c>
      <c r="D6183" s="47">
        <f t="shared" si="533"/>
        <v>375</v>
      </c>
      <c r="F6183" s="78">
        <f t="shared" si="534"/>
        <v>7</v>
      </c>
    </row>
    <row r="6184" spans="1:6" x14ac:dyDescent="0.25">
      <c r="A6184" s="84" t="s">
        <v>19</v>
      </c>
      <c r="B6184" s="42">
        <v>44150</v>
      </c>
      <c r="C6184" s="1">
        <v>234</v>
      </c>
      <c r="D6184" s="47">
        <f t="shared" si="533"/>
        <v>26908</v>
      </c>
      <c r="E6184" s="1">
        <v>2</v>
      </c>
      <c r="F6184" s="78">
        <f t="shared" si="534"/>
        <v>517</v>
      </c>
    </row>
    <row r="6185" spans="1:6" x14ac:dyDescent="0.25">
      <c r="A6185" s="84" t="s">
        <v>18</v>
      </c>
      <c r="B6185" s="42">
        <v>44150</v>
      </c>
      <c r="C6185" s="1">
        <v>132</v>
      </c>
      <c r="D6185" s="47">
        <f t="shared" si="533"/>
        <v>28444</v>
      </c>
      <c r="E6185" s="1">
        <f>4+2</f>
        <v>6</v>
      </c>
      <c r="F6185" s="78">
        <f t="shared" si="534"/>
        <v>717</v>
      </c>
    </row>
    <row r="6186" spans="1:6" x14ac:dyDescent="0.25">
      <c r="A6186" s="84" t="s">
        <v>34</v>
      </c>
      <c r="B6186" s="42">
        <v>44150</v>
      </c>
      <c r="C6186" s="1">
        <v>67</v>
      </c>
      <c r="D6186" s="47">
        <f t="shared" ref="D6186:D6192" si="535">C6186+D6162</f>
        <v>20192</v>
      </c>
      <c r="F6186" s="78">
        <f t="shared" si="534"/>
        <v>919</v>
      </c>
    </row>
    <row r="6187" spans="1:6" x14ac:dyDescent="0.25">
      <c r="A6187" s="84" t="s">
        <v>35</v>
      </c>
      <c r="B6187" s="42">
        <v>44150</v>
      </c>
      <c r="C6187" s="1">
        <v>29</v>
      </c>
      <c r="D6187" s="47">
        <f t="shared" si="535"/>
        <v>4449</v>
      </c>
      <c r="F6187" s="78">
        <f t="shared" ref="F6187:F6250" si="536">E6187+F6163</f>
        <v>136</v>
      </c>
    </row>
    <row r="6188" spans="1:6" x14ac:dyDescent="0.25">
      <c r="A6188" s="84" t="s">
        <v>36</v>
      </c>
      <c r="B6188" s="42">
        <v>44150</v>
      </c>
      <c r="C6188" s="1">
        <v>180</v>
      </c>
      <c r="D6188" s="47">
        <f t="shared" si="535"/>
        <v>11374</v>
      </c>
      <c r="F6188" s="78">
        <f t="shared" si="536"/>
        <v>152</v>
      </c>
    </row>
    <row r="6189" spans="1:6" x14ac:dyDescent="0.25">
      <c r="A6189" s="84" t="s">
        <v>37</v>
      </c>
      <c r="B6189" s="42">
        <v>44150</v>
      </c>
      <c r="C6189" s="1">
        <v>186</v>
      </c>
      <c r="D6189" s="47">
        <f t="shared" si="535"/>
        <v>12655</v>
      </c>
      <c r="E6189" s="1">
        <f>3+1</f>
        <v>4</v>
      </c>
      <c r="F6189" s="78">
        <f t="shared" si="536"/>
        <v>191</v>
      </c>
    </row>
    <row r="6190" spans="1:6" x14ac:dyDescent="0.25">
      <c r="A6190" s="84" t="s">
        <v>22</v>
      </c>
      <c r="B6190" s="42">
        <v>44150</v>
      </c>
      <c r="C6190" s="1">
        <v>685</v>
      </c>
      <c r="D6190" s="47">
        <f t="shared" si="535"/>
        <v>128133</v>
      </c>
      <c r="E6190" s="1">
        <f>4+5</f>
        <v>9</v>
      </c>
      <c r="F6190" s="78">
        <f t="shared" si="536"/>
        <v>1878</v>
      </c>
    </row>
    <row r="6191" spans="1:6" x14ac:dyDescent="0.25">
      <c r="A6191" s="84" t="s">
        <v>38</v>
      </c>
      <c r="B6191" s="42">
        <v>44150</v>
      </c>
      <c r="C6191" s="1">
        <v>251</v>
      </c>
      <c r="D6191" s="47">
        <f t="shared" si="535"/>
        <v>13119</v>
      </c>
      <c r="F6191" s="78">
        <f t="shared" si="536"/>
        <v>157</v>
      </c>
    </row>
    <row r="6192" spans="1:6" x14ac:dyDescent="0.25">
      <c r="A6192" s="84" t="s">
        <v>39</v>
      </c>
      <c r="B6192" s="42">
        <v>44150</v>
      </c>
      <c r="C6192" s="1">
        <v>89</v>
      </c>
      <c r="D6192" s="47">
        <f t="shared" si="535"/>
        <v>14261</v>
      </c>
      <c r="E6192" s="1">
        <f>1</f>
        <v>1</v>
      </c>
      <c r="F6192" s="78">
        <f t="shared" si="536"/>
        <v>196</v>
      </c>
    </row>
    <row r="6193" spans="1:6" ht="15.75" thickBot="1" x14ac:dyDescent="0.3">
      <c r="A6193" s="86" t="s">
        <v>40</v>
      </c>
      <c r="B6193" s="42">
        <v>44150</v>
      </c>
      <c r="C6193" s="1">
        <v>403</v>
      </c>
      <c r="D6193" s="81">
        <f>C6193+D6169</f>
        <v>60032</v>
      </c>
      <c r="F6193" s="83">
        <f t="shared" si="536"/>
        <v>979</v>
      </c>
    </row>
    <row r="6194" spans="1:6" x14ac:dyDescent="0.25">
      <c r="A6194" s="36" t="s">
        <v>16</v>
      </c>
      <c r="B6194" s="42">
        <v>44151</v>
      </c>
      <c r="C6194" s="1">
        <v>2190</v>
      </c>
      <c r="D6194" s="211">
        <f t="shared" ref="D6194:D6257" si="537">C6194+D6170</f>
        <v>591444</v>
      </c>
      <c r="E6194" s="1">
        <f>65+40</f>
        <v>105</v>
      </c>
      <c r="F6194" s="77">
        <f t="shared" si="536"/>
        <v>19481</v>
      </c>
    </row>
    <row r="6195" spans="1:6" x14ac:dyDescent="0.25">
      <c r="A6195" s="84" t="s">
        <v>43</v>
      </c>
      <c r="B6195" s="42">
        <v>44151</v>
      </c>
      <c r="C6195" s="1">
        <v>383</v>
      </c>
      <c r="D6195" s="47">
        <f t="shared" si="537"/>
        <v>154168</v>
      </c>
      <c r="E6195" s="1">
        <f>11+8</f>
        <v>19</v>
      </c>
      <c r="F6195" s="78">
        <f t="shared" si="536"/>
        <v>5095</v>
      </c>
    </row>
    <row r="6196" spans="1:6" x14ac:dyDescent="0.25">
      <c r="A6196" s="84" t="s">
        <v>28</v>
      </c>
      <c r="B6196" s="42">
        <v>44151</v>
      </c>
      <c r="C6196" s="1">
        <v>98</v>
      </c>
      <c r="D6196" s="47">
        <f t="shared" si="537"/>
        <v>1564</v>
      </c>
      <c r="F6196" s="78">
        <f t="shared" si="536"/>
        <v>7</v>
      </c>
    </row>
    <row r="6197" spans="1:6" x14ac:dyDescent="0.25">
      <c r="A6197" s="84" t="s">
        <v>15</v>
      </c>
      <c r="B6197" s="42">
        <v>44151</v>
      </c>
      <c r="C6197" s="1">
        <v>150</v>
      </c>
      <c r="D6197" s="47">
        <f t="shared" si="537"/>
        <v>16468</v>
      </c>
      <c r="E6197" s="1">
        <f>10+3</f>
        <v>13</v>
      </c>
      <c r="F6197" s="78">
        <f t="shared" si="536"/>
        <v>503</v>
      </c>
    </row>
    <row r="6198" spans="1:6" x14ac:dyDescent="0.25">
      <c r="A6198" s="84" t="s">
        <v>29</v>
      </c>
      <c r="B6198" s="42">
        <v>44151</v>
      </c>
      <c r="C6198" s="1">
        <v>212</v>
      </c>
      <c r="D6198" s="47">
        <f t="shared" si="537"/>
        <v>19403</v>
      </c>
      <c r="E6198" s="1">
        <f>1+1</f>
        <v>2</v>
      </c>
      <c r="F6198" s="78">
        <f t="shared" si="536"/>
        <v>324</v>
      </c>
    </row>
    <row r="6199" spans="1:6" x14ac:dyDescent="0.25">
      <c r="A6199" s="84" t="s">
        <v>20</v>
      </c>
      <c r="B6199" s="42">
        <v>44151</v>
      </c>
      <c r="C6199" s="1">
        <v>701</v>
      </c>
      <c r="D6199" s="47">
        <f t="shared" si="537"/>
        <v>103163</v>
      </c>
      <c r="E6199" s="1">
        <f>19+8</f>
        <v>27</v>
      </c>
      <c r="F6199" s="78">
        <f t="shared" si="536"/>
        <v>1672</v>
      </c>
    </row>
    <row r="6200" spans="1:6" x14ac:dyDescent="0.25">
      <c r="A6200" s="84" t="s">
        <v>30</v>
      </c>
      <c r="B6200" s="42">
        <v>44151</v>
      </c>
      <c r="C6200" s="1">
        <v>122</v>
      </c>
      <c r="D6200" s="47">
        <f t="shared" si="537"/>
        <v>3838</v>
      </c>
      <c r="F6200" s="78">
        <f t="shared" si="536"/>
        <v>69</v>
      </c>
    </row>
    <row r="6201" spans="1:6" x14ac:dyDescent="0.25">
      <c r="A6201" s="84" t="s">
        <v>31</v>
      </c>
      <c r="B6201" s="42">
        <v>44151</v>
      </c>
      <c r="C6201" s="1">
        <v>157</v>
      </c>
      <c r="D6201" s="47">
        <f t="shared" si="537"/>
        <v>20203</v>
      </c>
      <c r="E6201" s="1">
        <f>6+5</f>
        <v>11</v>
      </c>
      <c r="F6201" s="78">
        <f t="shared" si="536"/>
        <v>384</v>
      </c>
    </row>
    <row r="6202" spans="1:6" x14ac:dyDescent="0.25">
      <c r="A6202" s="84" t="s">
        <v>41</v>
      </c>
      <c r="B6202" s="42">
        <v>44151</v>
      </c>
      <c r="C6202" s="1">
        <v>2</v>
      </c>
      <c r="D6202" s="47">
        <f t="shared" si="537"/>
        <v>170</v>
      </c>
      <c r="F6202" s="78">
        <f t="shared" si="536"/>
        <v>3</v>
      </c>
    </row>
    <row r="6203" spans="1:6" x14ac:dyDescent="0.25">
      <c r="A6203" s="84" t="s">
        <v>32</v>
      </c>
      <c r="B6203" s="42">
        <v>44151</v>
      </c>
      <c r="C6203" s="1">
        <v>24</v>
      </c>
      <c r="D6203" s="47">
        <f t="shared" si="537"/>
        <v>18192</v>
      </c>
      <c r="F6203" s="78">
        <f t="shared" si="536"/>
        <v>838</v>
      </c>
    </row>
    <row r="6204" spans="1:6" x14ac:dyDescent="0.25">
      <c r="A6204" s="84" t="s">
        <v>33</v>
      </c>
      <c r="B6204" s="42">
        <v>44151</v>
      </c>
      <c r="C6204" s="1">
        <v>61</v>
      </c>
      <c r="D6204" s="47">
        <f t="shared" si="537"/>
        <v>4769</v>
      </c>
      <c r="E6204" s="1">
        <f>1+1</f>
        <v>2</v>
      </c>
      <c r="F6204" s="78">
        <f t="shared" si="536"/>
        <v>51</v>
      </c>
    </row>
    <row r="6205" spans="1:6" x14ac:dyDescent="0.25">
      <c r="A6205" s="84" t="s">
        <v>21</v>
      </c>
      <c r="B6205" s="42">
        <v>44151</v>
      </c>
      <c r="C6205" s="1">
        <v>45</v>
      </c>
      <c r="D6205" s="47">
        <f t="shared" si="537"/>
        <v>8225</v>
      </c>
      <c r="E6205" s="1">
        <f>1</f>
        <v>1</v>
      </c>
      <c r="F6205" s="78">
        <f t="shared" si="536"/>
        <v>299</v>
      </c>
    </row>
    <row r="6206" spans="1:6" x14ac:dyDescent="0.25">
      <c r="A6206" s="84" t="s">
        <v>17</v>
      </c>
      <c r="B6206" s="42">
        <v>44151</v>
      </c>
      <c r="C6206" s="1">
        <v>429</v>
      </c>
      <c r="D6206" s="47">
        <f t="shared" si="537"/>
        <v>53516</v>
      </c>
      <c r="E6206" s="1">
        <f>1+3+6</f>
        <v>10</v>
      </c>
      <c r="F6206" s="78">
        <f t="shared" si="536"/>
        <v>1022</v>
      </c>
    </row>
    <row r="6207" spans="1:6" x14ac:dyDescent="0.25">
      <c r="A6207" s="84" t="s">
        <v>23</v>
      </c>
      <c r="B6207" s="42">
        <v>44151</v>
      </c>
      <c r="C6207" s="1">
        <v>16</v>
      </c>
      <c r="D6207" s="47">
        <f t="shared" si="537"/>
        <v>391</v>
      </c>
      <c r="F6207" s="78">
        <f t="shared" si="536"/>
        <v>7</v>
      </c>
    </row>
    <row r="6208" spans="1:6" x14ac:dyDescent="0.25">
      <c r="A6208" s="84" t="s">
        <v>19</v>
      </c>
      <c r="B6208" s="42">
        <v>44151</v>
      </c>
      <c r="C6208" s="1">
        <v>403</v>
      </c>
      <c r="D6208" s="47">
        <f t="shared" si="537"/>
        <v>27311</v>
      </c>
      <c r="E6208" s="1">
        <f>4+1</f>
        <v>5</v>
      </c>
      <c r="F6208" s="78">
        <f t="shared" si="536"/>
        <v>522</v>
      </c>
    </row>
    <row r="6209" spans="1:6" x14ac:dyDescent="0.25">
      <c r="A6209" s="84" t="s">
        <v>18</v>
      </c>
      <c r="B6209" s="42">
        <v>44151</v>
      </c>
      <c r="C6209" s="1">
        <v>198</v>
      </c>
      <c r="D6209" s="47">
        <f t="shared" si="537"/>
        <v>28642</v>
      </c>
      <c r="E6209" s="1">
        <f>2+7</f>
        <v>9</v>
      </c>
      <c r="F6209" s="78">
        <f t="shared" si="536"/>
        <v>726</v>
      </c>
    </row>
    <row r="6210" spans="1:6" x14ac:dyDescent="0.25">
      <c r="A6210" s="84" t="s">
        <v>34</v>
      </c>
      <c r="B6210" s="42">
        <v>44151</v>
      </c>
      <c r="C6210" s="1">
        <v>43</v>
      </c>
      <c r="D6210" s="47">
        <f t="shared" si="537"/>
        <v>20235</v>
      </c>
      <c r="E6210" s="1">
        <f>3+2</f>
        <v>5</v>
      </c>
      <c r="F6210" s="78">
        <f t="shared" si="536"/>
        <v>924</v>
      </c>
    </row>
    <row r="6211" spans="1:6" x14ac:dyDescent="0.25">
      <c r="A6211" s="84" t="s">
        <v>35</v>
      </c>
      <c r="B6211" s="42">
        <v>44151</v>
      </c>
      <c r="C6211" s="1">
        <v>67</v>
      </c>
      <c r="D6211" s="47">
        <f t="shared" si="537"/>
        <v>4516</v>
      </c>
      <c r="E6211" s="1">
        <f>4+3</f>
        <v>7</v>
      </c>
      <c r="F6211" s="78">
        <f t="shared" si="536"/>
        <v>143</v>
      </c>
    </row>
    <row r="6212" spans="1:6" x14ac:dyDescent="0.25">
      <c r="A6212" s="84" t="s">
        <v>36</v>
      </c>
      <c r="B6212" s="42">
        <v>44151</v>
      </c>
      <c r="C6212" s="1">
        <v>234</v>
      </c>
      <c r="D6212" s="47">
        <f t="shared" si="537"/>
        <v>11608</v>
      </c>
      <c r="F6212" s="78">
        <f t="shared" si="536"/>
        <v>152</v>
      </c>
    </row>
    <row r="6213" spans="1:6" x14ac:dyDescent="0.25">
      <c r="A6213" s="84" t="s">
        <v>37</v>
      </c>
      <c r="B6213" s="42">
        <v>44151</v>
      </c>
      <c r="C6213" s="1">
        <v>123</v>
      </c>
      <c r="D6213" s="47">
        <f t="shared" si="537"/>
        <v>12778</v>
      </c>
      <c r="E6213" s="1">
        <f>1+1</f>
        <v>2</v>
      </c>
      <c r="F6213" s="78">
        <f t="shared" si="536"/>
        <v>193</v>
      </c>
    </row>
    <row r="6214" spans="1:6" x14ac:dyDescent="0.25">
      <c r="A6214" s="84" t="s">
        <v>22</v>
      </c>
      <c r="B6214" s="42">
        <v>44151</v>
      </c>
      <c r="C6214" s="1">
        <v>1319</v>
      </c>
      <c r="D6214" s="47">
        <f t="shared" si="537"/>
        <v>129452</v>
      </c>
      <c r="E6214" s="1">
        <f>11+25</f>
        <v>36</v>
      </c>
      <c r="F6214" s="78">
        <f t="shared" si="536"/>
        <v>1914</v>
      </c>
    </row>
    <row r="6215" spans="1:6" x14ac:dyDescent="0.25">
      <c r="A6215" s="84" t="s">
        <v>38</v>
      </c>
      <c r="B6215" s="42">
        <v>44151</v>
      </c>
      <c r="C6215" s="1">
        <v>192</v>
      </c>
      <c r="D6215" s="47">
        <f t="shared" si="537"/>
        <v>13311</v>
      </c>
      <c r="E6215" s="1">
        <f>2+1</f>
        <v>3</v>
      </c>
      <c r="F6215" s="78">
        <f t="shared" si="536"/>
        <v>160</v>
      </c>
    </row>
    <row r="6216" spans="1:6" x14ac:dyDescent="0.25">
      <c r="A6216" s="84" t="s">
        <v>39</v>
      </c>
      <c r="B6216" s="42">
        <v>44151</v>
      </c>
      <c r="C6216" s="1">
        <v>144</v>
      </c>
      <c r="D6216" s="47">
        <f t="shared" si="537"/>
        <v>14405</v>
      </c>
      <c r="E6216" s="1">
        <f>3+6</f>
        <v>9</v>
      </c>
      <c r="F6216" s="78">
        <f t="shared" si="536"/>
        <v>205</v>
      </c>
    </row>
    <row r="6217" spans="1:6" ht="15.75" thickBot="1" x14ac:dyDescent="0.3">
      <c r="A6217" s="86" t="s">
        <v>40</v>
      </c>
      <c r="B6217" s="42">
        <v>44151</v>
      </c>
      <c r="C6217" s="1">
        <v>580</v>
      </c>
      <c r="D6217" s="81">
        <f>C6217+D6193</f>
        <v>60612</v>
      </c>
      <c r="E6217" s="1">
        <f>17+9</f>
        <v>26</v>
      </c>
      <c r="F6217" s="83">
        <f t="shared" si="536"/>
        <v>1005</v>
      </c>
    </row>
    <row r="6218" spans="1:6" x14ac:dyDescent="0.25">
      <c r="A6218" s="36" t="s">
        <v>16</v>
      </c>
      <c r="B6218" s="42">
        <v>44152</v>
      </c>
      <c r="C6218" s="1">
        <v>2804</v>
      </c>
      <c r="D6218" s="211">
        <f t="shared" si="537"/>
        <v>594248</v>
      </c>
      <c r="E6218" s="1">
        <f>3+91+73</f>
        <v>167</v>
      </c>
      <c r="F6218" s="77">
        <f t="shared" si="536"/>
        <v>19648</v>
      </c>
    </row>
    <row r="6219" spans="1:6" x14ac:dyDescent="0.25">
      <c r="A6219" s="84" t="s">
        <v>43</v>
      </c>
      <c r="B6219" s="42">
        <v>44152</v>
      </c>
      <c r="C6219" s="1">
        <v>428</v>
      </c>
      <c r="D6219" s="47">
        <f t="shared" si="537"/>
        <v>154596</v>
      </c>
      <c r="E6219" s="1">
        <f>5+6</f>
        <v>11</v>
      </c>
      <c r="F6219" s="78">
        <f t="shared" si="536"/>
        <v>5106</v>
      </c>
    </row>
    <row r="6220" spans="1:6" x14ac:dyDescent="0.25">
      <c r="A6220" s="84" t="s">
        <v>28</v>
      </c>
      <c r="B6220" s="42">
        <v>44152</v>
      </c>
      <c r="C6220" s="1">
        <v>17</v>
      </c>
      <c r="D6220" s="47">
        <f t="shared" si="537"/>
        <v>1581</v>
      </c>
      <c r="F6220" s="78">
        <f t="shared" si="536"/>
        <v>7</v>
      </c>
    </row>
    <row r="6221" spans="1:6" x14ac:dyDescent="0.25">
      <c r="A6221" s="84" t="s">
        <v>15</v>
      </c>
      <c r="B6221" s="42">
        <v>44152</v>
      </c>
      <c r="C6221" s="1">
        <v>259</v>
      </c>
      <c r="D6221" s="47">
        <f t="shared" si="537"/>
        <v>16727</v>
      </c>
      <c r="E6221" s="1">
        <f>8+5</f>
        <v>13</v>
      </c>
      <c r="F6221" s="78">
        <f t="shared" si="536"/>
        <v>516</v>
      </c>
    </row>
    <row r="6222" spans="1:6" x14ac:dyDescent="0.25">
      <c r="A6222" s="84" t="s">
        <v>29</v>
      </c>
      <c r="B6222" s="42">
        <v>44152</v>
      </c>
      <c r="C6222" s="1">
        <v>344</v>
      </c>
      <c r="D6222" s="47">
        <f t="shared" si="537"/>
        <v>19747</v>
      </c>
      <c r="E6222" s="1">
        <f>6+2</f>
        <v>8</v>
      </c>
      <c r="F6222" s="78">
        <f t="shared" si="536"/>
        <v>332</v>
      </c>
    </row>
    <row r="6223" spans="1:6" x14ac:dyDescent="0.25">
      <c r="A6223" s="84" t="s">
        <v>20</v>
      </c>
      <c r="B6223" s="42">
        <v>44152</v>
      </c>
      <c r="C6223" s="1">
        <v>1309</v>
      </c>
      <c r="D6223" s="47">
        <f t="shared" si="537"/>
        <v>104472</v>
      </c>
      <c r="E6223" s="1">
        <f>21+6</f>
        <v>27</v>
      </c>
      <c r="F6223" s="78">
        <f t="shared" si="536"/>
        <v>1699</v>
      </c>
    </row>
    <row r="6224" spans="1:6" x14ac:dyDescent="0.25">
      <c r="A6224" s="84" t="s">
        <v>30</v>
      </c>
      <c r="B6224" s="42">
        <v>44152</v>
      </c>
      <c r="C6224" s="1">
        <v>138</v>
      </c>
      <c r="D6224" s="47">
        <f t="shared" si="537"/>
        <v>3976</v>
      </c>
      <c r="E6224" s="1">
        <f>8+3</f>
        <v>11</v>
      </c>
      <c r="F6224" s="78">
        <f t="shared" si="536"/>
        <v>80</v>
      </c>
    </row>
    <row r="6225" spans="1:6" x14ac:dyDescent="0.25">
      <c r="A6225" s="84" t="s">
        <v>31</v>
      </c>
      <c r="B6225" s="42">
        <v>44152</v>
      </c>
      <c r="C6225" s="1">
        <v>348</v>
      </c>
      <c r="D6225" s="47">
        <f t="shared" si="537"/>
        <v>20551</v>
      </c>
      <c r="E6225" s="1">
        <f>4+4</f>
        <v>8</v>
      </c>
      <c r="F6225" s="78">
        <f t="shared" si="536"/>
        <v>392</v>
      </c>
    </row>
    <row r="6226" spans="1:6" x14ac:dyDescent="0.25">
      <c r="A6226" s="84" t="s">
        <v>41</v>
      </c>
      <c r="B6226" s="42">
        <v>44152</v>
      </c>
      <c r="C6226" s="1">
        <v>0</v>
      </c>
      <c r="D6226" s="47">
        <f t="shared" si="537"/>
        <v>170</v>
      </c>
      <c r="F6226" s="78">
        <f t="shared" si="536"/>
        <v>3</v>
      </c>
    </row>
    <row r="6227" spans="1:6" x14ac:dyDescent="0.25">
      <c r="A6227" s="84" t="s">
        <v>32</v>
      </c>
      <c r="B6227" s="42">
        <v>44152</v>
      </c>
      <c r="C6227" s="1">
        <v>21</v>
      </c>
      <c r="D6227" s="47">
        <f t="shared" si="537"/>
        <v>18213</v>
      </c>
      <c r="E6227" s="1">
        <f>1</f>
        <v>1</v>
      </c>
      <c r="F6227" s="78">
        <f t="shared" si="536"/>
        <v>839</v>
      </c>
    </row>
    <row r="6228" spans="1:6" x14ac:dyDescent="0.25">
      <c r="A6228" s="84" t="s">
        <v>33</v>
      </c>
      <c r="B6228" s="42">
        <v>44152</v>
      </c>
      <c r="C6228" s="1">
        <v>65</v>
      </c>
      <c r="D6228" s="47">
        <f t="shared" si="537"/>
        <v>4834</v>
      </c>
      <c r="E6228" s="1">
        <f>5+6</f>
        <v>11</v>
      </c>
      <c r="F6228" s="78">
        <f t="shared" si="536"/>
        <v>62</v>
      </c>
    </row>
    <row r="6229" spans="1:6" x14ac:dyDescent="0.25">
      <c r="A6229" s="84" t="s">
        <v>21</v>
      </c>
      <c r="B6229" s="42">
        <v>44152</v>
      </c>
      <c r="C6229" s="1">
        <v>18</v>
      </c>
      <c r="D6229" s="47">
        <f t="shared" si="537"/>
        <v>8243</v>
      </c>
      <c r="E6229" s="1">
        <f>1</f>
        <v>1</v>
      </c>
      <c r="F6229" s="78">
        <f t="shared" si="536"/>
        <v>300</v>
      </c>
    </row>
    <row r="6230" spans="1:6" x14ac:dyDescent="0.25">
      <c r="A6230" s="84" t="s">
        <v>17</v>
      </c>
      <c r="B6230" s="42">
        <v>44152</v>
      </c>
      <c r="C6230" s="1">
        <v>396</v>
      </c>
      <c r="D6230" s="47">
        <f t="shared" si="537"/>
        <v>53912</v>
      </c>
      <c r="E6230" s="1">
        <f>4+3</f>
        <v>7</v>
      </c>
      <c r="F6230" s="78">
        <f t="shared" si="536"/>
        <v>1029</v>
      </c>
    </row>
    <row r="6231" spans="1:6" x14ac:dyDescent="0.25">
      <c r="A6231" s="84" t="s">
        <v>23</v>
      </c>
      <c r="B6231" s="42">
        <v>44152</v>
      </c>
      <c r="C6231" s="1">
        <v>6</v>
      </c>
      <c r="D6231" s="47">
        <f t="shared" si="537"/>
        <v>397</v>
      </c>
      <c r="F6231" s="78">
        <f t="shared" si="536"/>
        <v>7</v>
      </c>
    </row>
    <row r="6232" spans="1:6" x14ac:dyDescent="0.25">
      <c r="A6232" s="84" t="s">
        <v>19</v>
      </c>
      <c r="B6232" s="42">
        <v>44152</v>
      </c>
      <c r="C6232" s="1">
        <v>999</v>
      </c>
      <c r="D6232" s="47">
        <f t="shared" si="537"/>
        <v>28310</v>
      </c>
      <c r="E6232" s="1">
        <f>18+11</f>
        <v>29</v>
      </c>
      <c r="F6232" s="78">
        <f t="shared" si="536"/>
        <v>551</v>
      </c>
    </row>
    <row r="6233" spans="1:6" x14ac:dyDescent="0.25">
      <c r="A6233" s="84" t="s">
        <v>18</v>
      </c>
      <c r="B6233" s="42">
        <v>44152</v>
      </c>
      <c r="C6233" s="1">
        <v>295</v>
      </c>
      <c r="D6233" s="47">
        <f t="shared" si="537"/>
        <v>28937</v>
      </c>
      <c r="E6233" s="1">
        <f>2+3</f>
        <v>5</v>
      </c>
      <c r="F6233" s="78">
        <f t="shared" si="536"/>
        <v>731</v>
      </c>
    </row>
    <row r="6234" spans="1:6" x14ac:dyDescent="0.25">
      <c r="A6234" s="84" t="s">
        <v>34</v>
      </c>
      <c r="B6234" s="42">
        <v>44152</v>
      </c>
      <c r="C6234" s="1">
        <v>92</v>
      </c>
      <c r="D6234" s="47">
        <f t="shared" si="537"/>
        <v>20327</v>
      </c>
      <c r="E6234" s="1">
        <f>3+1</f>
        <v>4</v>
      </c>
      <c r="F6234" s="78">
        <f t="shared" si="536"/>
        <v>928</v>
      </c>
    </row>
    <row r="6235" spans="1:6" x14ac:dyDescent="0.25">
      <c r="A6235" s="84" t="s">
        <v>35</v>
      </c>
      <c r="B6235" s="42">
        <v>44152</v>
      </c>
      <c r="C6235" s="1">
        <v>172</v>
      </c>
      <c r="D6235" s="47">
        <f t="shared" si="537"/>
        <v>4688</v>
      </c>
      <c r="F6235" s="78">
        <f t="shared" si="536"/>
        <v>143</v>
      </c>
    </row>
    <row r="6236" spans="1:6" x14ac:dyDescent="0.25">
      <c r="A6236" s="84" t="s">
        <v>36</v>
      </c>
      <c r="B6236" s="42">
        <v>44152</v>
      </c>
      <c r="C6236" s="1">
        <v>233</v>
      </c>
      <c r="D6236" s="47">
        <f t="shared" si="537"/>
        <v>11841</v>
      </c>
      <c r="E6236" s="1">
        <f>3+2</f>
        <v>5</v>
      </c>
      <c r="F6236" s="78">
        <f t="shared" si="536"/>
        <v>157</v>
      </c>
    </row>
    <row r="6237" spans="1:6" x14ac:dyDescent="0.25">
      <c r="A6237" s="84" t="s">
        <v>37</v>
      </c>
      <c r="B6237" s="42">
        <v>44152</v>
      </c>
      <c r="C6237" s="1">
        <v>267</v>
      </c>
      <c r="D6237" s="47">
        <f t="shared" si="537"/>
        <v>13045</v>
      </c>
      <c r="E6237" s="1">
        <v>17</v>
      </c>
      <c r="F6237" s="78">
        <f t="shared" si="536"/>
        <v>210</v>
      </c>
    </row>
    <row r="6238" spans="1:6" x14ac:dyDescent="0.25">
      <c r="A6238" s="84" t="s">
        <v>22</v>
      </c>
      <c r="B6238" s="42">
        <v>44152</v>
      </c>
      <c r="C6238" s="1">
        <v>1477</v>
      </c>
      <c r="D6238" s="47">
        <f t="shared" si="537"/>
        <v>130929</v>
      </c>
      <c r="E6238" s="1">
        <f>14+19</f>
        <v>33</v>
      </c>
      <c r="F6238" s="78">
        <f t="shared" si="536"/>
        <v>1947</v>
      </c>
    </row>
    <row r="6239" spans="1:6" x14ac:dyDescent="0.25">
      <c r="A6239" s="84" t="s">
        <v>38</v>
      </c>
      <c r="B6239" s="42">
        <v>44152</v>
      </c>
      <c r="C6239" s="1">
        <v>113</v>
      </c>
      <c r="D6239" s="47">
        <f t="shared" si="537"/>
        <v>13424</v>
      </c>
      <c r="E6239" s="1">
        <f>3</f>
        <v>3</v>
      </c>
      <c r="F6239" s="78">
        <f t="shared" si="536"/>
        <v>163</v>
      </c>
    </row>
    <row r="6240" spans="1:6" x14ac:dyDescent="0.25">
      <c r="A6240" s="84" t="s">
        <v>39</v>
      </c>
      <c r="B6240" s="42">
        <v>44152</v>
      </c>
      <c r="C6240" s="1">
        <v>132</v>
      </c>
      <c r="D6240" s="47">
        <f t="shared" si="537"/>
        <v>14537</v>
      </c>
      <c r="E6240" s="1">
        <f>2</f>
        <v>2</v>
      </c>
      <c r="F6240" s="78">
        <f t="shared" si="536"/>
        <v>207</v>
      </c>
    </row>
    <row r="6241" spans="1:6" ht="15.75" thickBot="1" x14ac:dyDescent="0.3">
      <c r="A6241" s="86" t="s">
        <v>40</v>
      </c>
      <c r="B6241" s="42">
        <v>44152</v>
      </c>
      <c r="C6241" s="1">
        <v>688</v>
      </c>
      <c r="D6241" s="81">
        <f>C6241+D6217</f>
        <v>61300</v>
      </c>
      <c r="E6241" s="1">
        <f>9+6</f>
        <v>15</v>
      </c>
      <c r="F6241" s="83">
        <f t="shared" si="536"/>
        <v>1020</v>
      </c>
    </row>
    <row r="6242" spans="1:6" x14ac:dyDescent="0.25">
      <c r="A6242" s="36" t="s">
        <v>16</v>
      </c>
      <c r="B6242" s="42">
        <v>44153</v>
      </c>
      <c r="C6242" s="1">
        <v>2826</v>
      </c>
      <c r="D6242" s="211">
        <f t="shared" si="537"/>
        <v>597074</v>
      </c>
      <c r="E6242" s="1">
        <f>39+29</f>
        <v>68</v>
      </c>
      <c r="F6242" s="77">
        <f t="shared" si="536"/>
        <v>19716</v>
      </c>
    </row>
    <row r="6243" spans="1:6" x14ac:dyDescent="0.25">
      <c r="A6243" s="84" t="s">
        <v>43</v>
      </c>
      <c r="B6243" s="42">
        <v>44153</v>
      </c>
      <c r="C6243" s="1">
        <v>384</v>
      </c>
      <c r="D6243" s="47">
        <f t="shared" si="537"/>
        <v>154980</v>
      </c>
      <c r="E6243" s="1">
        <f>8+13</f>
        <v>21</v>
      </c>
      <c r="F6243" s="78">
        <f t="shared" si="536"/>
        <v>5127</v>
      </c>
    </row>
    <row r="6244" spans="1:6" x14ac:dyDescent="0.25">
      <c r="A6244" s="84" t="s">
        <v>28</v>
      </c>
      <c r="B6244" s="42">
        <v>44153</v>
      </c>
      <c r="C6244" s="1">
        <v>23</v>
      </c>
      <c r="D6244" s="47">
        <f t="shared" si="537"/>
        <v>1604</v>
      </c>
      <c r="E6244" s="1">
        <v>1</v>
      </c>
      <c r="F6244" s="78">
        <f t="shared" si="536"/>
        <v>8</v>
      </c>
    </row>
    <row r="6245" spans="1:6" x14ac:dyDescent="0.25">
      <c r="A6245" s="84" t="s">
        <v>15</v>
      </c>
      <c r="B6245" s="42">
        <v>44153</v>
      </c>
      <c r="C6245" s="1">
        <v>230</v>
      </c>
      <c r="D6245" s="47">
        <f t="shared" si="537"/>
        <v>16957</v>
      </c>
      <c r="E6245" s="1">
        <f>2+1</f>
        <v>3</v>
      </c>
      <c r="F6245" s="78">
        <f t="shared" si="536"/>
        <v>519</v>
      </c>
    </row>
    <row r="6246" spans="1:6" x14ac:dyDescent="0.25">
      <c r="A6246" s="84" t="s">
        <v>29</v>
      </c>
      <c r="B6246" s="42">
        <v>44153</v>
      </c>
      <c r="C6246" s="1">
        <v>366</v>
      </c>
      <c r="D6246" s="47">
        <f t="shared" si="537"/>
        <v>20113</v>
      </c>
      <c r="E6246" s="1">
        <f>5+2</f>
        <v>7</v>
      </c>
      <c r="F6246" s="78">
        <f t="shared" si="536"/>
        <v>339</v>
      </c>
    </row>
    <row r="6247" spans="1:6" x14ac:dyDescent="0.25">
      <c r="A6247" s="84" t="s">
        <v>20</v>
      </c>
      <c r="B6247" s="42">
        <v>44153</v>
      </c>
      <c r="C6247" s="1">
        <v>1381</v>
      </c>
      <c r="D6247" s="47">
        <f t="shared" si="537"/>
        <v>105853</v>
      </c>
      <c r="E6247" s="1">
        <f>19+12</f>
        <v>31</v>
      </c>
      <c r="F6247" s="78">
        <f t="shared" si="536"/>
        <v>1730</v>
      </c>
    </row>
    <row r="6248" spans="1:6" x14ac:dyDescent="0.25">
      <c r="A6248" s="84" t="s">
        <v>30</v>
      </c>
      <c r="B6248" s="42">
        <v>44153</v>
      </c>
      <c r="C6248" s="1">
        <v>272</v>
      </c>
      <c r="D6248" s="47">
        <f t="shared" si="537"/>
        <v>4248</v>
      </c>
      <c r="E6248" s="1">
        <f>3+3</f>
        <v>6</v>
      </c>
      <c r="F6248" s="78">
        <f t="shared" si="536"/>
        <v>86</v>
      </c>
    </row>
    <row r="6249" spans="1:6" x14ac:dyDescent="0.25">
      <c r="A6249" s="84" t="s">
        <v>31</v>
      </c>
      <c r="B6249" s="42">
        <v>44153</v>
      </c>
      <c r="C6249" s="1">
        <v>374</v>
      </c>
      <c r="D6249" s="47">
        <f t="shared" si="537"/>
        <v>20925</v>
      </c>
      <c r="E6249" s="1">
        <v>4</v>
      </c>
      <c r="F6249" s="78">
        <f t="shared" si="536"/>
        <v>396</v>
      </c>
    </row>
    <row r="6250" spans="1:6" x14ac:dyDescent="0.25">
      <c r="A6250" s="84" t="s">
        <v>41</v>
      </c>
      <c r="B6250" s="42">
        <v>44153</v>
      </c>
      <c r="C6250" s="1">
        <v>3</v>
      </c>
      <c r="D6250" s="47">
        <f t="shared" si="537"/>
        <v>173</v>
      </c>
      <c r="F6250" s="78">
        <f t="shared" si="536"/>
        <v>3</v>
      </c>
    </row>
    <row r="6251" spans="1:6" x14ac:dyDescent="0.25">
      <c r="A6251" s="84" t="s">
        <v>32</v>
      </c>
      <c r="B6251" s="42">
        <v>44153</v>
      </c>
      <c r="C6251" s="1">
        <v>27</v>
      </c>
      <c r="D6251" s="47">
        <f t="shared" si="537"/>
        <v>18240</v>
      </c>
      <c r="E6251" s="1">
        <f>1</f>
        <v>1</v>
      </c>
      <c r="F6251" s="78">
        <f t="shared" ref="F6251:F6314" si="538">E6251+F6227</f>
        <v>840</v>
      </c>
    </row>
    <row r="6252" spans="1:6" x14ac:dyDescent="0.25">
      <c r="A6252" s="84" t="s">
        <v>33</v>
      </c>
      <c r="B6252" s="42">
        <v>44153</v>
      </c>
      <c r="C6252" s="1">
        <v>75</v>
      </c>
      <c r="D6252" s="47">
        <f t="shared" si="537"/>
        <v>4909</v>
      </c>
      <c r="E6252" s="1">
        <f>2</f>
        <v>2</v>
      </c>
      <c r="F6252" s="78">
        <f t="shared" si="538"/>
        <v>64</v>
      </c>
    </row>
    <row r="6253" spans="1:6" x14ac:dyDescent="0.25">
      <c r="A6253" s="84" t="s">
        <v>21</v>
      </c>
      <c r="B6253" s="42">
        <v>44153</v>
      </c>
      <c r="C6253" s="1">
        <v>51</v>
      </c>
      <c r="D6253" s="47">
        <f t="shared" si="537"/>
        <v>8294</v>
      </c>
      <c r="E6253" s="1">
        <f>1</f>
        <v>1</v>
      </c>
      <c r="F6253" s="78">
        <f t="shared" si="538"/>
        <v>301</v>
      </c>
    </row>
    <row r="6254" spans="1:6" x14ac:dyDescent="0.25">
      <c r="A6254" s="84" t="s">
        <v>17</v>
      </c>
      <c r="B6254" s="42">
        <v>44153</v>
      </c>
      <c r="C6254" s="1">
        <v>339</v>
      </c>
      <c r="D6254" s="47">
        <f t="shared" si="537"/>
        <v>54251</v>
      </c>
      <c r="E6254" s="1">
        <f>15+9</f>
        <v>24</v>
      </c>
      <c r="F6254" s="78">
        <f t="shared" si="538"/>
        <v>1053</v>
      </c>
    </row>
    <row r="6255" spans="1:6" x14ac:dyDescent="0.25">
      <c r="A6255" s="84" t="s">
        <v>23</v>
      </c>
      <c r="B6255" s="42">
        <v>44153</v>
      </c>
      <c r="C6255" s="1">
        <v>10</v>
      </c>
      <c r="D6255" s="47">
        <f t="shared" si="537"/>
        <v>407</v>
      </c>
      <c r="F6255" s="78">
        <f t="shared" si="538"/>
        <v>7</v>
      </c>
    </row>
    <row r="6256" spans="1:6" x14ac:dyDescent="0.25">
      <c r="A6256" s="84" t="s">
        <v>19</v>
      </c>
      <c r="B6256" s="42">
        <v>44153</v>
      </c>
      <c r="C6256" s="1">
        <v>348</v>
      </c>
      <c r="D6256" s="47">
        <f t="shared" si="537"/>
        <v>28658</v>
      </c>
      <c r="E6256" s="1">
        <v>13</v>
      </c>
      <c r="F6256" s="78">
        <f t="shared" si="538"/>
        <v>564</v>
      </c>
    </row>
    <row r="6257" spans="1:6" x14ac:dyDescent="0.25">
      <c r="A6257" s="84" t="s">
        <v>18</v>
      </c>
      <c r="B6257" s="42">
        <v>44153</v>
      </c>
      <c r="C6257" s="1">
        <v>299</v>
      </c>
      <c r="D6257" s="47">
        <f t="shared" si="537"/>
        <v>29236</v>
      </c>
      <c r="E6257" s="1">
        <f>4+4</f>
        <v>8</v>
      </c>
      <c r="F6257" s="78">
        <f t="shared" si="538"/>
        <v>739</v>
      </c>
    </row>
    <row r="6258" spans="1:6" x14ac:dyDescent="0.25">
      <c r="A6258" s="84" t="s">
        <v>34</v>
      </c>
      <c r="B6258" s="42">
        <v>44153</v>
      </c>
      <c r="C6258" s="1">
        <v>112</v>
      </c>
      <c r="D6258" s="47">
        <f t="shared" ref="D6258:D6264" si="539">C6258+D6234</f>
        <v>20439</v>
      </c>
      <c r="E6258" s="1">
        <f>5+4</f>
        <v>9</v>
      </c>
      <c r="F6258" s="78">
        <f t="shared" si="538"/>
        <v>937</v>
      </c>
    </row>
    <row r="6259" spans="1:6" x14ac:dyDescent="0.25">
      <c r="A6259" s="84" t="s">
        <v>35</v>
      </c>
      <c r="B6259" s="42">
        <v>44153</v>
      </c>
      <c r="C6259" s="1">
        <v>174</v>
      </c>
      <c r="D6259" s="47">
        <f t="shared" si="539"/>
        <v>4862</v>
      </c>
      <c r="F6259" s="78">
        <f t="shared" si="538"/>
        <v>143</v>
      </c>
    </row>
    <row r="6260" spans="1:6" x14ac:dyDescent="0.25">
      <c r="A6260" s="84" t="s">
        <v>36</v>
      </c>
      <c r="B6260" s="42">
        <v>44153</v>
      </c>
      <c r="C6260" s="1">
        <v>219</v>
      </c>
      <c r="D6260" s="47">
        <f t="shared" si="539"/>
        <v>12060</v>
      </c>
      <c r="E6260" s="1">
        <f>4+2</f>
        <v>6</v>
      </c>
      <c r="F6260" s="78">
        <f t="shared" si="538"/>
        <v>163</v>
      </c>
    </row>
    <row r="6261" spans="1:6" x14ac:dyDescent="0.25">
      <c r="A6261" s="84" t="s">
        <v>37</v>
      </c>
      <c r="B6261" s="42">
        <v>44153</v>
      </c>
      <c r="C6261" s="1">
        <v>268</v>
      </c>
      <c r="D6261" s="47">
        <f t="shared" si="539"/>
        <v>13313</v>
      </c>
      <c r="E6261" s="1">
        <f>4+2</f>
        <v>6</v>
      </c>
      <c r="F6261" s="78">
        <f t="shared" si="538"/>
        <v>216</v>
      </c>
    </row>
    <row r="6262" spans="1:6" x14ac:dyDescent="0.25">
      <c r="A6262" s="84" t="s">
        <v>22</v>
      </c>
      <c r="B6262" s="42">
        <v>44153</v>
      </c>
      <c r="C6262" s="1">
        <v>1657</v>
      </c>
      <c r="D6262" s="47">
        <f t="shared" si="539"/>
        <v>132586</v>
      </c>
      <c r="E6262" s="1">
        <f>13+10</f>
        <v>23</v>
      </c>
      <c r="F6262" s="78">
        <f t="shared" si="538"/>
        <v>1970</v>
      </c>
    </row>
    <row r="6263" spans="1:6" x14ac:dyDescent="0.25">
      <c r="A6263" s="84" t="s">
        <v>38</v>
      </c>
      <c r="B6263" s="42">
        <v>44153</v>
      </c>
      <c r="C6263" s="1">
        <v>229</v>
      </c>
      <c r="D6263" s="47">
        <f t="shared" si="539"/>
        <v>13653</v>
      </c>
      <c r="F6263" s="78">
        <f t="shared" si="538"/>
        <v>163</v>
      </c>
    </row>
    <row r="6264" spans="1:6" x14ac:dyDescent="0.25">
      <c r="A6264" s="84" t="s">
        <v>39</v>
      </c>
      <c r="B6264" s="42">
        <v>44153</v>
      </c>
      <c r="C6264" s="1">
        <v>132</v>
      </c>
      <c r="D6264" s="47">
        <f t="shared" si="539"/>
        <v>14669</v>
      </c>
      <c r="E6264" s="1">
        <f>2+2</f>
        <v>4</v>
      </c>
      <c r="F6264" s="78">
        <f t="shared" si="538"/>
        <v>211</v>
      </c>
    </row>
    <row r="6265" spans="1:6" ht="15.75" thickBot="1" x14ac:dyDescent="0.3">
      <c r="A6265" s="86" t="s">
        <v>40</v>
      </c>
      <c r="B6265" s="42">
        <v>44153</v>
      </c>
      <c r="C6265" s="300">
        <v>533</v>
      </c>
      <c r="D6265" s="81">
        <f>C6265+D6241</f>
        <v>61833</v>
      </c>
      <c r="E6265" s="300">
        <v>1</v>
      </c>
      <c r="F6265" s="83">
        <f t="shared" si="538"/>
        <v>1021</v>
      </c>
    </row>
    <row r="6266" spans="1:6" x14ac:dyDescent="0.25">
      <c r="A6266" s="36" t="s">
        <v>16</v>
      </c>
      <c r="B6266" s="363">
        <v>44154</v>
      </c>
      <c r="C6266" s="53">
        <v>2743</v>
      </c>
      <c r="D6266" s="211">
        <f t="shared" ref="D6266:D6329" si="540">C6266+D6242</f>
        <v>599817</v>
      </c>
      <c r="E6266" s="53">
        <f>29+18</f>
        <v>47</v>
      </c>
      <c r="F6266" s="77">
        <f t="shared" si="538"/>
        <v>19763</v>
      </c>
    </row>
    <row r="6267" spans="1:6" x14ac:dyDescent="0.25">
      <c r="A6267" s="84" t="s">
        <v>43</v>
      </c>
      <c r="B6267" s="42">
        <v>44154</v>
      </c>
      <c r="C6267" s="1">
        <v>479</v>
      </c>
      <c r="D6267" s="47">
        <f t="shared" si="540"/>
        <v>155459</v>
      </c>
      <c r="E6267" s="1">
        <f>1+3</f>
        <v>4</v>
      </c>
      <c r="F6267" s="78">
        <f t="shared" si="538"/>
        <v>5131</v>
      </c>
    </row>
    <row r="6268" spans="1:6" x14ac:dyDescent="0.25">
      <c r="A6268" s="84" t="s">
        <v>28</v>
      </c>
      <c r="B6268" s="42">
        <v>44154</v>
      </c>
      <c r="C6268" s="1">
        <v>30</v>
      </c>
      <c r="D6268" s="47">
        <f t="shared" si="540"/>
        <v>1634</v>
      </c>
      <c r="F6268" s="78">
        <f t="shared" si="538"/>
        <v>8</v>
      </c>
    </row>
    <row r="6269" spans="1:6" x14ac:dyDescent="0.25">
      <c r="A6269" s="84" t="s">
        <v>15</v>
      </c>
      <c r="B6269" s="42">
        <v>44154</v>
      </c>
      <c r="C6269" s="1">
        <v>290</v>
      </c>
      <c r="D6269" s="47">
        <f t="shared" si="540"/>
        <v>17247</v>
      </c>
      <c r="E6269" s="1">
        <v>1</v>
      </c>
      <c r="F6269" s="78">
        <f t="shared" si="538"/>
        <v>520</v>
      </c>
    </row>
    <row r="6270" spans="1:6" x14ac:dyDescent="0.25">
      <c r="A6270" s="84" t="s">
        <v>29</v>
      </c>
      <c r="B6270" s="42">
        <v>44154</v>
      </c>
      <c r="C6270" s="1">
        <v>324</v>
      </c>
      <c r="D6270" s="47">
        <f t="shared" si="540"/>
        <v>20437</v>
      </c>
      <c r="E6270" s="1">
        <f>7+5</f>
        <v>12</v>
      </c>
      <c r="F6270" s="78">
        <f t="shared" si="538"/>
        <v>351</v>
      </c>
    </row>
    <row r="6271" spans="1:6" x14ac:dyDescent="0.25">
      <c r="A6271" s="84" t="s">
        <v>20</v>
      </c>
      <c r="B6271" s="42">
        <v>44154</v>
      </c>
      <c r="C6271" s="1">
        <v>1051</v>
      </c>
      <c r="D6271" s="47">
        <f t="shared" si="540"/>
        <v>106904</v>
      </c>
      <c r="E6271" s="1">
        <f>10+6</f>
        <v>16</v>
      </c>
      <c r="F6271" s="78">
        <f t="shared" si="538"/>
        <v>1746</v>
      </c>
    </row>
    <row r="6272" spans="1:6" x14ac:dyDescent="0.25">
      <c r="A6272" s="84" t="s">
        <v>30</v>
      </c>
      <c r="B6272" s="42">
        <v>44154</v>
      </c>
      <c r="C6272" s="1">
        <v>261</v>
      </c>
      <c r="D6272" s="47">
        <f t="shared" si="540"/>
        <v>4509</v>
      </c>
      <c r="F6272" s="78">
        <f t="shared" si="538"/>
        <v>86</v>
      </c>
    </row>
    <row r="6273" spans="1:6" x14ac:dyDescent="0.25">
      <c r="A6273" s="84" t="s">
        <v>31</v>
      </c>
      <c r="B6273" s="42">
        <v>44154</v>
      </c>
      <c r="C6273" s="1">
        <v>324</v>
      </c>
      <c r="D6273" s="47">
        <f t="shared" si="540"/>
        <v>21249</v>
      </c>
      <c r="E6273" s="1">
        <f>5+1</f>
        <v>6</v>
      </c>
      <c r="F6273" s="78">
        <f t="shared" si="538"/>
        <v>402</v>
      </c>
    </row>
    <row r="6274" spans="1:6" x14ac:dyDescent="0.25">
      <c r="A6274" s="84" t="s">
        <v>41</v>
      </c>
      <c r="B6274" s="42">
        <v>44154</v>
      </c>
      <c r="C6274" s="1">
        <v>1</v>
      </c>
      <c r="D6274" s="47">
        <f t="shared" si="540"/>
        <v>174</v>
      </c>
      <c r="F6274" s="78">
        <f t="shared" si="538"/>
        <v>3</v>
      </c>
    </row>
    <row r="6275" spans="1:6" x14ac:dyDescent="0.25">
      <c r="A6275" s="84" t="s">
        <v>32</v>
      </c>
      <c r="B6275" s="42">
        <v>44154</v>
      </c>
      <c r="C6275" s="1">
        <v>12</v>
      </c>
      <c r="D6275" s="47">
        <f t="shared" si="540"/>
        <v>18252</v>
      </c>
      <c r="F6275" s="78">
        <f t="shared" si="538"/>
        <v>840</v>
      </c>
    </row>
    <row r="6276" spans="1:6" x14ac:dyDescent="0.25">
      <c r="A6276" s="84" t="s">
        <v>33</v>
      </c>
      <c r="B6276" s="42">
        <v>44154</v>
      </c>
      <c r="C6276" s="1">
        <v>63</v>
      </c>
      <c r="D6276" s="47">
        <f t="shared" si="540"/>
        <v>4972</v>
      </c>
      <c r="F6276" s="78">
        <f t="shared" si="538"/>
        <v>64</v>
      </c>
    </row>
    <row r="6277" spans="1:6" x14ac:dyDescent="0.25">
      <c r="A6277" s="84" t="s">
        <v>21</v>
      </c>
      <c r="B6277" s="42">
        <v>44154</v>
      </c>
      <c r="C6277" s="1">
        <v>68</v>
      </c>
      <c r="D6277" s="47">
        <f t="shared" si="540"/>
        <v>8362</v>
      </c>
      <c r="E6277" s="1">
        <f>2+1</f>
        <v>3</v>
      </c>
      <c r="F6277" s="78">
        <f t="shared" si="538"/>
        <v>304</v>
      </c>
    </row>
    <row r="6278" spans="1:6" x14ac:dyDescent="0.25">
      <c r="A6278" s="84" t="s">
        <v>17</v>
      </c>
      <c r="B6278" s="42">
        <v>44154</v>
      </c>
      <c r="C6278" s="1">
        <v>243</v>
      </c>
      <c r="D6278" s="47">
        <f t="shared" si="540"/>
        <v>54494</v>
      </c>
      <c r="E6278" s="1">
        <f>3+2</f>
        <v>5</v>
      </c>
      <c r="F6278" s="78">
        <f t="shared" si="538"/>
        <v>1058</v>
      </c>
    </row>
    <row r="6279" spans="1:6" x14ac:dyDescent="0.25">
      <c r="A6279" s="84" t="s">
        <v>23</v>
      </c>
      <c r="B6279" s="42">
        <v>44154</v>
      </c>
      <c r="C6279" s="1">
        <v>24</v>
      </c>
      <c r="D6279" s="47">
        <f t="shared" si="540"/>
        <v>431</v>
      </c>
      <c r="F6279" s="78">
        <f t="shared" si="538"/>
        <v>7</v>
      </c>
    </row>
    <row r="6280" spans="1:6" x14ac:dyDescent="0.25">
      <c r="A6280" s="84" t="s">
        <v>19</v>
      </c>
      <c r="B6280" s="42">
        <v>44154</v>
      </c>
      <c r="C6280" s="1">
        <v>280</v>
      </c>
      <c r="D6280" s="47">
        <f t="shared" si="540"/>
        <v>28938</v>
      </c>
      <c r="E6280" s="1">
        <f>6+1</f>
        <v>7</v>
      </c>
      <c r="F6280" s="78">
        <f t="shared" si="538"/>
        <v>571</v>
      </c>
    </row>
    <row r="6281" spans="1:6" x14ac:dyDescent="0.25">
      <c r="A6281" s="84" t="s">
        <v>18</v>
      </c>
      <c r="B6281" s="42">
        <v>44154</v>
      </c>
      <c r="C6281" s="1">
        <v>309</v>
      </c>
      <c r="D6281" s="47">
        <f t="shared" si="540"/>
        <v>29545</v>
      </c>
      <c r="E6281" s="1">
        <f>7+3</f>
        <v>10</v>
      </c>
      <c r="F6281" s="78">
        <f t="shared" si="538"/>
        <v>749</v>
      </c>
    </row>
    <row r="6282" spans="1:6" x14ac:dyDescent="0.25">
      <c r="A6282" s="84" t="s">
        <v>34</v>
      </c>
      <c r="B6282" s="42">
        <v>44154</v>
      </c>
      <c r="C6282" s="1">
        <v>73</v>
      </c>
      <c r="D6282" s="47">
        <f t="shared" si="540"/>
        <v>20512</v>
      </c>
      <c r="E6282" s="1">
        <f>5+1</f>
        <v>6</v>
      </c>
      <c r="F6282" s="78">
        <f t="shared" si="538"/>
        <v>943</v>
      </c>
    </row>
    <row r="6283" spans="1:6" x14ac:dyDescent="0.25">
      <c r="A6283" s="84" t="s">
        <v>35</v>
      </c>
      <c r="B6283" s="42">
        <v>44154</v>
      </c>
      <c r="C6283" s="1">
        <v>220</v>
      </c>
      <c r="D6283" s="47">
        <f t="shared" si="540"/>
        <v>5082</v>
      </c>
      <c r="F6283" s="78">
        <f t="shared" si="538"/>
        <v>143</v>
      </c>
    </row>
    <row r="6284" spans="1:6" x14ac:dyDescent="0.25">
      <c r="A6284" s="84" t="s">
        <v>36</v>
      </c>
      <c r="B6284" s="42">
        <v>44154</v>
      </c>
      <c r="C6284" s="1">
        <v>349</v>
      </c>
      <c r="D6284" s="47">
        <f t="shared" si="540"/>
        <v>12409</v>
      </c>
      <c r="E6284" s="1">
        <f>3+3</f>
        <v>6</v>
      </c>
      <c r="F6284" s="78">
        <f t="shared" si="538"/>
        <v>169</v>
      </c>
    </row>
    <row r="6285" spans="1:6" x14ac:dyDescent="0.25">
      <c r="A6285" s="84" t="s">
        <v>37</v>
      </c>
      <c r="B6285" s="42">
        <v>44154</v>
      </c>
      <c r="C6285" s="1">
        <v>286</v>
      </c>
      <c r="D6285" s="47">
        <f t="shared" si="540"/>
        <v>13599</v>
      </c>
      <c r="E6285" s="1">
        <f>4+1</f>
        <v>5</v>
      </c>
      <c r="F6285" s="78">
        <f t="shared" si="538"/>
        <v>221</v>
      </c>
    </row>
    <row r="6286" spans="1:6" x14ac:dyDescent="0.25">
      <c r="A6286" s="84" t="s">
        <v>22</v>
      </c>
      <c r="B6286" s="42">
        <v>44154</v>
      </c>
      <c r="C6286" s="1">
        <v>1666</v>
      </c>
      <c r="D6286" s="47">
        <f t="shared" si="540"/>
        <v>134252</v>
      </c>
      <c r="E6286" s="1">
        <f>21+13</f>
        <v>34</v>
      </c>
      <c r="F6286" s="78">
        <f t="shared" si="538"/>
        <v>2004</v>
      </c>
    </row>
    <row r="6287" spans="1:6" x14ac:dyDescent="0.25">
      <c r="A6287" s="84" t="s">
        <v>38</v>
      </c>
      <c r="B6287" s="42">
        <v>44154</v>
      </c>
      <c r="C6287" s="1">
        <v>258</v>
      </c>
      <c r="D6287" s="47">
        <f t="shared" si="540"/>
        <v>13911</v>
      </c>
      <c r="E6287" s="1">
        <f>5+5</f>
        <v>10</v>
      </c>
      <c r="F6287" s="78">
        <f t="shared" si="538"/>
        <v>173</v>
      </c>
    </row>
    <row r="6288" spans="1:6" x14ac:dyDescent="0.25">
      <c r="A6288" s="84" t="s">
        <v>39</v>
      </c>
      <c r="B6288" s="42">
        <v>44154</v>
      </c>
      <c r="C6288" s="1">
        <v>169</v>
      </c>
      <c r="D6288" s="47">
        <f t="shared" si="540"/>
        <v>14838</v>
      </c>
      <c r="E6288" s="1">
        <f>2+2</f>
        <v>4</v>
      </c>
      <c r="F6288" s="78">
        <f t="shared" si="538"/>
        <v>215</v>
      </c>
    </row>
    <row r="6289" spans="1:6" ht="15.75" thickBot="1" x14ac:dyDescent="0.3">
      <c r="A6289" s="85" t="s">
        <v>40</v>
      </c>
      <c r="B6289" s="355">
        <v>44154</v>
      </c>
      <c r="C6289" s="54">
        <v>574</v>
      </c>
      <c r="D6289" s="214">
        <f>C6289+D6265</f>
        <v>62407</v>
      </c>
      <c r="E6289" s="54">
        <f>7+4</f>
        <v>11</v>
      </c>
      <c r="F6289" s="79">
        <f t="shared" si="538"/>
        <v>1032</v>
      </c>
    </row>
    <row r="6290" spans="1:6" x14ac:dyDescent="0.25">
      <c r="A6290" s="36" t="s">
        <v>16</v>
      </c>
      <c r="B6290" s="356">
        <v>44155</v>
      </c>
      <c r="C6290" s="293">
        <v>2305</v>
      </c>
      <c r="D6290" s="211">
        <f t="shared" si="540"/>
        <v>602122</v>
      </c>
      <c r="E6290" s="293">
        <v>133</v>
      </c>
      <c r="F6290" s="77">
        <f t="shared" si="538"/>
        <v>19896</v>
      </c>
    </row>
    <row r="6291" spans="1:6" x14ac:dyDescent="0.25">
      <c r="A6291" s="84" t="s">
        <v>43</v>
      </c>
      <c r="B6291" s="356">
        <v>44155</v>
      </c>
      <c r="C6291" s="1">
        <v>410</v>
      </c>
      <c r="D6291" s="47">
        <f t="shared" si="540"/>
        <v>155869</v>
      </c>
      <c r="E6291" s="1">
        <v>23</v>
      </c>
      <c r="F6291" s="78">
        <f t="shared" si="538"/>
        <v>5154</v>
      </c>
    </row>
    <row r="6292" spans="1:6" x14ac:dyDescent="0.25">
      <c r="A6292" s="84" t="s">
        <v>28</v>
      </c>
      <c r="B6292" s="356">
        <v>44155</v>
      </c>
      <c r="C6292" s="1">
        <v>12</v>
      </c>
      <c r="D6292" s="47">
        <f t="shared" si="540"/>
        <v>1646</v>
      </c>
      <c r="F6292" s="78">
        <f t="shared" si="538"/>
        <v>8</v>
      </c>
    </row>
    <row r="6293" spans="1:6" x14ac:dyDescent="0.25">
      <c r="A6293" s="84" t="s">
        <v>15</v>
      </c>
      <c r="B6293" s="356">
        <v>44155</v>
      </c>
      <c r="C6293" s="1">
        <v>256</v>
      </c>
      <c r="D6293" s="47">
        <f t="shared" si="540"/>
        <v>17503</v>
      </c>
      <c r="E6293" s="1">
        <v>5</v>
      </c>
      <c r="F6293" s="78">
        <f t="shared" si="538"/>
        <v>525</v>
      </c>
    </row>
    <row r="6294" spans="1:6" x14ac:dyDescent="0.25">
      <c r="A6294" s="84" t="s">
        <v>29</v>
      </c>
      <c r="B6294" s="356">
        <v>44155</v>
      </c>
      <c r="C6294" s="1">
        <v>343</v>
      </c>
      <c r="D6294" s="47">
        <f t="shared" si="540"/>
        <v>20780</v>
      </c>
      <c r="E6294" s="1">
        <v>5</v>
      </c>
      <c r="F6294" s="78">
        <f t="shared" si="538"/>
        <v>356</v>
      </c>
    </row>
    <row r="6295" spans="1:6" x14ac:dyDescent="0.25">
      <c r="A6295" s="84" t="s">
        <v>20</v>
      </c>
      <c r="B6295" s="356">
        <v>44155</v>
      </c>
      <c r="C6295" s="1">
        <v>982</v>
      </c>
      <c r="D6295" s="47">
        <f t="shared" si="540"/>
        <v>107886</v>
      </c>
      <c r="E6295" s="1">
        <v>15</v>
      </c>
      <c r="F6295" s="78">
        <f t="shared" si="538"/>
        <v>1761</v>
      </c>
    </row>
    <row r="6296" spans="1:6" x14ac:dyDescent="0.25">
      <c r="A6296" s="84" t="s">
        <v>30</v>
      </c>
      <c r="B6296" s="356">
        <v>44155</v>
      </c>
      <c r="C6296" s="1">
        <v>164</v>
      </c>
      <c r="D6296" s="47">
        <f t="shared" si="540"/>
        <v>4673</v>
      </c>
      <c r="F6296" s="78">
        <f t="shared" si="538"/>
        <v>86</v>
      </c>
    </row>
    <row r="6297" spans="1:6" x14ac:dyDescent="0.25">
      <c r="A6297" s="84" t="s">
        <v>31</v>
      </c>
      <c r="B6297" s="356">
        <v>44155</v>
      </c>
      <c r="C6297" s="1">
        <v>253</v>
      </c>
      <c r="D6297" s="47">
        <f t="shared" si="540"/>
        <v>21502</v>
      </c>
      <c r="E6297" s="1">
        <v>9</v>
      </c>
      <c r="F6297" s="78">
        <f t="shared" si="538"/>
        <v>411</v>
      </c>
    </row>
    <row r="6298" spans="1:6" x14ac:dyDescent="0.25">
      <c r="A6298" s="84" t="s">
        <v>41</v>
      </c>
      <c r="B6298" s="356">
        <v>44155</v>
      </c>
      <c r="C6298" s="1">
        <v>3</v>
      </c>
      <c r="D6298" s="47">
        <f t="shared" si="540"/>
        <v>177</v>
      </c>
      <c r="F6298" s="78">
        <f t="shared" si="538"/>
        <v>3</v>
      </c>
    </row>
    <row r="6299" spans="1:6" x14ac:dyDescent="0.25">
      <c r="A6299" s="84" t="s">
        <v>32</v>
      </c>
      <c r="B6299" s="356">
        <v>44155</v>
      </c>
      <c r="C6299" s="1">
        <v>21</v>
      </c>
      <c r="D6299" s="47">
        <f t="shared" si="540"/>
        <v>18273</v>
      </c>
      <c r="E6299" s="1">
        <v>1</v>
      </c>
      <c r="F6299" s="78">
        <f t="shared" si="538"/>
        <v>841</v>
      </c>
    </row>
    <row r="6300" spans="1:6" x14ac:dyDescent="0.25">
      <c r="A6300" s="84" t="s">
        <v>33</v>
      </c>
      <c r="B6300" s="356">
        <v>44155</v>
      </c>
      <c r="C6300" s="1">
        <v>88</v>
      </c>
      <c r="D6300" s="47">
        <f t="shared" si="540"/>
        <v>5060</v>
      </c>
      <c r="E6300" s="1">
        <v>4</v>
      </c>
      <c r="F6300" s="78">
        <f t="shared" si="538"/>
        <v>68</v>
      </c>
    </row>
    <row r="6301" spans="1:6" x14ac:dyDescent="0.25">
      <c r="A6301" s="84" t="s">
        <v>21</v>
      </c>
      <c r="B6301" s="356">
        <v>44155</v>
      </c>
      <c r="C6301" s="1">
        <v>58</v>
      </c>
      <c r="D6301" s="47">
        <f t="shared" si="540"/>
        <v>8420</v>
      </c>
      <c r="F6301" s="78">
        <f t="shared" si="538"/>
        <v>304</v>
      </c>
    </row>
    <row r="6302" spans="1:6" x14ac:dyDescent="0.25">
      <c r="A6302" s="84" t="s">
        <v>17</v>
      </c>
      <c r="B6302" s="356">
        <v>44155</v>
      </c>
      <c r="C6302" s="1">
        <v>317</v>
      </c>
      <c r="D6302" s="47">
        <f t="shared" si="540"/>
        <v>54811</v>
      </c>
      <c r="E6302" s="1">
        <v>6</v>
      </c>
      <c r="F6302" s="78">
        <f t="shared" si="538"/>
        <v>1064</v>
      </c>
    </row>
    <row r="6303" spans="1:6" x14ac:dyDescent="0.25">
      <c r="A6303" s="84" t="s">
        <v>23</v>
      </c>
      <c r="B6303" s="356">
        <v>44155</v>
      </c>
      <c r="C6303" s="1">
        <v>3</v>
      </c>
      <c r="D6303" s="47">
        <f t="shared" si="540"/>
        <v>434</v>
      </c>
      <c r="F6303" s="78">
        <f t="shared" si="538"/>
        <v>7</v>
      </c>
    </row>
    <row r="6304" spans="1:6" x14ac:dyDescent="0.25">
      <c r="A6304" s="84" t="s">
        <v>19</v>
      </c>
      <c r="B6304" s="356">
        <v>44155</v>
      </c>
      <c r="C6304" s="1">
        <v>321</v>
      </c>
      <c r="D6304" s="47">
        <f t="shared" si="540"/>
        <v>29259</v>
      </c>
      <c r="E6304" s="1">
        <v>1</v>
      </c>
      <c r="F6304" s="78">
        <f t="shared" si="538"/>
        <v>572</v>
      </c>
    </row>
    <row r="6305" spans="1:6" x14ac:dyDescent="0.25">
      <c r="A6305" s="84" t="s">
        <v>18</v>
      </c>
      <c r="B6305" s="356">
        <v>44155</v>
      </c>
      <c r="C6305" s="1">
        <v>201</v>
      </c>
      <c r="D6305" s="47">
        <f t="shared" si="540"/>
        <v>29746</v>
      </c>
      <c r="E6305" s="1">
        <v>1</v>
      </c>
      <c r="F6305" s="78">
        <f t="shared" si="538"/>
        <v>750</v>
      </c>
    </row>
    <row r="6306" spans="1:6" x14ac:dyDescent="0.25">
      <c r="A6306" s="84" t="s">
        <v>34</v>
      </c>
      <c r="B6306" s="356">
        <v>44155</v>
      </c>
      <c r="C6306" s="1">
        <v>166</v>
      </c>
      <c r="D6306" s="47">
        <f t="shared" si="540"/>
        <v>20678</v>
      </c>
      <c r="E6306" s="1">
        <v>3</v>
      </c>
      <c r="F6306" s="78">
        <f t="shared" si="538"/>
        <v>946</v>
      </c>
    </row>
    <row r="6307" spans="1:6" x14ac:dyDescent="0.25">
      <c r="A6307" s="84" t="s">
        <v>35</v>
      </c>
      <c r="B6307" s="356">
        <v>44155</v>
      </c>
      <c r="C6307" s="1">
        <v>471</v>
      </c>
      <c r="D6307" s="47">
        <f t="shared" si="540"/>
        <v>5553</v>
      </c>
      <c r="F6307" s="78">
        <f t="shared" si="538"/>
        <v>143</v>
      </c>
    </row>
    <row r="6308" spans="1:6" x14ac:dyDescent="0.25">
      <c r="A6308" s="84" t="s">
        <v>36</v>
      </c>
      <c r="B6308" s="356">
        <v>44155</v>
      </c>
      <c r="C6308" s="1">
        <v>378</v>
      </c>
      <c r="D6308" s="47">
        <f t="shared" si="540"/>
        <v>12787</v>
      </c>
      <c r="E6308" s="1">
        <v>8</v>
      </c>
      <c r="F6308" s="78">
        <f t="shared" si="538"/>
        <v>177</v>
      </c>
    </row>
    <row r="6309" spans="1:6" x14ac:dyDescent="0.25">
      <c r="A6309" s="84" t="s">
        <v>37</v>
      </c>
      <c r="B6309" s="356">
        <v>44155</v>
      </c>
      <c r="C6309" s="1">
        <v>248</v>
      </c>
      <c r="D6309" s="47">
        <f t="shared" si="540"/>
        <v>13847</v>
      </c>
      <c r="E6309" s="1">
        <v>3</v>
      </c>
      <c r="F6309" s="78">
        <f t="shared" si="538"/>
        <v>224</v>
      </c>
    </row>
    <row r="6310" spans="1:6" x14ac:dyDescent="0.25">
      <c r="A6310" s="84" t="s">
        <v>22</v>
      </c>
      <c r="B6310" s="356">
        <v>44155</v>
      </c>
      <c r="C6310" s="1">
        <v>1757</v>
      </c>
      <c r="D6310" s="47">
        <f t="shared" si="540"/>
        <v>136009</v>
      </c>
      <c r="E6310" s="1">
        <v>18</v>
      </c>
      <c r="F6310" s="78">
        <f t="shared" si="538"/>
        <v>2022</v>
      </c>
    </row>
    <row r="6311" spans="1:6" x14ac:dyDescent="0.25">
      <c r="A6311" s="84" t="s">
        <v>38</v>
      </c>
      <c r="B6311" s="356">
        <v>44155</v>
      </c>
      <c r="C6311" s="1">
        <v>252</v>
      </c>
      <c r="D6311" s="47">
        <f t="shared" si="540"/>
        <v>14163</v>
      </c>
      <c r="F6311" s="78">
        <f t="shared" si="538"/>
        <v>173</v>
      </c>
    </row>
    <row r="6312" spans="1:6" x14ac:dyDescent="0.25">
      <c r="A6312" s="84" t="s">
        <v>39</v>
      </c>
      <c r="B6312" s="356">
        <v>44155</v>
      </c>
      <c r="C6312" s="1">
        <v>127</v>
      </c>
      <c r="D6312" s="47">
        <f t="shared" si="540"/>
        <v>14965</v>
      </c>
      <c r="E6312" s="1">
        <v>2</v>
      </c>
      <c r="F6312" s="78">
        <f t="shared" si="538"/>
        <v>217</v>
      </c>
    </row>
    <row r="6313" spans="1:6" ht="15.75" thickBot="1" x14ac:dyDescent="0.3">
      <c r="A6313" s="85" t="s">
        <v>40</v>
      </c>
      <c r="B6313" s="356">
        <v>44155</v>
      </c>
      <c r="C6313" s="1">
        <v>472</v>
      </c>
      <c r="D6313" s="214">
        <f>C6313+D6289</f>
        <v>62879</v>
      </c>
      <c r="E6313" s="1">
        <v>24</v>
      </c>
      <c r="F6313" s="79">
        <f t="shared" si="538"/>
        <v>1056</v>
      </c>
    </row>
    <row r="6314" spans="1:6" x14ac:dyDescent="0.25">
      <c r="A6314" s="36" t="s">
        <v>16</v>
      </c>
      <c r="B6314" s="356">
        <v>44156</v>
      </c>
      <c r="C6314" s="1">
        <v>1894</v>
      </c>
      <c r="D6314" s="211">
        <f t="shared" si="540"/>
        <v>604016</v>
      </c>
      <c r="E6314" s="1">
        <f>24+17</f>
        <v>41</v>
      </c>
      <c r="F6314" s="77">
        <f t="shared" si="538"/>
        <v>19937</v>
      </c>
    </row>
    <row r="6315" spans="1:6" x14ac:dyDescent="0.25">
      <c r="A6315" s="84" t="s">
        <v>43</v>
      </c>
      <c r="B6315" s="356">
        <v>44156</v>
      </c>
      <c r="C6315" s="1">
        <v>350</v>
      </c>
      <c r="D6315" s="47">
        <f t="shared" si="540"/>
        <v>156219</v>
      </c>
      <c r="E6315" s="1">
        <f>3+1</f>
        <v>4</v>
      </c>
      <c r="F6315" s="78">
        <f t="shared" ref="F6315:F6378" si="541">E6315+F6291</f>
        <v>5158</v>
      </c>
    </row>
    <row r="6316" spans="1:6" x14ac:dyDescent="0.25">
      <c r="A6316" s="84" t="s">
        <v>28</v>
      </c>
      <c r="B6316" s="356">
        <v>44156</v>
      </c>
      <c r="C6316" s="1">
        <v>25</v>
      </c>
      <c r="D6316" s="47">
        <f t="shared" si="540"/>
        <v>1671</v>
      </c>
      <c r="E6316" s="1">
        <f>5</f>
        <v>5</v>
      </c>
      <c r="F6316" s="78">
        <f t="shared" si="541"/>
        <v>13</v>
      </c>
    </row>
    <row r="6317" spans="1:6" x14ac:dyDescent="0.25">
      <c r="A6317" s="84" t="s">
        <v>15</v>
      </c>
      <c r="B6317" s="356">
        <v>44156</v>
      </c>
      <c r="C6317" s="1">
        <v>156</v>
      </c>
      <c r="D6317" s="47">
        <f t="shared" si="540"/>
        <v>17659</v>
      </c>
      <c r="F6317" s="78">
        <f t="shared" si="541"/>
        <v>525</v>
      </c>
    </row>
    <row r="6318" spans="1:6" x14ac:dyDescent="0.25">
      <c r="A6318" s="84" t="s">
        <v>29</v>
      </c>
      <c r="B6318" s="356">
        <v>44156</v>
      </c>
      <c r="C6318" s="1">
        <v>241</v>
      </c>
      <c r="D6318" s="47">
        <f t="shared" si="540"/>
        <v>21021</v>
      </c>
      <c r="E6318" s="1">
        <f>1</f>
        <v>1</v>
      </c>
      <c r="F6318" s="78">
        <f t="shared" si="541"/>
        <v>357</v>
      </c>
    </row>
    <row r="6319" spans="1:6" x14ac:dyDescent="0.25">
      <c r="A6319" s="84" t="s">
        <v>20</v>
      </c>
      <c r="B6319" s="356">
        <v>44156</v>
      </c>
      <c r="C6319" s="1">
        <v>888</v>
      </c>
      <c r="D6319" s="47">
        <f t="shared" si="540"/>
        <v>108774</v>
      </c>
      <c r="E6319" s="1">
        <f>6+4</f>
        <v>10</v>
      </c>
      <c r="F6319" s="78">
        <f t="shared" si="541"/>
        <v>1771</v>
      </c>
    </row>
    <row r="6320" spans="1:6" x14ac:dyDescent="0.25">
      <c r="A6320" s="84" t="s">
        <v>30</v>
      </c>
      <c r="B6320" s="356">
        <v>44156</v>
      </c>
      <c r="C6320" s="1">
        <v>96</v>
      </c>
      <c r="D6320" s="47">
        <f t="shared" si="540"/>
        <v>4769</v>
      </c>
      <c r="F6320" s="78">
        <f t="shared" si="541"/>
        <v>86</v>
      </c>
    </row>
    <row r="6321" spans="1:6" x14ac:dyDescent="0.25">
      <c r="A6321" s="84" t="s">
        <v>31</v>
      </c>
      <c r="B6321" s="356">
        <v>44156</v>
      </c>
      <c r="C6321" s="1">
        <v>216</v>
      </c>
      <c r="D6321" s="47">
        <f t="shared" si="540"/>
        <v>21718</v>
      </c>
      <c r="E6321" s="1">
        <f>4+1</f>
        <v>5</v>
      </c>
      <c r="F6321" s="78">
        <f t="shared" si="541"/>
        <v>416</v>
      </c>
    </row>
    <row r="6322" spans="1:6" x14ac:dyDescent="0.25">
      <c r="A6322" s="84" t="s">
        <v>41</v>
      </c>
      <c r="B6322" s="356">
        <v>44156</v>
      </c>
      <c r="C6322" s="1">
        <v>2</v>
      </c>
      <c r="D6322" s="47">
        <f t="shared" si="540"/>
        <v>179</v>
      </c>
      <c r="F6322" s="78">
        <f t="shared" si="541"/>
        <v>3</v>
      </c>
    </row>
    <row r="6323" spans="1:6" x14ac:dyDescent="0.25">
      <c r="A6323" s="84" t="s">
        <v>32</v>
      </c>
      <c r="B6323" s="356">
        <v>44156</v>
      </c>
      <c r="C6323" s="1">
        <v>12</v>
      </c>
      <c r="D6323" s="47">
        <f t="shared" si="540"/>
        <v>18285</v>
      </c>
      <c r="E6323" s="1">
        <f>1</f>
        <v>1</v>
      </c>
      <c r="F6323" s="78">
        <f t="shared" si="541"/>
        <v>842</v>
      </c>
    </row>
    <row r="6324" spans="1:6" x14ac:dyDescent="0.25">
      <c r="A6324" s="84" t="s">
        <v>33</v>
      </c>
      <c r="B6324" s="356">
        <v>44156</v>
      </c>
      <c r="C6324" s="1">
        <v>57</v>
      </c>
      <c r="D6324" s="47">
        <f t="shared" si="540"/>
        <v>5117</v>
      </c>
      <c r="E6324" s="1">
        <v>2</v>
      </c>
      <c r="F6324" s="78">
        <f t="shared" si="541"/>
        <v>70</v>
      </c>
    </row>
    <row r="6325" spans="1:6" x14ac:dyDescent="0.25">
      <c r="A6325" s="84" t="s">
        <v>21</v>
      </c>
      <c r="B6325" s="356">
        <v>44156</v>
      </c>
      <c r="C6325" s="1">
        <v>63</v>
      </c>
      <c r="D6325" s="47">
        <f t="shared" si="540"/>
        <v>8483</v>
      </c>
      <c r="E6325" s="1">
        <v>5</v>
      </c>
      <c r="F6325" s="78">
        <f t="shared" si="541"/>
        <v>309</v>
      </c>
    </row>
    <row r="6326" spans="1:6" x14ac:dyDescent="0.25">
      <c r="A6326" s="84" t="s">
        <v>17</v>
      </c>
      <c r="B6326" s="356">
        <v>44156</v>
      </c>
      <c r="C6326" s="1">
        <v>226</v>
      </c>
      <c r="D6326" s="47">
        <f t="shared" si="540"/>
        <v>55037</v>
      </c>
      <c r="E6326" s="1">
        <v>2</v>
      </c>
      <c r="F6326" s="78">
        <f t="shared" si="541"/>
        <v>1066</v>
      </c>
    </row>
    <row r="6327" spans="1:6" x14ac:dyDescent="0.25">
      <c r="A6327" s="84" t="s">
        <v>23</v>
      </c>
      <c r="B6327" s="356">
        <v>44156</v>
      </c>
      <c r="C6327" s="1">
        <v>1</v>
      </c>
      <c r="D6327" s="47">
        <f t="shared" si="540"/>
        <v>435</v>
      </c>
      <c r="E6327" s="1">
        <f>1</f>
        <v>1</v>
      </c>
      <c r="F6327" s="78">
        <f t="shared" si="541"/>
        <v>8</v>
      </c>
    </row>
    <row r="6328" spans="1:6" x14ac:dyDescent="0.25">
      <c r="A6328" s="84" t="s">
        <v>19</v>
      </c>
      <c r="B6328" s="356">
        <v>44156</v>
      </c>
      <c r="C6328" s="1">
        <v>235</v>
      </c>
      <c r="D6328" s="47">
        <f t="shared" si="540"/>
        <v>29494</v>
      </c>
      <c r="F6328" s="78">
        <f t="shared" si="541"/>
        <v>572</v>
      </c>
    </row>
    <row r="6329" spans="1:6" x14ac:dyDescent="0.25">
      <c r="A6329" s="84" t="s">
        <v>18</v>
      </c>
      <c r="B6329" s="356">
        <v>44156</v>
      </c>
      <c r="C6329" s="1">
        <v>169</v>
      </c>
      <c r="D6329" s="47">
        <f t="shared" si="540"/>
        <v>29915</v>
      </c>
      <c r="E6329" s="1">
        <v>1</v>
      </c>
      <c r="F6329" s="78">
        <f t="shared" si="541"/>
        <v>751</v>
      </c>
    </row>
    <row r="6330" spans="1:6" x14ac:dyDescent="0.25">
      <c r="A6330" s="84" t="s">
        <v>34</v>
      </c>
      <c r="B6330" s="356">
        <v>44156</v>
      </c>
      <c r="C6330" s="1">
        <v>48</v>
      </c>
      <c r="D6330" s="47">
        <f t="shared" ref="D6330:D6336" si="542">C6330+D6306</f>
        <v>20726</v>
      </c>
      <c r="E6330" s="1">
        <f>1</f>
        <v>1</v>
      </c>
      <c r="F6330" s="78">
        <f t="shared" si="541"/>
        <v>947</v>
      </c>
    </row>
    <row r="6331" spans="1:6" x14ac:dyDescent="0.25">
      <c r="A6331" s="84" t="s">
        <v>35</v>
      </c>
      <c r="B6331" s="356">
        <v>44156</v>
      </c>
      <c r="C6331" s="1">
        <v>115</v>
      </c>
      <c r="D6331" s="47">
        <f t="shared" si="542"/>
        <v>5668</v>
      </c>
      <c r="F6331" s="78">
        <f t="shared" si="541"/>
        <v>143</v>
      </c>
    </row>
    <row r="6332" spans="1:6" x14ac:dyDescent="0.25">
      <c r="A6332" s="84" t="s">
        <v>36</v>
      </c>
      <c r="B6332" s="356">
        <v>44156</v>
      </c>
      <c r="C6332" s="1">
        <v>250</v>
      </c>
      <c r="D6332" s="47">
        <f t="shared" si="542"/>
        <v>13037</v>
      </c>
      <c r="E6332" s="1">
        <f>1</f>
        <v>1</v>
      </c>
      <c r="F6332" s="78">
        <f t="shared" si="541"/>
        <v>178</v>
      </c>
    </row>
    <row r="6333" spans="1:6" x14ac:dyDescent="0.25">
      <c r="A6333" s="84" t="s">
        <v>37</v>
      </c>
      <c r="B6333" s="356">
        <v>44156</v>
      </c>
      <c r="C6333" s="1">
        <v>163</v>
      </c>
      <c r="D6333" s="47">
        <f t="shared" si="542"/>
        <v>14010</v>
      </c>
      <c r="E6333" s="1">
        <v>7</v>
      </c>
      <c r="F6333" s="78">
        <f t="shared" si="541"/>
        <v>231</v>
      </c>
    </row>
    <row r="6334" spans="1:6" x14ac:dyDescent="0.25">
      <c r="A6334" s="84" t="s">
        <v>22</v>
      </c>
      <c r="B6334" s="356">
        <v>44156</v>
      </c>
      <c r="C6334" s="1">
        <v>1254</v>
      </c>
      <c r="D6334" s="47">
        <f t="shared" si="542"/>
        <v>137263</v>
      </c>
      <c r="E6334" s="1">
        <f>12+9</f>
        <v>21</v>
      </c>
      <c r="F6334" s="78">
        <f t="shared" si="541"/>
        <v>2043</v>
      </c>
    </row>
    <row r="6335" spans="1:6" x14ac:dyDescent="0.25">
      <c r="A6335" s="84" t="s">
        <v>38</v>
      </c>
      <c r="B6335" s="356">
        <v>44156</v>
      </c>
      <c r="C6335" s="1">
        <v>201</v>
      </c>
      <c r="D6335" s="47">
        <f t="shared" si="542"/>
        <v>14364</v>
      </c>
      <c r="F6335" s="78">
        <f t="shared" si="541"/>
        <v>173</v>
      </c>
    </row>
    <row r="6336" spans="1:6" x14ac:dyDescent="0.25">
      <c r="A6336" s="84" t="s">
        <v>39</v>
      </c>
      <c r="B6336" s="356">
        <v>44156</v>
      </c>
      <c r="C6336" s="1">
        <v>221</v>
      </c>
      <c r="D6336" s="47">
        <f t="shared" si="542"/>
        <v>15186</v>
      </c>
      <c r="E6336" s="1">
        <f>2</f>
        <v>2</v>
      </c>
      <c r="F6336" s="78">
        <f t="shared" si="541"/>
        <v>219</v>
      </c>
    </row>
    <row r="6337" spans="1:6" ht="15.75" thickBot="1" x14ac:dyDescent="0.3">
      <c r="A6337" s="85" t="s">
        <v>40</v>
      </c>
      <c r="B6337" s="356">
        <v>44156</v>
      </c>
      <c r="C6337" s="1">
        <v>257</v>
      </c>
      <c r="D6337" s="214">
        <f>C6337+D6313</f>
        <v>63136</v>
      </c>
      <c r="E6337" s="1">
        <v>2</v>
      </c>
      <c r="F6337" s="79">
        <f t="shared" si="541"/>
        <v>1058</v>
      </c>
    </row>
    <row r="6338" spans="1:6" x14ac:dyDescent="0.25">
      <c r="A6338" s="36" t="s">
        <v>16</v>
      </c>
      <c r="B6338" s="356">
        <v>44157</v>
      </c>
      <c r="C6338" s="1">
        <v>998</v>
      </c>
      <c r="D6338" s="211">
        <f t="shared" ref="D6338:D6401" si="543">C6338+D6314</f>
        <v>605014</v>
      </c>
      <c r="E6338" s="1">
        <f>17+16</f>
        <v>33</v>
      </c>
      <c r="F6338" s="77">
        <f t="shared" si="541"/>
        <v>19970</v>
      </c>
    </row>
    <row r="6339" spans="1:6" x14ac:dyDescent="0.25">
      <c r="A6339" s="84" t="s">
        <v>43</v>
      </c>
      <c r="B6339" s="356">
        <v>44157</v>
      </c>
      <c r="C6339" s="1">
        <v>195</v>
      </c>
      <c r="D6339" s="47">
        <f t="shared" si="543"/>
        <v>156414</v>
      </c>
      <c r="E6339" s="1">
        <f>3+1</f>
        <v>4</v>
      </c>
      <c r="F6339" s="78">
        <f t="shared" si="541"/>
        <v>5162</v>
      </c>
    </row>
    <row r="6340" spans="1:6" x14ac:dyDescent="0.25">
      <c r="A6340" s="84" t="s">
        <v>28</v>
      </c>
      <c r="B6340" s="356">
        <v>44157</v>
      </c>
      <c r="C6340" s="1">
        <v>37</v>
      </c>
      <c r="D6340" s="47">
        <f t="shared" si="543"/>
        <v>1708</v>
      </c>
      <c r="F6340" s="78">
        <f t="shared" si="541"/>
        <v>13</v>
      </c>
    </row>
    <row r="6341" spans="1:6" x14ac:dyDescent="0.25">
      <c r="A6341" s="84" t="s">
        <v>15</v>
      </c>
      <c r="B6341" s="356">
        <v>44157</v>
      </c>
      <c r="C6341" s="1">
        <v>119</v>
      </c>
      <c r="D6341" s="47">
        <f t="shared" si="543"/>
        <v>17778</v>
      </c>
      <c r="E6341" s="1">
        <f>1+1</f>
        <v>2</v>
      </c>
      <c r="F6341" s="78">
        <f t="shared" si="541"/>
        <v>527</v>
      </c>
    </row>
    <row r="6342" spans="1:6" x14ac:dyDescent="0.25">
      <c r="A6342" s="84" t="s">
        <v>29</v>
      </c>
      <c r="B6342" s="356">
        <v>44157</v>
      </c>
      <c r="C6342" s="1">
        <v>146</v>
      </c>
      <c r="D6342" s="47">
        <f t="shared" si="543"/>
        <v>21167</v>
      </c>
      <c r="F6342" s="78">
        <f t="shared" si="541"/>
        <v>357</v>
      </c>
    </row>
    <row r="6343" spans="1:6" x14ac:dyDescent="0.25">
      <c r="A6343" s="84" t="s">
        <v>20</v>
      </c>
      <c r="B6343" s="356">
        <v>44157</v>
      </c>
      <c r="C6343" s="1">
        <v>452</v>
      </c>
      <c r="D6343" s="47">
        <f t="shared" si="543"/>
        <v>109226</v>
      </c>
      <c r="E6343" s="1">
        <f>3+2</f>
        <v>5</v>
      </c>
      <c r="F6343" s="78">
        <f t="shared" si="541"/>
        <v>1776</v>
      </c>
    </row>
    <row r="6344" spans="1:6" x14ac:dyDescent="0.25">
      <c r="A6344" s="84" t="s">
        <v>30</v>
      </c>
      <c r="B6344" s="356">
        <v>44157</v>
      </c>
      <c r="C6344" s="1">
        <v>27</v>
      </c>
      <c r="D6344" s="47">
        <f t="shared" si="543"/>
        <v>4796</v>
      </c>
      <c r="F6344" s="78">
        <f t="shared" si="541"/>
        <v>86</v>
      </c>
    </row>
    <row r="6345" spans="1:6" x14ac:dyDescent="0.25">
      <c r="A6345" s="84" t="s">
        <v>31</v>
      </c>
      <c r="B6345" s="356">
        <v>44157</v>
      </c>
      <c r="C6345" s="1">
        <v>159</v>
      </c>
      <c r="D6345" s="47">
        <f t="shared" si="543"/>
        <v>21877</v>
      </c>
      <c r="E6345" s="1">
        <f>2</f>
        <v>2</v>
      </c>
      <c r="F6345" s="78">
        <f t="shared" si="541"/>
        <v>418</v>
      </c>
    </row>
    <row r="6346" spans="1:6" x14ac:dyDescent="0.25">
      <c r="A6346" s="84" t="s">
        <v>41</v>
      </c>
      <c r="B6346" s="356">
        <v>44157</v>
      </c>
      <c r="C6346" s="1">
        <v>1</v>
      </c>
      <c r="D6346" s="47">
        <f t="shared" si="543"/>
        <v>180</v>
      </c>
      <c r="F6346" s="78">
        <f t="shared" si="541"/>
        <v>3</v>
      </c>
    </row>
    <row r="6347" spans="1:6" x14ac:dyDescent="0.25">
      <c r="A6347" s="84" t="s">
        <v>32</v>
      </c>
      <c r="B6347" s="356">
        <v>44157</v>
      </c>
      <c r="C6347" s="1">
        <v>9</v>
      </c>
      <c r="D6347" s="47">
        <f t="shared" si="543"/>
        <v>18294</v>
      </c>
      <c r="F6347" s="78">
        <f t="shared" si="541"/>
        <v>842</v>
      </c>
    </row>
    <row r="6348" spans="1:6" x14ac:dyDescent="0.25">
      <c r="A6348" s="84" t="s">
        <v>33</v>
      </c>
      <c r="B6348" s="356">
        <v>44157</v>
      </c>
      <c r="C6348" s="1">
        <v>82</v>
      </c>
      <c r="D6348" s="47">
        <f t="shared" si="543"/>
        <v>5199</v>
      </c>
      <c r="F6348" s="78">
        <f t="shared" si="541"/>
        <v>70</v>
      </c>
    </row>
    <row r="6349" spans="1:6" x14ac:dyDescent="0.25">
      <c r="A6349" s="84" t="s">
        <v>21</v>
      </c>
      <c r="B6349" s="356">
        <v>44157</v>
      </c>
      <c r="C6349" s="1">
        <v>28</v>
      </c>
      <c r="D6349" s="47">
        <f t="shared" si="543"/>
        <v>8511</v>
      </c>
      <c r="E6349" s="1">
        <f>1</f>
        <v>1</v>
      </c>
      <c r="F6349" s="78">
        <f t="shared" si="541"/>
        <v>310</v>
      </c>
    </row>
    <row r="6350" spans="1:6" x14ac:dyDescent="0.25">
      <c r="A6350" s="84" t="s">
        <v>17</v>
      </c>
      <c r="B6350" s="356">
        <v>44157</v>
      </c>
      <c r="C6350" s="1">
        <v>152</v>
      </c>
      <c r="D6350" s="47">
        <f t="shared" si="543"/>
        <v>55189</v>
      </c>
      <c r="E6350" s="1">
        <f>2</f>
        <v>2</v>
      </c>
      <c r="F6350" s="78">
        <f t="shared" si="541"/>
        <v>1068</v>
      </c>
    </row>
    <row r="6351" spans="1:6" x14ac:dyDescent="0.25">
      <c r="A6351" s="84" t="s">
        <v>23</v>
      </c>
      <c r="B6351" s="356">
        <v>44157</v>
      </c>
      <c r="C6351" s="1">
        <v>1</v>
      </c>
      <c r="D6351" s="47">
        <f t="shared" si="543"/>
        <v>436</v>
      </c>
      <c r="F6351" s="78">
        <f t="shared" si="541"/>
        <v>8</v>
      </c>
    </row>
    <row r="6352" spans="1:6" x14ac:dyDescent="0.25">
      <c r="A6352" s="84" t="s">
        <v>19</v>
      </c>
      <c r="B6352" s="356">
        <v>44157</v>
      </c>
      <c r="C6352" s="1">
        <v>169</v>
      </c>
      <c r="D6352" s="47">
        <f t="shared" si="543"/>
        <v>29663</v>
      </c>
      <c r="E6352" s="1">
        <f>9+8</f>
        <v>17</v>
      </c>
      <c r="F6352" s="78">
        <f t="shared" si="541"/>
        <v>589</v>
      </c>
    </row>
    <row r="6353" spans="1:6" x14ac:dyDescent="0.25">
      <c r="A6353" s="84" t="s">
        <v>18</v>
      </c>
      <c r="B6353" s="356">
        <v>44157</v>
      </c>
      <c r="C6353" s="1">
        <v>141</v>
      </c>
      <c r="D6353" s="47">
        <f t="shared" si="543"/>
        <v>30056</v>
      </c>
      <c r="F6353" s="78">
        <f t="shared" si="541"/>
        <v>751</v>
      </c>
    </row>
    <row r="6354" spans="1:6" x14ac:dyDescent="0.25">
      <c r="A6354" s="84" t="s">
        <v>34</v>
      </c>
      <c r="B6354" s="356">
        <v>44157</v>
      </c>
      <c r="C6354" s="1">
        <v>28</v>
      </c>
      <c r="D6354" s="47">
        <f t="shared" si="543"/>
        <v>20754</v>
      </c>
      <c r="E6354" s="1">
        <f>1</f>
        <v>1</v>
      </c>
      <c r="F6354" s="78">
        <f t="shared" si="541"/>
        <v>948</v>
      </c>
    </row>
    <row r="6355" spans="1:6" x14ac:dyDescent="0.25">
      <c r="A6355" s="84" t="s">
        <v>35</v>
      </c>
      <c r="B6355" s="356">
        <v>44157</v>
      </c>
      <c r="C6355" s="1">
        <v>62</v>
      </c>
      <c r="D6355" s="47">
        <f t="shared" si="543"/>
        <v>5730</v>
      </c>
      <c r="F6355" s="78">
        <f t="shared" si="541"/>
        <v>143</v>
      </c>
    </row>
    <row r="6356" spans="1:6" x14ac:dyDescent="0.25">
      <c r="A6356" s="84" t="s">
        <v>36</v>
      </c>
      <c r="B6356" s="356">
        <v>44157</v>
      </c>
      <c r="C6356" s="1">
        <v>126</v>
      </c>
      <c r="D6356" s="47">
        <f t="shared" si="543"/>
        <v>13163</v>
      </c>
      <c r="E6356" s="1">
        <v>1</v>
      </c>
      <c r="F6356" s="78">
        <f t="shared" si="541"/>
        <v>179</v>
      </c>
    </row>
    <row r="6357" spans="1:6" x14ac:dyDescent="0.25">
      <c r="A6357" s="84" t="s">
        <v>37</v>
      </c>
      <c r="B6357" s="356">
        <v>44157</v>
      </c>
      <c r="C6357" s="1">
        <v>189</v>
      </c>
      <c r="D6357" s="47">
        <f t="shared" si="543"/>
        <v>14199</v>
      </c>
      <c r="F6357" s="78">
        <f t="shared" si="541"/>
        <v>231</v>
      </c>
    </row>
    <row r="6358" spans="1:6" x14ac:dyDescent="0.25">
      <c r="A6358" s="84" t="s">
        <v>22</v>
      </c>
      <c r="B6358" s="356">
        <v>44157</v>
      </c>
      <c r="C6358" s="1">
        <v>634</v>
      </c>
      <c r="D6358" s="47">
        <f t="shared" si="543"/>
        <v>137897</v>
      </c>
      <c r="E6358" s="1">
        <f>19+12</f>
        <v>31</v>
      </c>
      <c r="F6358" s="78">
        <f t="shared" si="541"/>
        <v>2074</v>
      </c>
    </row>
    <row r="6359" spans="1:6" x14ac:dyDescent="0.25">
      <c r="A6359" s="84" t="s">
        <v>38</v>
      </c>
      <c r="B6359" s="356">
        <v>44157</v>
      </c>
      <c r="C6359" s="1">
        <v>194</v>
      </c>
      <c r="D6359" s="47">
        <f t="shared" si="543"/>
        <v>14558</v>
      </c>
      <c r="F6359" s="78">
        <f t="shared" si="541"/>
        <v>173</v>
      </c>
    </row>
    <row r="6360" spans="1:6" x14ac:dyDescent="0.25">
      <c r="A6360" s="84" t="s">
        <v>39</v>
      </c>
      <c r="B6360" s="356">
        <v>44157</v>
      </c>
      <c r="C6360" s="1">
        <v>77</v>
      </c>
      <c r="D6360" s="47">
        <f t="shared" si="543"/>
        <v>15263</v>
      </c>
      <c r="E6360" s="1">
        <v>1</v>
      </c>
      <c r="F6360" s="78">
        <f t="shared" si="541"/>
        <v>220</v>
      </c>
    </row>
    <row r="6361" spans="1:6" ht="15.75" thickBot="1" x14ac:dyDescent="0.3">
      <c r="A6361" s="85" t="s">
        <v>40</v>
      </c>
      <c r="B6361" s="356">
        <v>44157</v>
      </c>
      <c r="C6361" s="1">
        <v>158</v>
      </c>
      <c r="D6361" s="214">
        <f>C6361+D6337</f>
        <v>63294</v>
      </c>
      <c r="F6361" s="79">
        <f t="shared" si="541"/>
        <v>1058</v>
      </c>
    </row>
    <row r="6362" spans="1:6" x14ac:dyDescent="0.25">
      <c r="A6362" s="36" t="s">
        <v>16</v>
      </c>
      <c r="B6362" s="356">
        <v>44158</v>
      </c>
      <c r="C6362" s="1">
        <v>954</v>
      </c>
      <c r="D6362" s="211">
        <f t="shared" si="543"/>
        <v>605968</v>
      </c>
      <c r="E6362" s="1">
        <f>18+16</f>
        <v>34</v>
      </c>
      <c r="F6362" s="77">
        <f t="shared" si="541"/>
        <v>20004</v>
      </c>
    </row>
    <row r="6363" spans="1:6" x14ac:dyDescent="0.25">
      <c r="A6363" s="84" t="s">
        <v>43</v>
      </c>
      <c r="B6363" s="356">
        <v>44158</v>
      </c>
      <c r="C6363" s="1">
        <v>239</v>
      </c>
      <c r="D6363" s="47">
        <f t="shared" si="543"/>
        <v>156653</v>
      </c>
      <c r="E6363" s="1">
        <f>2+1</f>
        <v>3</v>
      </c>
      <c r="F6363" s="78">
        <f t="shared" si="541"/>
        <v>5165</v>
      </c>
    </row>
    <row r="6364" spans="1:6" x14ac:dyDescent="0.25">
      <c r="A6364" s="84" t="s">
        <v>28</v>
      </c>
      <c r="B6364" s="356">
        <v>44158</v>
      </c>
      <c r="C6364" s="1">
        <v>4</v>
      </c>
      <c r="D6364" s="47">
        <f t="shared" si="543"/>
        <v>1712</v>
      </c>
      <c r="F6364" s="78">
        <f t="shared" si="541"/>
        <v>13</v>
      </c>
    </row>
    <row r="6365" spans="1:6" x14ac:dyDescent="0.25">
      <c r="A6365" s="84" t="s">
        <v>15</v>
      </c>
      <c r="B6365" s="356">
        <v>44158</v>
      </c>
      <c r="C6365" s="1">
        <v>127</v>
      </c>
      <c r="D6365" s="47">
        <f t="shared" si="543"/>
        <v>17905</v>
      </c>
      <c r="E6365" s="1">
        <f>1</f>
        <v>1</v>
      </c>
      <c r="F6365" s="78">
        <f t="shared" si="541"/>
        <v>528</v>
      </c>
    </row>
    <row r="6366" spans="1:6" x14ac:dyDescent="0.25">
      <c r="A6366" s="84" t="s">
        <v>29</v>
      </c>
      <c r="B6366" s="356">
        <v>44158</v>
      </c>
      <c r="C6366" s="1">
        <v>104</v>
      </c>
      <c r="D6366" s="47">
        <f t="shared" si="543"/>
        <v>21271</v>
      </c>
      <c r="E6366" s="1">
        <f>1+1</f>
        <v>2</v>
      </c>
      <c r="F6366" s="78">
        <f t="shared" si="541"/>
        <v>359</v>
      </c>
    </row>
    <row r="6367" spans="1:6" x14ac:dyDescent="0.25">
      <c r="A6367" s="84" t="s">
        <v>20</v>
      </c>
      <c r="B6367" s="356">
        <v>44158</v>
      </c>
      <c r="C6367" s="1">
        <v>365</v>
      </c>
      <c r="D6367" s="47">
        <f t="shared" si="543"/>
        <v>109591</v>
      </c>
      <c r="E6367" s="1">
        <f>9+4</f>
        <v>13</v>
      </c>
      <c r="F6367" s="78">
        <f t="shared" si="541"/>
        <v>1789</v>
      </c>
    </row>
    <row r="6368" spans="1:6" x14ac:dyDescent="0.25">
      <c r="A6368" s="84" t="s">
        <v>30</v>
      </c>
      <c r="B6368" s="356">
        <v>44158</v>
      </c>
      <c r="C6368" s="1">
        <v>121</v>
      </c>
      <c r="D6368" s="47">
        <f t="shared" si="543"/>
        <v>4917</v>
      </c>
      <c r="F6368" s="78">
        <f t="shared" si="541"/>
        <v>86</v>
      </c>
    </row>
    <row r="6369" spans="1:6" x14ac:dyDescent="0.25">
      <c r="A6369" s="84" t="s">
        <v>31</v>
      </c>
      <c r="B6369" s="356">
        <v>44158</v>
      </c>
      <c r="C6369" s="1">
        <v>22</v>
      </c>
      <c r="D6369" s="47">
        <f t="shared" si="543"/>
        <v>21899</v>
      </c>
      <c r="E6369" s="1">
        <f>2</f>
        <v>2</v>
      </c>
      <c r="F6369" s="78">
        <f t="shared" si="541"/>
        <v>420</v>
      </c>
    </row>
    <row r="6370" spans="1:6" x14ac:dyDescent="0.25">
      <c r="A6370" s="84" t="s">
        <v>41</v>
      </c>
      <c r="B6370" s="356">
        <v>44158</v>
      </c>
      <c r="C6370" s="1">
        <v>9</v>
      </c>
      <c r="D6370" s="47">
        <f t="shared" si="543"/>
        <v>189</v>
      </c>
      <c r="F6370" s="78">
        <f t="shared" si="541"/>
        <v>3</v>
      </c>
    </row>
    <row r="6371" spans="1:6" x14ac:dyDescent="0.25">
      <c r="A6371" s="84" t="s">
        <v>32</v>
      </c>
      <c r="B6371" s="356">
        <v>44158</v>
      </c>
      <c r="C6371" s="1">
        <v>3</v>
      </c>
      <c r="D6371" s="47">
        <f t="shared" si="543"/>
        <v>18297</v>
      </c>
      <c r="E6371" s="1">
        <f>2+1</f>
        <v>3</v>
      </c>
      <c r="F6371" s="78">
        <f t="shared" si="541"/>
        <v>845</v>
      </c>
    </row>
    <row r="6372" spans="1:6" x14ac:dyDescent="0.25">
      <c r="A6372" s="84" t="s">
        <v>33</v>
      </c>
      <c r="B6372" s="356">
        <v>44158</v>
      </c>
      <c r="C6372" s="1">
        <v>38</v>
      </c>
      <c r="D6372" s="47">
        <f t="shared" si="543"/>
        <v>5237</v>
      </c>
      <c r="E6372" s="1">
        <f>2</f>
        <v>2</v>
      </c>
      <c r="F6372" s="78">
        <f t="shared" si="541"/>
        <v>72</v>
      </c>
    </row>
    <row r="6373" spans="1:6" x14ac:dyDescent="0.25">
      <c r="A6373" s="84" t="s">
        <v>21</v>
      </c>
      <c r="B6373" s="356">
        <v>44158</v>
      </c>
      <c r="C6373" s="1">
        <v>43</v>
      </c>
      <c r="D6373" s="47">
        <f t="shared" si="543"/>
        <v>8554</v>
      </c>
      <c r="F6373" s="78">
        <f t="shared" si="541"/>
        <v>310</v>
      </c>
    </row>
    <row r="6374" spans="1:6" x14ac:dyDescent="0.25">
      <c r="A6374" s="84" t="s">
        <v>17</v>
      </c>
      <c r="B6374" s="356">
        <v>44158</v>
      </c>
      <c r="C6374" s="1">
        <v>113</v>
      </c>
      <c r="D6374" s="47">
        <f t="shared" si="543"/>
        <v>55302</v>
      </c>
      <c r="E6374" s="1">
        <f>4+1</f>
        <v>5</v>
      </c>
      <c r="F6374" s="78">
        <f t="shared" si="541"/>
        <v>1073</v>
      </c>
    </row>
    <row r="6375" spans="1:6" x14ac:dyDescent="0.25">
      <c r="A6375" s="84" t="s">
        <v>23</v>
      </c>
      <c r="B6375" s="356">
        <v>44158</v>
      </c>
      <c r="C6375" s="1">
        <v>12</v>
      </c>
      <c r="D6375" s="47">
        <f t="shared" si="543"/>
        <v>448</v>
      </c>
      <c r="F6375" s="78">
        <f t="shared" si="541"/>
        <v>8</v>
      </c>
    </row>
    <row r="6376" spans="1:6" x14ac:dyDescent="0.25">
      <c r="A6376" s="84" t="s">
        <v>19</v>
      </c>
      <c r="B6376" s="356">
        <v>44158</v>
      </c>
      <c r="C6376" s="1">
        <v>356</v>
      </c>
      <c r="D6376" s="47">
        <f t="shared" si="543"/>
        <v>30019</v>
      </c>
      <c r="E6376" s="1">
        <f>1+1</f>
        <v>2</v>
      </c>
      <c r="F6376" s="78">
        <f t="shared" si="541"/>
        <v>591</v>
      </c>
    </row>
    <row r="6377" spans="1:6" x14ac:dyDescent="0.25">
      <c r="A6377" s="84" t="s">
        <v>18</v>
      </c>
      <c r="B6377" s="356">
        <v>44158</v>
      </c>
      <c r="C6377" s="1">
        <v>92</v>
      </c>
      <c r="D6377" s="47">
        <f t="shared" si="543"/>
        <v>30148</v>
      </c>
      <c r="E6377" s="1">
        <f>2+1</f>
        <v>3</v>
      </c>
      <c r="F6377" s="78">
        <f t="shared" si="541"/>
        <v>754</v>
      </c>
    </row>
    <row r="6378" spans="1:6" x14ac:dyDescent="0.25">
      <c r="A6378" s="84" t="s">
        <v>34</v>
      </c>
      <c r="B6378" s="356">
        <v>44158</v>
      </c>
      <c r="C6378" s="1">
        <v>17</v>
      </c>
      <c r="D6378" s="47">
        <f t="shared" si="543"/>
        <v>20771</v>
      </c>
      <c r="F6378" s="78">
        <f t="shared" si="541"/>
        <v>948</v>
      </c>
    </row>
    <row r="6379" spans="1:6" x14ac:dyDescent="0.25">
      <c r="A6379" s="84" t="s">
        <v>35</v>
      </c>
      <c r="B6379" s="356">
        <v>44158</v>
      </c>
      <c r="C6379" s="1">
        <v>48</v>
      </c>
      <c r="D6379" s="47">
        <f t="shared" si="543"/>
        <v>5778</v>
      </c>
      <c r="F6379" s="78">
        <f t="shared" ref="F6379:F6442" si="544">E6379+F6355</f>
        <v>143</v>
      </c>
    </row>
    <row r="6380" spans="1:6" x14ac:dyDescent="0.25">
      <c r="A6380" s="84" t="s">
        <v>36</v>
      </c>
      <c r="B6380" s="356">
        <v>44158</v>
      </c>
      <c r="C6380" s="1">
        <v>46</v>
      </c>
      <c r="D6380" s="47">
        <f t="shared" si="543"/>
        <v>13209</v>
      </c>
      <c r="E6380" s="1">
        <f>2</f>
        <v>2</v>
      </c>
      <c r="F6380" s="78">
        <f t="shared" si="544"/>
        <v>181</v>
      </c>
    </row>
    <row r="6381" spans="1:6" x14ac:dyDescent="0.25">
      <c r="A6381" s="84" t="s">
        <v>37</v>
      </c>
      <c r="B6381" s="356">
        <v>44158</v>
      </c>
      <c r="C6381" s="1">
        <v>110</v>
      </c>
      <c r="D6381" s="47">
        <f t="shared" si="543"/>
        <v>14309</v>
      </c>
      <c r="E6381" s="1">
        <f>6+1</f>
        <v>7</v>
      </c>
      <c r="F6381" s="78">
        <f t="shared" si="544"/>
        <v>238</v>
      </c>
    </row>
    <row r="6382" spans="1:6" x14ac:dyDescent="0.25">
      <c r="A6382" s="84" t="s">
        <v>22</v>
      </c>
      <c r="B6382" s="356">
        <v>44158</v>
      </c>
      <c r="C6382" s="1">
        <v>1021</v>
      </c>
      <c r="D6382" s="47">
        <f t="shared" si="543"/>
        <v>138918</v>
      </c>
      <c r="E6382" s="1">
        <v>23</v>
      </c>
      <c r="F6382" s="78">
        <f t="shared" si="544"/>
        <v>2097</v>
      </c>
    </row>
    <row r="6383" spans="1:6" x14ac:dyDescent="0.25">
      <c r="A6383" s="84" t="s">
        <v>38</v>
      </c>
      <c r="B6383" s="356">
        <v>44158</v>
      </c>
      <c r="C6383" s="1">
        <v>81</v>
      </c>
      <c r="D6383" s="47">
        <f t="shared" si="543"/>
        <v>14639</v>
      </c>
      <c r="E6383" s="1">
        <f>1+1</f>
        <v>2</v>
      </c>
      <c r="F6383" s="78">
        <f t="shared" si="544"/>
        <v>175</v>
      </c>
    </row>
    <row r="6384" spans="1:6" x14ac:dyDescent="0.25">
      <c r="A6384" s="84" t="s">
        <v>39</v>
      </c>
      <c r="B6384" s="356">
        <v>44158</v>
      </c>
      <c r="C6384" s="1">
        <v>152</v>
      </c>
      <c r="D6384" s="47">
        <f t="shared" si="543"/>
        <v>15415</v>
      </c>
      <c r="F6384" s="78">
        <f t="shared" si="544"/>
        <v>220</v>
      </c>
    </row>
    <row r="6385" spans="1:6" ht="15.75" thickBot="1" x14ac:dyDescent="0.3">
      <c r="A6385" s="85" t="s">
        <v>40</v>
      </c>
      <c r="B6385" s="356">
        <v>44158</v>
      </c>
      <c r="C6385" s="1">
        <v>188</v>
      </c>
      <c r="D6385" s="214">
        <f>C6385+D6361</f>
        <v>63482</v>
      </c>
      <c r="E6385" s="1">
        <f>7+8</f>
        <v>15</v>
      </c>
      <c r="F6385" s="79">
        <f t="shared" si="544"/>
        <v>1073</v>
      </c>
    </row>
    <row r="6386" spans="1:6" x14ac:dyDescent="0.25">
      <c r="A6386" s="36" t="s">
        <v>16</v>
      </c>
      <c r="B6386" s="356">
        <v>44159</v>
      </c>
      <c r="C6386" s="1">
        <v>1929</v>
      </c>
      <c r="D6386" s="211">
        <f t="shared" si="543"/>
        <v>607897</v>
      </c>
      <c r="E6386" s="1">
        <f>76+76</f>
        <v>152</v>
      </c>
      <c r="F6386" s="77">
        <f t="shared" si="544"/>
        <v>20156</v>
      </c>
    </row>
    <row r="6387" spans="1:6" x14ac:dyDescent="0.25">
      <c r="A6387" s="84" t="s">
        <v>43</v>
      </c>
      <c r="B6387" s="356">
        <v>44159</v>
      </c>
      <c r="C6387" s="1">
        <v>250</v>
      </c>
      <c r="D6387" s="47">
        <f t="shared" si="543"/>
        <v>156903</v>
      </c>
      <c r="E6387" s="1">
        <f>4+8</f>
        <v>12</v>
      </c>
      <c r="F6387" s="78">
        <f t="shared" si="544"/>
        <v>5177</v>
      </c>
    </row>
    <row r="6388" spans="1:6" x14ac:dyDescent="0.25">
      <c r="A6388" s="84" t="s">
        <v>28</v>
      </c>
      <c r="B6388" s="356">
        <v>44159</v>
      </c>
      <c r="C6388" s="1">
        <v>13</v>
      </c>
      <c r="D6388" s="47">
        <f t="shared" si="543"/>
        <v>1725</v>
      </c>
      <c r="F6388" s="78">
        <f t="shared" si="544"/>
        <v>13</v>
      </c>
    </row>
    <row r="6389" spans="1:6" x14ac:dyDescent="0.25">
      <c r="A6389" s="84" t="s">
        <v>15</v>
      </c>
      <c r="B6389" s="356">
        <v>44159</v>
      </c>
      <c r="C6389" s="1">
        <v>177</v>
      </c>
      <c r="D6389" s="47">
        <f t="shared" si="543"/>
        <v>18082</v>
      </c>
      <c r="E6389" s="1">
        <f>4+1</f>
        <v>5</v>
      </c>
      <c r="F6389" s="78">
        <f t="shared" si="544"/>
        <v>533</v>
      </c>
    </row>
    <row r="6390" spans="1:6" x14ac:dyDescent="0.25">
      <c r="A6390" s="84" t="s">
        <v>29</v>
      </c>
      <c r="B6390" s="356">
        <v>44159</v>
      </c>
      <c r="C6390" s="1">
        <v>227</v>
      </c>
      <c r="D6390" s="47">
        <f t="shared" si="543"/>
        <v>21498</v>
      </c>
      <c r="E6390" s="1">
        <f>1+1</f>
        <v>2</v>
      </c>
      <c r="F6390" s="78">
        <f t="shared" si="544"/>
        <v>361</v>
      </c>
    </row>
    <row r="6391" spans="1:6" x14ac:dyDescent="0.25">
      <c r="A6391" s="84" t="s">
        <v>20</v>
      </c>
      <c r="B6391" s="356">
        <v>44159</v>
      </c>
      <c r="C6391" s="1">
        <v>471</v>
      </c>
      <c r="D6391" s="47">
        <f t="shared" si="543"/>
        <v>110062</v>
      </c>
      <c r="E6391" s="1">
        <f>22+11</f>
        <v>33</v>
      </c>
      <c r="F6391" s="78">
        <f t="shared" si="544"/>
        <v>1822</v>
      </c>
    </row>
    <row r="6392" spans="1:6" x14ac:dyDescent="0.25">
      <c r="A6392" s="84" t="s">
        <v>30</v>
      </c>
      <c r="B6392" s="356">
        <v>44159</v>
      </c>
      <c r="C6392" s="1">
        <v>92</v>
      </c>
      <c r="D6392" s="47">
        <f t="shared" si="543"/>
        <v>5009</v>
      </c>
      <c r="F6392" s="78">
        <f t="shared" si="544"/>
        <v>86</v>
      </c>
    </row>
    <row r="6393" spans="1:6" x14ac:dyDescent="0.25">
      <c r="A6393" s="84" t="s">
        <v>31</v>
      </c>
      <c r="B6393" s="356">
        <v>44159</v>
      </c>
      <c r="C6393" s="1">
        <v>177</v>
      </c>
      <c r="D6393" s="47">
        <f t="shared" si="543"/>
        <v>22076</v>
      </c>
      <c r="E6393" s="1">
        <f>8+6</f>
        <v>14</v>
      </c>
      <c r="F6393" s="78">
        <f t="shared" si="544"/>
        <v>434</v>
      </c>
    </row>
    <row r="6394" spans="1:6" x14ac:dyDescent="0.25">
      <c r="A6394" s="84" t="s">
        <v>41</v>
      </c>
      <c r="B6394" s="356">
        <v>44159</v>
      </c>
      <c r="C6394" s="1">
        <v>2</v>
      </c>
      <c r="D6394" s="47">
        <f t="shared" si="543"/>
        <v>191</v>
      </c>
      <c r="F6394" s="78">
        <f t="shared" si="544"/>
        <v>3</v>
      </c>
    </row>
    <row r="6395" spans="1:6" x14ac:dyDescent="0.25">
      <c r="A6395" s="84" t="s">
        <v>32</v>
      </c>
      <c r="B6395" s="356">
        <v>44159</v>
      </c>
      <c r="C6395" s="1">
        <v>20</v>
      </c>
      <c r="D6395" s="47">
        <f t="shared" si="543"/>
        <v>18317</v>
      </c>
      <c r="F6395" s="78">
        <f t="shared" si="544"/>
        <v>845</v>
      </c>
    </row>
    <row r="6396" spans="1:6" x14ac:dyDescent="0.25">
      <c r="A6396" s="84" t="s">
        <v>33</v>
      </c>
      <c r="B6396" s="356">
        <v>44159</v>
      </c>
      <c r="C6396" s="1">
        <v>61</v>
      </c>
      <c r="D6396" s="47">
        <f t="shared" si="543"/>
        <v>5298</v>
      </c>
      <c r="E6396" s="1">
        <f>1</f>
        <v>1</v>
      </c>
      <c r="F6396" s="78">
        <f t="shared" si="544"/>
        <v>73</v>
      </c>
    </row>
    <row r="6397" spans="1:6" x14ac:dyDescent="0.25">
      <c r="A6397" s="84" t="s">
        <v>21</v>
      </c>
      <c r="B6397" s="356">
        <v>44159</v>
      </c>
      <c r="C6397" s="1">
        <v>16</v>
      </c>
      <c r="D6397" s="47">
        <f t="shared" si="543"/>
        <v>8570</v>
      </c>
      <c r="F6397" s="78">
        <f t="shared" si="544"/>
        <v>310</v>
      </c>
    </row>
    <row r="6398" spans="1:6" x14ac:dyDescent="0.25">
      <c r="A6398" s="84" t="s">
        <v>17</v>
      </c>
      <c r="B6398" s="356">
        <v>44159</v>
      </c>
      <c r="C6398" s="1">
        <v>198</v>
      </c>
      <c r="D6398" s="47">
        <f t="shared" si="543"/>
        <v>55500</v>
      </c>
      <c r="E6398" s="1">
        <f>1+2</f>
        <v>3</v>
      </c>
      <c r="F6398" s="78">
        <f t="shared" si="544"/>
        <v>1076</v>
      </c>
    </row>
    <row r="6399" spans="1:6" x14ac:dyDescent="0.25">
      <c r="A6399" s="84" t="s">
        <v>23</v>
      </c>
      <c r="B6399" s="356">
        <v>44159</v>
      </c>
      <c r="C6399" s="1">
        <v>10</v>
      </c>
      <c r="D6399" s="47">
        <f t="shared" si="543"/>
        <v>458</v>
      </c>
      <c r="F6399" s="78">
        <f t="shared" si="544"/>
        <v>8</v>
      </c>
    </row>
    <row r="6400" spans="1:6" x14ac:dyDescent="0.25">
      <c r="A6400" s="84" t="s">
        <v>19</v>
      </c>
      <c r="B6400" s="356">
        <v>44159</v>
      </c>
      <c r="C6400" s="1">
        <v>485</v>
      </c>
      <c r="D6400" s="47">
        <f t="shared" si="543"/>
        <v>30504</v>
      </c>
      <c r="F6400" s="78">
        <f t="shared" si="544"/>
        <v>591</v>
      </c>
    </row>
    <row r="6401" spans="1:6" x14ac:dyDescent="0.25">
      <c r="A6401" s="84" t="s">
        <v>18</v>
      </c>
      <c r="B6401" s="356">
        <v>44159</v>
      </c>
      <c r="C6401" s="1">
        <v>234</v>
      </c>
      <c r="D6401" s="47">
        <f t="shared" si="543"/>
        <v>30382</v>
      </c>
      <c r="E6401" s="1">
        <f>1</f>
        <v>1</v>
      </c>
      <c r="F6401" s="78">
        <f t="shared" si="544"/>
        <v>755</v>
      </c>
    </row>
    <row r="6402" spans="1:6" x14ac:dyDescent="0.25">
      <c r="A6402" s="84" t="s">
        <v>34</v>
      </c>
      <c r="B6402" s="356">
        <v>44159</v>
      </c>
      <c r="C6402" s="1">
        <v>97</v>
      </c>
      <c r="D6402" s="47">
        <f t="shared" ref="D6402:D6408" si="545">C6402+D6378</f>
        <v>20868</v>
      </c>
      <c r="E6402" s="1">
        <f>6+4</f>
        <v>10</v>
      </c>
      <c r="F6402" s="78">
        <f t="shared" si="544"/>
        <v>958</v>
      </c>
    </row>
    <row r="6403" spans="1:6" x14ac:dyDescent="0.25">
      <c r="A6403" s="84" t="s">
        <v>35</v>
      </c>
      <c r="B6403" s="356">
        <v>44159</v>
      </c>
      <c r="C6403" s="1">
        <v>493</v>
      </c>
      <c r="D6403" s="47">
        <f t="shared" si="545"/>
        <v>6271</v>
      </c>
      <c r="F6403" s="78">
        <f t="shared" si="544"/>
        <v>143</v>
      </c>
    </row>
    <row r="6404" spans="1:6" x14ac:dyDescent="0.25">
      <c r="A6404" s="84" t="s">
        <v>36</v>
      </c>
      <c r="B6404" s="356">
        <v>44159</v>
      </c>
      <c r="C6404" s="1">
        <v>178</v>
      </c>
      <c r="D6404" s="47">
        <f t="shared" si="545"/>
        <v>13387</v>
      </c>
      <c r="E6404" s="1">
        <f>6+1</f>
        <v>7</v>
      </c>
      <c r="F6404" s="78">
        <f t="shared" si="544"/>
        <v>188</v>
      </c>
    </row>
    <row r="6405" spans="1:6" x14ac:dyDescent="0.25">
      <c r="A6405" s="84" t="s">
        <v>37</v>
      </c>
      <c r="B6405" s="356">
        <v>44159</v>
      </c>
      <c r="C6405" s="1">
        <v>208</v>
      </c>
      <c r="D6405" s="47">
        <f t="shared" si="545"/>
        <v>14517</v>
      </c>
      <c r="E6405" s="1">
        <f>5+4</f>
        <v>9</v>
      </c>
      <c r="F6405" s="78">
        <f t="shared" si="544"/>
        <v>247</v>
      </c>
    </row>
    <row r="6406" spans="1:6" x14ac:dyDescent="0.25">
      <c r="A6406" s="84" t="s">
        <v>22</v>
      </c>
      <c r="B6406" s="356">
        <v>44159</v>
      </c>
      <c r="C6406" s="1">
        <v>1187</v>
      </c>
      <c r="D6406" s="47">
        <f t="shared" si="545"/>
        <v>140105</v>
      </c>
      <c r="E6406" s="1">
        <f>15+17</f>
        <v>32</v>
      </c>
      <c r="F6406" s="78">
        <f t="shared" si="544"/>
        <v>2129</v>
      </c>
    </row>
    <row r="6407" spans="1:6" x14ac:dyDescent="0.25">
      <c r="A6407" s="84" t="s">
        <v>38</v>
      </c>
      <c r="B6407" s="356">
        <v>44159</v>
      </c>
      <c r="C6407" s="1">
        <v>75</v>
      </c>
      <c r="D6407" s="47">
        <f t="shared" si="545"/>
        <v>14714</v>
      </c>
      <c r="E6407" s="1">
        <f>1+4</f>
        <v>5</v>
      </c>
      <c r="F6407" s="78">
        <f t="shared" si="544"/>
        <v>180</v>
      </c>
    </row>
    <row r="6408" spans="1:6" x14ac:dyDescent="0.25">
      <c r="A6408" s="84" t="s">
        <v>39</v>
      </c>
      <c r="B6408" s="356">
        <v>44159</v>
      </c>
      <c r="C6408" s="1">
        <v>109</v>
      </c>
      <c r="D6408" s="47">
        <f t="shared" si="545"/>
        <v>15524</v>
      </c>
      <c r="E6408" s="1">
        <f>2</f>
        <v>2</v>
      </c>
      <c r="F6408" s="78">
        <f t="shared" si="544"/>
        <v>222</v>
      </c>
    </row>
    <row r="6409" spans="1:6" ht="15.75" thickBot="1" x14ac:dyDescent="0.3">
      <c r="A6409" s="85" t="s">
        <v>40</v>
      </c>
      <c r="B6409" s="356">
        <v>44159</v>
      </c>
      <c r="C6409" s="1">
        <v>455</v>
      </c>
      <c r="D6409" s="214">
        <f>C6409+D6385</f>
        <v>63937</v>
      </c>
      <c r="E6409" s="1">
        <f>16+7</f>
        <v>23</v>
      </c>
      <c r="F6409" s="79">
        <f t="shared" si="544"/>
        <v>1096</v>
      </c>
    </row>
    <row r="6410" spans="1:6" x14ac:dyDescent="0.25">
      <c r="A6410" s="36" t="s">
        <v>16</v>
      </c>
      <c r="B6410" s="356">
        <v>44160</v>
      </c>
      <c r="C6410" s="1">
        <v>2262</v>
      </c>
      <c r="D6410" s="211">
        <f t="shared" ref="D6410:D6473" si="546">C6410+D6386</f>
        <v>610159</v>
      </c>
      <c r="E6410" s="1">
        <v>76</v>
      </c>
      <c r="F6410" s="77">
        <f t="shared" si="544"/>
        <v>20232</v>
      </c>
    </row>
    <row r="6411" spans="1:6" x14ac:dyDescent="0.25">
      <c r="A6411" s="84" t="s">
        <v>43</v>
      </c>
      <c r="B6411" s="356">
        <v>44160</v>
      </c>
      <c r="C6411" s="1">
        <v>324</v>
      </c>
      <c r="D6411" s="47">
        <f t="shared" si="546"/>
        <v>157227</v>
      </c>
      <c r="E6411" s="1">
        <v>11</v>
      </c>
      <c r="F6411" s="78">
        <f t="shared" si="544"/>
        <v>5188</v>
      </c>
    </row>
    <row r="6412" spans="1:6" x14ac:dyDescent="0.25">
      <c r="A6412" s="84" t="s">
        <v>28</v>
      </c>
      <c r="B6412" s="356">
        <v>44160</v>
      </c>
      <c r="C6412" s="1">
        <v>12</v>
      </c>
      <c r="D6412" s="47">
        <f t="shared" si="546"/>
        <v>1737</v>
      </c>
      <c r="F6412" s="78">
        <f t="shared" si="544"/>
        <v>13</v>
      </c>
    </row>
    <row r="6413" spans="1:6" x14ac:dyDescent="0.25">
      <c r="A6413" s="84" t="s">
        <v>15</v>
      </c>
      <c r="B6413" s="356">
        <v>44160</v>
      </c>
      <c r="C6413" s="1">
        <v>166</v>
      </c>
      <c r="D6413" s="47">
        <f t="shared" si="546"/>
        <v>18248</v>
      </c>
      <c r="E6413" s="1">
        <v>1</v>
      </c>
      <c r="F6413" s="78">
        <f t="shared" si="544"/>
        <v>534</v>
      </c>
    </row>
    <row r="6414" spans="1:6" x14ac:dyDescent="0.25">
      <c r="A6414" s="84" t="s">
        <v>29</v>
      </c>
      <c r="B6414" s="356">
        <v>44160</v>
      </c>
      <c r="C6414" s="1">
        <v>259</v>
      </c>
      <c r="D6414" s="47">
        <f t="shared" si="546"/>
        <v>21757</v>
      </c>
      <c r="E6414" s="1">
        <v>1</v>
      </c>
      <c r="F6414" s="78">
        <f t="shared" si="544"/>
        <v>362</v>
      </c>
    </row>
    <row r="6415" spans="1:6" x14ac:dyDescent="0.25">
      <c r="A6415" s="84" t="s">
        <v>20</v>
      </c>
      <c r="B6415" s="356">
        <v>44160</v>
      </c>
      <c r="C6415" s="1">
        <v>881</v>
      </c>
      <c r="D6415" s="47">
        <f t="shared" si="546"/>
        <v>110943</v>
      </c>
      <c r="E6415" s="1">
        <v>36</v>
      </c>
      <c r="F6415" s="78">
        <f t="shared" si="544"/>
        <v>1858</v>
      </c>
    </row>
    <row r="6416" spans="1:6" x14ac:dyDescent="0.25">
      <c r="A6416" s="84" t="s">
        <v>30</v>
      </c>
      <c r="B6416" s="356">
        <v>44160</v>
      </c>
      <c r="C6416" s="1">
        <v>125</v>
      </c>
      <c r="D6416" s="47">
        <f t="shared" si="546"/>
        <v>5134</v>
      </c>
      <c r="F6416" s="78">
        <f t="shared" si="544"/>
        <v>86</v>
      </c>
    </row>
    <row r="6417" spans="1:6" x14ac:dyDescent="0.25">
      <c r="A6417" s="84" t="s">
        <v>31</v>
      </c>
      <c r="B6417" s="356">
        <v>44160</v>
      </c>
      <c r="C6417" s="1">
        <v>191</v>
      </c>
      <c r="D6417" s="47">
        <f t="shared" si="546"/>
        <v>22267</v>
      </c>
      <c r="E6417" s="1">
        <v>18</v>
      </c>
      <c r="F6417" s="78">
        <f t="shared" si="544"/>
        <v>452</v>
      </c>
    </row>
    <row r="6418" spans="1:6" x14ac:dyDescent="0.25">
      <c r="A6418" s="84" t="s">
        <v>41</v>
      </c>
      <c r="B6418" s="356">
        <v>44160</v>
      </c>
      <c r="C6418" s="1">
        <v>-13</v>
      </c>
      <c r="D6418" s="47">
        <f t="shared" si="546"/>
        <v>178</v>
      </c>
      <c r="F6418" s="78">
        <f t="shared" si="544"/>
        <v>3</v>
      </c>
    </row>
    <row r="6419" spans="1:6" x14ac:dyDescent="0.25">
      <c r="A6419" s="84" t="s">
        <v>32</v>
      </c>
      <c r="B6419" s="356">
        <v>44160</v>
      </c>
      <c r="C6419" s="1">
        <v>15</v>
      </c>
      <c r="D6419" s="47">
        <f t="shared" si="546"/>
        <v>18332</v>
      </c>
      <c r="F6419" s="78">
        <f t="shared" si="544"/>
        <v>845</v>
      </c>
    </row>
    <row r="6420" spans="1:6" x14ac:dyDescent="0.25">
      <c r="A6420" s="84" t="s">
        <v>33</v>
      </c>
      <c r="B6420" s="356">
        <v>44160</v>
      </c>
      <c r="C6420" s="1">
        <v>105</v>
      </c>
      <c r="D6420" s="47">
        <f t="shared" si="546"/>
        <v>5403</v>
      </c>
      <c r="E6420" s="1">
        <v>2</v>
      </c>
      <c r="F6420" s="78">
        <f t="shared" si="544"/>
        <v>75</v>
      </c>
    </row>
    <row r="6421" spans="1:6" x14ac:dyDescent="0.25">
      <c r="A6421" s="84" t="s">
        <v>21</v>
      </c>
      <c r="B6421" s="356">
        <v>44160</v>
      </c>
      <c r="C6421" s="1">
        <v>18</v>
      </c>
      <c r="D6421" s="47">
        <f t="shared" si="546"/>
        <v>8588</v>
      </c>
      <c r="F6421" s="78">
        <f t="shared" si="544"/>
        <v>310</v>
      </c>
    </row>
    <row r="6422" spans="1:6" x14ac:dyDescent="0.25">
      <c r="A6422" s="84" t="s">
        <v>17</v>
      </c>
      <c r="B6422" s="356">
        <v>44160</v>
      </c>
      <c r="C6422" s="1">
        <v>264</v>
      </c>
      <c r="D6422" s="47">
        <f t="shared" si="546"/>
        <v>55764</v>
      </c>
      <c r="E6422" s="1">
        <v>4</v>
      </c>
      <c r="F6422" s="78">
        <f t="shared" si="544"/>
        <v>1080</v>
      </c>
    </row>
    <row r="6423" spans="1:6" x14ac:dyDescent="0.25">
      <c r="A6423" s="84" t="s">
        <v>23</v>
      </c>
      <c r="B6423" s="356">
        <v>44160</v>
      </c>
      <c r="C6423" s="1">
        <v>8</v>
      </c>
      <c r="D6423" s="47">
        <f t="shared" si="546"/>
        <v>466</v>
      </c>
      <c r="E6423" s="1">
        <v>1</v>
      </c>
      <c r="F6423" s="78">
        <f t="shared" si="544"/>
        <v>9</v>
      </c>
    </row>
    <row r="6424" spans="1:6" x14ac:dyDescent="0.25">
      <c r="A6424" s="84" t="s">
        <v>19</v>
      </c>
      <c r="B6424" s="356">
        <v>44160</v>
      </c>
      <c r="C6424" s="1">
        <v>394</v>
      </c>
      <c r="D6424" s="47">
        <f t="shared" si="546"/>
        <v>30898</v>
      </c>
      <c r="E6424" s="1">
        <v>20</v>
      </c>
      <c r="F6424" s="78">
        <f t="shared" si="544"/>
        <v>611</v>
      </c>
    </row>
    <row r="6425" spans="1:6" x14ac:dyDescent="0.25">
      <c r="A6425" s="84" t="s">
        <v>18</v>
      </c>
      <c r="B6425" s="356">
        <v>44160</v>
      </c>
      <c r="C6425" s="1">
        <v>350</v>
      </c>
      <c r="D6425" s="47">
        <f t="shared" si="546"/>
        <v>30732</v>
      </c>
      <c r="E6425" s="1">
        <v>6</v>
      </c>
      <c r="F6425" s="78">
        <f t="shared" si="544"/>
        <v>761</v>
      </c>
    </row>
    <row r="6426" spans="1:6" x14ac:dyDescent="0.25">
      <c r="A6426" s="84" t="s">
        <v>34</v>
      </c>
      <c r="B6426" s="356">
        <v>44160</v>
      </c>
      <c r="C6426" s="1">
        <v>84</v>
      </c>
      <c r="D6426" s="47">
        <f t="shared" si="546"/>
        <v>20952</v>
      </c>
      <c r="E6426" s="1">
        <v>2</v>
      </c>
      <c r="F6426" s="78">
        <f t="shared" si="544"/>
        <v>960</v>
      </c>
    </row>
    <row r="6427" spans="1:6" x14ac:dyDescent="0.25">
      <c r="A6427" s="84" t="s">
        <v>35</v>
      </c>
      <c r="B6427" s="356">
        <v>44160</v>
      </c>
      <c r="C6427" s="1">
        <v>451</v>
      </c>
      <c r="D6427" s="47">
        <f t="shared" si="546"/>
        <v>6722</v>
      </c>
      <c r="E6427" s="1">
        <v>28</v>
      </c>
      <c r="F6427" s="78">
        <f t="shared" si="544"/>
        <v>171</v>
      </c>
    </row>
    <row r="6428" spans="1:6" x14ac:dyDescent="0.25">
      <c r="A6428" s="84" t="s">
        <v>36</v>
      </c>
      <c r="B6428" s="356">
        <v>44160</v>
      </c>
      <c r="C6428" s="1">
        <v>185</v>
      </c>
      <c r="D6428" s="47">
        <f t="shared" si="546"/>
        <v>13572</v>
      </c>
      <c r="E6428" s="1">
        <v>2</v>
      </c>
      <c r="F6428" s="78">
        <f t="shared" si="544"/>
        <v>190</v>
      </c>
    </row>
    <row r="6429" spans="1:6" x14ac:dyDescent="0.25">
      <c r="A6429" s="84" t="s">
        <v>37</v>
      </c>
      <c r="B6429" s="356">
        <v>44160</v>
      </c>
      <c r="C6429" s="1">
        <v>327</v>
      </c>
      <c r="D6429" s="47">
        <f t="shared" si="546"/>
        <v>14844</v>
      </c>
      <c r="E6429" s="1">
        <v>7</v>
      </c>
      <c r="F6429" s="78">
        <f t="shared" si="544"/>
        <v>254</v>
      </c>
    </row>
    <row r="6430" spans="1:6" x14ac:dyDescent="0.25">
      <c r="A6430" s="84" t="s">
        <v>22</v>
      </c>
      <c r="B6430" s="356">
        <v>44160</v>
      </c>
      <c r="C6430" s="1">
        <v>1490</v>
      </c>
      <c r="D6430" s="47">
        <f t="shared" si="546"/>
        <v>141595</v>
      </c>
      <c r="E6430" s="1">
        <v>31</v>
      </c>
      <c r="F6430" s="78">
        <f t="shared" si="544"/>
        <v>2160</v>
      </c>
    </row>
    <row r="6431" spans="1:6" x14ac:dyDescent="0.25">
      <c r="A6431" s="84" t="s">
        <v>38</v>
      </c>
      <c r="B6431" s="356">
        <v>44160</v>
      </c>
      <c r="C6431" s="1">
        <v>154</v>
      </c>
      <c r="D6431" s="47">
        <f t="shared" si="546"/>
        <v>14868</v>
      </c>
      <c r="E6431" s="1">
        <v>2</v>
      </c>
      <c r="F6431" s="78">
        <f t="shared" si="544"/>
        <v>182</v>
      </c>
    </row>
    <row r="6432" spans="1:6" x14ac:dyDescent="0.25">
      <c r="A6432" s="84" t="s">
        <v>39</v>
      </c>
      <c r="B6432" s="356">
        <v>44160</v>
      </c>
      <c r="C6432" s="1">
        <v>177</v>
      </c>
      <c r="D6432" s="47">
        <f t="shared" si="546"/>
        <v>15701</v>
      </c>
      <c r="E6432" s="1">
        <v>4</v>
      </c>
      <c r="F6432" s="78">
        <f t="shared" si="544"/>
        <v>226</v>
      </c>
    </row>
    <row r="6433" spans="1:6" ht="15.75" thickBot="1" x14ac:dyDescent="0.3">
      <c r="A6433" s="85" t="s">
        <v>40</v>
      </c>
      <c r="B6433" s="356">
        <v>44160</v>
      </c>
      <c r="C6433" s="1">
        <v>364</v>
      </c>
      <c r="D6433" s="214">
        <f>C6433+D6409</f>
        <v>64301</v>
      </c>
      <c r="E6433" s="1">
        <v>30</v>
      </c>
      <c r="F6433" s="79">
        <f t="shared" si="544"/>
        <v>1126</v>
      </c>
    </row>
    <row r="6434" spans="1:6" x14ac:dyDescent="0.25">
      <c r="A6434" s="36" t="s">
        <v>16</v>
      </c>
      <c r="B6434" s="356">
        <v>44161</v>
      </c>
      <c r="C6434" s="1">
        <v>2589</v>
      </c>
      <c r="D6434" s="211">
        <f t="shared" si="546"/>
        <v>612748</v>
      </c>
      <c r="E6434" s="1">
        <v>64</v>
      </c>
      <c r="F6434" s="77">
        <f t="shared" si="544"/>
        <v>20296</v>
      </c>
    </row>
    <row r="6435" spans="1:6" x14ac:dyDescent="0.25">
      <c r="A6435" s="84" t="s">
        <v>43</v>
      </c>
      <c r="B6435" s="356">
        <v>44161</v>
      </c>
      <c r="C6435" s="1">
        <v>344</v>
      </c>
      <c r="D6435" s="47">
        <f t="shared" si="546"/>
        <v>157571</v>
      </c>
      <c r="E6435" s="1">
        <v>13</v>
      </c>
      <c r="F6435" s="78">
        <f t="shared" si="544"/>
        <v>5201</v>
      </c>
    </row>
    <row r="6436" spans="1:6" x14ac:dyDescent="0.25">
      <c r="A6436" s="84" t="s">
        <v>28</v>
      </c>
      <c r="B6436" s="356">
        <v>44161</v>
      </c>
      <c r="C6436" s="1">
        <v>42</v>
      </c>
      <c r="D6436" s="47">
        <f t="shared" si="546"/>
        <v>1779</v>
      </c>
      <c r="E6436" s="1">
        <v>2</v>
      </c>
      <c r="F6436" s="78">
        <f t="shared" si="544"/>
        <v>15</v>
      </c>
    </row>
    <row r="6437" spans="1:6" x14ac:dyDescent="0.25">
      <c r="A6437" s="84" t="s">
        <v>15</v>
      </c>
      <c r="B6437" s="356">
        <v>44161</v>
      </c>
      <c r="C6437" s="1">
        <v>250</v>
      </c>
      <c r="D6437" s="47">
        <f t="shared" si="546"/>
        <v>18498</v>
      </c>
      <c r="E6437" s="1">
        <v>9</v>
      </c>
      <c r="F6437" s="78">
        <f t="shared" si="544"/>
        <v>543</v>
      </c>
    </row>
    <row r="6438" spans="1:6" x14ac:dyDescent="0.25">
      <c r="A6438" s="84" t="s">
        <v>29</v>
      </c>
      <c r="B6438" s="356">
        <v>44161</v>
      </c>
      <c r="C6438" s="1">
        <v>266</v>
      </c>
      <c r="D6438" s="47">
        <f t="shared" si="546"/>
        <v>22023</v>
      </c>
      <c r="E6438" s="1">
        <v>0</v>
      </c>
      <c r="F6438" s="78">
        <f t="shared" si="544"/>
        <v>362</v>
      </c>
    </row>
    <row r="6439" spans="1:6" x14ac:dyDescent="0.25">
      <c r="A6439" s="84" t="s">
        <v>20</v>
      </c>
      <c r="B6439" s="356">
        <v>44161</v>
      </c>
      <c r="C6439" s="1">
        <v>942</v>
      </c>
      <c r="D6439" s="47">
        <f t="shared" si="546"/>
        <v>111885</v>
      </c>
      <c r="E6439" s="1">
        <v>25</v>
      </c>
      <c r="F6439" s="78">
        <f t="shared" si="544"/>
        <v>1883</v>
      </c>
    </row>
    <row r="6440" spans="1:6" x14ac:dyDescent="0.25">
      <c r="A6440" s="84" t="s">
        <v>30</v>
      </c>
      <c r="B6440" s="356">
        <v>44161</v>
      </c>
      <c r="C6440" s="1">
        <v>150</v>
      </c>
      <c r="D6440" s="47">
        <f t="shared" si="546"/>
        <v>5284</v>
      </c>
      <c r="E6440" s="1">
        <v>0</v>
      </c>
      <c r="F6440" s="78">
        <f t="shared" si="544"/>
        <v>86</v>
      </c>
    </row>
    <row r="6441" spans="1:6" x14ac:dyDescent="0.25">
      <c r="A6441" s="84" t="s">
        <v>31</v>
      </c>
      <c r="B6441" s="356">
        <v>44161</v>
      </c>
      <c r="C6441" s="1">
        <v>288</v>
      </c>
      <c r="D6441" s="47">
        <f t="shared" si="546"/>
        <v>22555</v>
      </c>
      <c r="E6441" s="1">
        <v>9</v>
      </c>
      <c r="F6441" s="78">
        <f t="shared" si="544"/>
        <v>461</v>
      </c>
    </row>
    <row r="6442" spans="1:6" x14ac:dyDescent="0.25">
      <c r="A6442" s="84" t="s">
        <v>41</v>
      </c>
      <c r="B6442" s="356">
        <v>44161</v>
      </c>
      <c r="C6442" s="1">
        <v>0</v>
      </c>
      <c r="D6442" s="47">
        <f t="shared" si="546"/>
        <v>178</v>
      </c>
      <c r="E6442" s="1">
        <v>0</v>
      </c>
      <c r="F6442" s="78">
        <f t="shared" si="544"/>
        <v>3</v>
      </c>
    </row>
    <row r="6443" spans="1:6" x14ac:dyDescent="0.25">
      <c r="A6443" s="84" t="s">
        <v>32</v>
      </c>
      <c r="B6443" s="356">
        <v>44161</v>
      </c>
      <c r="C6443" s="1">
        <v>6</v>
      </c>
      <c r="D6443" s="47">
        <f t="shared" si="546"/>
        <v>18338</v>
      </c>
      <c r="E6443" s="1">
        <v>2</v>
      </c>
      <c r="F6443" s="78">
        <f t="shared" ref="F6443:F6506" si="547">E6443+F6419</f>
        <v>847</v>
      </c>
    </row>
    <row r="6444" spans="1:6" x14ac:dyDescent="0.25">
      <c r="A6444" s="84" t="s">
        <v>33</v>
      </c>
      <c r="B6444" s="356">
        <v>44161</v>
      </c>
      <c r="C6444" s="1">
        <v>81</v>
      </c>
      <c r="D6444" s="47">
        <f t="shared" si="546"/>
        <v>5484</v>
      </c>
      <c r="E6444" s="1">
        <v>0</v>
      </c>
      <c r="F6444" s="78">
        <f t="shared" si="547"/>
        <v>75</v>
      </c>
    </row>
    <row r="6445" spans="1:6" x14ac:dyDescent="0.25">
      <c r="A6445" s="84" t="s">
        <v>21</v>
      </c>
      <c r="B6445" s="356">
        <v>44161</v>
      </c>
      <c r="C6445" s="1">
        <v>13</v>
      </c>
      <c r="D6445" s="47">
        <f t="shared" si="546"/>
        <v>8601</v>
      </c>
      <c r="E6445" s="1">
        <v>4</v>
      </c>
      <c r="F6445" s="78">
        <f t="shared" si="547"/>
        <v>314</v>
      </c>
    </row>
    <row r="6446" spans="1:6" x14ac:dyDescent="0.25">
      <c r="A6446" s="84" t="s">
        <v>17</v>
      </c>
      <c r="B6446" s="356">
        <v>44161</v>
      </c>
      <c r="C6446" s="1">
        <v>202</v>
      </c>
      <c r="D6446" s="47">
        <f t="shared" si="546"/>
        <v>55966</v>
      </c>
      <c r="E6446" s="1">
        <v>20</v>
      </c>
      <c r="F6446" s="78">
        <f t="shared" si="547"/>
        <v>1100</v>
      </c>
    </row>
    <row r="6447" spans="1:6" x14ac:dyDescent="0.25">
      <c r="A6447" s="84" t="s">
        <v>23</v>
      </c>
      <c r="B6447" s="356">
        <v>44161</v>
      </c>
      <c r="C6447" s="1">
        <v>16</v>
      </c>
      <c r="D6447" s="47">
        <f t="shared" si="546"/>
        <v>482</v>
      </c>
      <c r="E6447" s="1">
        <v>0</v>
      </c>
      <c r="F6447" s="78">
        <f t="shared" si="547"/>
        <v>9</v>
      </c>
    </row>
    <row r="6448" spans="1:6" x14ac:dyDescent="0.25">
      <c r="A6448" s="84" t="s">
        <v>19</v>
      </c>
      <c r="B6448" s="356">
        <v>44161</v>
      </c>
      <c r="C6448" s="1">
        <v>361</v>
      </c>
      <c r="D6448" s="47">
        <f t="shared" si="546"/>
        <v>31259</v>
      </c>
      <c r="E6448" s="1">
        <v>2</v>
      </c>
      <c r="F6448" s="78">
        <f t="shared" si="547"/>
        <v>613</v>
      </c>
    </row>
    <row r="6449" spans="1:6" x14ac:dyDescent="0.25">
      <c r="A6449" s="84" t="s">
        <v>18</v>
      </c>
      <c r="B6449" s="356">
        <v>44161</v>
      </c>
      <c r="C6449" s="1">
        <v>336</v>
      </c>
      <c r="D6449" s="47">
        <f t="shared" si="546"/>
        <v>31068</v>
      </c>
      <c r="E6449" s="1">
        <v>5</v>
      </c>
      <c r="F6449" s="78">
        <f t="shared" si="547"/>
        <v>766</v>
      </c>
    </row>
    <row r="6450" spans="1:6" x14ac:dyDescent="0.25">
      <c r="A6450" s="84" t="s">
        <v>34</v>
      </c>
      <c r="B6450" s="356">
        <v>44161</v>
      </c>
      <c r="C6450" s="1">
        <v>77</v>
      </c>
      <c r="D6450" s="47">
        <f t="shared" si="546"/>
        <v>21029</v>
      </c>
      <c r="E6450" s="1">
        <v>6</v>
      </c>
      <c r="F6450" s="78">
        <f t="shared" si="547"/>
        <v>966</v>
      </c>
    </row>
    <row r="6451" spans="1:6" x14ac:dyDescent="0.25">
      <c r="A6451" s="84" t="s">
        <v>35</v>
      </c>
      <c r="B6451" s="356">
        <v>44161</v>
      </c>
      <c r="C6451" s="1">
        <v>226</v>
      </c>
      <c r="D6451" s="47">
        <f t="shared" si="546"/>
        <v>6948</v>
      </c>
      <c r="E6451" s="1">
        <v>0</v>
      </c>
      <c r="F6451" s="78">
        <f t="shared" si="547"/>
        <v>171</v>
      </c>
    </row>
    <row r="6452" spans="1:6" x14ac:dyDescent="0.25">
      <c r="A6452" s="84" t="s">
        <v>36</v>
      </c>
      <c r="B6452" s="356">
        <v>44161</v>
      </c>
      <c r="C6452" s="1">
        <v>256</v>
      </c>
      <c r="D6452" s="47">
        <f t="shared" si="546"/>
        <v>13828</v>
      </c>
      <c r="E6452" s="1">
        <v>13</v>
      </c>
      <c r="F6452" s="78">
        <f t="shared" si="547"/>
        <v>203</v>
      </c>
    </row>
    <row r="6453" spans="1:6" x14ac:dyDescent="0.25">
      <c r="A6453" s="84" t="s">
        <v>37</v>
      </c>
      <c r="B6453" s="356">
        <v>44161</v>
      </c>
      <c r="C6453" s="1">
        <v>236</v>
      </c>
      <c r="D6453" s="47">
        <f t="shared" si="546"/>
        <v>15080</v>
      </c>
      <c r="E6453" s="1">
        <v>7</v>
      </c>
      <c r="F6453" s="78">
        <f t="shared" si="547"/>
        <v>261</v>
      </c>
    </row>
    <row r="6454" spans="1:6" x14ac:dyDescent="0.25">
      <c r="A6454" s="84" t="s">
        <v>22</v>
      </c>
      <c r="B6454" s="356">
        <v>44161</v>
      </c>
      <c r="C6454" s="1">
        <v>1446</v>
      </c>
      <c r="D6454" s="47">
        <f t="shared" si="546"/>
        <v>143041</v>
      </c>
      <c r="E6454" s="1">
        <v>25</v>
      </c>
      <c r="F6454" s="78">
        <f t="shared" si="547"/>
        <v>2185</v>
      </c>
    </row>
    <row r="6455" spans="1:6" x14ac:dyDescent="0.25">
      <c r="A6455" s="84" t="s">
        <v>38</v>
      </c>
      <c r="B6455" s="356">
        <v>44161</v>
      </c>
      <c r="C6455" s="1">
        <v>272</v>
      </c>
      <c r="D6455" s="47">
        <f t="shared" si="546"/>
        <v>15140</v>
      </c>
      <c r="E6455" s="1">
        <v>5</v>
      </c>
      <c r="F6455" s="78">
        <f t="shared" si="547"/>
        <v>187</v>
      </c>
    </row>
    <row r="6456" spans="1:6" x14ac:dyDescent="0.25">
      <c r="A6456" s="84" t="s">
        <v>39</v>
      </c>
      <c r="B6456" s="356">
        <v>44161</v>
      </c>
      <c r="C6456" s="1">
        <v>153</v>
      </c>
      <c r="D6456" s="47">
        <f t="shared" si="546"/>
        <v>15854</v>
      </c>
      <c r="E6456" s="1">
        <v>3</v>
      </c>
      <c r="F6456" s="78">
        <f t="shared" si="547"/>
        <v>229</v>
      </c>
    </row>
    <row r="6457" spans="1:6" ht="15.75" thickBot="1" x14ac:dyDescent="0.3">
      <c r="A6457" s="86" t="s">
        <v>40</v>
      </c>
      <c r="B6457" s="357">
        <v>44161</v>
      </c>
      <c r="C6457" s="300">
        <v>491</v>
      </c>
      <c r="D6457" s="81">
        <f>C6457+D6433</f>
        <v>64792</v>
      </c>
      <c r="E6457" s="300">
        <v>15</v>
      </c>
      <c r="F6457" s="83">
        <f t="shared" si="547"/>
        <v>1141</v>
      </c>
    </row>
    <row r="6458" spans="1:6" x14ac:dyDescent="0.25">
      <c r="A6458" s="36" t="s">
        <v>16</v>
      </c>
      <c r="B6458" s="354">
        <v>44162</v>
      </c>
      <c r="C6458" s="53">
        <v>2124</v>
      </c>
      <c r="D6458" s="211">
        <f t="shared" si="546"/>
        <v>614872</v>
      </c>
      <c r="E6458" s="53">
        <v>138</v>
      </c>
      <c r="F6458" s="77">
        <f t="shared" si="547"/>
        <v>20434</v>
      </c>
    </row>
    <row r="6459" spans="1:6" x14ac:dyDescent="0.25">
      <c r="A6459" s="84" t="s">
        <v>43</v>
      </c>
      <c r="B6459" s="356">
        <v>44162</v>
      </c>
      <c r="C6459" s="1">
        <v>414</v>
      </c>
      <c r="D6459" s="47">
        <f t="shared" si="546"/>
        <v>157985</v>
      </c>
      <c r="E6459" s="1">
        <v>7</v>
      </c>
      <c r="F6459" s="78">
        <f t="shared" si="547"/>
        <v>5208</v>
      </c>
    </row>
    <row r="6460" spans="1:6" x14ac:dyDescent="0.25">
      <c r="A6460" s="84" t="s">
        <v>28</v>
      </c>
      <c r="B6460" s="356">
        <v>44162</v>
      </c>
      <c r="C6460" s="1">
        <v>3</v>
      </c>
      <c r="D6460" s="47">
        <f t="shared" si="546"/>
        <v>1782</v>
      </c>
      <c r="E6460" s="1">
        <v>0</v>
      </c>
      <c r="F6460" s="78">
        <f t="shared" si="547"/>
        <v>15</v>
      </c>
    </row>
    <row r="6461" spans="1:6" x14ac:dyDescent="0.25">
      <c r="A6461" s="84" t="s">
        <v>15</v>
      </c>
      <c r="B6461" s="356">
        <v>44162</v>
      </c>
      <c r="C6461" s="1">
        <v>258</v>
      </c>
      <c r="D6461" s="47">
        <f t="shared" si="546"/>
        <v>18756</v>
      </c>
      <c r="E6461" s="1">
        <v>5</v>
      </c>
      <c r="F6461" s="78">
        <f t="shared" si="547"/>
        <v>548</v>
      </c>
    </row>
    <row r="6462" spans="1:6" x14ac:dyDescent="0.25">
      <c r="A6462" s="84" t="s">
        <v>29</v>
      </c>
      <c r="B6462" s="356">
        <v>44162</v>
      </c>
      <c r="C6462" s="1">
        <v>264</v>
      </c>
      <c r="D6462" s="47">
        <f t="shared" si="546"/>
        <v>22287</v>
      </c>
      <c r="E6462" s="1">
        <v>9</v>
      </c>
      <c r="F6462" s="78">
        <f t="shared" si="547"/>
        <v>371</v>
      </c>
    </row>
    <row r="6463" spans="1:6" x14ac:dyDescent="0.25">
      <c r="A6463" s="84" t="s">
        <v>20</v>
      </c>
      <c r="B6463" s="356">
        <v>44162</v>
      </c>
      <c r="C6463" s="1">
        <v>834</v>
      </c>
      <c r="D6463" s="47">
        <f t="shared" si="546"/>
        <v>112719</v>
      </c>
      <c r="E6463" s="1">
        <v>36</v>
      </c>
      <c r="F6463" s="78">
        <f t="shared" si="547"/>
        <v>1919</v>
      </c>
    </row>
    <row r="6464" spans="1:6" x14ac:dyDescent="0.25">
      <c r="A6464" s="84" t="s">
        <v>30</v>
      </c>
      <c r="B6464" s="356">
        <v>44162</v>
      </c>
      <c r="C6464" s="1">
        <v>158</v>
      </c>
      <c r="D6464" s="47">
        <f t="shared" si="546"/>
        <v>5442</v>
      </c>
      <c r="E6464" s="1">
        <v>0</v>
      </c>
      <c r="F6464" s="78">
        <f t="shared" si="547"/>
        <v>86</v>
      </c>
    </row>
    <row r="6465" spans="1:6" x14ac:dyDescent="0.25">
      <c r="A6465" s="84" t="s">
        <v>31</v>
      </c>
      <c r="B6465" s="356">
        <v>44162</v>
      </c>
      <c r="C6465" s="1">
        <v>298</v>
      </c>
      <c r="D6465" s="47">
        <f t="shared" si="546"/>
        <v>22853</v>
      </c>
      <c r="E6465" s="1">
        <v>3</v>
      </c>
      <c r="F6465" s="78">
        <f t="shared" si="547"/>
        <v>464</v>
      </c>
    </row>
    <row r="6466" spans="1:6" x14ac:dyDescent="0.25">
      <c r="A6466" s="84" t="s">
        <v>41</v>
      </c>
      <c r="B6466" s="356">
        <v>44162</v>
      </c>
      <c r="C6466" s="1">
        <v>1</v>
      </c>
      <c r="D6466" s="47">
        <f t="shared" si="546"/>
        <v>179</v>
      </c>
      <c r="E6466" s="1">
        <v>0</v>
      </c>
      <c r="F6466" s="78">
        <f t="shared" si="547"/>
        <v>3</v>
      </c>
    </row>
    <row r="6467" spans="1:6" x14ac:dyDescent="0.25">
      <c r="A6467" s="84" t="s">
        <v>32</v>
      </c>
      <c r="B6467" s="356">
        <v>44162</v>
      </c>
      <c r="C6467" s="1">
        <v>22</v>
      </c>
      <c r="D6467" s="47">
        <f t="shared" si="546"/>
        <v>18360</v>
      </c>
      <c r="E6467" s="1">
        <v>1</v>
      </c>
      <c r="F6467" s="78">
        <f t="shared" si="547"/>
        <v>848</v>
      </c>
    </row>
    <row r="6468" spans="1:6" x14ac:dyDescent="0.25">
      <c r="A6468" s="84" t="s">
        <v>33</v>
      </c>
      <c r="B6468" s="356">
        <v>44162</v>
      </c>
      <c r="C6468" s="1">
        <v>105</v>
      </c>
      <c r="D6468" s="47">
        <f t="shared" si="546"/>
        <v>5589</v>
      </c>
      <c r="E6468" s="1">
        <v>0</v>
      </c>
      <c r="F6468" s="78">
        <f t="shared" si="547"/>
        <v>75</v>
      </c>
    </row>
    <row r="6469" spans="1:6" x14ac:dyDescent="0.25">
      <c r="A6469" s="84" t="s">
        <v>21</v>
      </c>
      <c r="B6469" s="356">
        <v>44162</v>
      </c>
      <c r="C6469" s="1">
        <v>29</v>
      </c>
      <c r="D6469" s="47">
        <f t="shared" si="546"/>
        <v>8630</v>
      </c>
      <c r="E6469" s="1">
        <v>2</v>
      </c>
      <c r="F6469" s="78">
        <f t="shared" si="547"/>
        <v>316</v>
      </c>
    </row>
    <row r="6470" spans="1:6" x14ac:dyDescent="0.25">
      <c r="A6470" s="84" t="s">
        <v>17</v>
      </c>
      <c r="B6470" s="356">
        <v>44162</v>
      </c>
      <c r="C6470" s="1">
        <v>202</v>
      </c>
      <c r="D6470" s="47">
        <f t="shared" si="546"/>
        <v>56168</v>
      </c>
      <c r="E6470" s="1">
        <v>5</v>
      </c>
      <c r="F6470" s="78">
        <f t="shared" si="547"/>
        <v>1105</v>
      </c>
    </row>
    <row r="6471" spans="1:6" x14ac:dyDescent="0.25">
      <c r="A6471" s="84" t="s">
        <v>23</v>
      </c>
      <c r="B6471" s="356">
        <v>44162</v>
      </c>
      <c r="C6471" s="1">
        <v>4</v>
      </c>
      <c r="D6471" s="47">
        <f t="shared" si="546"/>
        <v>486</v>
      </c>
      <c r="E6471" s="1">
        <v>0</v>
      </c>
      <c r="F6471" s="78">
        <f t="shared" si="547"/>
        <v>9</v>
      </c>
    </row>
    <row r="6472" spans="1:6" x14ac:dyDescent="0.25">
      <c r="A6472" s="84" t="s">
        <v>19</v>
      </c>
      <c r="B6472" s="356">
        <v>44162</v>
      </c>
      <c r="C6472" s="1">
        <v>204</v>
      </c>
      <c r="D6472" s="47">
        <f t="shared" si="546"/>
        <v>31463</v>
      </c>
      <c r="E6472" s="1">
        <v>0</v>
      </c>
      <c r="F6472" s="78">
        <f t="shared" si="547"/>
        <v>613</v>
      </c>
    </row>
    <row r="6473" spans="1:6" x14ac:dyDescent="0.25">
      <c r="A6473" s="84" t="s">
        <v>18</v>
      </c>
      <c r="B6473" s="356">
        <v>44162</v>
      </c>
      <c r="C6473" s="1">
        <v>202</v>
      </c>
      <c r="D6473" s="47">
        <f t="shared" si="546"/>
        <v>31270</v>
      </c>
      <c r="E6473" s="1">
        <v>3</v>
      </c>
      <c r="F6473" s="78">
        <f t="shared" si="547"/>
        <v>769</v>
      </c>
    </row>
    <row r="6474" spans="1:6" x14ac:dyDescent="0.25">
      <c r="A6474" s="84" t="s">
        <v>34</v>
      </c>
      <c r="B6474" s="356">
        <v>44162</v>
      </c>
      <c r="C6474" s="1">
        <v>51</v>
      </c>
      <c r="D6474" s="47">
        <f t="shared" ref="D6474:D6480" si="548">C6474+D6450</f>
        <v>21080</v>
      </c>
      <c r="E6474" s="1">
        <v>8</v>
      </c>
      <c r="F6474" s="78">
        <f t="shared" si="547"/>
        <v>974</v>
      </c>
    </row>
    <row r="6475" spans="1:6" x14ac:dyDescent="0.25">
      <c r="A6475" s="84" t="s">
        <v>35</v>
      </c>
      <c r="B6475" s="356">
        <v>44162</v>
      </c>
      <c r="C6475" s="1">
        <v>234</v>
      </c>
      <c r="D6475" s="47">
        <f t="shared" si="548"/>
        <v>7182</v>
      </c>
      <c r="E6475" s="1">
        <v>0</v>
      </c>
      <c r="F6475" s="78">
        <f t="shared" si="547"/>
        <v>171</v>
      </c>
    </row>
    <row r="6476" spans="1:6" x14ac:dyDescent="0.25">
      <c r="A6476" s="84" t="s">
        <v>36</v>
      </c>
      <c r="B6476" s="356">
        <v>44162</v>
      </c>
      <c r="C6476" s="1">
        <v>114</v>
      </c>
      <c r="D6476" s="47">
        <f t="shared" si="548"/>
        <v>13942</v>
      </c>
      <c r="E6476" s="1">
        <v>4</v>
      </c>
      <c r="F6476" s="78">
        <f t="shared" si="547"/>
        <v>207</v>
      </c>
    </row>
    <row r="6477" spans="1:6" x14ac:dyDescent="0.25">
      <c r="A6477" s="84" t="s">
        <v>37</v>
      </c>
      <c r="B6477" s="356">
        <v>44162</v>
      </c>
      <c r="C6477" s="1">
        <v>293</v>
      </c>
      <c r="D6477" s="47">
        <f t="shared" si="548"/>
        <v>15373</v>
      </c>
      <c r="E6477" s="1">
        <v>6</v>
      </c>
      <c r="F6477" s="78">
        <f t="shared" si="547"/>
        <v>267</v>
      </c>
    </row>
    <row r="6478" spans="1:6" x14ac:dyDescent="0.25">
      <c r="A6478" s="84" t="s">
        <v>22</v>
      </c>
      <c r="B6478" s="356">
        <v>44162</v>
      </c>
      <c r="C6478" s="1">
        <v>1390</v>
      </c>
      <c r="D6478" s="47">
        <f t="shared" si="548"/>
        <v>144431</v>
      </c>
      <c r="E6478" s="1">
        <v>22</v>
      </c>
      <c r="F6478" s="78">
        <f t="shared" si="547"/>
        <v>2207</v>
      </c>
    </row>
    <row r="6479" spans="1:6" x14ac:dyDescent="0.25">
      <c r="A6479" s="84" t="s">
        <v>38</v>
      </c>
      <c r="B6479" s="356">
        <v>44162</v>
      </c>
      <c r="C6479" s="1">
        <v>158</v>
      </c>
      <c r="D6479" s="47">
        <f t="shared" si="548"/>
        <v>15298</v>
      </c>
      <c r="E6479" s="1">
        <v>1</v>
      </c>
      <c r="F6479" s="78">
        <f t="shared" si="547"/>
        <v>188</v>
      </c>
    </row>
    <row r="6480" spans="1:6" x14ac:dyDescent="0.25">
      <c r="A6480" s="84" t="s">
        <v>39</v>
      </c>
      <c r="B6480" s="356">
        <v>44162</v>
      </c>
      <c r="C6480" s="1">
        <v>86</v>
      </c>
      <c r="D6480" s="47">
        <f t="shared" si="548"/>
        <v>15940</v>
      </c>
      <c r="E6480" s="1">
        <v>1</v>
      </c>
      <c r="F6480" s="78">
        <f t="shared" si="547"/>
        <v>230</v>
      </c>
    </row>
    <row r="6481" spans="1:6" ht="15.75" thickBot="1" x14ac:dyDescent="0.3">
      <c r="A6481" s="85" t="s">
        <v>40</v>
      </c>
      <c r="B6481" s="358">
        <v>44162</v>
      </c>
      <c r="C6481" s="54">
        <v>398</v>
      </c>
      <c r="D6481" s="214">
        <f>C6481+D6457</f>
        <v>65190</v>
      </c>
      <c r="E6481" s="54">
        <v>25</v>
      </c>
      <c r="F6481" s="79">
        <f t="shared" si="547"/>
        <v>1166</v>
      </c>
    </row>
    <row r="6482" spans="1:6" ht="15.75" thickBot="1" x14ac:dyDescent="0.3">
      <c r="A6482" s="36" t="s">
        <v>16</v>
      </c>
      <c r="B6482" s="358">
        <v>44163</v>
      </c>
      <c r="C6482" s="293">
        <v>1531</v>
      </c>
      <c r="D6482" s="211">
        <f t="shared" ref="D6482:D6545" si="549">C6482+D6458</f>
        <v>616403</v>
      </c>
      <c r="E6482" s="293">
        <v>61</v>
      </c>
      <c r="F6482" s="77">
        <f t="shared" si="547"/>
        <v>20495</v>
      </c>
    </row>
    <row r="6483" spans="1:6" ht="15.75" thickBot="1" x14ac:dyDescent="0.3">
      <c r="A6483" s="84" t="s">
        <v>43</v>
      </c>
      <c r="B6483" s="358">
        <v>44163</v>
      </c>
      <c r="C6483" s="1">
        <v>282</v>
      </c>
      <c r="D6483" s="47">
        <f t="shared" si="549"/>
        <v>158267</v>
      </c>
      <c r="E6483" s="1">
        <v>8</v>
      </c>
      <c r="F6483" s="78">
        <f t="shared" si="547"/>
        <v>5216</v>
      </c>
    </row>
    <row r="6484" spans="1:6" ht="15.75" thickBot="1" x14ac:dyDescent="0.3">
      <c r="A6484" s="84" t="s">
        <v>28</v>
      </c>
      <c r="B6484" s="358">
        <v>44163</v>
      </c>
      <c r="C6484" s="1">
        <v>31</v>
      </c>
      <c r="D6484" s="47">
        <f t="shared" si="549"/>
        <v>1813</v>
      </c>
      <c r="F6484" s="78">
        <f t="shared" si="547"/>
        <v>15</v>
      </c>
    </row>
    <row r="6485" spans="1:6" ht="15.75" thickBot="1" x14ac:dyDescent="0.3">
      <c r="A6485" s="84" t="s">
        <v>15</v>
      </c>
      <c r="B6485" s="358">
        <v>44163</v>
      </c>
      <c r="C6485" s="1">
        <v>202</v>
      </c>
      <c r="D6485" s="47">
        <f t="shared" si="549"/>
        <v>18958</v>
      </c>
      <c r="E6485" s="1">
        <v>5</v>
      </c>
      <c r="F6485" s="78">
        <f t="shared" si="547"/>
        <v>553</v>
      </c>
    </row>
    <row r="6486" spans="1:6" ht="15.75" thickBot="1" x14ac:dyDescent="0.3">
      <c r="A6486" s="84" t="s">
        <v>29</v>
      </c>
      <c r="B6486" s="358">
        <v>44163</v>
      </c>
      <c r="C6486" s="1">
        <v>230</v>
      </c>
      <c r="D6486" s="47">
        <f t="shared" si="549"/>
        <v>22517</v>
      </c>
      <c r="E6486" s="1">
        <v>2</v>
      </c>
      <c r="F6486" s="78">
        <f t="shared" si="547"/>
        <v>373</v>
      </c>
    </row>
    <row r="6487" spans="1:6" ht="15.75" thickBot="1" x14ac:dyDescent="0.3">
      <c r="A6487" s="84" t="s">
        <v>20</v>
      </c>
      <c r="B6487" s="358">
        <v>44163</v>
      </c>
      <c r="C6487" s="1">
        <v>711</v>
      </c>
      <c r="D6487" s="47">
        <f t="shared" si="549"/>
        <v>113430</v>
      </c>
      <c r="E6487" s="1">
        <v>10</v>
      </c>
      <c r="F6487" s="78">
        <f t="shared" si="547"/>
        <v>1929</v>
      </c>
    </row>
    <row r="6488" spans="1:6" ht="15.75" thickBot="1" x14ac:dyDescent="0.3">
      <c r="A6488" s="84" t="s">
        <v>30</v>
      </c>
      <c r="B6488" s="358">
        <v>44163</v>
      </c>
      <c r="C6488" s="1">
        <v>231</v>
      </c>
      <c r="D6488" s="47">
        <f t="shared" si="549"/>
        <v>5673</v>
      </c>
      <c r="F6488" s="78">
        <f t="shared" si="547"/>
        <v>86</v>
      </c>
    </row>
    <row r="6489" spans="1:6" ht="15.75" thickBot="1" x14ac:dyDescent="0.3">
      <c r="A6489" s="84" t="s">
        <v>31</v>
      </c>
      <c r="B6489" s="358">
        <v>44163</v>
      </c>
      <c r="C6489" s="1">
        <v>222</v>
      </c>
      <c r="D6489" s="47">
        <f t="shared" si="549"/>
        <v>23075</v>
      </c>
      <c r="F6489" s="78">
        <f t="shared" si="547"/>
        <v>464</v>
      </c>
    </row>
    <row r="6490" spans="1:6" ht="15.75" thickBot="1" x14ac:dyDescent="0.3">
      <c r="A6490" s="84" t="s">
        <v>41</v>
      </c>
      <c r="B6490" s="358">
        <v>44163</v>
      </c>
      <c r="C6490" s="1">
        <v>3</v>
      </c>
      <c r="D6490" s="47">
        <f t="shared" si="549"/>
        <v>182</v>
      </c>
      <c r="F6490" s="78">
        <f t="shared" si="547"/>
        <v>3</v>
      </c>
    </row>
    <row r="6491" spans="1:6" ht="15.75" thickBot="1" x14ac:dyDescent="0.3">
      <c r="A6491" s="84" t="s">
        <v>32</v>
      </c>
      <c r="B6491" s="358">
        <v>44163</v>
      </c>
      <c r="C6491" s="1">
        <v>8</v>
      </c>
      <c r="D6491" s="47">
        <f t="shared" si="549"/>
        <v>18368</v>
      </c>
      <c r="F6491" s="78">
        <f t="shared" si="547"/>
        <v>848</v>
      </c>
    </row>
    <row r="6492" spans="1:6" ht="15.75" thickBot="1" x14ac:dyDescent="0.3">
      <c r="A6492" s="84" t="s">
        <v>33</v>
      </c>
      <c r="B6492" s="358">
        <v>44163</v>
      </c>
      <c r="C6492" s="1">
        <v>60</v>
      </c>
      <c r="D6492" s="47">
        <f t="shared" si="549"/>
        <v>5649</v>
      </c>
      <c r="F6492" s="78">
        <f t="shared" si="547"/>
        <v>75</v>
      </c>
    </row>
    <row r="6493" spans="1:6" ht="15.75" thickBot="1" x14ac:dyDescent="0.3">
      <c r="A6493" s="84" t="s">
        <v>21</v>
      </c>
      <c r="B6493" s="358">
        <v>44163</v>
      </c>
      <c r="C6493" s="1">
        <v>38</v>
      </c>
      <c r="D6493" s="47">
        <f t="shared" si="549"/>
        <v>8668</v>
      </c>
      <c r="F6493" s="78">
        <f t="shared" si="547"/>
        <v>316</v>
      </c>
    </row>
    <row r="6494" spans="1:6" ht="15.75" thickBot="1" x14ac:dyDescent="0.3">
      <c r="A6494" s="84" t="s">
        <v>17</v>
      </c>
      <c r="B6494" s="358">
        <v>44163</v>
      </c>
      <c r="C6494" s="1">
        <v>180</v>
      </c>
      <c r="D6494" s="47">
        <f t="shared" si="549"/>
        <v>56348</v>
      </c>
      <c r="E6494" s="1">
        <v>1</v>
      </c>
      <c r="F6494" s="78">
        <f t="shared" si="547"/>
        <v>1106</v>
      </c>
    </row>
    <row r="6495" spans="1:6" ht="15.75" thickBot="1" x14ac:dyDescent="0.3">
      <c r="A6495" s="84" t="s">
        <v>23</v>
      </c>
      <c r="B6495" s="358">
        <v>44163</v>
      </c>
      <c r="C6495" s="1">
        <v>7</v>
      </c>
      <c r="D6495" s="47">
        <f t="shared" si="549"/>
        <v>493</v>
      </c>
      <c r="F6495" s="78">
        <f t="shared" si="547"/>
        <v>9</v>
      </c>
    </row>
    <row r="6496" spans="1:6" ht="15.75" thickBot="1" x14ac:dyDescent="0.3">
      <c r="A6496" s="84" t="s">
        <v>19</v>
      </c>
      <c r="B6496" s="358">
        <v>44163</v>
      </c>
      <c r="C6496" s="1">
        <v>255</v>
      </c>
      <c r="D6496" s="47">
        <f t="shared" si="549"/>
        <v>31718</v>
      </c>
      <c r="E6496" s="1">
        <v>1</v>
      </c>
      <c r="F6496" s="78">
        <f t="shared" si="547"/>
        <v>614</v>
      </c>
    </row>
    <row r="6497" spans="1:6" ht="15.75" thickBot="1" x14ac:dyDescent="0.3">
      <c r="A6497" s="84" t="s">
        <v>18</v>
      </c>
      <c r="B6497" s="358">
        <v>44163</v>
      </c>
      <c r="C6497" s="1">
        <v>143</v>
      </c>
      <c r="D6497" s="47">
        <f t="shared" si="549"/>
        <v>31413</v>
      </c>
      <c r="E6497" s="1">
        <v>4</v>
      </c>
      <c r="F6497" s="78">
        <f t="shared" si="547"/>
        <v>773</v>
      </c>
    </row>
    <row r="6498" spans="1:6" ht="15.75" thickBot="1" x14ac:dyDescent="0.3">
      <c r="A6498" s="84" t="s">
        <v>34</v>
      </c>
      <c r="B6498" s="358">
        <v>44163</v>
      </c>
      <c r="C6498" s="1">
        <v>32</v>
      </c>
      <c r="D6498" s="47">
        <f t="shared" si="549"/>
        <v>21112</v>
      </c>
      <c r="E6498" s="1">
        <v>2</v>
      </c>
      <c r="F6498" s="78">
        <f t="shared" si="547"/>
        <v>976</v>
      </c>
    </row>
    <row r="6499" spans="1:6" ht="15.75" thickBot="1" x14ac:dyDescent="0.3">
      <c r="A6499" s="84" t="s">
        <v>35</v>
      </c>
      <c r="B6499" s="358">
        <v>44163</v>
      </c>
      <c r="C6499" s="1">
        <v>72</v>
      </c>
      <c r="D6499" s="47">
        <f t="shared" si="549"/>
        <v>7254</v>
      </c>
      <c r="F6499" s="78">
        <f t="shared" si="547"/>
        <v>171</v>
      </c>
    </row>
    <row r="6500" spans="1:6" ht="15.75" thickBot="1" x14ac:dyDescent="0.3">
      <c r="A6500" s="84" t="s">
        <v>36</v>
      </c>
      <c r="B6500" s="358">
        <v>44163</v>
      </c>
      <c r="C6500" s="1">
        <v>154</v>
      </c>
      <c r="D6500" s="47">
        <f t="shared" si="549"/>
        <v>14096</v>
      </c>
      <c r="E6500" s="1">
        <v>1</v>
      </c>
      <c r="F6500" s="78">
        <f t="shared" si="547"/>
        <v>208</v>
      </c>
    </row>
    <row r="6501" spans="1:6" ht="15.75" thickBot="1" x14ac:dyDescent="0.3">
      <c r="A6501" s="84" t="s">
        <v>37</v>
      </c>
      <c r="B6501" s="358">
        <v>44163</v>
      </c>
      <c r="C6501" s="1">
        <v>188</v>
      </c>
      <c r="D6501" s="47">
        <f t="shared" si="549"/>
        <v>15561</v>
      </c>
      <c r="E6501" s="1">
        <v>1</v>
      </c>
      <c r="F6501" s="78">
        <f t="shared" si="547"/>
        <v>268</v>
      </c>
    </row>
    <row r="6502" spans="1:6" ht="15.75" thickBot="1" x14ac:dyDescent="0.3">
      <c r="A6502" s="84" t="s">
        <v>22</v>
      </c>
      <c r="B6502" s="358">
        <v>44163</v>
      </c>
      <c r="C6502" s="1">
        <v>1070</v>
      </c>
      <c r="D6502" s="47">
        <f t="shared" si="549"/>
        <v>145501</v>
      </c>
      <c r="E6502" s="1">
        <v>10</v>
      </c>
      <c r="F6502" s="78">
        <f t="shared" si="547"/>
        <v>2217</v>
      </c>
    </row>
    <row r="6503" spans="1:6" ht="15.75" thickBot="1" x14ac:dyDescent="0.3">
      <c r="A6503" s="84" t="s">
        <v>38</v>
      </c>
      <c r="B6503" s="358">
        <v>44163</v>
      </c>
      <c r="C6503" s="1">
        <v>141</v>
      </c>
      <c r="D6503" s="47">
        <f t="shared" si="549"/>
        <v>15439</v>
      </c>
      <c r="F6503" s="78">
        <f t="shared" si="547"/>
        <v>188</v>
      </c>
    </row>
    <row r="6504" spans="1:6" ht="15.75" thickBot="1" x14ac:dyDescent="0.3">
      <c r="A6504" s="84" t="s">
        <v>39</v>
      </c>
      <c r="B6504" s="358">
        <v>44163</v>
      </c>
      <c r="C6504" s="1">
        <v>67</v>
      </c>
      <c r="D6504" s="47">
        <f t="shared" si="549"/>
        <v>16007</v>
      </c>
      <c r="F6504" s="78">
        <f t="shared" si="547"/>
        <v>230</v>
      </c>
    </row>
    <row r="6505" spans="1:6" ht="15.75" thickBot="1" x14ac:dyDescent="0.3">
      <c r="A6505" s="85" t="s">
        <v>40</v>
      </c>
      <c r="B6505" s="358">
        <v>44163</v>
      </c>
      <c r="C6505" s="1">
        <v>240</v>
      </c>
      <c r="D6505" s="214">
        <f>C6505+D6481</f>
        <v>65430</v>
      </c>
      <c r="F6505" s="79">
        <f t="shared" si="547"/>
        <v>1166</v>
      </c>
    </row>
    <row r="6506" spans="1:6" ht="15.75" thickBot="1" x14ac:dyDescent="0.3">
      <c r="A6506" s="34" t="s">
        <v>16</v>
      </c>
      <c r="B6506" s="358">
        <v>44164</v>
      </c>
      <c r="C6506" s="1">
        <v>868</v>
      </c>
      <c r="D6506" s="211">
        <f t="shared" si="549"/>
        <v>617271</v>
      </c>
      <c r="E6506" s="1">
        <f>34+36</f>
        <v>70</v>
      </c>
      <c r="F6506" s="77">
        <f t="shared" si="547"/>
        <v>20565</v>
      </c>
    </row>
    <row r="6507" spans="1:6" ht="15.75" thickBot="1" x14ac:dyDescent="0.3">
      <c r="A6507" s="34" t="s">
        <v>43</v>
      </c>
      <c r="B6507" s="358">
        <v>44164</v>
      </c>
      <c r="C6507" s="1">
        <v>217</v>
      </c>
      <c r="D6507" s="47">
        <f t="shared" si="549"/>
        <v>158484</v>
      </c>
      <c r="E6507" s="1">
        <f>2+4</f>
        <v>6</v>
      </c>
      <c r="F6507" s="78">
        <f t="shared" ref="F6507:F6570" si="550">E6507+F6483</f>
        <v>5222</v>
      </c>
    </row>
    <row r="6508" spans="1:6" ht="15.75" thickBot="1" x14ac:dyDescent="0.3">
      <c r="A6508" s="34" t="s">
        <v>28</v>
      </c>
      <c r="B6508" s="358">
        <v>44164</v>
      </c>
      <c r="C6508" s="1">
        <v>37</v>
      </c>
      <c r="D6508" s="47">
        <f t="shared" si="549"/>
        <v>1850</v>
      </c>
      <c r="F6508" s="78">
        <f t="shared" si="550"/>
        <v>15</v>
      </c>
    </row>
    <row r="6509" spans="1:6" ht="15.75" thickBot="1" x14ac:dyDescent="0.3">
      <c r="A6509" s="34" t="s">
        <v>15</v>
      </c>
      <c r="B6509" s="358">
        <v>44164</v>
      </c>
      <c r="C6509" s="1">
        <v>163</v>
      </c>
      <c r="D6509" s="47">
        <f t="shared" si="549"/>
        <v>19121</v>
      </c>
      <c r="E6509" s="1">
        <f>1+3</f>
        <v>4</v>
      </c>
      <c r="F6509" s="78">
        <f t="shared" si="550"/>
        <v>557</v>
      </c>
    </row>
    <row r="6510" spans="1:6" ht="15.75" thickBot="1" x14ac:dyDescent="0.3">
      <c r="A6510" s="34" t="s">
        <v>29</v>
      </c>
      <c r="B6510" s="358">
        <v>44164</v>
      </c>
      <c r="C6510" s="1">
        <v>114</v>
      </c>
      <c r="D6510" s="47">
        <f t="shared" si="549"/>
        <v>22631</v>
      </c>
      <c r="E6510" s="1">
        <f>1+2</f>
        <v>3</v>
      </c>
      <c r="F6510" s="78">
        <f t="shared" si="550"/>
        <v>376</v>
      </c>
    </row>
    <row r="6511" spans="1:6" ht="15.75" thickBot="1" x14ac:dyDescent="0.3">
      <c r="A6511" s="34" t="s">
        <v>20</v>
      </c>
      <c r="B6511" s="358">
        <v>44164</v>
      </c>
      <c r="C6511" s="1">
        <v>427</v>
      </c>
      <c r="D6511" s="47">
        <f t="shared" si="549"/>
        <v>113857</v>
      </c>
      <c r="E6511" s="1">
        <f>12+9</f>
        <v>21</v>
      </c>
      <c r="F6511" s="78">
        <f t="shared" si="550"/>
        <v>1950</v>
      </c>
    </row>
    <row r="6512" spans="1:6" ht="15.75" thickBot="1" x14ac:dyDescent="0.3">
      <c r="A6512" s="34" t="s">
        <v>30</v>
      </c>
      <c r="B6512" s="358">
        <v>44164</v>
      </c>
      <c r="C6512" s="1">
        <v>1130</v>
      </c>
      <c r="D6512" s="47">
        <f t="shared" si="549"/>
        <v>6803</v>
      </c>
      <c r="F6512" s="78">
        <f t="shared" si="550"/>
        <v>86</v>
      </c>
    </row>
    <row r="6513" spans="1:6" ht="15.75" thickBot="1" x14ac:dyDescent="0.3">
      <c r="A6513" s="34" t="s">
        <v>31</v>
      </c>
      <c r="B6513" s="358">
        <v>44164</v>
      </c>
      <c r="C6513" s="1">
        <v>174</v>
      </c>
      <c r="D6513" s="47">
        <f t="shared" si="549"/>
        <v>23249</v>
      </c>
      <c r="E6513" s="1">
        <f>1</f>
        <v>1</v>
      </c>
      <c r="F6513" s="78">
        <f t="shared" si="550"/>
        <v>465</v>
      </c>
    </row>
    <row r="6514" spans="1:6" ht="15.75" thickBot="1" x14ac:dyDescent="0.3">
      <c r="A6514" s="34" t="s">
        <v>41</v>
      </c>
      <c r="B6514" s="358">
        <v>44164</v>
      </c>
      <c r="C6514" s="1">
        <v>0</v>
      </c>
      <c r="D6514" s="47">
        <f t="shared" si="549"/>
        <v>182</v>
      </c>
      <c r="F6514" s="78">
        <f t="shared" si="550"/>
        <v>3</v>
      </c>
    </row>
    <row r="6515" spans="1:6" ht="15.75" thickBot="1" x14ac:dyDescent="0.3">
      <c r="A6515" s="34" t="s">
        <v>32</v>
      </c>
      <c r="B6515" s="358">
        <v>44164</v>
      </c>
      <c r="C6515" s="1">
        <v>2</v>
      </c>
      <c r="D6515" s="47">
        <f t="shared" si="549"/>
        <v>18370</v>
      </c>
      <c r="F6515" s="78">
        <f t="shared" si="550"/>
        <v>848</v>
      </c>
    </row>
    <row r="6516" spans="1:6" ht="15.75" thickBot="1" x14ac:dyDescent="0.3">
      <c r="A6516" s="34" t="s">
        <v>33</v>
      </c>
      <c r="B6516" s="358">
        <v>44164</v>
      </c>
      <c r="C6516" s="1">
        <v>61</v>
      </c>
      <c r="D6516" s="47">
        <f t="shared" si="549"/>
        <v>5710</v>
      </c>
      <c r="F6516" s="78">
        <f t="shared" si="550"/>
        <v>75</v>
      </c>
    </row>
    <row r="6517" spans="1:6" ht="15.75" thickBot="1" x14ac:dyDescent="0.3">
      <c r="A6517" s="34" t="s">
        <v>21</v>
      </c>
      <c r="B6517" s="358">
        <v>44164</v>
      </c>
      <c r="C6517" s="1">
        <v>26</v>
      </c>
      <c r="D6517" s="47">
        <f t="shared" si="549"/>
        <v>8694</v>
      </c>
      <c r="F6517" s="78">
        <f t="shared" si="550"/>
        <v>316</v>
      </c>
    </row>
    <row r="6518" spans="1:6" ht="15.75" thickBot="1" x14ac:dyDescent="0.3">
      <c r="A6518" s="34" t="s">
        <v>17</v>
      </c>
      <c r="B6518" s="358">
        <v>44164</v>
      </c>
      <c r="C6518" s="1">
        <v>47</v>
      </c>
      <c r="D6518" s="47">
        <f t="shared" si="549"/>
        <v>56395</v>
      </c>
      <c r="E6518" s="1">
        <f>1</f>
        <v>1</v>
      </c>
      <c r="F6518" s="78">
        <f t="shared" si="550"/>
        <v>1107</v>
      </c>
    </row>
    <row r="6519" spans="1:6" ht="15.75" thickBot="1" x14ac:dyDescent="0.3">
      <c r="A6519" s="34" t="s">
        <v>23</v>
      </c>
      <c r="B6519" s="358">
        <v>44164</v>
      </c>
      <c r="C6519" s="1">
        <v>2</v>
      </c>
      <c r="D6519" s="47">
        <f t="shared" si="549"/>
        <v>495</v>
      </c>
      <c r="F6519" s="78">
        <f t="shared" si="550"/>
        <v>9</v>
      </c>
    </row>
    <row r="6520" spans="1:6" ht="15.75" thickBot="1" x14ac:dyDescent="0.3">
      <c r="A6520" s="34" t="s">
        <v>19</v>
      </c>
      <c r="B6520" s="358">
        <v>44164</v>
      </c>
      <c r="C6520" s="1">
        <v>122</v>
      </c>
      <c r="D6520" s="47">
        <f t="shared" si="549"/>
        <v>31840</v>
      </c>
      <c r="E6520" s="1">
        <f>3+2</f>
        <v>5</v>
      </c>
      <c r="F6520" s="78">
        <f t="shared" si="550"/>
        <v>619</v>
      </c>
    </row>
    <row r="6521" spans="1:6" ht="15.75" thickBot="1" x14ac:dyDescent="0.3">
      <c r="A6521" s="34" t="s">
        <v>18</v>
      </c>
      <c r="B6521" s="358">
        <v>44164</v>
      </c>
      <c r="C6521" s="1">
        <v>108</v>
      </c>
      <c r="D6521" s="47">
        <f t="shared" si="549"/>
        <v>31521</v>
      </c>
      <c r="E6521" s="1">
        <f>2</f>
        <v>2</v>
      </c>
      <c r="F6521" s="78">
        <f t="shared" si="550"/>
        <v>775</v>
      </c>
    </row>
    <row r="6522" spans="1:6" ht="15.75" thickBot="1" x14ac:dyDescent="0.3">
      <c r="A6522" s="34" t="s">
        <v>34</v>
      </c>
      <c r="B6522" s="358">
        <v>44164</v>
      </c>
      <c r="C6522" s="1">
        <v>28</v>
      </c>
      <c r="D6522" s="47">
        <f t="shared" si="549"/>
        <v>21140</v>
      </c>
      <c r="E6522" s="1">
        <v>1</v>
      </c>
      <c r="F6522" s="78">
        <f t="shared" si="550"/>
        <v>977</v>
      </c>
    </row>
    <row r="6523" spans="1:6" ht="15.75" thickBot="1" x14ac:dyDescent="0.3">
      <c r="A6523" s="34" t="s">
        <v>35</v>
      </c>
      <c r="B6523" s="358">
        <v>44164</v>
      </c>
      <c r="C6523" s="1">
        <v>65</v>
      </c>
      <c r="D6523" s="47">
        <f t="shared" si="549"/>
        <v>7319</v>
      </c>
      <c r="F6523" s="78">
        <f t="shared" si="550"/>
        <v>171</v>
      </c>
    </row>
    <row r="6524" spans="1:6" ht="15.75" thickBot="1" x14ac:dyDescent="0.3">
      <c r="A6524" s="34" t="s">
        <v>36</v>
      </c>
      <c r="B6524" s="358">
        <v>44164</v>
      </c>
      <c r="C6524" s="1">
        <v>192</v>
      </c>
      <c r="D6524" s="47">
        <f t="shared" si="549"/>
        <v>14288</v>
      </c>
      <c r="E6524" s="1">
        <f>2+2</f>
        <v>4</v>
      </c>
      <c r="F6524" s="78">
        <f t="shared" si="550"/>
        <v>212</v>
      </c>
    </row>
    <row r="6525" spans="1:6" ht="15.75" thickBot="1" x14ac:dyDescent="0.3">
      <c r="A6525" s="34" t="s">
        <v>37</v>
      </c>
      <c r="B6525" s="358">
        <v>44164</v>
      </c>
      <c r="C6525" s="1">
        <v>211</v>
      </c>
      <c r="D6525" s="47">
        <f t="shared" si="549"/>
        <v>15772</v>
      </c>
      <c r="E6525" s="1">
        <f>4</f>
        <v>4</v>
      </c>
      <c r="F6525" s="78">
        <f t="shared" si="550"/>
        <v>272</v>
      </c>
    </row>
    <row r="6526" spans="1:6" ht="15.75" thickBot="1" x14ac:dyDescent="0.3">
      <c r="A6526" s="34" t="s">
        <v>22</v>
      </c>
      <c r="B6526" s="358">
        <v>44164</v>
      </c>
      <c r="C6526" s="1">
        <v>1004</v>
      </c>
      <c r="D6526" s="47">
        <f t="shared" si="549"/>
        <v>146505</v>
      </c>
      <c r="E6526" s="1">
        <f>11+7</f>
        <v>18</v>
      </c>
      <c r="F6526" s="78">
        <f t="shared" si="550"/>
        <v>2235</v>
      </c>
    </row>
    <row r="6527" spans="1:6" ht="15.75" thickBot="1" x14ac:dyDescent="0.3">
      <c r="A6527" s="34" t="s">
        <v>38</v>
      </c>
      <c r="B6527" s="358">
        <v>44164</v>
      </c>
      <c r="C6527" s="1">
        <v>151</v>
      </c>
      <c r="D6527" s="47">
        <f t="shared" si="549"/>
        <v>15590</v>
      </c>
      <c r="F6527" s="78">
        <f t="shared" si="550"/>
        <v>188</v>
      </c>
    </row>
    <row r="6528" spans="1:6" ht="15.75" thickBot="1" x14ac:dyDescent="0.3">
      <c r="A6528" s="34" t="s">
        <v>39</v>
      </c>
      <c r="B6528" s="358">
        <v>44164</v>
      </c>
      <c r="C6528" s="1">
        <v>83</v>
      </c>
      <c r="D6528" s="47">
        <f t="shared" si="549"/>
        <v>16090</v>
      </c>
      <c r="F6528" s="78">
        <f t="shared" si="550"/>
        <v>230</v>
      </c>
    </row>
    <row r="6529" spans="1:6" ht="15.75" thickBot="1" x14ac:dyDescent="0.3">
      <c r="A6529" s="34" t="s">
        <v>40</v>
      </c>
      <c r="B6529" s="358">
        <v>44164</v>
      </c>
      <c r="C6529" s="1">
        <v>200</v>
      </c>
      <c r="D6529" s="214">
        <f>C6529+D6505</f>
        <v>65630</v>
      </c>
      <c r="E6529" s="1">
        <f>5+6</f>
        <v>11</v>
      </c>
      <c r="F6529" s="79">
        <f t="shared" si="550"/>
        <v>1177</v>
      </c>
    </row>
    <row r="6530" spans="1:6" ht="15.75" thickBot="1" x14ac:dyDescent="0.3">
      <c r="A6530" s="34" t="s">
        <v>16</v>
      </c>
      <c r="B6530" s="358">
        <v>44165</v>
      </c>
      <c r="C6530" s="1">
        <v>1455</v>
      </c>
      <c r="D6530" s="211">
        <f t="shared" si="549"/>
        <v>618726</v>
      </c>
      <c r="E6530" s="1">
        <v>135</v>
      </c>
      <c r="F6530" s="77">
        <f t="shared" si="550"/>
        <v>20700</v>
      </c>
    </row>
    <row r="6531" spans="1:6" ht="15.75" thickBot="1" x14ac:dyDescent="0.3">
      <c r="A6531" s="34" t="s">
        <v>43</v>
      </c>
      <c r="B6531" s="358">
        <v>44165</v>
      </c>
      <c r="C6531" s="1">
        <v>321</v>
      </c>
      <c r="D6531" s="47">
        <f t="shared" si="549"/>
        <v>158805</v>
      </c>
      <c r="E6531" s="1">
        <v>15</v>
      </c>
      <c r="F6531" s="78">
        <f t="shared" si="550"/>
        <v>5237</v>
      </c>
    </row>
    <row r="6532" spans="1:6" ht="15.75" thickBot="1" x14ac:dyDescent="0.3">
      <c r="A6532" s="34" t="s">
        <v>28</v>
      </c>
      <c r="B6532" s="358">
        <v>44165</v>
      </c>
      <c r="C6532" s="1">
        <v>17</v>
      </c>
      <c r="D6532" s="47">
        <f t="shared" si="549"/>
        <v>1867</v>
      </c>
      <c r="E6532" s="1">
        <v>0</v>
      </c>
      <c r="F6532" s="78">
        <f t="shared" si="550"/>
        <v>15</v>
      </c>
    </row>
    <row r="6533" spans="1:6" ht="15.75" thickBot="1" x14ac:dyDescent="0.3">
      <c r="A6533" s="34" t="s">
        <v>15</v>
      </c>
      <c r="B6533" s="358">
        <v>44165</v>
      </c>
      <c r="C6533" s="1">
        <v>236</v>
      </c>
      <c r="D6533" s="47">
        <f t="shared" si="549"/>
        <v>19357</v>
      </c>
      <c r="E6533" s="1">
        <v>5</v>
      </c>
      <c r="F6533" s="78">
        <f t="shared" si="550"/>
        <v>562</v>
      </c>
    </row>
    <row r="6534" spans="1:6" ht="15.75" thickBot="1" x14ac:dyDescent="0.3">
      <c r="A6534" s="34" t="s">
        <v>29</v>
      </c>
      <c r="B6534" s="358">
        <v>44165</v>
      </c>
      <c r="C6534" s="1">
        <v>220</v>
      </c>
      <c r="D6534" s="47">
        <f t="shared" si="549"/>
        <v>22851</v>
      </c>
      <c r="E6534" s="1">
        <v>1</v>
      </c>
      <c r="F6534" s="78">
        <f t="shared" si="550"/>
        <v>377</v>
      </c>
    </row>
    <row r="6535" spans="1:6" ht="15.75" thickBot="1" x14ac:dyDescent="0.3">
      <c r="A6535" s="34" t="s">
        <v>20</v>
      </c>
      <c r="B6535" s="358">
        <v>44165</v>
      </c>
      <c r="C6535" s="1">
        <v>350</v>
      </c>
      <c r="D6535" s="47">
        <f t="shared" si="549"/>
        <v>114207</v>
      </c>
      <c r="E6535" s="1">
        <v>22</v>
      </c>
      <c r="F6535" s="78">
        <f t="shared" si="550"/>
        <v>1972</v>
      </c>
    </row>
    <row r="6536" spans="1:6" ht="15.75" thickBot="1" x14ac:dyDescent="0.3">
      <c r="A6536" s="34" t="s">
        <v>30</v>
      </c>
      <c r="B6536" s="358">
        <v>44165</v>
      </c>
      <c r="C6536" s="1">
        <v>295</v>
      </c>
      <c r="D6536" s="47">
        <f t="shared" si="549"/>
        <v>7098</v>
      </c>
      <c r="E6536" s="1">
        <v>0</v>
      </c>
      <c r="F6536" s="78">
        <f t="shared" si="550"/>
        <v>86</v>
      </c>
    </row>
    <row r="6537" spans="1:6" ht="15.75" thickBot="1" x14ac:dyDescent="0.3">
      <c r="A6537" s="34" t="s">
        <v>31</v>
      </c>
      <c r="B6537" s="358">
        <v>44165</v>
      </c>
      <c r="C6537" s="1">
        <v>116</v>
      </c>
      <c r="D6537" s="47">
        <f t="shared" si="549"/>
        <v>23365</v>
      </c>
      <c r="E6537" s="1">
        <v>4</v>
      </c>
      <c r="F6537" s="78">
        <f t="shared" si="550"/>
        <v>469</v>
      </c>
    </row>
    <row r="6538" spans="1:6" ht="15.75" thickBot="1" x14ac:dyDescent="0.3">
      <c r="A6538" s="34" t="s">
        <v>41</v>
      </c>
      <c r="B6538" s="358">
        <v>44165</v>
      </c>
      <c r="C6538" s="1">
        <v>0</v>
      </c>
      <c r="D6538" s="47">
        <f t="shared" si="549"/>
        <v>182</v>
      </c>
      <c r="E6538" s="1">
        <v>0</v>
      </c>
      <c r="F6538" s="78">
        <f t="shared" si="550"/>
        <v>3</v>
      </c>
    </row>
    <row r="6539" spans="1:6" ht="15.75" thickBot="1" x14ac:dyDescent="0.3">
      <c r="A6539" s="34" t="s">
        <v>32</v>
      </c>
      <c r="B6539" s="358">
        <v>44165</v>
      </c>
      <c r="C6539" s="1">
        <v>11</v>
      </c>
      <c r="D6539" s="47">
        <f t="shared" si="549"/>
        <v>18381</v>
      </c>
      <c r="E6539" s="1">
        <v>0</v>
      </c>
      <c r="F6539" s="78">
        <f t="shared" si="550"/>
        <v>848</v>
      </c>
    </row>
    <row r="6540" spans="1:6" ht="15.75" thickBot="1" x14ac:dyDescent="0.3">
      <c r="A6540" s="34" t="s">
        <v>33</v>
      </c>
      <c r="B6540" s="358">
        <v>44165</v>
      </c>
      <c r="C6540" s="1">
        <v>60</v>
      </c>
      <c r="D6540" s="47">
        <f t="shared" si="549"/>
        <v>5770</v>
      </c>
      <c r="E6540" s="1">
        <v>8</v>
      </c>
      <c r="F6540" s="78">
        <f t="shared" si="550"/>
        <v>83</v>
      </c>
    </row>
    <row r="6541" spans="1:6" ht="15.75" thickBot="1" x14ac:dyDescent="0.3">
      <c r="A6541" s="34" t="s">
        <v>21</v>
      </c>
      <c r="B6541" s="358">
        <v>44165</v>
      </c>
      <c r="C6541" s="1">
        <v>28</v>
      </c>
      <c r="D6541" s="47">
        <f t="shared" si="549"/>
        <v>8722</v>
      </c>
      <c r="E6541" s="1">
        <v>0</v>
      </c>
      <c r="F6541" s="78">
        <f t="shared" si="550"/>
        <v>316</v>
      </c>
    </row>
    <row r="6542" spans="1:6" ht="15.75" thickBot="1" x14ac:dyDescent="0.3">
      <c r="A6542" s="34" t="s">
        <v>17</v>
      </c>
      <c r="B6542" s="358">
        <v>44165</v>
      </c>
      <c r="C6542" s="1">
        <v>151</v>
      </c>
      <c r="D6542" s="47">
        <f t="shared" si="549"/>
        <v>56546</v>
      </c>
      <c r="E6542" s="1">
        <v>1</v>
      </c>
      <c r="F6542" s="78">
        <f t="shared" si="550"/>
        <v>1108</v>
      </c>
    </row>
    <row r="6543" spans="1:6" ht="15.75" thickBot="1" x14ac:dyDescent="0.3">
      <c r="A6543" s="34" t="s">
        <v>23</v>
      </c>
      <c r="B6543" s="358">
        <v>44165</v>
      </c>
      <c r="C6543" s="1">
        <v>5</v>
      </c>
      <c r="D6543" s="47">
        <f t="shared" si="549"/>
        <v>500</v>
      </c>
      <c r="E6543" s="1">
        <v>0</v>
      </c>
      <c r="F6543" s="78">
        <f t="shared" si="550"/>
        <v>9</v>
      </c>
    </row>
    <row r="6544" spans="1:6" ht="15.75" thickBot="1" x14ac:dyDescent="0.3">
      <c r="A6544" s="34" t="s">
        <v>19</v>
      </c>
      <c r="B6544" s="358">
        <v>44165</v>
      </c>
      <c r="C6544" s="1">
        <v>228</v>
      </c>
      <c r="D6544" s="47">
        <f t="shared" si="549"/>
        <v>32068</v>
      </c>
      <c r="E6544" s="1">
        <v>0</v>
      </c>
      <c r="F6544" s="78">
        <f t="shared" si="550"/>
        <v>619</v>
      </c>
    </row>
    <row r="6545" spans="1:6" ht="15.75" thickBot="1" x14ac:dyDescent="0.3">
      <c r="A6545" s="34" t="s">
        <v>18</v>
      </c>
      <c r="B6545" s="358">
        <v>44165</v>
      </c>
      <c r="C6545" s="1">
        <v>184</v>
      </c>
      <c r="D6545" s="47">
        <f t="shared" si="549"/>
        <v>31705</v>
      </c>
      <c r="E6545" s="1">
        <v>5</v>
      </c>
      <c r="F6545" s="78">
        <f t="shared" si="550"/>
        <v>780</v>
      </c>
    </row>
    <row r="6546" spans="1:6" ht="15.75" thickBot="1" x14ac:dyDescent="0.3">
      <c r="A6546" s="34" t="s">
        <v>34</v>
      </c>
      <c r="B6546" s="358">
        <v>44165</v>
      </c>
      <c r="C6546" s="1">
        <v>19</v>
      </c>
      <c r="D6546" s="47">
        <f t="shared" ref="D6546:D6552" si="551">C6546+D6522</f>
        <v>21159</v>
      </c>
      <c r="E6546" s="1">
        <v>3</v>
      </c>
      <c r="F6546" s="78">
        <f t="shared" si="550"/>
        <v>980</v>
      </c>
    </row>
    <row r="6547" spans="1:6" ht="15.75" thickBot="1" x14ac:dyDescent="0.3">
      <c r="A6547" s="34" t="s">
        <v>35</v>
      </c>
      <c r="B6547" s="358">
        <v>44165</v>
      </c>
      <c r="C6547" s="1">
        <v>147</v>
      </c>
      <c r="D6547" s="47">
        <f t="shared" si="551"/>
        <v>7466</v>
      </c>
      <c r="E6547" s="1">
        <v>0</v>
      </c>
      <c r="F6547" s="78">
        <f t="shared" si="550"/>
        <v>171</v>
      </c>
    </row>
    <row r="6548" spans="1:6" ht="15.75" thickBot="1" x14ac:dyDescent="0.3">
      <c r="A6548" s="34" t="s">
        <v>36</v>
      </c>
      <c r="B6548" s="358">
        <v>44165</v>
      </c>
      <c r="C6548" s="1">
        <v>167</v>
      </c>
      <c r="D6548" s="47">
        <f t="shared" si="551"/>
        <v>14455</v>
      </c>
      <c r="E6548" s="1">
        <v>0</v>
      </c>
      <c r="F6548" s="78">
        <f t="shared" si="550"/>
        <v>212</v>
      </c>
    </row>
    <row r="6549" spans="1:6" ht="15.75" thickBot="1" x14ac:dyDescent="0.3">
      <c r="A6549" s="34" t="s">
        <v>37</v>
      </c>
      <c r="B6549" s="358">
        <v>44165</v>
      </c>
      <c r="C6549" s="1">
        <v>154</v>
      </c>
      <c r="D6549" s="47">
        <f t="shared" si="551"/>
        <v>15926</v>
      </c>
      <c r="E6549" s="1">
        <v>2</v>
      </c>
      <c r="F6549" s="78">
        <f t="shared" si="550"/>
        <v>274</v>
      </c>
    </row>
    <row r="6550" spans="1:6" ht="15.75" thickBot="1" x14ac:dyDescent="0.3">
      <c r="A6550" s="34" t="s">
        <v>22</v>
      </c>
      <c r="B6550" s="358">
        <v>44165</v>
      </c>
      <c r="C6550" s="1">
        <v>1115</v>
      </c>
      <c r="D6550" s="47">
        <f t="shared" si="551"/>
        <v>147620</v>
      </c>
      <c r="E6550" s="1">
        <v>44</v>
      </c>
      <c r="F6550" s="78">
        <f t="shared" si="550"/>
        <v>2279</v>
      </c>
    </row>
    <row r="6551" spans="1:6" ht="15.75" thickBot="1" x14ac:dyDescent="0.3">
      <c r="A6551" s="34" t="s">
        <v>38</v>
      </c>
      <c r="B6551" s="358">
        <v>44165</v>
      </c>
      <c r="C6551" s="1">
        <v>53</v>
      </c>
      <c r="D6551" s="47">
        <f t="shared" si="551"/>
        <v>15643</v>
      </c>
      <c r="E6551" s="1">
        <v>1</v>
      </c>
      <c r="F6551" s="78">
        <f t="shared" si="550"/>
        <v>189</v>
      </c>
    </row>
    <row r="6552" spans="1:6" ht="15.75" thickBot="1" x14ac:dyDescent="0.3">
      <c r="A6552" s="34" t="s">
        <v>39</v>
      </c>
      <c r="B6552" s="358">
        <v>44165</v>
      </c>
      <c r="C6552" s="1">
        <v>91</v>
      </c>
      <c r="D6552" s="47">
        <f t="shared" si="551"/>
        <v>16181</v>
      </c>
      <c r="E6552" s="1">
        <v>3</v>
      </c>
      <c r="F6552" s="78">
        <f t="shared" si="550"/>
        <v>233</v>
      </c>
    </row>
    <row r="6553" spans="1:6" ht="15.75" thickBot="1" x14ac:dyDescent="0.3">
      <c r="A6553" s="34" t="s">
        <v>40</v>
      </c>
      <c r="B6553" s="358">
        <v>44165</v>
      </c>
      <c r="C6553" s="1">
        <v>303</v>
      </c>
      <c r="D6553" s="214">
        <f>C6553+D6529</f>
        <v>65933</v>
      </c>
      <c r="E6553" s="1">
        <v>7</v>
      </c>
      <c r="F6553" s="79">
        <f t="shared" si="550"/>
        <v>1184</v>
      </c>
    </row>
    <row r="6554" spans="1:6" ht="15.75" thickBot="1" x14ac:dyDescent="0.3">
      <c r="A6554" s="34" t="s">
        <v>16</v>
      </c>
      <c r="B6554" s="358">
        <v>44166</v>
      </c>
      <c r="C6554" s="1">
        <v>2128</v>
      </c>
      <c r="D6554" s="211">
        <f t="shared" ref="D6554:D6617" si="552">C6554+D6530</f>
        <v>620854</v>
      </c>
      <c r="E6554" s="1">
        <v>59</v>
      </c>
      <c r="F6554" s="77">
        <f t="shared" si="550"/>
        <v>20759</v>
      </c>
    </row>
    <row r="6555" spans="1:6" ht="15.75" thickBot="1" x14ac:dyDescent="0.3">
      <c r="A6555" s="34" t="s">
        <v>43</v>
      </c>
      <c r="B6555" s="358">
        <v>44166</v>
      </c>
      <c r="C6555" s="1">
        <v>398</v>
      </c>
      <c r="D6555" s="47">
        <f t="shared" si="552"/>
        <v>159203</v>
      </c>
      <c r="E6555" s="1">
        <v>23</v>
      </c>
      <c r="F6555" s="78">
        <f t="shared" si="550"/>
        <v>5260</v>
      </c>
    </row>
    <row r="6556" spans="1:6" ht="15.75" thickBot="1" x14ac:dyDescent="0.3">
      <c r="A6556" s="34" t="s">
        <v>28</v>
      </c>
      <c r="B6556" s="358">
        <v>44166</v>
      </c>
      <c r="C6556" s="1">
        <v>16</v>
      </c>
      <c r="D6556" s="47">
        <f t="shared" si="552"/>
        <v>1883</v>
      </c>
      <c r="E6556" s="1">
        <v>0</v>
      </c>
      <c r="F6556" s="78">
        <f t="shared" si="550"/>
        <v>15</v>
      </c>
    </row>
    <row r="6557" spans="1:6" ht="15.75" thickBot="1" x14ac:dyDescent="0.3">
      <c r="A6557" s="34" t="s">
        <v>15</v>
      </c>
      <c r="B6557" s="358">
        <v>44166</v>
      </c>
      <c r="C6557" s="1">
        <v>238</v>
      </c>
      <c r="D6557" s="47">
        <f t="shared" si="552"/>
        <v>19595</v>
      </c>
      <c r="E6557" s="1">
        <v>4</v>
      </c>
      <c r="F6557" s="78">
        <f t="shared" si="550"/>
        <v>566</v>
      </c>
    </row>
    <row r="6558" spans="1:6" ht="15.75" thickBot="1" x14ac:dyDescent="0.3">
      <c r="A6558" s="34" t="s">
        <v>29</v>
      </c>
      <c r="B6558" s="358">
        <v>44166</v>
      </c>
      <c r="C6558" s="1">
        <v>438</v>
      </c>
      <c r="D6558" s="47">
        <f t="shared" si="552"/>
        <v>23289</v>
      </c>
      <c r="E6558" s="1">
        <v>4</v>
      </c>
      <c r="F6558" s="78">
        <f t="shared" si="550"/>
        <v>381</v>
      </c>
    </row>
    <row r="6559" spans="1:6" ht="15.75" thickBot="1" x14ac:dyDescent="0.3">
      <c r="A6559" s="34" t="s">
        <v>20</v>
      </c>
      <c r="B6559" s="358">
        <v>44166</v>
      </c>
      <c r="C6559" s="1">
        <v>715</v>
      </c>
      <c r="D6559" s="47">
        <f t="shared" si="552"/>
        <v>114922</v>
      </c>
      <c r="E6559" s="1">
        <v>36</v>
      </c>
      <c r="F6559" s="78">
        <f t="shared" si="550"/>
        <v>2008</v>
      </c>
    </row>
    <row r="6560" spans="1:6" ht="15.75" thickBot="1" x14ac:dyDescent="0.3">
      <c r="A6560" s="34" t="s">
        <v>30</v>
      </c>
      <c r="B6560" s="358">
        <v>44166</v>
      </c>
      <c r="C6560" s="1">
        <v>193</v>
      </c>
      <c r="D6560" s="47">
        <f t="shared" si="552"/>
        <v>7291</v>
      </c>
      <c r="E6560" s="1">
        <v>2</v>
      </c>
      <c r="F6560" s="78">
        <f t="shared" si="550"/>
        <v>88</v>
      </c>
    </row>
    <row r="6561" spans="1:6" ht="15.75" thickBot="1" x14ac:dyDescent="0.3">
      <c r="A6561" s="34" t="s">
        <v>31</v>
      </c>
      <c r="B6561" s="358">
        <v>44166</v>
      </c>
      <c r="C6561" s="1">
        <v>139</v>
      </c>
      <c r="D6561" s="47">
        <f t="shared" si="552"/>
        <v>23504</v>
      </c>
      <c r="E6561" s="1">
        <v>2</v>
      </c>
      <c r="F6561" s="78">
        <f t="shared" si="550"/>
        <v>471</v>
      </c>
    </row>
    <row r="6562" spans="1:6" ht="15.75" thickBot="1" x14ac:dyDescent="0.3">
      <c r="A6562" s="34" t="s">
        <v>41</v>
      </c>
      <c r="B6562" s="358">
        <v>44166</v>
      </c>
      <c r="C6562" s="1">
        <v>1</v>
      </c>
      <c r="D6562" s="47">
        <f t="shared" si="552"/>
        <v>183</v>
      </c>
      <c r="E6562" s="1">
        <v>0</v>
      </c>
      <c r="F6562" s="78">
        <f t="shared" si="550"/>
        <v>3</v>
      </c>
    </row>
    <row r="6563" spans="1:6" ht="15.75" thickBot="1" x14ac:dyDescent="0.3">
      <c r="A6563" s="34" t="s">
        <v>32</v>
      </c>
      <c r="B6563" s="358">
        <v>44166</v>
      </c>
      <c r="C6563" s="1">
        <v>16</v>
      </c>
      <c r="D6563" s="47">
        <f t="shared" si="552"/>
        <v>18397</v>
      </c>
      <c r="E6563" s="1">
        <v>2</v>
      </c>
      <c r="F6563" s="78">
        <f t="shared" si="550"/>
        <v>850</v>
      </c>
    </row>
    <row r="6564" spans="1:6" ht="15.75" thickBot="1" x14ac:dyDescent="0.3">
      <c r="A6564" s="34" t="s">
        <v>33</v>
      </c>
      <c r="B6564" s="358">
        <v>44166</v>
      </c>
      <c r="C6564" s="1">
        <v>103</v>
      </c>
      <c r="D6564" s="47">
        <f t="shared" si="552"/>
        <v>5873</v>
      </c>
      <c r="E6564" s="1">
        <v>2</v>
      </c>
      <c r="F6564" s="78">
        <f t="shared" si="550"/>
        <v>85</v>
      </c>
    </row>
    <row r="6565" spans="1:6" ht="15.75" thickBot="1" x14ac:dyDescent="0.3">
      <c r="A6565" s="34" t="s">
        <v>21</v>
      </c>
      <c r="B6565" s="358">
        <v>44166</v>
      </c>
      <c r="C6565" s="1">
        <v>13</v>
      </c>
      <c r="D6565" s="47">
        <f t="shared" si="552"/>
        <v>8735</v>
      </c>
      <c r="E6565" s="1">
        <v>0</v>
      </c>
      <c r="F6565" s="78">
        <f t="shared" si="550"/>
        <v>316</v>
      </c>
    </row>
    <row r="6566" spans="1:6" ht="15.75" thickBot="1" x14ac:dyDescent="0.3">
      <c r="A6566" s="34" t="s">
        <v>17</v>
      </c>
      <c r="B6566" s="358">
        <v>44166</v>
      </c>
      <c r="C6566" s="1">
        <v>263</v>
      </c>
      <c r="D6566" s="47">
        <f t="shared" si="552"/>
        <v>56809</v>
      </c>
      <c r="E6566" s="1">
        <v>2</v>
      </c>
      <c r="F6566" s="78">
        <f t="shared" si="550"/>
        <v>1110</v>
      </c>
    </row>
    <row r="6567" spans="1:6" ht="15.75" thickBot="1" x14ac:dyDescent="0.3">
      <c r="A6567" s="34" t="s">
        <v>23</v>
      </c>
      <c r="B6567" s="358">
        <v>44166</v>
      </c>
      <c r="C6567" s="1">
        <v>19</v>
      </c>
      <c r="D6567" s="47">
        <f t="shared" si="552"/>
        <v>519</v>
      </c>
      <c r="E6567" s="1">
        <v>0</v>
      </c>
      <c r="F6567" s="78">
        <f t="shared" si="550"/>
        <v>9</v>
      </c>
    </row>
    <row r="6568" spans="1:6" ht="15.75" thickBot="1" x14ac:dyDescent="0.3">
      <c r="A6568" s="34" t="s">
        <v>19</v>
      </c>
      <c r="B6568" s="358">
        <v>44166</v>
      </c>
      <c r="C6568" s="1">
        <v>344</v>
      </c>
      <c r="D6568" s="47">
        <f t="shared" si="552"/>
        <v>32412</v>
      </c>
      <c r="E6568" s="1">
        <v>0</v>
      </c>
      <c r="F6568" s="78">
        <f t="shared" si="550"/>
        <v>619</v>
      </c>
    </row>
    <row r="6569" spans="1:6" ht="15.75" thickBot="1" x14ac:dyDescent="0.3">
      <c r="A6569" s="34" t="s">
        <v>18</v>
      </c>
      <c r="B6569" s="358">
        <v>44166</v>
      </c>
      <c r="C6569" s="1">
        <v>244</v>
      </c>
      <c r="D6569" s="47">
        <f t="shared" si="552"/>
        <v>31949</v>
      </c>
      <c r="E6569" s="1">
        <v>11</v>
      </c>
      <c r="F6569" s="78">
        <f t="shared" si="550"/>
        <v>791</v>
      </c>
    </row>
    <row r="6570" spans="1:6" ht="15.75" thickBot="1" x14ac:dyDescent="0.3">
      <c r="A6570" s="34" t="s">
        <v>34</v>
      </c>
      <c r="B6570" s="358">
        <v>44166</v>
      </c>
      <c r="C6570" s="1">
        <v>43</v>
      </c>
      <c r="D6570" s="47">
        <f t="shared" si="552"/>
        <v>21202</v>
      </c>
      <c r="E6570" s="1">
        <v>3</v>
      </c>
      <c r="F6570" s="78">
        <f t="shared" si="550"/>
        <v>983</v>
      </c>
    </row>
    <row r="6571" spans="1:6" ht="15.75" thickBot="1" x14ac:dyDescent="0.3">
      <c r="A6571" s="34" t="s">
        <v>35</v>
      </c>
      <c r="B6571" s="358">
        <v>44166</v>
      </c>
      <c r="C6571" s="1">
        <v>351</v>
      </c>
      <c r="D6571" s="47">
        <f t="shared" si="552"/>
        <v>7817</v>
      </c>
      <c r="E6571" s="1">
        <v>2</v>
      </c>
      <c r="F6571" s="78">
        <f t="shared" ref="F6571:F6625" si="553">E6571+F6547</f>
        <v>173</v>
      </c>
    </row>
    <row r="6572" spans="1:6" ht="15.75" thickBot="1" x14ac:dyDescent="0.3">
      <c r="A6572" s="34" t="s">
        <v>36</v>
      </c>
      <c r="B6572" s="358">
        <v>44166</v>
      </c>
      <c r="C6572" s="1">
        <v>253</v>
      </c>
      <c r="D6572" s="47">
        <f t="shared" si="552"/>
        <v>14708</v>
      </c>
      <c r="E6572" s="1">
        <v>3</v>
      </c>
      <c r="F6572" s="78">
        <f t="shared" si="553"/>
        <v>215</v>
      </c>
    </row>
    <row r="6573" spans="1:6" ht="15.75" thickBot="1" x14ac:dyDescent="0.3">
      <c r="A6573" s="34" t="s">
        <v>37</v>
      </c>
      <c r="B6573" s="358">
        <v>44166</v>
      </c>
      <c r="C6573" s="1">
        <v>315</v>
      </c>
      <c r="D6573" s="47">
        <f t="shared" si="552"/>
        <v>16241</v>
      </c>
      <c r="E6573" s="1">
        <v>6</v>
      </c>
      <c r="F6573" s="78">
        <f t="shared" si="553"/>
        <v>280</v>
      </c>
    </row>
    <row r="6574" spans="1:6" ht="15.75" thickBot="1" x14ac:dyDescent="0.3">
      <c r="A6574" s="34" t="s">
        <v>22</v>
      </c>
      <c r="B6574" s="358">
        <v>44166</v>
      </c>
      <c r="C6574" s="1">
        <v>1355</v>
      </c>
      <c r="D6574" s="47">
        <f t="shared" si="552"/>
        <v>148975</v>
      </c>
      <c r="E6574" s="1">
        <v>9</v>
      </c>
      <c r="F6574" s="78">
        <f t="shared" si="553"/>
        <v>2288</v>
      </c>
    </row>
    <row r="6575" spans="1:6" ht="15.75" thickBot="1" x14ac:dyDescent="0.3">
      <c r="A6575" s="34" t="s">
        <v>38</v>
      </c>
      <c r="B6575" s="358">
        <v>44166</v>
      </c>
      <c r="C6575" s="1">
        <v>71</v>
      </c>
      <c r="D6575" s="47">
        <f t="shared" si="552"/>
        <v>15714</v>
      </c>
      <c r="E6575" s="1">
        <v>1</v>
      </c>
      <c r="F6575" s="78">
        <f t="shared" si="553"/>
        <v>190</v>
      </c>
    </row>
    <row r="6576" spans="1:6" ht="15.75" thickBot="1" x14ac:dyDescent="0.3">
      <c r="A6576" s="34" t="s">
        <v>39</v>
      </c>
      <c r="B6576" s="358">
        <v>44166</v>
      </c>
      <c r="C6576" s="1">
        <v>79</v>
      </c>
      <c r="D6576" s="47">
        <f t="shared" si="552"/>
        <v>16260</v>
      </c>
      <c r="E6576" s="1">
        <v>2</v>
      </c>
      <c r="F6576" s="78">
        <f t="shared" si="553"/>
        <v>235</v>
      </c>
    </row>
    <row r="6577" spans="1:6" ht="15.75" thickBot="1" x14ac:dyDescent="0.3">
      <c r="A6577" s="34" t="s">
        <v>40</v>
      </c>
      <c r="B6577" s="358">
        <v>44166</v>
      </c>
      <c r="C6577" s="1">
        <v>302</v>
      </c>
      <c r="D6577" s="214">
        <f>C6577+D6553</f>
        <v>66235</v>
      </c>
      <c r="E6577" s="1">
        <v>26</v>
      </c>
      <c r="F6577" s="79">
        <f t="shared" si="553"/>
        <v>1210</v>
      </c>
    </row>
    <row r="6578" spans="1:6" ht="15.75" thickBot="1" x14ac:dyDescent="0.3">
      <c r="A6578" s="34" t="s">
        <v>16</v>
      </c>
      <c r="B6578" s="358">
        <v>44167</v>
      </c>
      <c r="C6578" s="1">
        <v>1924</v>
      </c>
      <c r="D6578" s="211">
        <f t="shared" si="552"/>
        <v>622778</v>
      </c>
      <c r="E6578" s="1">
        <v>82</v>
      </c>
      <c r="F6578" s="77">
        <f t="shared" si="553"/>
        <v>20841</v>
      </c>
    </row>
    <row r="6579" spans="1:6" ht="15.75" thickBot="1" x14ac:dyDescent="0.3">
      <c r="A6579" s="34" t="s">
        <v>43</v>
      </c>
      <c r="B6579" s="358">
        <v>44167</v>
      </c>
      <c r="C6579" s="1">
        <v>306</v>
      </c>
      <c r="D6579" s="47">
        <f t="shared" si="552"/>
        <v>159509</v>
      </c>
      <c r="E6579" s="1">
        <v>12</v>
      </c>
      <c r="F6579" s="78">
        <f t="shared" si="553"/>
        <v>5272</v>
      </c>
    </row>
    <row r="6580" spans="1:6" ht="15.75" thickBot="1" x14ac:dyDescent="0.3">
      <c r="A6580" s="34" t="s">
        <v>28</v>
      </c>
      <c r="B6580" s="358">
        <v>44167</v>
      </c>
      <c r="C6580" s="1">
        <v>8</v>
      </c>
      <c r="D6580" s="47">
        <f t="shared" si="552"/>
        <v>1891</v>
      </c>
      <c r="E6580" s="1">
        <v>1</v>
      </c>
      <c r="F6580" s="78">
        <f t="shared" si="553"/>
        <v>16</v>
      </c>
    </row>
    <row r="6581" spans="1:6" ht="15.75" thickBot="1" x14ac:dyDescent="0.3">
      <c r="A6581" s="34" t="s">
        <v>15</v>
      </c>
      <c r="B6581" s="358">
        <v>44167</v>
      </c>
      <c r="C6581" s="1">
        <v>198</v>
      </c>
      <c r="D6581" s="47">
        <f t="shared" si="552"/>
        <v>19793</v>
      </c>
      <c r="E6581" s="1">
        <v>6</v>
      </c>
      <c r="F6581" s="78">
        <f t="shared" si="553"/>
        <v>572</v>
      </c>
    </row>
    <row r="6582" spans="1:6" ht="15.75" thickBot="1" x14ac:dyDescent="0.3">
      <c r="A6582" s="34" t="s">
        <v>29</v>
      </c>
      <c r="B6582" s="358">
        <v>44167</v>
      </c>
      <c r="C6582" s="1">
        <v>256</v>
      </c>
      <c r="D6582" s="47">
        <f t="shared" si="552"/>
        <v>23545</v>
      </c>
      <c r="E6582" s="1">
        <v>8</v>
      </c>
      <c r="F6582" s="78">
        <f t="shared" si="553"/>
        <v>389</v>
      </c>
    </row>
    <row r="6583" spans="1:6" ht="15.75" thickBot="1" x14ac:dyDescent="0.3">
      <c r="A6583" s="34" t="s">
        <v>20</v>
      </c>
      <c r="B6583" s="358">
        <v>44167</v>
      </c>
      <c r="C6583" s="1">
        <v>790</v>
      </c>
      <c r="D6583" s="47">
        <f t="shared" si="552"/>
        <v>115712</v>
      </c>
      <c r="E6583" s="1">
        <v>22</v>
      </c>
      <c r="F6583" s="78">
        <f t="shared" si="553"/>
        <v>2030</v>
      </c>
    </row>
    <row r="6584" spans="1:6" ht="15.75" thickBot="1" x14ac:dyDescent="0.3">
      <c r="A6584" s="34" t="s">
        <v>30</v>
      </c>
      <c r="B6584" s="358">
        <v>44167</v>
      </c>
      <c r="C6584" s="1">
        <v>211</v>
      </c>
      <c r="D6584" s="47">
        <f t="shared" si="552"/>
        <v>7502</v>
      </c>
      <c r="F6584" s="78">
        <f t="shared" si="553"/>
        <v>88</v>
      </c>
    </row>
    <row r="6585" spans="1:6" ht="15.75" thickBot="1" x14ac:dyDescent="0.3">
      <c r="A6585" s="34" t="s">
        <v>31</v>
      </c>
      <c r="B6585" s="358">
        <v>44167</v>
      </c>
      <c r="C6585" s="1">
        <v>296</v>
      </c>
      <c r="D6585" s="47">
        <f t="shared" si="552"/>
        <v>23800</v>
      </c>
      <c r="E6585" s="1">
        <v>4</v>
      </c>
      <c r="F6585" s="78">
        <f t="shared" si="553"/>
        <v>475</v>
      </c>
    </row>
    <row r="6586" spans="1:6" ht="15.75" thickBot="1" x14ac:dyDescent="0.3">
      <c r="A6586" s="34" t="s">
        <v>41</v>
      </c>
      <c r="B6586" s="358">
        <v>44167</v>
      </c>
      <c r="C6586" s="1">
        <v>4</v>
      </c>
      <c r="D6586" s="47">
        <f t="shared" si="552"/>
        <v>187</v>
      </c>
      <c r="F6586" s="78">
        <f t="shared" si="553"/>
        <v>3</v>
      </c>
    </row>
    <row r="6587" spans="1:6" ht="15.75" thickBot="1" x14ac:dyDescent="0.3">
      <c r="A6587" s="34" t="s">
        <v>32</v>
      </c>
      <c r="B6587" s="358">
        <v>44167</v>
      </c>
      <c r="C6587" s="1">
        <v>6</v>
      </c>
      <c r="D6587" s="47">
        <f t="shared" si="552"/>
        <v>18403</v>
      </c>
      <c r="F6587" s="78">
        <f t="shared" si="553"/>
        <v>850</v>
      </c>
    </row>
    <row r="6588" spans="1:6" ht="15.75" thickBot="1" x14ac:dyDescent="0.3">
      <c r="A6588" s="34" t="s">
        <v>33</v>
      </c>
      <c r="B6588" s="358">
        <v>44167</v>
      </c>
      <c r="C6588" s="1">
        <v>104</v>
      </c>
      <c r="D6588" s="47">
        <f t="shared" si="552"/>
        <v>5977</v>
      </c>
      <c r="F6588" s="78">
        <f t="shared" si="553"/>
        <v>85</v>
      </c>
    </row>
    <row r="6589" spans="1:6" ht="15.75" thickBot="1" x14ac:dyDescent="0.3">
      <c r="A6589" s="34" t="s">
        <v>21</v>
      </c>
      <c r="B6589" s="358">
        <v>44167</v>
      </c>
      <c r="C6589" s="1">
        <v>33</v>
      </c>
      <c r="D6589" s="47">
        <f t="shared" si="552"/>
        <v>8768</v>
      </c>
      <c r="E6589" s="1">
        <v>1</v>
      </c>
      <c r="F6589" s="78">
        <f t="shared" si="553"/>
        <v>317</v>
      </c>
    </row>
    <row r="6590" spans="1:6" ht="15.75" thickBot="1" x14ac:dyDescent="0.3">
      <c r="A6590" s="34" t="s">
        <v>17</v>
      </c>
      <c r="B6590" s="358">
        <v>44167</v>
      </c>
      <c r="C6590" s="1">
        <v>214</v>
      </c>
      <c r="D6590" s="47">
        <f t="shared" si="552"/>
        <v>57023</v>
      </c>
      <c r="E6590" s="1">
        <v>2</v>
      </c>
      <c r="F6590" s="78">
        <f t="shared" si="553"/>
        <v>1112</v>
      </c>
    </row>
    <row r="6591" spans="1:6" ht="15.75" thickBot="1" x14ac:dyDescent="0.3">
      <c r="A6591" s="34" t="s">
        <v>23</v>
      </c>
      <c r="B6591" s="358">
        <v>44167</v>
      </c>
      <c r="C6591" s="1">
        <v>14</v>
      </c>
      <c r="D6591" s="47">
        <f t="shared" si="552"/>
        <v>533</v>
      </c>
      <c r="F6591" s="78">
        <f t="shared" si="553"/>
        <v>9</v>
      </c>
    </row>
    <row r="6592" spans="1:6" ht="15.75" thickBot="1" x14ac:dyDescent="0.3">
      <c r="A6592" s="34" t="s">
        <v>19</v>
      </c>
      <c r="B6592" s="358">
        <v>44167</v>
      </c>
      <c r="C6592" s="1">
        <v>389</v>
      </c>
      <c r="D6592" s="47">
        <f t="shared" si="552"/>
        <v>32801</v>
      </c>
      <c r="E6592" s="1">
        <v>23</v>
      </c>
      <c r="F6592" s="78">
        <f t="shared" si="553"/>
        <v>642</v>
      </c>
    </row>
    <row r="6593" spans="1:6" ht="15.75" thickBot="1" x14ac:dyDescent="0.3">
      <c r="A6593" s="34" t="s">
        <v>18</v>
      </c>
      <c r="B6593" s="358">
        <v>44167</v>
      </c>
      <c r="C6593" s="1">
        <v>258</v>
      </c>
      <c r="D6593" s="47">
        <f t="shared" si="552"/>
        <v>32207</v>
      </c>
      <c r="E6593" s="1">
        <v>3</v>
      </c>
      <c r="F6593" s="78">
        <f t="shared" si="553"/>
        <v>794</v>
      </c>
    </row>
    <row r="6594" spans="1:6" ht="15.75" thickBot="1" x14ac:dyDescent="0.3">
      <c r="A6594" s="34" t="s">
        <v>34</v>
      </c>
      <c r="B6594" s="358">
        <v>44167</v>
      </c>
      <c r="C6594" s="1">
        <v>49</v>
      </c>
      <c r="D6594" s="47">
        <f t="shared" si="552"/>
        <v>21251</v>
      </c>
      <c r="E6594" s="1">
        <v>1</v>
      </c>
      <c r="F6594" s="78">
        <f t="shared" si="553"/>
        <v>984</v>
      </c>
    </row>
    <row r="6595" spans="1:6" ht="15.75" thickBot="1" x14ac:dyDescent="0.3">
      <c r="A6595" s="34" t="s">
        <v>35</v>
      </c>
      <c r="B6595" s="358">
        <v>44167</v>
      </c>
      <c r="C6595" s="1">
        <v>250</v>
      </c>
      <c r="D6595" s="47">
        <f t="shared" si="552"/>
        <v>8067</v>
      </c>
      <c r="F6595" s="78">
        <f t="shared" si="553"/>
        <v>173</v>
      </c>
    </row>
    <row r="6596" spans="1:6" ht="15.75" thickBot="1" x14ac:dyDescent="0.3">
      <c r="A6596" s="34" t="s">
        <v>36</v>
      </c>
      <c r="B6596" s="358">
        <v>44167</v>
      </c>
      <c r="C6596" s="1">
        <v>101</v>
      </c>
      <c r="D6596" s="47">
        <f t="shared" si="552"/>
        <v>14809</v>
      </c>
      <c r="E6596" s="1">
        <v>5</v>
      </c>
      <c r="F6596" s="78">
        <f t="shared" si="553"/>
        <v>220</v>
      </c>
    </row>
    <row r="6597" spans="1:6" ht="15.75" thickBot="1" x14ac:dyDescent="0.3">
      <c r="A6597" s="34" t="s">
        <v>37</v>
      </c>
      <c r="B6597" s="358">
        <v>44167</v>
      </c>
      <c r="C6597" s="1">
        <v>237</v>
      </c>
      <c r="D6597" s="47">
        <f t="shared" si="552"/>
        <v>16478</v>
      </c>
      <c r="E6597" s="1">
        <v>4</v>
      </c>
      <c r="F6597" s="78">
        <f t="shared" si="553"/>
        <v>284</v>
      </c>
    </row>
    <row r="6598" spans="1:6" ht="15.75" thickBot="1" x14ac:dyDescent="0.3">
      <c r="A6598" s="34" t="s">
        <v>22</v>
      </c>
      <c r="B6598" s="358">
        <v>44167</v>
      </c>
      <c r="C6598" s="1">
        <v>1377</v>
      </c>
      <c r="D6598" s="47">
        <f t="shared" si="552"/>
        <v>150352</v>
      </c>
      <c r="E6598" s="1">
        <v>41</v>
      </c>
      <c r="F6598" s="78">
        <f t="shared" si="553"/>
        <v>2329</v>
      </c>
    </row>
    <row r="6599" spans="1:6" ht="15.75" thickBot="1" x14ac:dyDescent="0.3">
      <c r="A6599" s="34" t="s">
        <v>38</v>
      </c>
      <c r="B6599" s="358">
        <v>44167</v>
      </c>
      <c r="C6599" s="1">
        <v>129</v>
      </c>
      <c r="D6599" s="47">
        <f t="shared" si="552"/>
        <v>15843</v>
      </c>
      <c r="E6599" s="1">
        <v>1</v>
      </c>
      <c r="F6599" s="78">
        <f t="shared" si="553"/>
        <v>191</v>
      </c>
    </row>
    <row r="6600" spans="1:6" ht="15.75" thickBot="1" x14ac:dyDescent="0.3">
      <c r="A6600" s="34" t="s">
        <v>39</v>
      </c>
      <c r="B6600" s="358">
        <v>44167</v>
      </c>
      <c r="C6600" s="1">
        <v>128</v>
      </c>
      <c r="D6600" s="47">
        <f t="shared" si="552"/>
        <v>16388</v>
      </c>
      <c r="F6600" s="78">
        <f t="shared" si="553"/>
        <v>235</v>
      </c>
    </row>
    <row r="6601" spans="1:6" ht="15.75" thickBot="1" x14ac:dyDescent="0.3">
      <c r="A6601" s="48" t="s">
        <v>40</v>
      </c>
      <c r="B6601" s="357">
        <v>44167</v>
      </c>
      <c r="C6601" s="300">
        <v>251</v>
      </c>
      <c r="D6601" s="81">
        <f>C6601+D6577</f>
        <v>66486</v>
      </c>
      <c r="E6601" s="300">
        <v>12</v>
      </c>
      <c r="F6601" s="83">
        <f t="shared" si="553"/>
        <v>1222</v>
      </c>
    </row>
    <row r="6602" spans="1:6" x14ac:dyDescent="0.25">
      <c r="A6602" s="36" t="s">
        <v>16</v>
      </c>
      <c r="B6602" s="354">
        <v>44168</v>
      </c>
      <c r="C6602" s="53">
        <v>1816</v>
      </c>
      <c r="D6602" s="211">
        <f t="shared" si="552"/>
        <v>624594</v>
      </c>
      <c r="E6602" s="53">
        <v>39</v>
      </c>
      <c r="F6602" s="77">
        <f t="shared" si="553"/>
        <v>20880</v>
      </c>
    </row>
    <row r="6603" spans="1:6" x14ac:dyDescent="0.25">
      <c r="A6603" s="84" t="s">
        <v>43</v>
      </c>
      <c r="B6603" s="2">
        <v>44168</v>
      </c>
      <c r="C6603" s="1">
        <v>372</v>
      </c>
      <c r="D6603" s="47">
        <f t="shared" si="552"/>
        <v>159881</v>
      </c>
      <c r="E6603" s="1">
        <v>5</v>
      </c>
      <c r="F6603" s="78">
        <f t="shared" si="553"/>
        <v>5277</v>
      </c>
    </row>
    <row r="6604" spans="1:6" x14ac:dyDescent="0.25">
      <c r="A6604" s="84" t="s">
        <v>28</v>
      </c>
      <c r="B6604" s="2">
        <v>44168</v>
      </c>
      <c r="C6604" s="1">
        <v>17</v>
      </c>
      <c r="D6604" s="47">
        <f t="shared" si="552"/>
        <v>1908</v>
      </c>
      <c r="E6604" s="1">
        <v>1</v>
      </c>
      <c r="F6604" s="78">
        <f t="shared" si="553"/>
        <v>17</v>
      </c>
    </row>
    <row r="6605" spans="1:6" x14ac:dyDescent="0.25">
      <c r="A6605" s="84" t="s">
        <v>15</v>
      </c>
      <c r="B6605" s="2">
        <v>44168</v>
      </c>
      <c r="C6605" s="1">
        <v>335</v>
      </c>
      <c r="D6605" s="47">
        <f t="shared" si="552"/>
        <v>20128</v>
      </c>
      <c r="E6605" s="1">
        <v>4</v>
      </c>
      <c r="F6605" s="78">
        <f t="shared" si="553"/>
        <v>576</v>
      </c>
    </row>
    <row r="6606" spans="1:6" x14ac:dyDescent="0.25">
      <c r="A6606" s="84" t="s">
        <v>29</v>
      </c>
      <c r="B6606" s="2">
        <v>44168</v>
      </c>
      <c r="C6606" s="1">
        <v>316</v>
      </c>
      <c r="D6606" s="47">
        <f t="shared" si="552"/>
        <v>23861</v>
      </c>
      <c r="E6606" s="1">
        <v>9</v>
      </c>
      <c r="F6606" s="78">
        <f t="shared" si="553"/>
        <v>398</v>
      </c>
    </row>
    <row r="6607" spans="1:6" x14ac:dyDescent="0.25">
      <c r="A6607" s="84" t="s">
        <v>20</v>
      </c>
      <c r="B6607" s="2">
        <v>44168</v>
      </c>
      <c r="C6607" s="1">
        <v>532</v>
      </c>
      <c r="D6607" s="47">
        <f t="shared" si="552"/>
        <v>116244</v>
      </c>
      <c r="E6607" s="1">
        <v>8</v>
      </c>
      <c r="F6607" s="78">
        <f t="shared" si="553"/>
        <v>2038</v>
      </c>
    </row>
    <row r="6608" spans="1:6" x14ac:dyDescent="0.25">
      <c r="A6608" s="84" t="s">
        <v>30</v>
      </c>
      <c r="B6608" s="2">
        <v>44168</v>
      </c>
      <c r="C6608" s="1">
        <v>374</v>
      </c>
      <c r="D6608" s="47">
        <f t="shared" si="552"/>
        <v>7876</v>
      </c>
      <c r="E6608" s="1">
        <v>0</v>
      </c>
      <c r="F6608" s="78">
        <f t="shared" si="553"/>
        <v>88</v>
      </c>
    </row>
    <row r="6609" spans="1:6" x14ac:dyDescent="0.25">
      <c r="A6609" s="84" t="s">
        <v>31</v>
      </c>
      <c r="B6609" s="2">
        <v>44168</v>
      </c>
      <c r="C6609" s="1">
        <v>184</v>
      </c>
      <c r="D6609" s="47">
        <f t="shared" si="552"/>
        <v>23984</v>
      </c>
      <c r="E6609" s="1">
        <v>3</v>
      </c>
      <c r="F6609" s="78">
        <f t="shared" si="553"/>
        <v>478</v>
      </c>
    </row>
    <row r="6610" spans="1:6" x14ac:dyDescent="0.25">
      <c r="A6610" s="84" t="s">
        <v>41</v>
      </c>
      <c r="B6610" s="2">
        <v>44168</v>
      </c>
      <c r="C6610" s="1">
        <v>2</v>
      </c>
      <c r="D6610" s="47">
        <f t="shared" si="552"/>
        <v>189</v>
      </c>
      <c r="E6610" s="1">
        <v>0</v>
      </c>
      <c r="F6610" s="78">
        <f t="shared" si="553"/>
        <v>3</v>
      </c>
    </row>
    <row r="6611" spans="1:6" x14ac:dyDescent="0.25">
      <c r="A6611" s="84" t="s">
        <v>32</v>
      </c>
      <c r="B6611" s="2">
        <v>44168</v>
      </c>
      <c r="C6611" s="1">
        <v>7</v>
      </c>
      <c r="D6611" s="47">
        <f t="shared" si="552"/>
        <v>18410</v>
      </c>
      <c r="E6611" s="1">
        <v>0</v>
      </c>
      <c r="F6611" s="78">
        <f t="shared" si="553"/>
        <v>850</v>
      </c>
    </row>
    <row r="6612" spans="1:6" x14ac:dyDescent="0.25">
      <c r="A6612" s="84" t="s">
        <v>33</v>
      </c>
      <c r="B6612" s="2">
        <v>44168</v>
      </c>
      <c r="C6612" s="1">
        <v>97</v>
      </c>
      <c r="D6612" s="47">
        <f t="shared" si="552"/>
        <v>6074</v>
      </c>
      <c r="E6612" s="1">
        <v>2</v>
      </c>
      <c r="F6612" s="78">
        <f t="shared" si="553"/>
        <v>87</v>
      </c>
    </row>
    <row r="6613" spans="1:6" x14ac:dyDescent="0.25">
      <c r="A6613" s="84" t="s">
        <v>21</v>
      </c>
      <c r="B6613" s="2">
        <v>44168</v>
      </c>
      <c r="C6613" s="1">
        <v>32</v>
      </c>
      <c r="D6613" s="47">
        <f t="shared" si="552"/>
        <v>8800</v>
      </c>
      <c r="E6613" s="1">
        <v>3</v>
      </c>
      <c r="F6613" s="78">
        <f t="shared" si="553"/>
        <v>320</v>
      </c>
    </row>
    <row r="6614" spans="1:6" x14ac:dyDescent="0.25">
      <c r="A6614" s="84" t="s">
        <v>17</v>
      </c>
      <c r="B6614" s="2">
        <v>44168</v>
      </c>
      <c r="C6614" s="1">
        <v>242</v>
      </c>
      <c r="D6614" s="47">
        <f t="shared" si="552"/>
        <v>57265</v>
      </c>
      <c r="E6614" s="1">
        <v>8</v>
      </c>
      <c r="F6614" s="78">
        <f t="shared" si="553"/>
        <v>1120</v>
      </c>
    </row>
    <row r="6615" spans="1:6" x14ac:dyDescent="0.25">
      <c r="A6615" s="84" t="s">
        <v>23</v>
      </c>
      <c r="B6615" s="2">
        <v>44168</v>
      </c>
      <c r="C6615" s="1">
        <v>9</v>
      </c>
      <c r="D6615" s="47">
        <f t="shared" si="552"/>
        <v>542</v>
      </c>
      <c r="E6615" s="1">
        <v>0</v>
      </c>
      <c r="F6615" s="78">
        <f t="shared" si="553"/>
        <v>9</v>
      </c>
    </row>
    <row r="6616" spans="1:6" x14ac:dyDescent="0.25">
      <c r="A6616" s="84" t="s">
        <v>19</v>
      </c>
      <c r="B6616" s="2">
        <v>44168</v>
      </c>
      <c r="C6616" s="1">
        <v>554</v>
      </c>
      <c r="D6616" s="47">
        <f t="shared" si="552"/>
        <v>33355</v>
      </c>
      <c r="E6616" s="1">
        <v>0</v>
      </c>
      <c r="F6616" s="78">
        <f t="shared" si="553"/>
        <v>642</v>
      </c>
    </row>
    <row r="6617" spans="1:6" x14ac:dyDescent="0.25">
      <c r="A6617" s="84" t="s">
        <v>18</v>
      </c>
      <c r="B6617" s="2">
        <v>44168</v>
      </c>
      <c r="C6617" s="1">
        <v>209</v>
      </c>
      <c r="D6617" s="47">
        <f t="shared" si="552"/>
        <v>32416</v>
      </c>
      <c r="E6617" s="1">
        <v>2</v>
      </c>
      <c r="F6617" s="78">
        <f t="shared" si="553"/>
        <v>796</v>
      </c>
    </row>
    <row r="6618" spans="1:6" x14ac:dyDescent="0.25">
      <c r="A6618" s="84" t="s">
        <v>34</v>
      </c>
      <c r="B6618" s="2">
        <v>44168</v>
      </c>
      <c r="C6618" s="1">
        <v>81</v>
      </c>
      <c r="D6618" s="47">
        <f t="shared" ref="D6618:D6624" si="554">C6618+D6594</f>
        <v>21332</v>
      </c>
      <c r="E6618" s="1">
        <v>2</v>
      </c>
      <c r="F6618" s="78">
        <f t="shared" si="553"/>
        <v>986</v>
      </c>
    </row>
    <row r="6619" spans="1:6" x14ac:dyDescent="0.25">
      <c r="A6619" s="84" t="s">
        <v>35</v>
      </c>
      <c r="B6619" s="2">
        <v>44168</v>
      </c>
      <c r="C6619" s="1">
        <v>168</v>
      </c>
      <c r="D6619" s="47">
        <f t="shared" si="554"/>
        <v>8235</v>
      </c>
      <c r="E6619" s="1">
        <v>0</v>
      </c>
      <c r="F6619" s="78">
        <f t="shared" si="553"/>
        <v>173</v>
      </c>
    </row>
    <row r="6620" spans="1:6" x14ac:dyDescent="0.25">
      <c r="A6620" s="84" t="s">
        <v>36</v>
      </c>
      <c r="B6620" s="2">
        <v>44168</v>
      </c>
      <c r="C6620" s="1">
        <v>149</v>
      </c>
      <c r="D6620" s="47">
        <f t="shared" si="554"/>
        <v>14958</v>
      </c>
      <c r="E6620" s="1">
        <v>8</v>
      </c>
      <c r="F6620" s="78">
        <f t="shared" si="553"/>
        <v>228</v>
      </c>
    </row>
    <row r="6621" spans="1:6" x14ac:dyDescent="0.25">
      <c r="A6621" s="84" t="s">
        <v>37</v>
      </c>
      <c r="B6621" s="2">
        <v>44168</v>
      </c>
      <c r="C6621" s="1">
        <v>218</v>
      </c>
      <c r="D6621" s="47">
        <f t="shared" si="554"/>
        <v>16696</v>
      </c>
      <c r="E6621" s="1">
        <v>6</v>
      </c>
      <c r="F6621" s="78">
        <f t="shared" si="553"/>
        <v>290</v>
      </c>
    </row>
    <row r="6622" spans="1:6" x14ac:dyDescent="0.25">
      <c r="A6622" s="84" t="s">
        <v>22</v>
      </c>
      <c r="B6622" s="2">
        <v>44168</v>
      </c>
      <c r="C6622" s="1">
        <v>1332</v>
      </c>
      <c r="D6622" s="47">
        <f t="shared" si="554"/>
        <v>151684</v>
      </c>
      <c r="E6622" s="1">
        <v>38</v>
      </c>
      <c r="F6622" s="78">
        <f t="shared" si="553"/>
        <v>2367</v>
      </c>
    </row>
    <row r="6623" spans="1:6" x14ac:dyDescent="0.25">
      <c r="A6623" s="84" t="s">
        <v>38</v>
      </c>
      <c r="B6623" s="2">
        <v>44168</v>
      </c>
      <c r="C6623" s="1">
        <v>99</v>
      </c>
      <c r="D6623" s="47">
        <f t="shared" si="554"/>
        <v>15942</v>
      </c>
      <c r="E6623" s="1">
        <v>4</v>
      </c>
      <c r="F6623" s="78">
        <f t="shared" si="553"/>
        <v>195</v>
      </c>
    </row>
    <row r="6624" spans="1:6" x14ac:dyDescent="0.25">
      <c r="A6624" s="84" t="s">
        <v>39</v>
      </c>
      <c r="B6624" s="2">
        <v>44168</v>
      </c>
      <c r="C6624" s="1">
        <v>93</v>
      </c>
      <c r="D6624" s="47">
        <f t="shared" si="554"/>
        <v>16481</v>
      </c>
      <c r="E6624" s="1">
        <v>1</v>
      </c>
      <c r="F6624" s="78">
        <f t="shared" si="553"/>
        <v>236</v>
      </c>
    </row>
    <row r="6625" spans="1:6" ht="15.75" thickBot="1" x14ac:dyDescent="0.3">
      <c r="A6625" s="85" t="s">
        <v>40</v>
      </c>
      <c r="B6625" s="355">
        <v>44168</v>
      </c>
      <c r="C6625" s="54">
        <v>391</v>
      </c>
      <c r="D6625" s="214">
        <f t="shared" ref="D6625:D6656" si="555">C6625+D6601</f>
        <v>66877</v>
      </c>
      <c r="E6625" s="54">
        <v>6</v>
      </c>
      <c r="F6625" s="79">
        <f t="shared" si="553"/>
        <v>1228</v>
      </c>
    </row>
    <row r="6626" spans="1:6" ht="15.75" thickBot="1" x14ac:dyDescent="0.3">
      <c r="A6626" s="36" t="s">
        <v>16</v>
      </c>
      <c r="B6626" s="355">
        <v>44169</v>
      </c>
      <c r="C6626" s="293">
        <v>1790</v>
      </c>
      <c r="D6626" s="211">
        <f t="shared" si="555"/>
        <v>626384</v>
      </c>
      <c r="E6626" s="293">
        <v>84</v>
      </c>
      <c r="F6626" s="77">
        <f t="shared" ref="F6626:F6657" si="556">E6626+F6602</f>
        <v>20964</v>
      </c>
    </row>
    <row r="6627" spans="1:6" ht="15.75" thickBot="1" x14ac:dyDescent="0.3">
      <c r="A6627" s="84" t="s">
        <v>43</v>
      </c>
      <c r="B6627" s="355">
        <v>44169</v>
      </c>
      <c r="C6627" s="1">
        <v>313</v>
      </c>
      <c r="D6627" s="47">
        <f t="shared" si="555"/>
        <v>160194</v>
      </c>
      <c r="E6627" s="293">
        <v>6</v>
      </c>
      <c r="F6627" s="78">
        <f t="shared" si="556"/>
        <v>5283</v>
      </c>
    </row>
    <row r="6628" spans="1:6" ht="15.75" thickBot="1" x14ac:dyDescent="0.3">
      <c r="A6628" s="84" t="s">
        <v>28</v>
      </c>
      <c r="B6628" s="355">
        <v>44169</v>
      </c>
      <c r="C6628" s="1">
        <v>33</v>
      </c>
      <c r="D6628" s="47">
        <f t="shared" si="555"/>
        <v>1941</v>
      </c>
      <c r="E6628" s="293">
        <v>0</v>
      </c>
      <c r="F6628" s="78">
        <f t="shared" si="556"/>
        <v>17</v>
      </c>
    </row>
    <row r="6629" spans="1:6" ht="15.75" thickBot="1" x14ac:dyDescent="0.3">
      <c r="A6629" s="84" t="s">
        <v>15</v>
      </c>
      <c r="B6629" s="355">
        <v>44169</v>
      </c>
      <c r="C6629" s="1">
        <v>205</v>
      </c>
      <c r="D6629" s="47">
        <f t="shared" si="555"/>
        <v>20333</v>
      </c>
      <c r="E6629" s="293">
        <v>5</v>
      </c>
      <c r="F6629" s="78">
        <f t="shared" si="556"/>
        <v>581</v>
      </c>
    </row>
    <row r="6630" spans="1:6" ht="15.75" thickBot="1" x14ac:dyDescent="0.3">
      <c r="A6630" s="84" t="s">
        <v>29</v>
      </c>
      <c r="B6630" s="355">
        <v>44169</v>
      </c>
      <c r="C6630" s="1">
        <v>336</v>
      </c>
      <c r="D6630" s="47">
        <f t="shared" si="555"/>
        <v>24197</v>
      </c>
      <c r="E6630" s="293">
        <v>2</v>
      </c>
      <c r="F6630" s="78">
        <f t="shared" si="556"/>
        <v>400</v>
      </c>
    </row>
    <row r="6631" spans="1:6" ht="15.75" thickBot="1" x14ac:dyDescent="0.3">
      <c r="A6631" s="84" t="s">
        <v>20</v>
      </c>
      <c r="B6631" s="355">
        <v>44169</v>
      </c>
      <c r="C6631" s="1">
        <v>555</v>
      </c>
      <c r="D6631" s="47">
        <f t="shared" si="555"/>
        <v>116799</v>
      </c>
      <c r="E6631" s="293">
        <v>10</v>
      </c>
      <c r="F6631" s="78">
        <f t="shared" si="556"/>
        <v>2048</v>
      </c>
    </row>
    <row r="6632" spans="1:6" ht="15.75" thickBot="1" x14ac:dyDescent="0.3">
      <c r="A6632" s="84" t="s">
        <v>30</v>
      </c>
      <c r="B6632" s="355">
        <v>44169</v>
      </c>
      <c r="C6632" s="1">
        <v>522</v>
      </c>
      <c r="D6632" s="47">
        <f t="shared" si="555"/>
        <v>8398</v>
      </c>
      <c r="E6632" s="293">
        <v>0</v>
      </c>
      <c r="F6632" s="78">
        <f t="shared" si="556"/>
        <v>88</v>
      </c>
    </row>
    <row r="6633" spans="1:6" ht="15.75" thickBot="1" x14ac:dyDescent="0.3">
      <c r="A6633" s="84" t="s">
        <v>31</v>
      </c>
      <c r="B6633" s="355">
        <v>44169</v>
      </c>
      <c r="C6633" s="1">
        <v>197</v>
      </c>
      <c r="D6633" s="47">
        <f t="shared" si="555"/>
        <v>24181</v>
      </c>
      <c r="E6633" s="293">
        <v>7</v>
      </c>
      <c r="F6633" s="78">
        <f t="shared" si="556"/>
        <v>485</v>
      </c>
    </row>
    <row r="6634" spans="1:6" ht="15.75" thickBot="1" x14ac:dyDescent="0.3">
      <c r="A6634" s="84" t="s">
        <v>41</v>
      </c>
      <c r="B6634" s="355">
        <v>44169</v>
      </c>
      <c r="C6634" s="1">
        <v>0</v>
      </c>
      <c r="D6634" s="47">
        <f t="shared" si="555"/>
        <v>189</v>
      </c>
      <c r="E6634" s="293">
        <v>0</v>
      </c>
      <c r="F6634" s="78">
        <f t="shared" si="556"/>
        <v>3</v>
      </c>
    </row>
    <row r="6635" spans="1:6" ht="15.75" thickBot="1" x14ac:dyDescent="0.3">
      <c r="A6635" s="84" t="s">
        <v>32</v>
      </c>
      <c r="B6635" s="355">
        <v>44169</v>
      </c>
      <c r="C6635" s="1">
        <v>2</v>
      </c>
      <c r="D6635" s="47">
        <f t="shared" si="555"/>
        <v>18412</v>
      </c>
      <c r="E6635" s="293">
        <v>0</v>
      </c>
      <c r="F6635" s="78">
        <f t="shared" si="556"/>
        <v>850</v>
      </c>
    </row>
    <row r="6636" spans="1:6" ht="15.75" thickBot="1" x14ac:dyDescent="0.3">
      <c r="A6636" s="84" t="s">
        <v>33</v>
      </c>
      <c r="B6636" s="355">
        <v>44169</v>
      </c>
      <c r="C6636" s="1">
        <v>77</v>
      </c>
      <c r="D6636" s="47">
        <f t="shared" si="555"/>
        <v>6151</v>
      </c>
      <c r="E6636" s="293">
        <v>1</v>
      </c>
      <c r="F6636" s="78">
        <f t="shared" si="556"/>
        <v>88</v>
      </c>
    </row>
    <row r="6637" spans="1:6" ht="15.75" thickBot="1" x14ac:dyDescent="0.3">
      <c r="A6637" s="84" t="s">
        <v>21</v>
      </c>
      <c r="B6637" s="355">
        <v>44169</v>
      </c>
      <c r="C6637" s="1">
        <v>12</v>
      </c>
      <c r="D6637" s="47">
        <f t="shared" si="555"/>
        <v>8812</v>
      </c>
      <c r="E6637" s="293">
        <v>0</v>
      </c>
      <c r="F6637" s="78">
        <f t="shared" si="556"/>
        <v>320</v>
      </c>
    </row>
    <row r="6638" spans="1:6" ht="15.75" thickBot="1" x14ac:dyDescent="0.3">
      <c r="A6638" s="84" t="s">
        <v>17</v>
      </c>
      <c r="B6638" s="355">
        <v>44169</v>
      </c>
      <c r="C6638" s="1">
        <v>162</v>
      </c>
      <c r="D6638" s="47">
        <f t="shared" si="555"/>
        <v>57427</v>
      </c>
      <c r="E6638" s="293">
        <v>19</v>
      </c>
      <c r="F6638" s="78">
        <f t="shared" si="556"/>
        <v>1139</v>
      </c>
    </row>
    <row r="6639" spans="1:6" ht="15.75" thickBot="1" x14ac:dyDescent="0.3">
      <c r="A6639" s="84" t="s">
        <v>23</v>
      </c>
      <c r="B6639" s="355">
        <v>44169</v>
      </c>
      <c r="C6639" s="1">
        <v>21</v>
      </c>
      <c r="D6639" s="47">
        <f t="shared" si="555"/>
        <v>563</v>
      </c>
      <c r="E6639" s="293">
        <v>0</v>
      </c>
      <c r="F6639" s="78">
        <f t="shared" si="556"/>
        <v>9</v>
      </c>
    </row>
    <row r="6640" spans="1:6" ht="15.75" thickBot="1" x14ac:dyDescent="0.3">
      <c r="A6640" s="84" t="s">
        <v>19</v>
      </c>
      <c r="B6640" s="355">
        <v>44169</v>
      </c>
      <c r="C6640" s="1">
        <v>600</v>
      </c>
      <c r="D6640" s="47">
        <f t="shared" si="555"/>
        <v>33955</v>
      </c>
      <c r="E6640" s="293">
        <v>6</v>
      </c>
      <c r="F6640" s="78">
        <f t="shared" si="556"/>
        <v>648</v>
      </c>
    </row>
    <row r="6641" spans="1:6" ht="15.75" thickBot="1" x14ac:dyDescent="0.3">
      <c r="A6641" s="84" t="s">
        <v>18</v>
      </c>
      <c r="B6641" s="355">
        <v>44169</v>
      </c>
      <c r="C6641" s="1">
        <v>201</v>
      </c>
      <c r="D6641" s="47">
        <f t="shared" si="555"/>
        <v>32617</v>
      </c>
      <c r="E6641" s="293">
        <v>0</v>
      </c>
      <c r="F6641" s="78">
        <f t="shared" si="556"/>
        <v>796</v>
      </c>
    </row>
    <row r="6642" spans="1:6" ht="15.75" thickBot="1" x14ac:dyDescent="0.3">
      <c r="A6642" s="84" t="s">
        <v>34</v>
      </c>
      <c r="B6642" s="355">
        <v>44169</v>
      </c>
      <c r="C6642" s="1">
        <v>48</v>
      </c>
      <c r="D6642" s="47">
        <f t="shared" si="555"/>
        <v>21380</v>
      </c>
      <c r="E6642" s="293">
        <v>4</v>
      </c>
      <c r="F6642" s="78">
        <f t="shared" si="556"/>
        <v>990</v>
      </c>
    </row>
    <row r="6643" spans="1:6" ht="15.75" thickBot="1" x14ac:dyDescent="0.3">
      <c r="A6643" s="84" t="s">
        <v>35</v>
      </c>
      <c r="B6643" s="355">
        <v>44169</v>
      </c>
      <c r="C6643" s="1">
        <v>159</v>
      </c>
      <c r="D6643" s="47">
        <f t="shared" si="555"/>
        <v>8394</v>
      </c>
      <c r="E6643" s="293">
        <v>0</v>
      </c>
      <c r="F6643" s="78">
        <f t="shared" si="556"/>
        <v>173</v>
      </c>
    </row>
    <row r="6644" spans="1:6" ht="15.75" thickBot="1" x14ac:dyDescent="0.3">
      <c r="A6644" s="84" t="s">
        <v>36</v>
      </c>
      <c r="B6644" s="355">
        <v>44169</v>
      </c>
      <c r="C6644" s="1">
        <v>72</v>
      </c>
      <c r="D6644" s="47">
        <f t="shared" si="555"/>
        <v>15030</v>
      </c>
      <c r="E6644" s="293">
        <v>7</v>
      </c>
      <c r="F6644" s="78">
        <f t="shared" si="556"/>
        <v>235</v>
      </c>
    </row>
    <row r="6645" spans="1:6" ht="15.75" thickBot="1" x14ac:dyDescent="0.3">
      <c r="A6645" s="84" t="s">
        <v>37</v>
      </c>
      <c r="B6645" s="355">
        <v>44169</v>
      </c>
      <c r="C6645" s="1">
        <v>242</v>
      </c>
      <c r="D6645" s="47">
        <f t="shared" si="555"/>
        <v>16938</v>
      </c>
      <c r="E6645" s="293">
        <v>6</v>
      </c>
      <c r="F6645" s="78">
        <f t="shared" si="556"/>
        <v>296</v>
      </c>
    </row>
    <row r="6646" spans="1:6" ht="15.75" thickBot="1" x14ac:dyDescent="0.3">
      <c r="A6646" s="84" t="s">
        <v>22</v>
      </c>
      <c r="B6646" s="355">
        <v>44169</v>
      </c>
      <c r="C6646" s="1">
        <v>991</v>
      </c>
      <c r="D6646" s="47">
        <f t="shared" si="555"/>
        <v>152675</v>
      </c>
      <c r="E6646" s="293">
        <v>14</v>
      </c>
      <c r="F6646" s="78">
        <f t="shared" si="556"/>
        <v>2381</v>
      </c>
    </row>
    <row r="6647" spans="1:6" ht="15.75" thickBot="1" x14ac:dyDescent="0.3">
      <c r="A6647" s="84" t="s">
        <v>38</v>
      </c>
      <c r="B6647" s="355">
        <v>44169</v>
      </c>
      <c r="C6647" s="1">
        <v>82</v>
      </c>
      <c r="D6647" s="47">
        <f t="shared" si="555"/>
        <v>16024</v>
      </c>
      <c r="E6647" s="293">
        <v>3</v>
      </c>
      <c r="F6647" s="78">
        <f t="shared" si="556"/>
        <v>198</v>
      </c>
    </row>
    <row r="6648" spans="1:6" ht="15.75" thickBot="1" x14ac:dyDescent="0.3">
      <c r="A6648" s="84" t="s">
        <v>39</v>
      </c>
      <c r="B6648" s="355">
        <v>44169</v>
      </c>
      <c r="C6648" s="1">
        <v>107</v>
      </c>
      <c r="D6648" s="47">
        <f t="shared" si="555"/>
        <v>16588</v>
      </c>
      <c r="E6648" s="293">
        <v>1</v>
      </c>
      <c r="F6648" s="78">
        <f t="shared" si="556"/>
        <v>237</v>
      </c>
    </row>
    <row r="6649" spans="1:6" ht="15.75" thickBot="1" x14ac:dyDescent="0.3">
      <c r="A6649" s="85" t="s">
        <v>40</v>
      </c>
      <c r="B6649" s="355">
        <v>44169</v>
      </c>
      <c r="C6649" s="1">
        <v>172</v>
      </c>
      <c r="D6649" s="214">
        <f t="shared" si="555"/>
        <v>67049</v>
      </c>
      <c r="E6649" s="293">
        <v>12</v>
      </c>
      <c r="F6649" s="79">
        <f t="shared" si="556"/>
        <v>1240</v>
      </c>
    </row>
    <row r="6650" spans="1:6" ht="15.75" thickBot="1" x14ac:dyDescent="0.3">
      <c r="A6650" s="36" t="s">
        <v>16</v>
      </c>
      <c r="B6650" s="355">
        <v>44170</v>
      </c>
      <c r="C6650" s="1">
        <v>1374</v>
      </c>
      <c r="D6650" s="211">
        <f t="shared" si="555"/>
        <v>627758</v>
      </c>
      <c r="E6650" s="1">
        <v>25</v>
      </c>
      <c r="F6650" s="77">
        <f t="shared" si="556"/>
        <v>20989</v>
      </c>
    </row>
    <row r="6651" spans="1:6" ht="15.75" thickBot="1" x14ac:dyDescent="0.3">
      <c r="A6651" s="84" t="s">
        <v>43</v>
      </c>
      <c r="B6651" s="355">
        <v>44170</v>
      </c>
      <c r="C6651" s="1">
        <v>253</v>
      </c>
      <c r="D6651" s="47">
        <f t="shared" si="555"/>
        <v>160447</v>
      </c>
      <c r="E6651" s="1">
        <v>9</v>
      </c>
      <c r="F6651" s="78">
        <f t="shared" si="556"/>
        <v>5292</v>
      </c>
    </row>
    <row r="6652" spans="1:6" ht="15.75" thickBot="1" x14ac:dyDescent="0.3">
      <c r="A6652" s="84" t="s">
        <v>28</v>
      </c>
      <c r="B6652" s="355">
        <v>44170</v>
      </c>
      <c r="C6652" s="1">
        <v>3</v>
      </c>
      <c r="D6652" s="47">
        <f t="shared" si="555"/>
        <v>1944</v>
      </c>
      <c r="E6652" s="1">
        <v>0</v>
      </c>
      <c r="F6652" s="78">
        <f t="shared" si="556"/>
        <v>17</v>
      </c>
    </row>
    <row r="6653" spans="1:6" ht="15.75" thickBot="1" x14ac:dyDescent="0.3">
      <c r="A6653" s="84" t="s">
        <v>15</v>
      </c>
      <c r="B6653" s="355">
        <v>44170</v>
      </c>
      <c r="C6653" s="1">
        <v>263</v>
      </c>
      <c r="D6653" s="47">
        <f t="shared" si="555"/>
        <v>20596</v>
      </c>
      <c r="E6653" s="1">
        <v>6</v>
      </c>
      <c r="F6653" s="78">
        <f t="shared" si="556"/>
        <v>587</v>
      </c>
    </row>
    <row r="6654" spans="1:6" ht="15.75" thickBot="1" x14ac:dyDescent="0.3">
      <c r="A6654" s="84" t="s">
        <v>29</v>
      </c>
      <c r="B6654" s="355">
        <v>44170</v>
      </c>
      <c r="C6654" s="1">
        <v>214</v>
      </c>
      <c r="D6654" s="47">
        <f t="shared" si="555"/>
        <v>24411</v>
      </c>
      <c r="E6654" s="1">
        <v>0</v>
      </c>
      <c r="F6654" s="78">
        <f t="shared" si="556"/>
        <v>400</v>
      </c>
    </row>
    <row r="6655" spans="1:6" ht="15.75" thickBot="1" x14ac:dyDescent="0.3">
      <c r="A6655" s="84" t="s">
        <v>20</v>
      </c>
      <c r="B6655" s="355">
        <v>44170</v>
      </c>
      <c r="C6655" s="1">
        <v>451</v>
      </c>
      <c r="D6655" s="47">
        <f t="shared" si="555"/>
        <v>117250</v>
      </c>
      <c r="E6655" s="1">
        <v>25</v>
      </c>
      <c r="F6655" s="78">
        <f t="shared" si="556"/>
        <v>2073</v>
      </c>
    </row>
    <row r="6656" spans="1:6" ht="15.75" thickBot="1" x14ac:dyDescent="0.3">
      <c r="A6656" s="84" t="s">
        <v>30</v>
      </c>
      <c r="B6656" s="355">
        <v>44170</v>
      </c>
      <c r="C6656" s="1">
        <v>192</v>
      </c>
      <c r="D6656" s="47">
        <f t="shared" si="555"/>
        <v>8590</v>
      </c>
      <c r="E6656" s="1">
        <v>7</v>
      </c>
      <c r="F6656" s="78">
        <f t="shared" si="556"/>
        <v>95</v>
      </c>
    </row>
    <row r="6657" spans="1:6" ht="15.75" thickBot="1" x14ac:dyDescent="0.3">
      <c r="A6657" s="84" t="s">
        <v>31</v>
      </c>
      <c r="B6657" s="355">
        <v>44170</v>
      </c>
      <c r="C6657" s="1">
        <v>212</v>
      </c>
      <c r="D6657" s="47">
        <f t="shared" ref="D6657:D6688" si="557">C6657+D6633</f>
        <v>24393</v>
      </c>
      <c r="E6657" s="1">
        <v>1</v>
      </c>
      <c r="F6657" s="78">
        <f t="shared" si="556"/>
        <v>486</v>
      </c>
    </row>
    <row r="6658" spans="1:6" ht="15.75" thickBot="1" x14ac:dyDescent="0.3">
      <c r="A6658" s="84" t="s">
        <v>41</v>
      </c>
      <c r="B6658" s="355">
        <v>44170</v>
      </c>
      <c r="C6658" s="1">
        <v>1</v>
      </c>
      <c r="D6658" s="47">
        <f t="shared" si="557"/>
        <v>190</v>
      </c>
      <c r="E6658" s="1">
        <v>0</v>
      </c>
      <c r="F6658" s="78">
        <f t="shared" ref="F6658:F6689" si="558">E6658+F6634</f>
        <v>3</v>
      </c>
    </row>
    <row r="6659" spans="1:6" ht="15.75" thickBot="1" x14ac:dyDescent="0.3">
      <c r="A6659" s="84" t="s">
        <v>32</v>
      </c>
      <c r="B6659" s="355">
        <v>44170</v>
      </c>
      <c r="C6659" s="1">
        <v>3</v>
      </c>
      <c r="D6659" s="47">
        <f t="shared" si="557"/>
        <v>18415</v>
      </c>
      <c r="E6659" s="1">
        <v>0</v>
      </c>
      <c r="F6659" s="78">
        <f t="shared" si="558"/>
        <v>850</v>
      </c>
    </row>
    <row r="6660" spans="1:6" ht="15.75" thickBot="1" x14ac:dyDescent="0.3">
      <c r="A6660" s="84" t="s">
        <v>33</v>
      </c>
      <c r="B6660" s="355">
        <v>44170</v>
      </c>
      <c r="C6660" s="1">
        <v>68</v>
      </c>
      <c r="D6660" s="47">
        <f t="shared" si="557"/>
        <v>6219</v>
      </c>
      <c r="E6660" s="1">
        <v>0</v>
      </c>
      <c r="F6660" s="78">
        <f t="shared" si="558"/>
        <v>88</v>
      </c>
    </row>
    <row r="6661" spans="1:6" ht="15.75" thickBot="1" x14ac:dyDescent="0.3">
      <c r="A6661" s="84" t="s">
        <v>21</v>
      </c>
      <c r="B6661" s="355">
        <v>44170</v>
      </c>
      <c r="C6661" s="1">
        <v>22</v>
      </c>
      <c r="D6661" s="47">
        <f t="shared" si="557"/>
        <v>8834</v>
      </c>
      <c r="E6661" s="1">
        <v>0</v>
      </c>
      <c r="F6661" s="78">
        <f t="shared" si="558"/>
        <v>320</v>
      </c>
    </row>
    <row r="6662" spans="1:6" ht="15.75" thickBot="1" x14ac:dyDescent="0.3">
      <c r="A6662" s="84" t="s">
        <v>17</v>
      </c>
      <c r="B6662" s="355">
        <v>44170</v>
      </c>
      <c r="C6662" s="1">
        <v>100</v>
      </c>
      <c r="D6662" s="47">
        <f t="shared" si="557"/>
        <v>57527</v>
      </c>
      <c r="E6662" s="1">
        <v>4</v>
      </c>
      <c r="F6662" s="78">
        <f t="shared" si="558"/>
        <v>1143</v>
      </c>
    </row>
    <row r="6663" spans="1:6" ht="15.75" thickBot="1" x14ac:dyDescent="0.3">
      <c r="A6663" s="84" t="s">
        <v>23</v>
      </c>
      <c r="B6663" s="355">
        <v>44170</v>
      </c>
      <c r="C6663" s="1">
        <v>5</v>
      </c>
      <c r="D6663" s="47">
        <f t="shared" si="557"/>
        <v>568</v>
      </c>
      <c r="E6663" s="1">
        <v>0</v>
      </c>
      <c r="F6663" s="78">
        <f t="shared" si="558"/>
        <v>9</v>
      </c>
    </row>
    <row r="6664" spans="1:6" ht="15.75" thickBot="1" x14ac:dyDescent="0.3">
      <c r="A6664" s="84" t="s">
        <v>19</v>
      </c>
      <c r="B6664" s="355">
        <v>44170</v>
      </c>
      <c r="C6664" s="1">
        <v>289</v>
      </c>
      <c r="D6664" s="47">
        <f t="shared" si="557"/>
        <v>34244</v>
      </c>
      <c r="E6664" s="1">
        <v>0</v>
      </c>
      <c r="F6664" s="78">
        <f t="shared" si="558"/>
        <v>648</v>
      </c>
    </row>
    <row r="6665" spans="1:6" ht="15.75" thickBot="1" x14ac:dyDescent="0.3">
      <c r="A6665" s="84" t="s">
        <v>18</v>
      </c>
      <c r="B6665" s="355">
        <v>44170</v>
      </c>
      <c r="C6665" s="1">
        <v>146</v>
      </c>
      <c r="D6665" s="47">
        <f t="shared" si="557"/>
        <v>32763</v>
      </c>
      <c r="E6665" s="1">
        <v>5</v>
      </c>
      <c r="F6665" s="78">
        <f t="shared" si="558"/>
        <v>801</v>
      </c>
    </row>
    <row r="6666" spans="1:6" ht="15.75" thickBot="1" x14ac:dyDescent="0.3">
      <c r="A6666" s="84" t="s">
        <v>34</v>
      </c>
      <c r="B6666" s="355">
        <v>44170</v>
      </c>
      <c r="C6666" s="1">
        <v>24</v>
      </c>
      <c r="D6666" s="47">
        <f t="shared" si="557"/>
        <v>21404</v>
      </c>
      <c r="E6666" s="1">
        <v>1</v>
      </c>
      <c r="F6666" s="78">
        <f t="shared" si="558"/>
        <v>991</v>
      </c>
    </row>
    <row r="6667" spans="1:6" ht="15.75" thickBot="1" x14ac:dyDescent="0.3">
      <c r="A6667" s="84" t="s">
        <v>35</v>
      </c>
      <c r="B6667" s="355">
        <v>44170</v>
      </c>
      <c r="C6667" s="1">
        <v>51</v>
      </c>
      <c r="D6667" s="47">
        <f t="shared" si="557"/>
        <v>8445</v>
      </c>
      <c r="E6667" s="1">
        <v>0</v>
      </c>
      <c r="F6667" s="78">
        <f t="shared" si="558"/>
        <v>173</v>
      </c>
    </row>
    <row r="6668" spans="1:6" ht="15.75" thickBot="1" x14ac:dyDescent="0.3">
      <c r="A6668" s="84" t="s">
        <v>36</v>
      </c>
      <c r="B6668" s="355">
        <v>44170</v>
      </c>
      <c r="C6668" s="1">
        <v>54</v>
      </c>
      <c r="D6668" s="47">
        <f t="shared" si="557"/>
        <v>15084</v>
      </c>
      <c r="E6668" s="1">
        <v>1</v>
      </c>
      <c r="F6668" s="78">
        <f t="shared" si="558"/>
        <v>236</v>
      </c>
    </row>
    <row r="6669" spans="1:6" ht="15.75" thickBot="1" x14ac:dyDescent="0.3">
      <c r="A6669" s="84" t="s">
        <v>37</v>
      </c>
      <c r="B6669" s="355">
        <v>44170</v>
      </c>
      <c r="C6669" s="1">
        <v>187</v>
      </c>
      <c r="D6669" s="47">
        <f t="shared" si="557"/>
        <v>17125</v>
      </c>
      <c r="E6669" s="1">
        <v>4</v>
      </c>
      <c r="F6669" s="78">
        <f t="shared" si="558"/>
        <v>300</v>
      </c>
    </row>
    <row r="6670" spans="1:6" ht="15.75" thickBot="1" x14ac:dyDescent="0.3">
      <c r="A6670" s="84" t="s">
        <v>22</v>
      </c>
      <c r="B6670" s="355">
        <v>44170</v>
      </c>
      <c r="C6670" s="1">
        <v>976</v>
      </c>
      <c r="D6670" s="47">
        <f t="shared" si="557"/>
        <v>153651</v>
      </c>
      <c r="E6670" s="1">
        <v>25</v>
      </c>
      <c r="F6670" s="78">
        <f t="shared" si="558"/>
        <v>2406</v>
      </c>
    </row>
    <row r="6671" spans="1:6" ht="15.75" thickBot="1" x14ac:dyDescent="0.3">
      <c r="A6671" s="84" t="s">
        <v>38</v>
      </c>
      <c r="B6671" s="355">
        <v>44170</v>
      </c>
      <c r="C6671" s="1">
        <v>83</v>
      </c>
      <c r="D6671" s="47">
        <f t="shared" si="557"/>
        <v>16107</v>
      </c>
      <c r="E6671" s="1">
        <v>1</v>
      </c>
      <c r="F6671" s="78">
        <f t="shared" si="558"/>
        <v>199</v>
      </c>
    </row>
    <row r="6672" spans="1:6" ht="15.75" thickBot="1" x14ac:dyDescent="0.3">
      <c r="A6672" s="84" t="s">
        <v>39</v>
      </c>
      <c r="B6672" s="355">
        <v>44170</v>
      </c>
      <c r="C6672" s="1">
        <v>96</v>
      </c>
      <c r="D6672" s="47">
        <f t="shared" si="557"/>
        <v>16684</v>
      </c>
      <c r="E6672" s="1">
        <v>0</v>
      </c>
      <c r="F6672" s="78">
        <f t="shared" si="558"/>
        <v>237</v>
      </c>
    </row>
    <row r="6673" spans="1:6" ht="15.75" thickBot="1" x14ac:dyDescent="0.3">
      <c r="A6673" s="85" t="s">
        <v>40</v>
      </c>
      <c r="B6673" s="355">
        <v>44170</v>
      </c>
      <c r="C6673" s="1">
        <v>134</v>
      </c>
      <c r="D6673" s="214">
        <f t="shared" si="557"/>
        <v>67183</v>
      </c>
      <c r="E6673" s="1">
        <v>7</v>
      </c>
      <c r="F6673" s="79">
        <f t="shared" si="558"/>
        <v>1247</v>
      </c>
    </row>
    <row r="6674" spans="1:6" ht="15.75" thickBot="1" x14ac:dyDescent="0.3">
      <c r="A6674" s="36" t="s">
        <v>16</v>
      </c>
      <c r="B6674" s="355">
        <v>44171</v>
      </c>
      <c r="C6674" s="1">
        <v>719</v>
      </c>
      <c r="D6674" s="211">
        <f t="shared" si="557"/>
        <v>628477</v>
      </c>
      <c r="E6674" s="1">
        <v>87</v>
      </c>
      <c r="F6674" s="77">
        <f t="shared" si="558"/>
        <v>21076</v>
      </c>
    </row>
    <row r="6675" spans="1:6" ht="15.75" thickBot="1" x14ac:dyDescent="0.3">
      <c r="A6675" s="84" t="s">
        <v>43</v>
      </c>
      <c r="B6675" s="355">
        <v>44171</v>
      </c>
      <c r="C6675" s="1">
        <v>226</v>
      </c>
      <c r="D6675" s="47">
        <f t="shared" si="557"/>
        <v>160673</v>
      </c>
      <c r="E6675" s="1">
        <v>3</v>
      </c>
      <c r="F6675" s="78">
        <f t="shared" si="558"/>
        <v>5295</v>
      </c>
    </row>
    <row r="6676" spans="1:6" ht="15.75" thickBot="1" x14ac:dyDescent="0.3">
      <c r="A6676" s="84" t="s">
        <v>28</v>
      </c>
      <c r="B6676" s="355">
        <v>44171</v>
      </c>
      <c r="C6676" s="1">
        <v>41</v>
      </c>
      <c r="D6676" s="47">
        <f t="shared" si="557"/>
        <v>1985</v>
      </c>
      <c r="E6676" s="1">
        <v>0</v>
      </c>
      <c r="F6676" s="78">
        <f t="shared" si="558"/>
        <v>17</v>
      </c>
    </row>
    <row r="6677" spans="1:6" ht="15.75" thickBot="1" x14ac:dyDescent="0.3">
      <c r="A6677" s="84" t="s">
        <v>15</v>
      </c>
      <c r="B6677" s="355">
        <v>44171</v>
      </c>
      <c r="C6677" s="1">
        <v>134</v>
      </c>
      <c r="D6677" s="47">
        <f t="shared" si="557"/>
        <v>20730</v>
      </c>
      <c r="E6677" s="1">
        <v>6</v>
      </c>
      <c r="F6677" s="78">
        <f t="shared" si="558"/>
        <v>593</v>
      </c>
    </row>
    <row r="6678" spans="1:6" ht="15.75" thickBot="1" x14ac:dyDescent="0.3">
      <c r="A6678" s="84" t="s">
        <v>29</v>
      </c>
      <c r="B6678" s="355">
        <v>44171</v>
      </c>
      <c r="C6678" s="1">
        <v>77</v>
      </c>
      <c r="D6678" s="47">
        <f t="shared" si="557"/>
        <v>24488</v>
      </c>
      <c r="E6678" s="1">
        <v>0</v>
      </c>
      <c r="F6678" s="78">
        <f t="shared" si="558"/>
        <v>400</v>
      </c>
    </row>
    <row r="6679" spans="1:6" ht="15.75" thickBot="1" x14ac:dyDescent="0.3">
      <c r="A6679" s="84" t="s">
        <v>20</v>
      </c>
      <c r="B6679" s="355">
        <v>44171</v>
      </c>
      <c r="C6679" s="1">
        <v>262</v>
      </c>
      <c r="D6679" s="47">
        <f t="shared" si="557"/>
        <v>117512</v>
      </c>
      <c r="E6679" s="1">
        <v>16</v>
      </c>
      <c r="F6679" s="78">
        <f t="shared" si="558"/>
        <v>2089</v>
      </c>
    </row>
    <row r="6680" spans="1:6" ht="15.75" thickBot="1" x14ac:dyDescent="0.3">
      <c r="A6680" s="84" t="s">
        <v>30</v>
      </c>
      <c r="B6680" s="355">
        <v>44171</v>
      </c>
      <c r="C6680" s="1">
        <v>87</v>
      </c>
      <c r="D6680" s="47">
        <f t="shared" si="557"/>
        <v>8677</v>
      </c>
      <c r="E6680" s="1">
        <v>9</v>
      </c>
      <c r="F6680" s="78">
        <f t="shared" si="558"/>
        <v>104</v>
      </c>
    </row>
    <row r="6681" spans="1:6" ht="15.75" thickBot="1" x14ac:dyDescent="0.3">
      <c r="A6681" s="84" t="s">
        <v>31</v>
      </c>
      <c r="B6681" s="355">
        <v>44171</v>
      </c>
      <c r="C6681" s="1">
        <v>127</v>
      </c>
      <c r="D6681" s="47">
        <f t="shared" si="557"/>
        <v>24520</v>
      </c>
      <c r="E6681" s="1">
        <v>1</v>
      </c>
      <c r="F6681" s="78">
        <f t="shared" si="558"/>
        <v>487</v>
      </c>
    </row>
    <row r="6682" spans="1:6" ht="15.75" thickBot="1" x14ac:dyDescent="0.3">
      <c r="A6682" s="84" t="s">
        <v>41</v>
      </c>
      <c r="B6682" s="355">
        <v>44171</v>
      </c>
      <c r="C6682" s="1">
        <v>-1</v>
      </c>
      <c r="D6682" s="47">
        <f t="shared" si="557"/>
        <v>189</v>
      </c>
      <c r="E6682" s="1">
        <v>0</v>
      </c>
      <c r="F6682" s="78">
        <f t="shared" si="558"/>
        <v>3</v>
      </c>
    </row>
    <row r="6683" spans="1:6" ht="15.75" thickBot="1" x14ac:dyDescent="0.3">
      <c r="A6683" s="84" t="s">
        <v>32</v>
      </c>
      <c r="B6683" s="355">
        <v>44171</v>
      </c>
      <c r="C6683" s="1">
        <v>0</v>
      </c>
      <c r="D6683" s="47">
        <f t="shared" si="557"/>
        <v>18415</v>
      </c>
      <c r="E6683" s="1">
        <v>1</v>
      </c>
      <c r="F6683" s="78">
        <f t="shared" si="558"/>
        <v>851</v>
      </c>
    </row>
    <row r="6684" spans="1:6" ht="15.75" thickBot="1" x14ac:dyDescent="0.3">
      <c r="A6684" s="84" t="s">
        <v>33</v>
      </c>
      <c r="B6684" s="355">
        <v>44171</v>
      </c>
      <c r="C6684" s="1">
        <v>61</v>
      </c>
      <c r="D6684" s="47">
        <f t="shared" si="557"/>
        <v>6280</v>
      </c>
      <c r="E6684" s="1">
        <v>0</v>
      </c>
      <c r="F6684" s="78">
        <f t="shared" si="558"/>
        <v>88</v>
      </c>
    </row>
    <row r="6685" spans="1:6" ht="15.75" thickBot="1" x14ac:dyDescent="0.3">
      <c r="A6685" s="84" t="s">
        <v>21</v>
      </c>
      <c r="B6685" s="355">
        <v>44171</v>
      </c>
      <c r="C6685" s="1">
        <v>5</v>
      </c>
      <c r="D6685" s="47">
        <f t="shared" si="557"/>
        <v>8839</v>
      </c>
      <c r="E6685" s="1">
        <v>1</v>
      </c>
      <c r="F6685" s="78">
        <f t="shared" si="558"/>
        <v>321</v>
      </c>
    </row>
    <row r="6686" spans="1:6" ht="15.75" thickBot="1" x14ac:dyDescent="0.3">
      <c r="A6686" s="84" t="s">
        <v>17</v>
      </c>
      <c r="B6686" s="355">
        <v>44171</v>
      </c>
      <c r="C6686" s="1">
        <v>41</v>
      </c>
      <c r="D6686" s="47">
        <f t="shared" si="557"/>
        <v>57568</v>
      </c>
      <c r="E6686" s="1">
        <v>0</v>
      </c>
      <c r="F6686" s="78">
        <f t="shared" si="558"/>
        <v>1143</v>
      </c>
    </row>
    <row r="6687" spans="1:6" ht="15.75" thickBot="1" x14ac:dyDescent="0.3">
      <c r="A6687" s="84" t="s">
        <v>23</v>
      </c>
      <c r="B6687" s="355">
        <v>44171</v>
      </c>
      <c r="C6687" s="1">
        <v>5</v>
      </c>
      <c r="D6687" s="47">
        <f t="shared" si="557"/>
        <v>573</v>
      </c>
      <c r="E6687" s="1">
        <v>0</v>
      </c>
      <c r="F6687" s="78">
        <f t="shared" si="558"/>
        <v>9</v>
      </c>
    </row>
    <row r="6688" spans="1:6" ht="15.75" thickBot="1" x14ac:dyDescent="0.3">
      <c r="A6688" s="84" t="s">
        <v>19</v>
      </c>
      <c r="B6688" s="355">
        <v>44171</v>
      </c>
      <c r="C6688" s="1">
        <v>395</v>
      </c>
      <c r="D6688" s="47">
        <f t="shared" si="557"/>
        <v>34639</v>
      </c>
      <c r="E6688" s="1">
        <v>7</v>
      </c>
      <c r="F6688" s="78">
        <f t="shared" si="558"/>
        <v>655</v>
      </c>
    </row>
    <row r="6689" spans="1:6" ht="15.75" thickBot="1" x14ac:dyDescent="0.3">
      <c r="A6689" s="84" t="s">
        <v>18</v>
      </c>
      <c r="B6689" s="355">
        <v>44171</v>
      </c>
      <c r="C6689" s="1">
        <v>115</v>
      </c>
      <c r="D6689" s="47">
        <f t="shared" ref="D6689:D6752" si="559">C6689+D6665</f>
        <v>32878</v>
      </c>
      <c r="E6689" s="1">
        <v>0</v>
      </c>
      <c r="F6689" s="78">
        <f t="shared" si="558"/>
        <v>801</v>
      </c>
    </row>
    <row r="6690" spans="1:6" ht="15.75" thickBot="1" x14ac:dyDescent="0.3">
      <c r="A6690" s="84" t="s">
        <v>34</v>
      </c>
      <c r="B6690" s="355">
        <v>44171</v>
      </c>
      <c r="C6690" s="1">
        <v>14</v>
      </c>
      <c r="D6690" s="47">
        <f t="shared" si="559"/>
        <v>21418</v>
      </c>
      <c r="E6690" s="1">
        <v>0</v>
      </c>
      <c r="F6690" s="78">
        <f t="shared" ref="F6690:F6753" si="560">E6690+F6666</f>
        <v>991</v>
      </c>
    </row>
    <row r="6691" spans="1:6" ht="15.75" thickBot="1" x14ac:dyDescent="0.3">
      <c r="A6691" s="84" t="s">
        <v>35</v>
      </c>
      <c r="B6691" s="355">
        <v>44171</v>
      </c>
      <c r="C6691" s="1">
        <v>19</v>
      </c>
      <c r="D6691" s="47">
        <f t="shared" si="559"/>
        <v>8464</v>
      </c>
      <c r="E6691" s="1">
        <v>0</v>
      </c>
      <c r="F6691" s="78">
        <f t="shared" si="560"/>
        <v>173</v>
      </c>
    </row>
    <row r="6692" spans="1:6" ht="15.75" thickBot="1" x14ac:dyDescent="0.3">
      <c r="A6692" s="84" t="s">
        <v>36</v>
      </c>
      <c r="B6692" s="355">
        <v>44171</v>
      </c>
      <c r="C6692" s="1">
        <v>17</v>
      </c>
      <c r="D6692" s="47">
        <f t="shared" si="559"/>
        <v>15101</v>
      </c>
      <c r="E6692" s="1">
        <v>0</v>
      </c>
      <c r="F6692" s="78">
        <f t="shared" si="560"/>
        <v>236</v>
      </c>
    </row>
    <row r="6693" spans="1:6" ht="15.75" thickBot="1" x14ac:dyDescent="0.3">
      <c r="A6693" s="84" t="s">
        <v>37</v>
      </c>
      <c r="B6693" s="355">
        <v>44171</v>
      </c>
      <c r="C6693" s="1">
        <v>172</v>
      </c>
      <c r="D6693" s="47">
        <f t="shared" si="559"/>
        <v>17297</v>
      </c>
      <c r="E6693" s="1">
        <v>1</v>
      </c>
      <c r="F6693" s="78">
        <f t="shared" si="560"/>
        <v>301</v>
      </c>
    </row>
    <row r="6694" spans="1:6" ht="15.75" thickBot="1" x14ac:dyDescent="0.3">
      <c r="A6694" s="84" t="s">
        <v>22</v>
      </c>
      <c r="B6694" s="355">
        <v>44171</v>
      </c>
      <c r="C6694" s="1">
        <v>568</v>
      </c>
      <c r="D6694" s="47">
        <f t="shared" si="559"/>
        <v>154219</v>
      </c>
      <c r="E6694" s="1">
        <v>4</v>
      </c>
      <c r="F6694" s="78">
        <f t="shared" si="560"/>
        <v>2410</v>
      </c>
    </row>
    <row r="6695" spans="1:6" ht="15.75" thickBot="1" x14ac:dyDescent="0.3">
      <c r="A6695" s="84" t="s">
        <v>38</v>
      </c>
      <c r="B6695" s="355">
        <v>44171</v>
      </c>
      <c r="C6695" s="1">
        <v>52</v>
      </c>
      <c r="D6695" s="47">
        <f t="shared" si="559"/>
        <v>16159</v>
      </c>
      <c r="E6695" s="1">
        <v>1</v>
      </c>
      <c r="F6695" s="78">
        <f t="shared" si="560"/>
        <v>200</v>
      </c>
    </row>
    <row r="6696" spans="1:6" ht="15.75" thickBot="1" x14ac:dyDescent="0.3">
      <c r="A6696" s="84" t="s">
        <v>39</v>
      </c>
      <c r="B6696" s="355">
        <v>44171</v>
      </c>
      <c r="C6696" s="1">
        <v>61</v>
      </c>
      <c r="D6696" s="47">
        <f t="shared" si="559"/>
        <v>16745</v>
      </c>
      <c r="E6696" s="1">
        <v>1</v>
      </c>
      <c r="F6696" s="78">
        <f t="shared" si="560"/>
        <v>238</v>
      </c>
    </row>
    <row r="6697" spans="1:6" ht="15.75" thickBot="1" x14ac:dyDescent="0.3">
      <c r="A6697" s="85" t="s">
        <v>40</v>
      </c>
      <c r="B6697" s="355">
        <v>44171</v>
      </c>
      <c r="C6697" s="1">
        <v>81</v>
      </c>
      <c r="D6697" s="214">
        <f t="shared" si="559"/>
        <v>67264</v>
      </c>
      <c r="E6697" s="1">
        <v>0</v>
      </c>
      <c r="F6697" s="79">
        <f t="shared" si="560"/>
        <v>1247</v>
      </c>
    </row>
    <row r="6698" spans="1:6" ht="15.75" thickBot="1" x14ac:dyDescent="0.3">
      <c r="A6698" s="36" t="s">
        <v>16</v>
      </c>
      <c r="B6698" s="355">
        <v>44172</v>
      </c>
      <c r="C6698" s="1">
        <v>693</v>
      </c>
      <c r="D6698" s="211">
        <f t="shared" si="559"/>
        <v>629170</v>
      </c>
      <c r="E6698" s="1">
        <v>53</v>
      </c>
      <c r="F6698" s="77">
        <f t="shared" si="560"/>
        <v>21129</v>
      </c>
    </row>
    <row r="6699" spans="1:6" ht="15.75" thickBot="1" x14ac:dyDescent="0.3">
      <c r="A6699" s="84" t="s">
        <v>43</v>
      </c>
      <c r="B6699" s="355">
        <v>44172</v>
      </c>
      <c r="C6699" s="1">
        <v>164</v>
      </c>
      <c r="D6699" s="47">
        <f t="shared" si="559"/>
        <v>160837</v>
      </c>
      <c r="E6699" s="1">
        <v>8</v>
      </c>
      <c r="F6699" s="78">
        <f t="shared" si="560"/>
        <v>5303</v>
      </c>
    </row>
    <row r="6700" spans="1:6" ht="15.75" thickBot="1" x14ac:dyDescent="0.3">
      <c r="A6700" s="84" t="s">
        <v>28</v>
      </c>
      <c r="B6700" s="355">
        <v>44172</v>
      </c>
      <c r="C6700" s="1">
        <v>30</v>
      </c>
      <c r="D6700" s="47">
        <f t="shared" si="559"/>
        <v>2015</v>
      </c>
      <c r="E6700" s="1">
        <v>0</v>
      </c>
      <c r="F6700" s="78">
        <f t="shared" si="560"/>
        <v>17</v>
      </c>
    </row>
    <row r="6701" spans="1:6" ht="15.75" thickBot="1" x14ac:dyDescent="0.3">
      <c r="A6701" s="84" t="s">
        <v>15</v>
      </c>
      <c r="B6701" s="355">
        <v>44172</v>
      </c>
      <c r="C6701" s="1">
        <v>96</v>
      </c>
      <c r="D6701" s="47">
        <f t="shared" si="559"/>
        <v>20826</v>
      </c>
      <c r="E6701" s="1">
        <v>0</v>
      </c>
      <c r="F6701" s="78">
        <f t="shared" si="560"/>
        <v>593</v>
      </c>
    </row>
    <row r="6702" spans="1:6" ht="15.75" thickBot="1" x14ac:dyDescent="0.3">
      <c r="A6702" s="84" t="s">
        <v>29</v>
      </c>
      <c r="B6702" s="355">
        <v>44172</v>
      </c>
      <c r="C6702" s="1">
        <v>161</v>
      </c>
      <c r="D6702" s="47">
        <f t="shared" si="559"/>
        <v>24649</v>
      </c>
      <c r="E6702" s="1">
        <v>7</v>
      </c>
      <c r="F6702" s="78">
        <f t="shared" si="560"/>
        <v>407</v>
      </c>
    </row>
    <row r="6703" spans="1:6" ht="15.75" thickBot="1" x14ac:dyDescent="0.3">
      <c r="A6703" s="84" t="s">
        <v>20</v>
      </c>
      <c r="B6703" s="355">
        <v>44172</v>
      </c>
      <c r="C6703" s="1">
        <v>95</v>
      </c>
      <c r="D6703" s="47">
        <f t="shared" si="559"/>
        <v>117607</v>
      </c>
      <c r="E6703" s="1">
        <v>9</v>
      </c>
      <c r="F6703" s="78">
        <f t="shared" si="560"/>
        <v>2098</v>
      </c>
    </row>
    <row r="6704" spans="1:6" ht="15.75" thickBot="1" x14ac:dyDescent="0.3">
      <c r="A6704" s="84" t="s">
        <v>30</v>
      </c>
      <c r="B6704" s="355">
        <v>44172</v>
      </c>
      <c r="C6704" s="1">
        <v>185</v>
      </c>
      <c r="D6704" s="47">
        <f t="shared" si="559"/>
        <v>8862</v>
      </c>
      <c r="E6704" s="1">
        <v>7</v>
      </c>
      <c r="F6704" s="78">
        <f t="shared" si="560"/>
        <v>111</v>
      </c>
    </row>
    <row r="6705" spans="1:6" ht="15.75" thickBot="1" x14ac:dyDescent="0.3">
      <c r="A6705" s="84" t="s">
        <v>31</v>
      </c>
      <c r="B6705" s="355">
        <v>44172</v>
      </c>
      <c r="C6705" s="1">
        <v>55</v>
      </c>
      <c r="D6705" s="47">
        <f t="shared" si="559"/>
        <v>24575</v>
      </c>
      <c r="E6705" s="1">
        <v>5</v>
      </c>
      <c r="F6705" s="78">
        <f t="shared" si="560"/>
        <v>492</v>
      </c>
    </row>
    <row r="6706" spans="1:6" ht="15.75" thickBot="1" x14ac:dyDescent="0.3">
      <c r="A6706" s="84" t="s">
        <v>41</v>
      </c>
      <c r="B6706" s="355">
        <v>44172</v>
      </c>
      <c r="C6706" s="1">
        <v>0</v>
      </c>
      <c r="D6706" s="47">
        <f t="shared" si="559"/>
        <v>189</v>
      </c>
      <c r="E6706" s="1">
        <v>0</v>
      </c>
      <c r="F6706" s="78">
        <f t="shared" si="560"/>
        <v>3</v>
      </c>
    </row>
    <row r="6707" spans="1:6" ht="15.75" thickBot="1" x14ac:dyDescent="0.3">
      <c r="A6707" s="84" t="s">
        <v>32</v>
      </c>
      <c r="B6707" s="355">
        <v>44172</v>
      </c>
      <c r="C6707" s="1">
        <v>1</v>
      </c>
      <c r="D6707" s="47">
        <f t="shared" si="559"/>
        <v>18416</v>
      </c>
      <c r="E6707" s="1">
        <v>1</v>
      </c>
      <c r="F6707" s="78">
        <f t="shared" si="560"/>
        <v>852</v>
      </c>
    </row>
    <row r="6708" spans="1:6" ht="15.75" thickBot="1" x14ac:dyDescent="0.3">
      <c r="A6708" s="84" t="s">
        <v>33</v>
      </c>
      <c r="B6708" s="355">
        <v>44172</v>
      </c>
      <c r="C6708" s="1">
        <v>58</v>
      </c>
      <c r="D6708" s="47">
        <f t="shared" si="559"/>
        <v>6338</v>
      </c>
      <c r="E6708" s="1">
        <v>7</v>
      </c>
      <c r="F6708" s="78">
        <f t="shared" si="560"/>
        <v>95</v>
      </c>
    </row>
    <row r="6709" spans="1:6" ht="15.75" thickBot="1" x14ac:dyDescent="0.3">
      <c r="A6709" s="84" t="s">
        <v>21</v>
      </c>
      <c r="B6709" s="355">
        <v>44172</v>
      </c>
      <c r="C6709" s="1">
        <v>19</v>
      </c>
      <c r="D6709" s="47">
        <f t="shared" si="559"/>
        <v>8858</v>
      </c>
      <c r="E6709" s="1">
        <v>0</v>
      </c>
      <c r="F6709" s="78">
        <f t="shared" si="560"/>
        <v>321</v>
      </c>
    </row>
    <row r="6710" spans="1:6" ht="15.75" thickBot="1" x14ac:dyDescent="0.3">
      <c r="A6710" s="84" t="s">
        <v>17</v>
      </c>
      <c r="B6710" s="355">
        <v>44172</v>
      </c>
      <c r="C6710" s="1">
        <v>32</v>
      </c>
      <c r="D6710" s="47">
        <f t="shared" si="559"/>
        <v>57600</v>
      </c>
      <c r="E6710" s="1">
        <v>1</v>
      </c>
      <c r="F6710" s="78">
        <f t="shared" si="560"/>
        <v>1144</v>
      </c>
    </row>
    <row r="6711" spans="1:6" ht="15.75" thickBot="1" x14ac:dyDescent="0.3">
      <c r="A6711" s="84" t="s">
        <v>23</v>
      </c>
      <c r="B6711" s="355">
        <v>44172</v>
      </c>
      <c r="C6711" s="1">
        <v>6</v>
      </c>
      <c r="D6711" s="47">
        <f t="shared" si="559"/>
        <v>579</v>
      </c>
      <c r="E6711" s="1">
        <v>0</v>
      </c>
      <c r="F6711" s="78">
        <f t="shared" si="560"/>
        <v>9</v>
      </c>
    </row>
    <row r="6712" spans="1:6" ht="15.75" thickBot="1" x14ac:dyDescent="0.3">
      <c r="A6712" s="84" t="s">
        <v>19</v>
      </c>
      <c r="B6712" s="355">
        <v>44172</v>
      </c>
      <c r="C6712" s="1">
        <v>473</v>
      </c>
      <c r="D6712" s="47">
        <f t="shared" si="559"/>
        <v>35112</v>
      </c>
      <c r="E6712" s="1">
        <v>1</v>
      </c>
      <c r="F6712" s="78">
        <f t="shared" si="560"/>
        <v>656</v>
      </c>
    </row>
    <row r="6713" spans="1:6" ht="15.75" thickBot="1" x14ac:dyDescent="0.3">
      <c r="A6713" s="84" t="s">
        <v>18</v>
      </c>
      <c r="B6713" s="355">
        <v>44172</v>
      </c>
      <c r="C6713" s="1">
        <v>93</v>
      </c>
      <c r="D6713" s="47">
        <f t="shared" si="559"/>
        <v>32971</v>
      </c>
      <c r="E6713" s="1">
        <v>0</v>
      </c>
      <c r="F6713" s="78">
        <f t="shared" si="560"/>
        <v>801</v>
      </c>
    </row>
    <row r="6714" spans="1:6" ht="15.75" thickBot="1" x14ac:dyDescent="0.3">
      <c r="A6714" s="84" t="s">
        <v>34</v>
      </c>
      <c r="B6714" s="355">
        <v>44172</v>
      </c>
      <c r="C6714" s="1">
        <v>13</v>
      </c>
      <c r="D6714" s="47">
        <f t="shared" si="559"/>
        <v>21431</v>
      </c>
      <c r="E6714" s="1">
        <v>0</v>
      </c>
      <c r="F6714" s="78">
        <f t="shared" si="560"/>
        <v>991</v>
      </c>
    </row>
    <row r="6715" spans="1:6" ht="15.75" thickBot="1" x14ac:dyDescent="0.3">
      <c r="A6715" s="84" t="s">
        <v>35</v>
      </c>
      <c r="B6715" s="355">
        <v>44172</v>
      </c>
      <c r="C6715" s="1">
        <v>35</v>
      </c>
      <c r="D6715" s="47">
        <f t="shared" si="559"/>
        <v>8499</v>
      </c>
      <c r="E6715" s="1">
        <v>0</v>
      </c>
      <c r="F6715" s="78">
        <f t="shared" si="560"/>
        <v>173</v>
      </c>
    </row>
    <row r="6716" spans="1:6" ht="15.75" thickBot="1" x14ac:dyDescent="0.3">
      <c r="A6716" s="84" t="s">
        <v>36</v>
      </c>
      <c r="B6716" s="355">
        <v>44172</v>
      </c>
      <c r="C6716" s="1">
        <v>43</v>
      </c>
      <c r="D6716" s="47">
        <f t="shared" si="559"/>
        <v>15144</v>
      </c>
      <c r="E6716" s="1">
        <v>0</v>
      </c>
      <c r="F6716" s="78">
        <f t="shared" si="560"/>
        <v>236</v>
      </c>
    </row>
    <row r="6717" spans="1:6" ht="15.75" thickBot="1" x14ac:dyDescent="0.3">
      <c r="A6717" s="84" t="s">
        <v>37</v>
      </c>
      <c r="B6717" s="355">
        <v>44172</v>
      </c>
      <c r="C6717" s="1">
        <v>119</v>
      </c>
      <c r="D6717" s="47">
        <f t="shared" si="559"/>
        <v>17416</v>
      </c>
      <c r="E6717" s="1">
        <v>5</v>
      </c>
      <c r="F6717" s="78">
        <f t="shared" si="560"/>
        <v>306</v>
      </c>
    </row>
    <row r="6718" spans="1:6" ht="15.75" thickBot="1" x14ac:dyDescent="0.3">
      <c r="A6718" s="84" t="s">
        <v>22</v>
      </c>
      <c r="B6718" s="355">
        <v>44172</v>
      </c>
      <c r="C6718" s="1">
        <v>576</v>
      </c>
      <c r="D6718" s="47">
        <f t="shared" si="559"/>
        <v>154795</v>
      </c>
      <c r="E6718" s="1">
        <v>14</v>
      </c>
      <c r="F6718" s="78">
        <f t="shared" si="560"/>
        <v>2424</v>
      </c>
    </row>
    <row r="6719" spans="1:6" ht="15.75" thickBot="1" x14ac:dyDescent="0.3">
      <c r="A6719" s="84" t="s">
        <v>38</v>
      </c>
      <c r="B6719" s="355">
        <v>44172</v>
      </c>
      <c r="C6719" s="1">
        <v>57</v>
      </c>
      <c r="D6719" s="47">
        <f t="shared" si="559"/>
        <v>16216</v>
      </c>
      <c r="E6719" s="1">
        <v>0</v>
      </c>
      <c r="F6719" s="78">
        <f t="shared" si="560"/>
        <v>200</v>
      </c>
    </row>
    <row r="6720" spans="1:6" ht="15.75" thickBot="1" x14ac:dyDescent="0.3">
      <c r="A6720" s="84" t="s">
        <v>39</v>
      </c>
      <c r="B6720" s="355">
        <v>44172</v>
      </c>
      <c r="C6720" s="1">
        <v>109</v>
      </c>
      <c r="D6720" s="47">
        <f t="shared" si="559"/>
        <v>16854</v>
      </c>
      <c r="E6720" s="1">
        <v>0</v>
      </c>
      <c r="F6720" s="78">
        <f t="shared" si="560"/>
        <v>238</v>
      </c>
    </row>
    <row r="6721" spans="1:6" ht="15.75" thickBot="1" x14ac:dyDescent="0.3">
      <c r="A6721" s="86" t="s">
        <v>40</v>
      </c>
      <c r="B6721" s="42">
        <v>44172</v>
      </c>
      <c r="C6721" s="300">
        <v>86</v>
      </c>
      <c r="D6721" s="81">
        <f>C6721+D6697</f>
        <v>67350</v>
      </c>
      <c r="E6721" s="300">
        <v>0</v>
      </c>
      <c r="F6721" s="83">
        <f t="shared" si="560"/>
        <v>1247</v>
      </c>
    </row>
    <row r="6722" spans="1:6" x14ac:dyDescent="0.25">
      <c r="A6722" s="36" t="s">
        <v>16</v>
      </c>
      <c r="B6722" s="354">
        <v>44173</v>
      </c>
      <c r="C6722" s="53">
        <v>836</v>
      </c>
      <c r="D6722" s="211">
        <f t="shared" si="559"/>
        <v>630006</v>
      </c>
      <c r="E6722" s="53">
        <v>39</v>
      </c>
      <c r="F6722" s="77">
        <f t="shared" si="560"/>
        <v>21168</v>
      </c>
    </row>
    <row r="6723" spans="1:6" x14ac:dyDescent="0.25">
      <c r="A6723" s="84" t="s">
        <v>43</v>
      </c>
      <c r="B6723" s="2">
        <v>44173</v>
      </c>
      <c r="C6723" s="1">
        <v>159</v>
      </c>
      <c r="D6723" s="47">
        <f t="shared" si="559"/>
        <v>160996</v>
      </c>
      <c r="E6723" s="1">
        <v>3</v>
      </c>
      <c r="F6723" s="78">
        <f t="shared" si="560"/>
        <v>5306</v>
      </c>
    </row>
    <row r="6724" spans="1:6" x14ac:dyDescent="0.25">
      <c r="A6724" s="84" t="s">
        <v>28</v>
      </c>
      <c r="B6724" s="2">
        <v>44173</v>
      </c>
      <c r="C6724" s="1">
        <v>12</v>
      </c>
      <c r="D6724" s="47">
        <f t="shared" si="559"/>
        <v>2027</v>
      </c>
      <c r="E6724" s="1">
        <v>0</v>
      </c>
      <c r="F6724" s="78">
        <f t="shared" si="560"/>
        <v>17</v>
      </c>
    </row>
    <row r="6725" spans="1:6" x14ac:dyDescent="0.25">
      <c r="A6725" s="84" t="s">
        <v>15</v>
      </c>
      <c r="B6725" s="2">
        <v>44173</v>
      </c>
      <c r="C6725" s="1">
        <v>59</v>
      </c>
      <c r="D6725" s="47">
        <f t="shared" si="559"/>
        <v>20885</v>
      </c>
      <c r="E6725" s="1">
        <v>10</v>
      </c>
      <c r="F6725" s="78">
        <f t="shared" si="560"/>
        <v>603</v>
      </c>
    </row>
    <row r="6726" spans="1:6" x14ac:dyDescent="0.25">
      <c r="A6726" s="84" t="s">
        <v>29</v>
      </c>
      <c r="B6726" s="2">
        <v>44173</v>
      </c>
      <c r="C6726" s="1">
        <v>121</v>
      </c>
      <c r="D6726" s="47">
        <f t="shared" si="559"/>
        <v>24770</v>
      </c>
      <c r="E6726" s="1">
        <v>4</v>
      </c>
      <c r="F6726" s="78">
        <f t="shared" si="560"/>
        <v>411</v>
      </c>
    </row>
    <row r="6727" spans="1:6" x14ac:dyDescent="0.25">
      <c r="A6727" s="84" t="s">
        <v>20</v>
      </c>
      <c r="B6727" s="2">
        <v>44173</v>
      </c>
      <c r="C6727" s="1">
        <v>241</v>
      </c>
      <c r="D6727" s="47">
        <f t="shared" si="559"/>
        <v>117848</v>
      </c>
      <c r="E6727" s="1">
        <v>19</v>
      </c>
      <c r="F6727" s="78">
        <f t="shared" si="560"/>
        <v>2117</v>
      </c>
    </row>
    <row r="6728" spans="1:6" x14ac:dyDescent="0.25">
      <c r="A6728" s="84" t="s">
        <v>30</v>
      </c>
      <c r="B6728" s="2">
        <v>44173</v>
      </c>
      <c r="C6728" s="1">
        <v>127</v>
      </c>
      <c r="D6728" s="47">
        <f t="shared" si="559"/>
        <v>8989</v>
      </c>
      <c r="E6728" s="1">
        <v>9</v>
      </c>
      <c r="F6728" s="78">
        <f t="shared" si="560"/>
        <v>120</v>
      </c>
    </row>
    <row r="6729" spans="1:6" x14ac:dyDescent="0.25">
      <c r="A6729" s="84" t="s">
        <v>31</v>
      </c>
      <c r="B6729" s="2">
        <v>44173</v>
      </c>
      <c r="C6729" s="1">
        <v>137</v>
      </c>
      <c r="D6729" s="47">
        <f t="shared" si="559"/>
        <v>24712</v>
      </c>
      <c r="E6729" s="1">
        <v>6</v>
      </c>
      <c r="F6729" s="78">
        <f t="shared" si="560"/>
        <v>498</v>
      </c>
    </row>
    <row r="6730" spans="1:6" x14ac:dyDescent="0.25">
      <c r="A6730" s="84" t="s">
        <v>41</v>
      </c>
      <c r="B6730" s="2">
        <v>44173</v>
      </c>
      <c r="C6730" s="1">
        <v>4</v>
      </c>
      <c r="D6730" s="47">
        <f t="shared" si="559"/>
        <v>193</v>
      </c>
      <c r="E6730" s="1">
        <v>0</v>
      </c>
      <c r="F6730" s="78">
        <f t="shared" si="560"/>
        <v>3</v>
      </c>
    </row>
    <row r="6731" spans="1:6" x14ac:dyDescent="0.25">
      <c r="A6731" s="84" t="s">
        <v>32</v>
      </c>
      <c r="B6731" s="2">
        <v>44173</v>
      </c>
      <c r="C6731" s="1">
        <v>9</v>
      </c>
      <c r="D6731" s="47">
        <f t="shared" si="559"/>
        <v>18425</v>
      </c>
      <c r="E6731" s="1">
        <v>0</v>
      </c>
      <c r="F6731" s="78">
        <f t="shared" si="560"/>
        <v>852</v>
      </c>
    </row>
    <row r="6732" spans="1:6" x14ac:dyDescent="0.25">
      <c r="A6732" s="84" t="s">
        <v>33</v>
      </c>
      <c r="B6732" s="2">
        <v>44173</v>
      </c>
      <c r="C6732" s="1">
        <v>62</v>
      </c>
      <c r="D6732" s="47">
        <f t="shared" si="559"/>
        <v>6400</v>
      </c>
      <c r="E6732" s="1">
        <v>0</v>
      </c>
      <c r="F6732" s="78">
        <f t="shared" si="560"/>
        <v>95</v>
      </c>
    </row>
    <row r="6733" spans="1:6" x14ac:dyDescent="0.25">
      <c r="A6733" s="84" t="s">
        <v>21</v>
      </c>
      <c r="B6733" s="2">
        <v>44173</v>
      </c>
      <c r="C6733" s="1">
        <v>7</v>
      </c>
      <c r="D6733" s="47">
        <f t="shared" si="559"/>
        <v>8865</v>
      </c>
      <c r="E6733" s="1">
        <v>1</v>
      </c>
      <c r="F6733" s="78">
        <f t="shared" si="560"/>
        <v>322</v>
      </c>
    </row>
    <row r="6734" spans="1:6" x14ac:dyDescent="0.25">
      <c r="A6734" s="84" t="s">
        <v>17</v>
      </c>
      <c r="B6734" s="2">
        <v>44173</v>
      </c>
      <c r="C6734" s="1">
        <v>32</v>
      </c>
      <c r="D6734" s="47">
        <f t="shared" si="559"/>
        <v>57632</v>
      </c>
      <c r="E6734" s="1">
        <v>2</v>
      </c>
      <c r="F6734" s="78">
        <f t="shared" si="560"/>
        <v>1146</v>
      </c>
    </row>
    <row r="6735" spans="1:6" x14ac:dyDescent="0.25">
      <c r="A6735" s="84" t="s">
        <v>23</v>
      </c>
      <c r="B6735" s="2">
        <v>44173</v>
      </c>
      <c r="C6735" s="1">
        <v>11</v>
      </c>
      <c r="D6735" s="47">
        <f t="shared" si="559"/>
        <v>590</v>
      </c>
      <c r="E6735" s="1">
        <v>0</v>
      </c>
      <c r="F6735" s="78">
        <f t="shared" si="560"/>
        <v>9</v>
      </c>
    </row>
    <row r="6736" spans="1:6" x14ac:dyDescent="0.25">
      <c r="A6736" s="84" t="s">
        <v>19</v>
      </c>
      <c r="B6736" s="2">
        <v>44173</v>
      </c>
      <c r="C6736" s="1">
        <v>477</v>
      </c>
      <c r="D6736" s="47">
        <f t="shared" si="559"/>
        <v>35589</v>
      </c>
      <c r="E6736" s="1">
        <v>0</v>
      </c>
      <c r="F6736" s="78">
        <f t="shared" si="560"/>
        <v>656</v>
      </c>
    </row>
    <row r="6737" spans="1:6" x14ac:dyDescent="0.25">
      <c r="A6737" s="84" t="s">
        <v>18</v>
      </c>
      <c r="B6737" s="2">
        <v>44173</v>
      </c>
      <c r="C6737" s="1">
        <v>137</v>
      </c>
      <c r="D6737" s="47">
        <f t="shared" si="559"/>
        <v>33108</v>
      </c>
      <c r="E6737" s="1">
        <v>2</v>
      </c>
      <c r="F6737" s="78">
        <f t="shared" si="560"/>
        <v>803</v>
      </c>
    </row>
    <row r="6738" spans="1:6" x14ac:dyDescent="0.25">
      <c r="A6738" s="84" t="s">
        <v>34</v>
      </c>
      <c r="B6738" s="2">
        <v>44173</v>
      </c>
      <c r="C6738" s="1">
        <v>7</v>
      </c>
      <c r="D6738" s="47">
        <f t="shared" si="559"/>
        <v>21438</v>
      </c>
      <c r="E6738" s="1">
        <v>0</v>
      </c>
      <c r="F6738" s="78">
        <f t="shared" si="560"/>
        <v>991</v>
      </c>
    </row>
    <row r="6739" spans="1:6" x14ac:dyDescent="0.25">
      <c r="A6739" s="84" t="s">
        <v>35</v>
      </c>
      <c r="B6739" s="2">
        <v>44173</v>
      </c>
      <c r="C6739" s="1">
        <v>107</v>
      </c>
      <c r="D6739" s="47">
        <f t="shared" si="559"/>
        <v>8606</v>
      </c>
      <c r="E6739" s="1">
        <v>0</v>
      </c>
      <c r="F6739" s="78">
        <f t="shared" si="560"/>
        <v>173</v>
      </c>
    </row>
    <row r="6740" spans="1:6" x14ac:dyDescent="0.25">
      <c r="A6740" s="84" t="s">
        <v>36</v>
      </c>
      <c r="B6740" s="2">
        <v>44173</v>
      </c>
      <c r="C6740" s="1">
        <v>87</v>
      </c>
      <c r="D6740" s="47">
        <f t="shared" si="559"/>
        <v>15231</v>
      </c>
      <c r="E6740" s="1">
        <v>0</v>
      </c>
      <c r="F6740" s="78">
        <f t="shared" si="560"/>
        <v>236</v>
      </c>
    </row>
    <row r="6741" spans="1:6" x14ac:dyDescent="0.25">
      <c r="A6741" s="84" t="s">
        <v>37</v>
      </c>
      <c r="B6741" s="2">
        <v>44173</v>
      </c>
      <c r="C6741" s="1">
        <v>238</v>
      </c>
      <c r="D6741" s="47">
        <f t="shared" si="559"/>
        <v>17654</v>
      </c>
      <c r="E6741" s="1">
        <v>2</v>
      </c>
      <c r="F6741" s="78">
        <f t="shared" si="560"/>
        <v>308</v>
      </c>
    </row>
    <row r="6742" spans="1:6" x14ac:dyDescent="0.25">
      <c r="A6742" s="84" t="s">
        <v>22</v>
      </c>
      <c r="B6742" s="2">
        <v>44173</v>
      </c>
      <c r="C6742" s="1">
        <v>559</v>
      </c>
      <c r="D6742" s="47">
        <f t="shared" si="559"/>
        <v>155354</v>
      </c>
      <c r="E6742" s="1">
        <v>21</v>
      </c>
      <c r="F6742" s="78">
        <f t="shared" si="560"/>
        <v>2445</v>
      </c>
    </row>
    <row r="6743" spans="1:6" x14ac:dyDescent="0.25">
      <c r="A6743" s="84" t="s">
        <v>38</v>
      </c>
      <c r="B6743" s="2">
        <v>44173</v>
      </c>
      <c r="C6743" s="1">
        <v>23</v>
      </c>
      <c r="D6743" s="47">
        <f t="shared" si="559"/>
        <v>16239</v>
      </c>
      <c r="E6743" s="1">
        <v>1</v>
      </c>
      <c r="F6743" s="78">
        <f t="shared" si="560"/>
        <v>201</v>
      </c>
    </row>
    <row r="6744" spans="1:6" x14ac:dyDescent="0.25">
      <c r="A6744" s="84" t="s">
        <v>39</v>
      </c>
      <c r="B6744" s="2">
        <v>44173</v>
      </c>
      <c r="C6744" s="1">
        <v>65</v>
      </c>
      <c r="D6744" s="47">
        <f t="shared" si="559"/>
        <v>16919</v>
      </c>
      <c r="E6744" s="1">
        <v>1</v>
      </c>
      <c r="F6744" s="78">
        <f t="shared" si="560"/>
        <v>239</v>
      </c>
    </row>
    <row r="6745" spans="1:6" ht="15.75" thickBot="1" x14ac:dyDescent="0.3">
      <c r="A6745" s="85" t="s">
        <v>40</v>
      </c>
      <c r="B6745" s="355">
        <v>44173</v>
      </c>
      <c r="C6745" s="54">
        <v>93</v>
      </c>
      <c r="D6745" s="214">
        <f>C6745+D6721</f>
        <v>67443</v>
      </c>
      <c r="E6745" s="54">
        <v>0</v>
      </c>
      <c r="F6745" s="79">
        <f t="shared" si="560"/>
        <v>1247</v>
      </c>
    </row>
    <row r="6746" spans="1:6" x14ac:dyDescent="0.25">
      <c r="A6746" s="122" t="s">
        <v>16</v>
      </c>
      <c r="B6746" s="356">
        <v>44174</v>
      </c>
      <c r="C6746" s="293">
        <v>1460</v>
      </c>
      <c r="D6746" s="348">
        <f t="shared" si="559"/>
        <v>631466</v>
      </c>
      <c r="E6746" s="293">
        <v>67</v>
      </c>
      <c r="F6746" s="135">
        <f t="shared" si="560"/>
        <v>21235</v>
      </c>
    </row>
    <row r="6747" spans="1:6" x14ac:dyDescent="0.25">
      <c r="A6747" s="84" t="s">
        <v>43</v>
      </c>
      <c r="B6747" s="2">
        <v>44174</v>
      </c>
      <c r="C6747" s="1">
        <v>334</v>
      </c>
      <c r="D6747" s="47">
        <f t="shared" si="559"/>
        <v>161330</v>
      </c>
      <c r="E6747" s="1">
        <v>16</v>
      </c>
      <c r="F6747" s="78">
        <f t="shared" si="560"/>
        <v>5322</v>
      </c>
    </row>
    <row r="6748" spans="1:6" x14ac:dyDescent="0.25">
      <c r="A6748" s="84" t="s">
        <v>28</v>
      </c>
      <c r="B6748" s="2">
        <v>44174</v>
      </c>
      <c r="C6748" s="1">
        <v>3</v>
      </c>
      <c r="D6748" s="47">
        <f t="shared" si="559"/>
        <v>2030</v>
      </c>
      <c r="E6748" s="1">
        <v>0</v>
      </c>
      <c r="F6748" s="78">
        <f t="shared" si="560"/>
        <v>17</v>
      </c>
    </row>
    <row r="6749" spans="1:6" x14ac:dyDescent="0.25">
      <c r="A6749" s="84" t="s">
        <v>15</v>
      </c>
      <c r="B6749" s="2">
        <v>44174</v>
      </c>
      <c r="C6749" s="1">
        <v>151</v>
      </c>
      <c r="D6749" s="47">
        <f t="shared" si="559"/>
        <v>21036</v>
      </c>
      <c r="E6749" s="1">
        <v>4</v>
      </c>
      <c r="F6749" s="78">
        <f t="shared" si="560"/>
        <v>607</v>
      </c>
    </row>
    <row r="6750" spans="1:6" x14ac:dyDescent="0.25">
      <c r="A6750" s="84" t="s">
        <v>29</v>
      </c>
      <c r="B6750" s="2">
        <v>44174</v>
      </c>
      <c r="C6750" s="1">
        <v>266</v>
      </c>
      <c r="D6750" s="47">
        <f t="shared" si="559"/>
        <v>25036</v>
      </c>
      <c r="E6750" s="1">
        <v>0</v>
      </c>
      <c r="F6750" s="78">
        <f t="shared" si="560"/>
        <v>411</v>
      </c>
    </row>
    <row r="6751" spans="1:6" x14ac:dyDescent="0.25">
      <c r="A6751" s="84" t="s">
        <v>20</v>
      </c>
      <c r="B6751" s="2">
        <v>44174</v>
      </c>
      <c r="C6751" s="1">
        <v>251</v>
      </c>
      <c r="D6751" s="47">
        <f t="shared" si="559"/>
        <v>118099</v>
      </c>
      <c r="E6751" s="1">
        <v>24</v>
      </c>
      <c r="F6751" s="78">
        <f t="shared" si="560"/>
        <v>2141</v>
      </c>
    </row>
    <row r="6752" spans="1:6" x14ac:dyDescent="0.25">
      <c r="A6752" s="84" t="s">
        <v>30</v>
      </c>
      <c r="B6752" s="2">
        <v>44174</v>
      </c>
      <c r="C6752" s="1">
        <v>61</v>
      </c>
      <c r="D6752" s="47">
        <f t="shared" si="559"/>
        <v>9050</v>
      </c>
      <c r="E6752" s="1">
        <v>10</v>
      </c>
      <c r="F6752" s="78">
        <f t="shared" si="560"/>
        <v>130</v>
      </c>
    </row>
    <row r="6753" spans="1:6" x14ac:dyDescent="0.25">
      <c r="A6753" s="84" t="s">
        <v>31</v>
      </c>
      <c r="B6753" s="2">
        <v>44174</v>
      </c>
      <c r="C6753" s="1">
        <v>103</v>
      </c>
      <c r="D6753" s="47">
        <f t="shared" ref="D6753:D6818" si="561">C6753+D6729</f>
        <v>24815</v>
      </c>
      <c r="E6753" s="1">
        <v>7</v>
      </c>
      <c r="F6753" s="78">
        <f t="shared" si="560"/>
        <v>505</v>
      </c>
    </row>
    <row r="6754" spans="1:6" x14ac:dyDescent="0.25">
      <c r="A6754" s="84" t="s">
        <v>41</v>
      </c>
      <c r="B6754" s="2">
        <v>44174</v>
      </c>
      <c r="C6754" s="1">
        <v>4</v>
      </c>
      <c r="D6754" s="47">
        <f t="shared" si="561"/>
        <v>197</v>
      </c>
      <c r="E6754" s="1">
        <v>0</v>
      </c>
      <c r="F6754" s="78">
        <f t="shared" ref="F6754:F6818" si="562">E6754+F6730</f>
        <v>3</v>
      </c>
    </row>
    <row r="6755" spans="1:6" x14ac:dyDescent="0.25">
      <c r="A6755" s="84" t="s">
        <v>32</v>
      </c>
      <c r="B6755" s="2">
        <v>44174</v>
      </c>
      <c r="C6755" s="1">
        <v>4</v>
      </c>
      <c r="D6755" s="47">
        <f t="shared" si="561"/>
        <v>18429</v>
      </c>
      <c r="E6755" s="1">
        <v>0</v>
      </c>
      <c r="F6755" s="78">
        <f t="shared" si="562"/>
        <v>852</v>
      </c>
    </row>
    <row r="6756" spans="1:6" x14ac:dyDescent="0.25">
      <c r="A6756" s="84" t="s">
        <v>33</v>
      </c>
      <c r="B6756" s="2">
        <v>44174</v>
      </c>
      <c r="C6756" s="1">
        <v>123</v>
      </c>
      <c r="D6756" s="47">
        <f t="shared" si="561"/>
        <v>6523</v>
      </c>
      <c r="E6756" s="1">
        <v>0</v>
      </c>
      <c r="F6756" s="78">
        <f t="shared" si="562"/>
        <v>95</v>
      </c>
    </row>
    <row r="6757" spans="1:6" x14ac:dyDescent="0.25">
      <c r="A6757" s="84" t="s">
        <v>21</v>
      </c>
      <c r="B6757" s="2">
        <v>44174</v>
      </c>
      <c r="C6757" s="1">
        <v>28</v>
      </c>
      <c r="D6757" s="47">
        <f t="shared" si="561"/>
        <v>8893</v>
      </c>
      <c r="E6757" s="1">
        <v>0</v>
      </c>
      <c r="F6757" s="78">
        <f t="shared" si="562"/>
        <v>322</v>
      </c>
    </row>
    <row r="6758" spans="1:6" x14ac:dyDescent="0.25">
      <c r="A6758" s="84" t="s">
        <v>17</v>
      </c>
      <c r="B6758" s="2">
        <v>44174</v>
      </c>
      <c r="C6758" s="1">
        <v>108</v>
      </c>
      <c r="D6758" s="47">
        <f t="shared" si="561"/>
        <v>57740</v>
      </c>
      <c r="E6758" s="1">
        <v>18</v>
      </c>
      <c r="F6758" s="78">
        <f t="shared" si="562"/>
        <v>1164</v>
      </c>
    </row>
    <row r="6759" spans="1:6" x14ac:dyDescent="0.25">
      <c r="A6759" s="84" t="s">
        <v>23</v>
      </c>
      <c r="B6759" s="2">
        <v>44174</v>
      </c>
      <c r="C6759" s="1">
        <v>18</v>
      </c>
      <c r="D6759" s="47">
        <f t="shared" si="561"/>
        <v>608</v>
      </c>
      <c r="E6759" s="1">
        <v>0</v>
      </c>
      <c r="F6759" s="78">
        <f t="shared" si="562"/>
        <v>9</v>
      </c>
    </row>
    <row r="6760" spans="1:6" x14ac:dyDescent="0.25">
      <c r="A6760" s="84" t="s">
        <v>19</v>
      </c>
      <c r="B6760" s="2">
        <v>44174</v>
      </c>
      <c r="C6760" s="1">
        <v>550</v>
      </c>
      <c r="D6760" s="47">
        <f t="shared" si="561"/>
        <v>36139</v>
      </c>
      <c r="E6760" s="1">
        <v>1</v>
      </c>
      <c r="F6760" s="78">
        <f t="shared" si="562"/>
        <v>657</v>
      </c>
    </row>
    <row r="6761" spans="1:6" x14ac:dyDescent="0.25">
      <c r="A6761" s="84" t="s">
        <v>18</v>
      </c>
      <c r="B6761" s="2">
        <v>44174</v>
      </c>
      <c r="C6761" s="1">
        <v>128</v>
      </c>
      <c r="D6761" s="47">
        <f t="shared" si="561"/>
        <v>33236</v>
      </c>
      <c r="E6761" s="1">
        <v>5</v>
      </c>
      <c r="F6761" s="78">
        <f t="shared" si="562"/>
        <v>808</v>
      </c>
    </row>
    <row r="6762" spans="1:6" x14ac:dyDescent="0.25">
      <c r="A6762" s="84" t="s">
        <v>34</v>
      </c>
      <c r="B6762" s="2">
        <v>44174</v>
      </c>
      <c r="C6762" s="1">
        <v>15</v>
      </c>
      <c r="D6762" s="47">
        <f t="shared" si="561"/>
        <v>21453</v>
      </c>
      <c r="E6762" s="1">
        <v>1</v>
      </c>
      <c r="F6762" s="78">
        <f t="shared" si="562"/>
        <v>992</v>
      </c>
    </row>
    <row r="6763" spans="1:6" x14ac:dyDescent="0.25">
      <c r="A6763" s="84" t="s">
        <v>35</v>
      </c>
      <c r="B6763" s="2">
        <v>44174</v>
      </c>
      <c r="C6763" s="1">
        <v>197</v>
      </c>
      <c r="D6763" s="47">
        <f t="shared" si="561"/>
        <v>8803</v>
      </c>
      <c r="E6763" s="1">
        <v>1</v>
      </c>
      <c r="F6763" s="78">
        <f t="shared" si="562"/>
        <v>174</v>
      </c>
    </row>
    <row r="6764" spans="1:6" x14ac:dyDescent="0.25">
      <c r="A6764" s="84" t="s">
        <v>36</v>
      </c>
      <c r="B6764" s="2">
        <v>44174</v>
      </c>
      <c r="C6764" s="1">
        <v>56</v>
      </c>
      <c r="D6764" s="47">
        <f t="shared" si="561"/>
        <v>15287</v>
      </c>
      <c r="E6764" s="1">
        <v>3</v>
      </c>
      <c r="F6764" s="78">
        <f t="shared" si="562"/>
        <v>239</v>
      </c>
    </row>
    <row r="6765" spans="1:6" x14ac:dyDescent="0.25">
      <c r="A6765" s="84" t="s">
        <v>37</v>
      </c>
      <c r="B6765" s="2">
        <v>44174</v>
      </c>
      <c r="C6765" s="1">
        <v>135</v>
      </c>
      <c r="D6765" s="47">
        <f t="shared" si="561"/>
        <v>17789</v>
      </c>
      <c r="E6765" s="1">
        <v>4</v>
      </c>
      <c r="F6765" s="78">
        <f t="shared" si="562"/>
        <v>312</v>
      </c>
    </row>
    <row r="6766" spans="1:6" x14ac:dyDescent="0.25">
      <c r="A6766" s="84" t="s">
        <v>22</v>
      </c>
      <c r="B6766" s="2">
        <v>44174</v>
      </c>
      <c r="C6766" s="1">
        <v>996</v>
      </c>
      <c r="D6766" s="47">
        <f t="shared" si="561"/>
        <v>156350</v>
      </c>
      <c r="E6766" s="1">
        <v>37</v>
      </c>
      <c r="F6766" s="78">
        <f t="shared" si="562"/>
        <v>2482</v>
      </c>
    </row>
    <row r="6767" spans="1:6" x14ac:dyDescent="0.25">
      <c r="A6767" s="84" t="s">
        <v>38</v>
      </c>
      <c r="B6767" s="2">
        <v>44174</v>
      </c>
      <c r="C6767" s="1">
        <v>56</v>
      </c>
      <c r="D6767" s="47">
        <f t="shared" si="561"/>
        <v>16295</v>
      </c>
      <c r="E6767" s="1">
        <v>1</v>
      </c>
      <c r="F6767" s="78">
        <f t="shared" si="562"/>
        <v>202</v>
      </c>
    </row>
    <row r="6768" spans="1:6" x14ac:dyDescent="0.25">
      <c r="A6768" s="84" t="s">
        <v>39</v>
      </c>
      <c r="B6768" s="2">
        <v>44174</v>
      </c>
      <c r="C6768" s="1">
        <v>89</v>
      </c>
      <c r="D6768" s="47">
        <f t="shared" si="561"/>
        <v>17008</v>
      </c>
      <c r="E6768" s="1">
        <v>2</v>
      </c>
      <c r="F6768" s="78">
        <f t="shared" si="562"/>
        <v>241</v>
      </c>
    </row>
    <row r="6769" spans="1:6" ht="15.75" thickBot="1" x14ac:dyDescent="0.3">
      <c r="A6769" s="86" t="s">
        <v>40</v>
      </c>
      <c r="B6769" s="42">
        <v>44174</v>
      </c>
      <c r="C6769" s="300">
        <v>167</v>
      </c>
      <c r="D6769" s="81">
        <f t="shared" si="561"/>
        <v>67610</v>
      </c>
      <c r="E6769" s="300">
        <v>10</v>
      </c>
      <c r="F6769" s="83">
        <f t="shared" si="562"/>
        <v>1257</v>
      </c>
    </row>
    <row r="6770" spans="1:6" x14ac:dyDescent="0.25">
      <c r="A6770" s="36" t="s">
        <v>16</v>
      </c>
      <c r="B6770" s="354">
        <v>44175</v>
      </c>
      <c r="C6770" s="53">
        <v>1906</v>
      </c>
      <c r="D6770" s="211">
        <f t="shared" si="561"/>
        <v>633372</v>
      </c>
      <c r="E6770" s="53">
        <v>56</v>
      </c>
      <c r="F6770" s="77">
        <f t="shared" si="562"/>
        <v>21291</v>
      </c>
    </row>
    <row r="6771" spans="1:6" x14ac:dyDescent="0.25">
      <c r="A6771" s="84" t="s">
        <v>43</v>
      </c>
      <c r="B6771" s="2">
        <v>44175</v>
      </c>
      <c r="C6771" s="1">
        <v>402</v>
      </c>
      <c r="D6771" s="47">
        <f t="shared" si="561"/>
        <v>161732</v>
      </c>
      <c r="E6771" s="1">
        <v>3</v>
      </c>
      <c r="F6771" s="78">
        <f t="shared" si="562"/>
        <v>5325</v>
      </c>
    </row>
    <row r="6772" spans="1:6" x14ac:dyDescent="0.25">
      <c r="A6772" s="84" t="s">
        <v>28</v>
      </c>
      <c r="B6772" s="2">
        <v>44175</v>
      </c>
      <c r="C6772" s="1">
        <v>27</v>
      </c>
      <c r="D6772" s="47">
        <f t="shared" si="561"/>
        <v>2057</v>
      </c>
      <c r="E6772" s="1">
        <v>0</v>
      </c>
      <c r="F6772" s="78">
        <f t="shared" si="562"/>
        <v>17</v>
      </c>
    </row>
    <row r="6773" spans="1:6" x14ac:dyDescent="0.25">
      <c r="A6773" s="84" t="s">
        <v>15</v>
      </c>
      <c r="B6773" s="2">
        <v>44175</v>
      </c>
      <c r="C6773" s="1">
        <v>155</v>
      </c>
      <c r="D6773" s="47">
        <f t="shared" si="561"/>
        <v>21191</v>
      </c>
      <c r="E6773" s="1">
        <v>2</v>
      </c>
      <c r="F6773" s="78">
        <f t="shared" si="562"/>
        <v>609</v>
      </c>
    </row>
    <row r="6774" spans="1:6" x14ac:dyDescent="0.25">
      <c r="A6774" s="84" t="s">
        <v>29</v>
      </c>
      <c r="B6774" s="2">
        <v>44175</v>
      </c>
      <c r="C6774" s="1">
        <v>337</v>
      </c>
      <c r="D6774" s="47">
        <f t="shared" si="561"/>
        <v>25373</v>
      </c>
      <c r="E6774" s="1">
        <v>15</v>
      </c>
      <c r="F6774" s="78">
        <f t="shared" si="562"/>
        <v>426</v>
      </c>
    </row>
    <row r="6775" spans="1:6" x14ac:dyDescent="0.25">
      <c r="A6775" s="84" t="s">
        <v>20</v>
      </c>
      <c r="B6775" s="2">
        <v>44175</v>
      </c>
      <c r="C6775" s="1">
        <v>610</v>
      </c>
      <c r="D6775" s="47">
        <f t="shared" si="561"/>
        <v>118709</v>
      </c>
      <c r="E6775" s="1">
        <v>26</v>
      </c>
      <c r="F6775" s="78">
        <f t="shared" si="562"/>
        <v>2167</v>
      </c>
    </row>
    <row r="6776" spans="1:6" x14ac:dyDescent="0.25">
      <c r="A6776" s="84" t="s">
        <v>30</v>
      </c>
      <c r="B6776" s="2">
        <v>44175</v>
      </c>
      <c r="C6776" s="1">
        <v>221</v>
      </c>
      <c r="D6776" s="47">
        <f t="shared" si="561"/>
        <v>9271</v>
      </c>
      <c r="E6776" s="1">
        <v>0</v>
      </c>
      <c r="F6776" s="78">
        <f t="shared" si="562"/>
        <v>130</v>
      </c>
    </row>
    <row r="6777" spans="1:6" x14ac:dyDescent="0.25">
      <c r="A6777" s="84" t="s">
        <v>31</v>
      </c>
      <c r="B6777" s="2">
        <v>44175</v>
      </c>
      <c r="C6777" s="1">
        <v>174</v>
      </c>
      <c r="D6777" s="47">
        <f t="shared" si="561"/>
        <v>24989</v>
      </c>
      <c r="E6777" s="1">
        <v>3</v>
      </c>
      <c r="F6777" s="78">
        <f t="shared" si="562"/>
        <v>508</v>
      </c>
    </row>
    <row r="6778" spans="1:6" x14ac:dyDescent="0.25">
      <c r="A6778" s="84" t="s">
        <v>41</v>
      </c>
      <c r="B6778" s="2">
        <v>44175</v>
      </c>
      <c r="C6778" s="1">
        <v>-2</v>
      </c>
      <c r="D6778" s="47">
        <f t="shared" si="561"/>
        <v>195</v>
      </c>
      <c r="E6778" s="1">
        <v>0</v>
      </c>
      <c r="F6778" s="78">
        <f t="shared" si="562"/>
        <v>3</v>
      </c>
    </row>
    <row r="6779" spans="1:6" x14ac:dyDescent="0.25">
      <c r="A6779" s="84" t="s">
        <v>32</v>
      </c>
      <c r="B6779" s="2">
        <v>44175</v>
      </c>
      <c r="C6779" s="1">
        <v>2</v>
      </c>
      <c r="D6779" s="47">
        <f t="shared" si="561"/>
        <v>18431</v>
      </c>
      <c r="E6779" s="1">
        <v>1</v>
      </c>
      <c r="F6779" s="78">
        <f t="shared" si="562"/>
        <v>853</v>
      </c>
    </row>
    <row r="6780" spans="1:6" x14ac:dyDescent="0.25">
      <c r="A6780" s="84" t="s">
        <v>33</v>
      </c>
      <c r="B6780" s="2">
        <v>44175</v>
      </c>
      <c r="C6780" s="1">
        <v>102</v>
      </c>
      <c r="D6780" s="47">
        <f t="shared" si="561"/>
        <v>6625</v>
      </c>
      <c r="E6780" s="1">
        <v>1</v>
      </c>
      <c r="F6780" s="78">
        <f t="shared" si="562"/>
        <v>96</v>
      </c>
    </row>
    <row r="6781" spans="1:6" x14ac:dyDescent="0.25">
      <c r="A6781" s="84" t="s">
        <v>21</v>
      </c>
      <c r="B6781" s="2">
        <v>44175</v>
      </c>
      <c r="C6781" s="1">
        <v>9</v>
      </c>
      <c r="D6781" s="47">
        <f t="shared" si="561"/>
        <v>8902</v>
      </c>
      <c r="E6781" s="1">
        <v>0</v>
      </c>
      <c r="F6781" s="78">
        <f t="shared" si="562"/>
        <v>322</v>
      </c>
    </row>
    <row r="6782" spans="1:6" x14ac:dyDescent="0.25">
      <c r="A6782" s="84" t="s">
        <v>17</v>
      </c>
      <c r="B6782" s="2">
        <v>44175</v>
      </c>
      <c r="C6782" s="1">
        <v>163</v>
      </c>
      <c r="D6782" s="47">
        <f t="shared" si="561"/>
        <v>57903</v>
      </c>
      <c r="E6782" s="1">
        <v>8</v>
      </c>
      <c r="F6782" s="78">
        <f t="shared" si="562"/>
        <v>1172</v>
      </c>
    </row>
    <row r="6783" spans="1:6" x14ac:dyDescent="0.25">
      <c r="A6783" s="84" t="s">
        <v>23</v>
      </c>
      <c r="B6783" s="2">
        <v>44175</v>
      </c>
      <c r="C6783" s="1">
        <v>8</v>
      </c>
      <c r="D6783" s="47">
        <f t="shared" si="561"/>
        <v>616</v>
      </c>
      <c r="E6783" s="1">
        <v>0</v>
      </c>
      <c r="F6783" s="78">
        <f t="shared" si="562"/>
        <v>9</v>
      </c>
    </row>
    <row r="6784" spans="1:6" x14ac:dyDescent="0.25">
      <c r="A6784" s="84" t="s">
        <v>19</v>
      </c>
      <c r="B6784" s="2">
        <v>44175</v>
      </c>
      <c r="C6784" s="1">
        <v>368</v>
      </c>
      <c r="D6784" s="47">
        <f t="shared" si="561"/>
        <v>36507</v>
      </c>
      <c r="E6784" s="1">
        <v>4</v>
      </c>
      <c r="F6784" s="78">
        <f t="shared" si="562"/>
        <v>661</v>
      </c>
    </row>
    <row r="6785" spans="1:6" x14ac:dyDescent="0.25">
      <c r="A6785" s="84" t="s">
        <v>18</v>
      </c>
      <c r="B6785" s="2">
        <v>44175</v>
      </c>
      <c r="C6785" s="1">
        <v>406</v>
      </c>
      <c r="D6785" s="47">
        <f t="shared" si="561"/>
        <v>33642</v>
      </c>
      <c r="E6785" s="1">
        <v>11</v>
      </c>
      <c r="F6785" s="78">
        <f t="shared" si="562"/>
        <v>819</v>
      </c>
    </row>
    <row r="6786" spans="1:6" x14ac:dyDescent="0.25">
      <c r="A6786" s="84" t="s">
        <v>34</v>
      </c>
      <c r="B6786" s="2">
        <v>44175</v>
      </c>
      <c r="C6786" s="1">
        <v>40</v>
      </c>
      <c r="D6786" s="47">
        <f t="shared" si="561"/>
        <v>21493</v>
      </c>
      <c r="E6786" s="1">
        <v>2</v>
      </c>
      <c r="F6786" s="78">
        <f t="shared" si="562"/>
        <v>994</v>
      </c>
    </row>
    <row r="6787" spans="1:6" x14ac:dyDescent="0.25">
      <c r="A6787" s="84" t="s">
        <v>35</v>
      </c>
      <c r="B6787" s="2">
        <v>44175</v>
      </c>
      <c r="C6787" s="1">
        <v>239</v>
      </c>
      <c r="D6787" s="47">
        <f t="shared" si="561"/>
        <v>9042</v>
      </c>
      <c r="E6787" s="1">
        <v>0</v>
      </c>
      <c r="F6787" s="78">
        <f t="shared" si="562"/>
        <v>174</v>
      </c>
    </row>
    <row r="6788" spans="1:6" x14ac:dyDescent="0.25">
      <c r="A6788" s="84" t="s">
        <v>36</v>
      </c>
      <c r="B6788" s="2">
        <v>44175</v>
      </c>
      <c r="C6788" s="1">
        <v>76</v>
      </c>
      <c r="D6788" s="47">
        <f t="shared" si="561"/>
        <v>15363</v>
      </c>
      <c r="E6788" s="1">
        <v>9</v>
      </c>
      <c r="F6788" s="78">
        <f t="shared" si="562"/>
        <v>248</v>
      </c>
    </row>
    <row r="6789" spans="1:6" x14ac:dyDescent="0.25">
      <c r="A6789" s="84" t="s">
        <v>37</v>
      </c>
      <c r="B6789" s="2">
        <v>44175</v>
      </c>
      <c r="C6789" s="1">
        <v>320</v>
      </c>
      <c r="D6789" s="47">
        <f t="shared" si="561"/>
        <v>18109</v>
      </c>
      <c r="E6789" s="1">
        <v>5</v>
      </c>
      <c r="F6789" s="78">
        <f t="shared" si="562"/>
        <v>317</v>
      </c>
    </row>
    <row r="6790" spans="1:6" x14ac:dyDescent="0.25">
      <c r="A6790" s="84" t="s">
        <v>22</v>
      </c>
      <c r="B6790" s="2">
        <v>44175</v>
      </c>
      <c r="C6790" s="1">
        <v>1000</v>
      </c>
      <c r="D6790" s="47">
        <f t="shared" si="561"/>
        <v>157350</v>
      </c>
      <c r="E6790" s="1">
        <v>34</v>
      </c>
      <c r="F6790" s="78">
        <f t="shared" si="562"/>
        <v>2516</v>
      </c>
    </row>
    <row r="6791" spans="1:6" x14ac:dyDescent="0.25">
      <c r="A6791" s="84" t="s">
        <v>38</v>
      </c>
      <c r="B6791" s="2">
        <v>44175</v>
      </c>
      <c r="C6791" s="1">
        <v>44</v>
      </c>
      <c r="D6791" s="47">
        <f t="shared" si="561"/>
        <v>16339</v>
      </c>
      <c r="E6791" s="1">
        <v>3</v>
      </c>
      <c r="F6791" s="78">
        <f t="shared" si="562"/>
        <v>205</v>
      </c>
    </row>
    <row r="6792" spans="1:6" x14ac:dyDescent="0.25">
      <c r="A6792" s="84" t="s">
        <v>39</v>
      </c>
      <c r="B6792" s="2">
        <v>44175</v>
      </c>
      <c r="C6792" s="1">
        <v>152</v>
      </c>
      <c r="D6792" s="47">
        <f t="shared" si="561"/>
        <v>17160</v>
      </c>
      <c r="E6792" s="1">
        <v>1</v>
      </c>
      <c r="F6792" s="78">
        <f t="shared" si="562"/>
        <v>242</v>
      </c>
    </row>
    <row r="6793" spans="1:6" ht="15.75" thickBot="1" x14ac:dyDescent="0.3">
      <c r="A6793" s="85" t="s">
        <v>40</v>
      </c>
      <c r="B6793" s="2">
        <v>44175</v>
      </c>
      <c r="C6793" s="54">
        <v>235</v>
      </c>
      <c r="D6793" s="214">
        <f t="shared" si="561"/>
        <v>67845</v>
      </c>
      <c r="E6793" s="54">
        <v>25</v>
      </c>
      <c r="F6793" s="79">
        <f t="shared" si="562"/>
        <v>1282</v>
      </c>
    </row>
    <row r="6794" spans="1:6" x14ac:dyDescent="0.25">
      <c r="A6794" s="36" t="s">
        <v>16</v>
      </c>
      <c r="B6794" s="2">
        <v>44176</v>
      </c>
      <c r="C6794" s="293">
        <v>2101</v>
      </c>
      <c r="D6794" s="211">
        <f t="shared" si="561"/>
        <v>635473</v>
      </c>
      <c r="E6794" s="293">
        <v>31</v>
      </c>
      <c r="F6794" s="77">
        <f t="shared" si="562"/>
        <v>21322</v>
      </c>
    </row>
    <row r="6795" spans="1:6" x14ac:dyDescent="0.25">
      <c r="A6795" s="84" t="s">
        <v>43</v>
      </c>
      <c r="B6795" s="2">
        <v>44176</v>
      </c>
      <c r="C6795" s="1">
        <v>445</v>
      </c>
      <c r="D6795" s="47">
        <f t="shared" si="561"/>
        <v>162177</v>
      </c>
      <c r="E6795" s="1">
        <v>10</v>
      </c>
      <c r="F6795" s="78">
        <f t="shared" si="562"/>
        <v>5335</v>
      </c>
    </row>
    <row r="6796" spans="1:6" x14ac:dyDescent="0.25">
      <c r="A6796" s="84" t="s">
        <v>28</v>
      </c>
      <c r="B6796" s="2">
        <v>44176</v>
      </c>
      <c r="C6796" s="1">
        <v>3</v>
      </c>
      <c r="D6796" s="47">
        <f t="shared" si="561"/>
        <v>2060</v>
      </c>
      <c r="E6796" s="1">
        <v>0</v>
      </c>
      <c r="F6796" s="78">
        <f t="shared" si="562"/>
        <v>17</v>
      </c>
    </row>
    <row r="6797" spans="1:6" x14ac:dyDescent="0.25">
      <c r="A6797" s="84" t="s">
        <v>15</v>
      </c>
      <c r="B6797" s="2">
        <v>44176</v>
      </c>
      <c r="C6797" s="1">
        <v>202</v>
      </c>
      <c r="D6797" s="47">
        <f t="shared" si="561"/>
        <v>21393</v>
      </c>
      <c r="E6797" s="1">
        <v>6</v>
      </c>
      <c r="F6797" s="78">
        <f t="shared" si="562"/>
        <v>615</v>
      </c>
    </row>
    <row r="6798" spans="1:6" x14ac:dyDescent="0.25">
      <c r="A6798" s="84" t="s">
        <v>29</v>
      </c>
      <c r="B6798" s="2">
        <v>44176</v>
      </c>
      <c r="C6798" s="1">
        <v>342</v>
      </c>
      <c r="D6798" s="47">
        <f t="shared" si="561"/>
        <v>25715</v>
      </c>
      <c r="E6798" s="1">
        <v>10</v>
      </c>
      <c r="F6798" s="78">
        <f t="shared" si="562"/>
        <v>436</v>
      </c>
    </row>
    <row r="6799" spans="1:6" x14ac:dyDescent="0.25">
      <c r="A6799" s="84" t="s">
        <v>20</v>
      </c>
      <c r="B6799" s="2">
        <v>44176</v>
      </c>
      <c r="C6799" s="1">
        <v>532</v>
      </c>
      <c r="D6799" s="47">
        <f t="shared" si="561"/>
        <v>119241</v>
      </c>
      <c r="E6799" s="1">
        <v>36</v>
      </c>
      <c r="F6799" s="78">
        <f t="shared" si="562"/>
        <v>2203</v>
      </c>
    </row>
    <row r="6800" spans="1:6" x14ac:dyDescent="0.25">
      <c r="A6800" s="84" t="s">
        <v>30</v>
      </c>
      <c r="B6800" s="2">
        <v>44176</v>
      </c>
      <c r="C6800" s="1">
        <v>171</v>
      </c>
      <c r="D6800" s="47">
        <f t="shared" si="561"/>
        <v>9442</v>
      </c>
      <c r="E6800" s="1">
        <v>3</v>
      </c>
      <c r="F6800" s="78">
        <f t="shared" si="562"/>
        <v>133</v>
      </c>
    </row>
    <row r="6801" spans="1:6" x14ac:dyDescent="0.25">
      <c r="A6801" s="84" t="s">
        <v>31</v>
      </c>
      <c r="B6801" s="2">
        <v>44176</v>
      </c>
      <c r="C6801" s="1">
        <v>350</v>
      </c>
      <c r="D6801" s="47">
        <f t="shared" si="561"/>
        <v>25339</v>
      </c>
      <c r="E6801" s="1">
        <v>9</v>
      </c>
      <c r="F6801" s="78">
        <f t="shared" si="562"/>
        <v>517</v>
      </c>
    </row>
    <row r="6802" spans="1:6" x14ac:dyDescent="0.25">
      <c r="A6802" s="84" t="s">
        <v>41</v>
      </c>
      <c r="B6802" s="2">
        <v>44176</v>
      </c>
      <c r="C6802" s="1">
        <v>1</v>
      </c>
      <c r="D6802" s="47">
        <f t="shared" si="561"/>
        <v>196</v>
      </c>
      <c r="E6802" s="1">
        <v>0</v>
      </c>
      <c r="F6802" s="78">
        <f t="shared" si="562"/>
        <v>3</v>
      </c>
    </row>
    <row r="6803" spans="1:6" x14ac:dyDescent="0.25">
      <c r="A6803" s="84" t="s">
        <v>32</v>
      </c>
      <c r="B6803" s="2">
        <v>44176</v>
      </c>
      <c r="C6803" s="1">
        <v>8</v>
      </c>
      <c r="D6803" s="47">
        <f t="shared" si="561"/>
        <v>18439</v>
      </c>
      <c r="E6803" s="1">
        <v>0</v>
      </c>
      <c r="F6803" s="78">
        <f t="shared" si="562"/>
        <v>853</v>
      </c>
    </row>
    <row r="6804" spans="1:6" x14ac:dyDescent="0.25">
      <c r="A6804" s="84" t="s">
        <v>33</v>
      </c>
      <c r="B6804" s="2">
        <v>44176</v>
      </c>
      <c r="C6804" s="1">
        <v>134</v>
      </c>
      <c r="D6804" s="47">
        <f t="shared" si="561"/>
        <v>6759</v>
      </c>
      <c r="E6804" s="1">
        <v>3</v>
      </c>
      <c r="F6804" s="78">
        <f t="shared" si="562"/>
        <v>99</v>
      </c>
    </row>
    <row r="6805" spans="1:6" x14ac:dyDescent="0.25">
      <c r="A6805" s="84" t="s">
        <v>21</v>
      </c>
      <c r="B6805" s="2">
        <v>44176</v>
      </c>
      <c r="C6805" s="1">
        <v>3</v>
      </c>
      <c r="D6805" s="47">
        <f t="shared" si="561"/>
        <v>8905</v>
      </c>
      <c r="E6805" s="1">
        <v>1</v>
      </c>
      <c r="F6805" s="78">
        <f t="shared" si="562"/>
        <v>323</v>
      </c>
    </row>
    <row r="6806" spans="1:6" x14ac:dyDescent="0.25">
      <c r="A6806" s="84" t="s">
        <v>17</v>
      </c>
      <c r="B6806" s="2">
        <v>44176</v>
      </c>
      <c r="C6806" s="1">
        <v>124</v>
      </c>
      <c r="D6806" s="47">
        <f t="shared" si="561"/>
        <v>58027</v>
      </c>
      <c r="E6806" s="1">
        <v>1</v>
      </c>
      <c r="F6806" s="78">
        <f t="shared" si="562"/>
        <v>1173</v>
      </c>
    </row>
    <row r="6807" spans="1:6" x14ac:dyDescent="0.25">
      <c r="A6807" s="84" t="s">
        <v>23</v>
      </c>
      <c r="B6807" s="2">
        <v>44176</v>
      </c>
      <c r="C6807" s="1">
        <v>20</v>
      </c>
      <c r="D6807" s="47">
        <f t="shared" si="561"/>
        <v>636</v>
      </c>
      <c r="E6807" s="1">
        <v>0</v>
      </c>
      <c r="F6807" s="78">
        <f t="shared" si="562"/>
        <v>9</v>
      </c>
    </row>
    <row r="6808" spans="1:6" x14ac:dyDescent="0.25">
      <c r="A6808" s="84" t="s">
        <v>19</v>
      </c>
      <c r="B6808" s="2">
        <v>44176</v>
      </c>
      <c r="C6808" s="1">
        <v>183</v>
      </c>
      <c r="D6808" s="47">
        <f t="shared" si="561"/>
        <v>36690</v>
      </c>
      <c r="E6808" s="1">
        <v>12</v>
      </c>
      <c r="F6808" s="78">
        <f t="shared" si="562"/>
        <v>673</v>
      </c>
    </row>
    <row r="6809" spans="1:6" x14ac:dyDescent="0.25">
      <c r="A6809" s="84" t="s">
        <v>18</v>
      </c>
      <c r="B6809" s="2">
        <v>44176</v>
      </c>
      <c r="C6809" s="1">
        <v>218</v>
      </c>
      <c r="D6809" s="47">
        <f t="shared" si="561"/>
        <v>33860</v>
      </c>
      <c r="E6809" s="1">
        <v>16</v>
      </c>
      <c r="F6809" s="78">
        <f t="shared" si="562"/>
        <v>835</v>
      </c>
    </row>
    <row r="6810" spans="1:6" x14ac:dyDescent="0.25">
      <c r="A6810" s="84" t="s">
        <v>34</v>
      </c>
      <c r="B6810" s="2">
        <v>44176</v>
      </c>
      <c r="C6810" s="1">
        <v>28</v>
      </c>
      <c r="D6810" s="47">
        <f t="shared" si="561"/>
        <v>21521</v>
      </c>
      <c r="E6810" s="1">
        <v>2</v>
      </c>
      <c r="F6810" s="78">
        <f t="shared" si="562"/>
        <v>996</v>
      </c>
    </row>
    <row r="6811" spans="1:6" x14ac:dyDescent="0.25">
      <c r="A6811" s="84" t="s">
        <v>35</v>
      </c>
      <c r="B6811" s="2">
        <v>44176</v>
      </c>
      <c r="C6811" s="1">
        <v>132</v>
      </c>
      <c r="D6811" s="47">
        <f t="shared" si="561"/>
        <v>9174</v>
      </c>
      <c r="E6811" s="1">
        <v>0</v>
      </c>
      <c r="F6811" s="78">
        <f t="shared" si="562"/>
        <v>174</v>
      </c>
    </row>
    <row r="6812" spans="1:6" x14ac:dyDescent="0.25">
      <c r="A6812" s="84" t="s">
        <v>36</v>
      </c>
      <c r="B6812" s="2">
        <v>44176</v>
      </c>
      <c r="C6812" s="1">
        <v>76</v>
      </c>
      <c r="D6812" s="47">
        <f t="shared" si="561"/>
        <v>15439</v>
      </c>
      <c r="E6812" s="1">
        <v>1</v>
      </c>
      <c r="F6812" s="78">
        <f t="shared" si="562"/>
        <v>249</v>
      </c>
    </row>
    <row r="6813" spans="1:6" x14ac:dyDescent="0.25">
      <c r="A6813" s="84" t="s">
        <v>37</v>
      </c>
      <c r="B6813" s="2">
        <v>44176</v>
      </c>
      <c r="C6813" s="1">
        <v>296</v>
      </c>
      <c r="D6813" s="47">
        <f t="shared" si="561"/>
        <v>18405</v>
      </c>
      <c r="E6813" s="1">
        <v>5</v>
      </c>
      <c r="F6813" s="78">
        <f t="shared" si="562"/>
        <v>322</v>
      </c>
    </row>
    <row r="6814" spans="1:6" x14ac:dyDescent="0.25">
      <c r="A6814" s="84" t="s">
        <v>22</v>
      </c>
      <c r="B6814" s="2">
        <v>44176</v>
      </c>
      <c r="C6814" s="1">
        <v>1205</v>
      </c>
      <c r="D6814" s="47">
        <f t="shared" si="561"/>
        <v>158555</v>
      </c>
      <c r="E6814" s="1">
        <v>20</v>
      </c>
      <c r="F6814" s="78">
        <f t="shared" si="562"/>
        <v>2536</v>
      </c>
    </row>
    <row r="6815" spans="1:6" x14ac:dyDescent="0.25">
      <c r="A6815" s="84" t="s">
        <v>38</v>
      </c>
      <c r="B6815" s="2">
        <v>44176</v>
      </c>
      <c r="C6815" s="1">
        <v>62</v>
      </c>
      <c r="D6815" s="47">
        <f t="shared" si="561"/>
        <v>16401</v>
      </c>
      <c r="E6815" s="1">
        <v>1</v>
      </c>
      <c r="F6815" s="78">
        <f t="shared" si="562"/>
        <v>206</v>
      </c>
    </row>
    <row r="6816" spans="1:6" x14ac:dyDescent="0.25">
      <c r="A6816" s="84" t="s">
        <v>39</v>
      </c>
      <c r="B6816" s="2">
        <v>44176</v>
      </c>
      <c r="C6816" s="1">
        <v>177</v>
      </c>
      <c r="D6816" s="47">
        <f t="shared" si="561"/>
        <v>17337</v>
      </c>
      <c r="E6816" s="1">
        <v>0</v>
      </c>
      <c r="F6816" s="78">
        <f t="shared" si="562"/>
        <v>242</v>
      </c>
    </row>
    <row r="6817" spans="1:6" ht="15.75" thickBot="1" x14ac:dyDescent="0.3">
      <c r="A6817" s="85" t="s">
        <v>40</v>
      </c>
      <c r="B6817" s="2">
        <v>44176</v>
      </c>
      <c r="C6817" s="1">
        <v>299</v>
      </c>
      <c r="D6817" s="214">
        <f>C6817+D6793</f>
        <v>68144</v>
      </c>
      <c r="E6817" s="1">
        <v>10</v>
      </c>
      <c r="F6817" s="79">
        <f t="shared" si="562"/>
        <v>1292</v>
      </c>
    </row>
    <row r="6818" spans="1:6" x14ac:dyDescent="0.25">
      <c r="A6818" s="36" t="s">
        <v>16</v>
      </c>
      <c r="B6818" s="2">
        <v>44177</v>
      </c>
      <c r="C6818" s="1">
        <v>1686</v>
      </c>
      <c r="D6818" s="211">
        <f t="shared" si="561"/>
        <v>637159</v>
      </c>
      <c r="E6818" s="1">
        <v>14</v>
      </c>
      <c r="F6818" s="77">
        <f t="shared" si="562"/>
        <v>21336</v>
      </c>
    </row>
    <row r="6819" spans="1:6" x14ac:dyDescent="0.25">
      <c r="A6819" s="84" t="s">
        <v>43</v>
      </c>
      <c r="B6819" s="2">
        <v>44177</v>
      </c>
      <c r="C6819" s="1">
        <v>386</v>
      </c>
      <c r="D6819" s="47">
        <f t="shared" ref="D6819:D6882" si="563">C6819+D6795</f>
        <v>162563</v>
      </c>
      <c r="E6819" s="1">
        <v>4</v>
      </c>
      <c r="F6819" s="78">
        <f t="shared" ref="F6819:F6882" si="564">E6819+F6795</f>
        <v>5339</v>
      </c>
    </row>
    <row r="6820" spans="1:6" x14ac:dyDescent="0.25">
      <c r="A6820" s="84" t="s">
        <v>28</v>
      </c>
      <c r="B6820" s="2">
        <v>44177</v>
      </c>
      <c r="C6820" s="1">
        <v>55</v>
      </c>
      <c r="D6820" s="47">
        <f t="shared" si="563"/>
        <v>2115</v>
      </c>
      <c r="E6820" s="1">
        <v>0</v>
      </c>
      <c r="F6820" s="78">
        <f t="shared" si="564"/>
        <v>17</v>
      </c>
    </row>
    <row r="6821" spans="1:6" x14ac:dyDescent="0.25">
      <c r="A6821" s="84" t="s">
        <v>15</v>
      </c>
      <c r="B6821" s="2">
        <v>44177</v>
      </c>
      <c r="C6821" s="1">
        <v>200</v>
      </c>
      <c r="D6821" s="47">
        <f t="shared" si="563"/>
        <v>21593</v>
      </c>
      <c r="E6821" s="1">
        <v>0</v>
      </c>
      <c r="F6821" s="78">
        <f t="shared" si="564"/>
        <v>615</v>
      </c>
    </row>
    <row r="6822" spans="1:6" x14ac:dyDescent="0.25">
      <c r="A6822" s="84" t="s">
        <v>29</v>
      </c>
      <c r="B6822" s="2">
        <v>44177</v>
      </c>
      <c r="C6822" s="1">
        <v>229</v>
      </c>
      <c r="D6822" s="47">
        <f t="shared" si="563"/>
        <v>25944</v>
      </c>
      <c r="E6822" s="1">
        <v>0</v>
      </c>
      <c r="F6822" s="78">
        <f t="shared" si="564"/>
        <v>436</v>
      </c>
    </row>
    <row r="6823" spans="1:6" x14ac:dyDescent="0.25">
      <c r="A6823" s="84" t="s">
        <v>20</v>
      </c>
      <c r="B6823" s="2">
        <v>44177</v>
      </c>
      <c r="C6823" s="1">
        <v>291</v>
      </c>
      <c r="D6823" s="47">
        <f t="shared" si="563"/>
        <v>119532</v>
      </c>
      <c r="E6823" s="1">
        <v>23</v>
      </c>
      <c r="F6823" s="78">
        <f t="shared" si="564"/>
        <v>2226</v>
      </c>
    </row>
    <row r="6824" spans="1:6" x14ac:dyDescent="0.25">
      <c r="A6824" s="84" t="s">
        <v>30</v>
      </c>
      <c r="B6824" s="2">
        <v>44177</v>
      </c>
      <c r="C6824" s="1">
        <v>64</v>
      </c>
      <c r="D6824" s="47">
        <f t="shared" si="563"/>
        <v>9506</v>
      </c>
      <c r="E6824" s="1">
        <v>0</v>
      </c>
      <c r="F6824" s="78">
        <f t="shared" si="564"/>
        <v>133</v>
      </c>
    </row>
    <row r="6825" spans="1:6" x14ac:dyDescent="0.25">
      <c r="A6825" s="84" t="s">
        <v>31</v>
      </c>
      <c r="B6825" s="2">
        <v>44177</v>
      </c>
      <c r="C6825" s="1">
        <v>246</v>
      </c>
      <c r="D6825" s="47">
        <f t="shared" si="563"/>
        <v>25585</v>
      </c>
      <c r="E6825" s="1">
        <v>4</v>
      </c>
      <c r="F6825" s="78">
        <f t="shared" si="564"/>
        <v>521</v>
      </c>
    </row>
    <row r="6826" spans="1:6" x14ac:dyDescent="0.25">
      <c r="A6826" s="84" t="s">
        <v>41</v>
      </c>
      <c r="B6826" s="2">
        <v>44177</v>
      </c>
      <c r="C6826" s="1">
        <v>0</v>
      </c>
      <c r="D6826" s="47">
        <f t="shared" si="563"/>
        <v>196</v>
      </c>
      <c r="E6826" s="1">
        <v>0</v>
      </c>
      <c r="F6826" s="78">
        <f t="shared" si="564"/>
        <v>3</v>
      </c>
    </row>
    <row r="6827" spans="1:6" x14ac:dyDescent="0.25">
      <c r="A6827" s="84" t="s">
        <v>32</v>
      </c>
      <c r="B6827" s="2">
        <v>44177</v>
      </c>
      <c r="C6827" s="1">
        <v>9</v>
      </c>
      <c r="D6827" s="47">
        <f t="shared" si="563"/>
        <v>18448</v>
      </c>
      <c r="E6827" s="1">
        <v>1</v>
      </c>
      <c r="F6827" s="78">
        <f t="shared" si="564"/>
        <v>854</v>
      </c>
    </row>
    <row r="6828" spans="1:6" x14ac:dyDescent="0.25">
      <c r="A6828" s="84" t="s">
        <v>33</v>
      </c>
      <c r="B6828" s="2">
        <v>44177</v>
      </c>
      <c r="C6828" s="1">
        <v>91</v>
      </c>
      <c r="D6828" s="47">
        <f t="shared" si="563"/>
        <v>6850</v>
      </c>
      <c r="E6828" s="1">
        <v>0</v>
      </c>
      <c r="F6828" s="78">
        <f t="shared" si="564"/>
        <v>99</v>
      </c>
    </row>
    <row r="6829" spans="1:6" x14ac:dyDescent="0.25">
      <c r="A6829" s="84" t="s">
        <v>21</v>
      </c>
      <c r="B6829" s="2">
        <v>44177</v>
      </c>
      <c r="C6829" s="1">
        <v>18</v>
      </c>
      <c r="D6829" s="47">
        <f t="shared" si="563"/>
        <v>8923</v>
      </c>
      <c r="E6829" s="1">
        <v>1</v>
      </c>
      <c r="F6829" s="78">
        <f t="shared" si="564"/>
        <v>324</v>
      </c>
    </row>
    <row r="6830" spans="1:6" x14ac:dyDescent="0.25">
      <c r="A6830" s="84" t="s">
        <v>17</v>
      </c>
      <c r="B6830" s="2">
        <v>44177</v>
      </c>
      <c r="C6830" s="1">
        <v>111</v>
      </c>
      <c r="D6830" s="47">
        <f t="shared" si="563"/>
        <v>58138</v>
      </c>
      <c r="E6830" s="1">
        <v>1</v>
      </c>
      <c r="F6830" s="78">
        <f t="shared" si="564"/>
        <v>1174</v>
      </c>
    </row>
    <row r="6831" spans="1:6" x14ac:dyDescent="0.25">
      <c r="A6831" s="84" t="s">
        <v>23</v>
      </c>
      <c r="B6831" s="2">
        <v>44177</v>
      </c>
      <c r="C6831" s="1">
        <v>19</v>
      </c>
      <c r="D6831" s="47">
        <f t="shared" si="563"/>
        <v>655</v>
      </c>
      <c r="E6831" s="1">
        <v>0</v>
      </c>
      <c r="F6831" s="78">
        <f t="shared" si="564"/>
        <v>9</v>
      </c>
    </row>
    <row r="6832" spans="1:6" x14ac:dyDescent="0.25">
      <c r="A6832" s="84" t="s">
        <v>19</v>
      </c>
      <c r="B6832" s="2">
        <v>44177</v>
      </c>
      <c r="C6832" s="1">
        <v>126</v>
      </c>
      <c r="D6832" s="47">
        <f t="shared" si="563"/>
        <v>36816</v>
      </c>
      <c r="E6832" s="1">
        <v>0</v>
      </c>
      <c r="F6832" s="78">
        <f t="shared" si="564"/>
        <v>673</v>
      </c>
    </row>
    <row r="6833" spans="1:6" x14ac:dyDescent="0.25">
      <c r="A6833" s="84" t="s">
        <v>18</v>
      </c>
      <c r="B6833" s="2">
        <v>44177</v>
      </c>
      <c r="C6833" s="1">
        <v>220</v>
      </c>
      <c r="D6833" s="47">
        <f t="shared" si="563"/>
        <v>34080</v>
      </c>
      <c r="E6833" s="1">
        <v>4</v>
      </c>
      <c r="F6833" s="78">
        <f t="shared" si="564"/>
        <v>839</v>
      </c>
    </row>
    <row r="6834" spans="1:6" x14ac:dyDescent="0.25">
      <c r="A6834" s="84" t="s">
        <v>34</v>
      </c>
      <c r="B6834" s="2">
        <v>44177</v>
      </c>
      <c r="C6834" s="1">
        <v>29</v>
      </c>
      <c r="D6834" s="47">
        <f t="shared" si="563"/>
        <v>21550</v>
      </c>
      <c r="E6834" s="1">
        <v>1</v>
      </c>
      <c r="F6834" s="78">
        <f t="shared" si="564"/>
        <v>997</v>
      </c>
    </row>
    <row r="6835" spans="1:6" x14ac:dyDescent="0.25">
      <c r="A6835" s="84" t="s">
        <v>35</v>
      </c>
      <c r="B6835" s="2">
        <v>44177</v>
      </c>
      <c r="C6835" s="1">
        <v>47</v>
      </c>
      <c r="D6835" s="47">
        <f t="shared" si="563"/>
        <v>9221</v>
      </c>
      <c r="E6835" s="1">
        <v>0</v>
      </c>
      <c r="F6835" s="78">
        <f t="shared" si="564"/>
        <v>174</v>
      </c>
    </row>
    <row r="6836" spans="1:6" x14ac:dyDescent="0.25">
      <c r="A6836" s="84" t="s">
        <v>36</v>
      </c>
      <c r="B6836" s="2">
        <v>44177</v>
      </c>
      <c r="C6836" s="1">
        <v>19</v>
      </c>
      <c r="D6836" s="47">
        <f t="shared" si="563"/>
        <v>15458</v>
      </c>
      <c r="E6836" s="1">
        <v>1</v>
      </c>
      <c r="F6836" s="78">
        <f t="shared" si="564"/>
        <v>250</v>
      </c>
    </row>
    <row r="6837" spans="1:6" x14ac:dyDescent="0.25">
      <c r="A6837" s="84" t="s">
        <v>37</v>
      </c>
      <c r="B6837" s="2">
        <v>44177</v>
      </c>
      <c r="C6837" s="1">
        <v>229</v>
      </c>
      <c r="D6837" s="47">
        <f t="shared" si="563"/>
        <v>18634</v>
      </c>
      <c r="E6837" s="1">
        <v>5</v>
      </c>
      <c r="F6837" s="78">
        <f t="shared" si="564"/>
        <v>327</v>
      </c>
    </row>
    <row r="6838" spans="1:6" x14ac:dyDescent="0.25">
      <c r="A6838" s="84" t="s">
        <v>22</v>
      </c>
      <c r="B6838" s="2">
        <v>44177</v>
      </c>
      <c r="C6838" s="1">
        <v>893</v>
      </c>
      <c r="D6838" s="47">
        <f t="shared" si="563"/>
        <v>159448</v>
      </c>
      <c r="E6838" s="1">
        <v>2</v>
      </c>
      <c r="F6838" s="78">
        <f t="shared" si="564"/>
        <v>2538</v>
      </c>
    </row>
    <row r="6839" spans="1:6" x14ac:dyDescent="0.25">
      <c r="A6839" s="84" t="s">
        <v>38</v>
      </c>
      <c r="B6839" s="2">
        <v>44177</v>
      </c>
      <c r="C6839" s="1">
        <v>42</v>
      </c>
      <c r="D6839" s="47">
        <f t="shared" si="563"/>
        <v>16443</v>
      </c>
      <c r="E6839" s="1">
        <v>0</v>
      </c>
      <c r="F6839" s="78">
        <f t="shared" si="564"/>
        <v>206</v>
      </c>
    </row>
    <row r="6840" spans="1:6" x14ac:dyDescent="0.25">
      <c r="A6840" s="84" t="s">
        <v>39</v>
      </c>
      <c r="B6840" s="2">
        <v>44177</v>
      </c>
      <c r="C6840" s="1">
        <v>93</v>
      </c>
      <c r="D6840" s="47">
        <f t="shared" si="563"/>
        <v>17430</v>
      </c>
      <c r="E6840" s="1">
        <v>0</v>
      </c>
      <c r="F6840" s="78">
        <f t="shared" si="564"/>
        <v>242</v>
      </c>
    </row>
    <row r="6841" spans="1:6" ht="15.75" thickBot="1" x14ac:dyDescent="0.3">
      <c r="A6841" s="85" t="s">
        <v>40</v>
      </c>
      <c r="B6841" s="2">
        <v>44177</v>
      </c>
      <c r="C6841" s="1">
        <v>171</v>
      </c>
      <c r="D6841" s="214">
        <f t="shared" si="563"/>
        <v>68315</v>
      </c>
      <c r="E6841" s="1">
        <v>0</v>
      </c>
      <c r="F6841" s="79">
        <f t="shared" si="564"/>
        <v>1292</v>
      </c>
    </row>
    <row r="6842" spans="1:6" x14ac:dyDescent="0.25">
      <c r="A6842" s="36" t="s">
        <v>16</v>
      </c>
      <c r="B6842" s="2">
        <v>44178</v>
      </c>
      <c r="C6842" s="1">
        <v>870</v>
      </c>
      <c r="D6842" s="211">
        <f t="shared" si="563"/>
        <v>638029</v>
      </c>
      <c r="E6842" s="1">
        <v>49</v>
      </c>
      <c r="F6842" s="77">
        <f t="shared" si="564"/>
        <v>21385</v>
      </c>
    </row>
    <row r="6843" spans="1:6" x14ac:dyDescent="0.25">
      <c r="A6843" s="84" t="s">
        <v>43</v>
      </c>
      <c r="B6843" s="2">
        <v>44178</v>
      </c>
      <c r="C6843" s="1">
        <v>246</v>
      </c>
      <c r="D6843" s="47">
        <f t="shared" si="563"/>
        <v>162809</v>
      </c>
      <c r="E6843" s="1">
        <v>1</v>
      </c>
      <c r="F6843" s="78">
        <f t="shared" si="564"/>
        <v>5340</v>
      </c>
    </row>
    <row r="6844" spans="1:6" x14ac:dyDescent="0.25">
      <c r="A6844" s="84" t="s">
        <v>28</v>
      </c>
      <c r="B6844" s="2">
        <v>44178</v>
      </c>
      <c r="C6844" s="1">
        <v>22</v>
      </c>
      <c r="D6844" s="47">
        <f t="shared" si="563"/>
        <v>2137</v>
      </c>
      <c r="E6844" s="1">
        <v>0</v>
      </c>
      <c r="F6844" s="78">
        <f t="shared" si="564"/>
        <v>17</v>
      </c>
    </row>
    <row r="6845" spans="1:6" x14ac:dyDescent="0.25">
      <c r="A6845" s="84" t="s">
        <v>15</v>
      </c>
      <c r="B6845" s="2">
        <v>44178</v>
      </c>
      <c r="C6845" s="1">
        <v>109</v>
      </c>
      <c r="D6845" s="47">
        <f t="shared" si="563"/>
        <v>21702</v>
      </c>
      <c r="E6845" s="1">
        <v>4</v>
      </c>
      <c r="F6845" s="78">
        <f t="shared" si="564"/>
        <v>619</v>
      </c>
    </row>
    <row r="6846" spans="1:6" x14ac:dyDescent="0.25">
      <c r="A6846" s="84" t="s">
        <v>29</v>
      </c>
      <c r="B6846" s="2">
        <v>44178</v>
      </c>
      <c r="C6846" s="1">
        <v>125</v>
      </c>
      <c r="D6846" s="47">
        <f t="shared" si="563"/>
        <v>26069</v>
      </c>
      <c r="E6846" s="1">
        <v>0</v>
      </c>
      <c r="F6846" s="78">
        <f t="shared" si="564"/>
        <v>436</v>
      </c>
    </row>
    <row r="6847" spans="1:6" x14ac:dyDescent="0.25">
      <c r="A6847" s="84" t="s">
        <v>20</v>
      </c>
      <c r="B6847" s="2">
        <v>44178</v>
      </c>
      <c r="C6847" s="1">
        <v>249</v>
      </c>
      <c r="D6847" s="47">
        <f t="shared" si="563"/>
        <v>119781</v>
      </c>
      <c r="E6847" s="1">
        <v>30</v>
      </c>
      <c r="F6847" s="78">
        <f t="shared" si="564"/>
        <v>2256</v>
      </c>
    </row>
    <row r="6848" spans="1:6" x14ac:dyDescent="0.25">
      <c r="A6848" s="84" t="s">
        <v>30</v>
      </c>
      <c r="B6848" s="2">
        <v>44178</v>
      </c>
      <c r="C6848" s="1">
        <v>42</v>
      </c>
      <c r="D6848" s="47">
        <f t="shared" si="563"/>
        <v>9548</v>
      </c>
      <c r="E6848" s="1">
        <v>2</v>
      </c>
      <c r="F6848" s="78">
        <f t="shared" si="564"/>
        <v>135</v>
      </c>
    </row>
    <row r="6849" spans="1:6" x14ac:dyDescent="0.25">
      <c r="A6849" s="84" t="s">
        <v>31</v>
      </c>
      <c r="B6849" s="2">
        <v>44178</v>
      </c>
      <c r="C6849" s="1">
        <v>134</v>
      </c>
      <c r="D6849" s="47">
        <f t="shared" si="563"/>
        <v>25719</v>
      </c>
      <c r="E6849" s="1">
        <v>0</v>
      </c>
      <c r="F6849" s="78">
        <f t="shared" si="564"/>
        <v>521</v>
      </c>
    </row>
    <row r="6850" spans="1:6" x14ac:dyDescent="0.25">
      <c r="A6850" s="84" t="s">
        <v>41</v>
      </c>
      <c r="B6850" s="2">
        <v>44178</v>
      </c>
      <c r="C6850" s="1">
        <v>1</v>
      </c>
      <c r="D6850" s="47">
        <f t="shared" si="563"/>
        <v>197</v>
      </c>
      <c r="E6850" s="1">
        <v>0</v>
      </c>
      <c r="F6850" s="78">
        <f t="shared" si="564"/>
        <v>3</v>
      </c>
    </row>
    <row r="6851" spans="1:6" x14ac:dyDescent="0.25">
      <c r="A6851" s="84" t="s">
        <v>32</v>
      </c>
      <c r="B6851" s="2">
        <v>44178</v>
      </c>
      <c r="C6851" s="1">
        <v>1</v>
      </c>
      <c r="D6851" s="47">
        <f t="shared" si="563"/>
        <v>18449</v>
      </c>
      <c r="E6851" s="1">
        <v>0</v>
      </c>
      <c r="F6851" s="78">
        <f t="shared" si="564"/>
        <v>854</v>
      </c>
    </row>
    <row r="6852" spans="1:6" x14ac:dyDescent="0.25">
      <c r="A6852" s="84" t="s">
        <v>33</v>
      </c>
      <c r="B6852" s="2">
        <v>44178</v>
      </c>
      <c r="C6852" s="1">
        <v>120</v>
      </c>
      <c r="D6852" s="47">
        <f t="shared" si="563"/>
        <v>6970</v>
      </c>
      <c r="E6852" s="1">
        <v>0</v>
      </c>
      <c r="F6852" s="78">
        <f t="shared" si="564"/>
        <v>99</v>
      </c>
    </row>
    <row r="6853" spans="1:6" x14ac:dyDescent="0.25">
      <c r="A6853" s="84" t="s">
        <v>21</v>
      </c>
      <c r="B6853" s="2">
        <v>44178</v>
      </c>
      <c r="C6853" s="1">
        <v>11</v>
      </c>
      <c r="D6853" s="47">
        <f t="shared" si="563"/>
        <v>8934</v>
      </c>
      <c r="E6853" s="1">
        <v>1</v>
      </c>
      <c r="F6853" s="78">
        <f t="shared" si="564"/>
        <v>325</v>
      </c>
    </row>
    <row r="6854" spans="1:6" x14ac:dyDescent="0.25">
      <c r="A6854" s="84" t="s">
        <v>17</v>
      </c>
      <c r="B6854" s="2">
        <v>44178</v>
      </c>
      <c r="C6854" s="1">
        <v>120</v>
      </c>
      <c r="D6854" s="47">
        <f t="shared" si="563"/>
        <v>58258</v>
      </c>
      <c r="E6854" s="1">
        <v>0</v>
      </c>
      <c r="F6854" s="78">
        <f t="shared" si="564"/>
        <v>1174</v>
      </c>
    </row>
    <row r="6855" spans="1:6" x14ac:dyDescent="0.25">
      <c r="A6855" s="84" t="s">
        <v>23</v>
      </c>
      <c r="B6855" s="2">
        <v>44178</v>
      </c>
      <c r="C6855" s="1">
        <v>28</v>
      </c>
      <c r="D6855" s="47">
        <f t="shared" si="563"/>
        <v>683</v>
      </c>
      <c r="E6855" s="1">
        <v>0</v>
      </c>
      <c r="F6855" s="78">
        <f t="shared" si="564"/>
        <v>9</v>
      </c>
    </row>
    <row r="6856" spans="1:6" x14ac:dyDescent="0.25">
      <c r="A6856" s="84" t="s">
        <v>19</v>
      </c>
      <c r="B6856" s="2">
        <v>44178</v>
      </c>
      <c r="C6856" s="1">
        <v>104</v>
      </c>
      <c r="D6856" s="47">
        <f t="shared" si="563"/>
        <v>36920</v>
      </c>
      <c r="E6856" s="1">
        <v>0</v>
      </c>
      <c r="F6856" s="78">
        <f t="shared" si="564"/>
        <v>673</v>
      </c>
    </row>
    <row r="6857" spans="1:6" x14ac:dyDescent="0.25">
      <c r="A6857" s="84" t="s">
        <v>18</v>
      </c>
      <c r="B6857" s="2">
        <v>44178</v>
      </c>
      <c r="C6857" s="1">
        <v>158</v>
      </c>
      <c r="D6857" s="47">
        <f t="shared" si="563"/>
        <v>34238</v>
      </c>
      <c r="E6857" s="1">
        <v>0</v>
      </c>
      <c r="F6857" s="78">
        <f t="shared" si="564"/>
        <v>839</v>
      </c>
    </row>
    <row r="6858" spans="1:6" x14ac:dyDescent="0.25">
      <c r="A6858" s="84" t="s">
        <v>34</v>
      </c>
      <c r="B6858" s="2">
        <v>44178</v>
      </c>
      <c r="C6858" s="1">
        <v>28</v>
      </c>
      <c r="D6858" s="47">
        <f t="shared" si="563"/>
        <v>21578</v>
      </c>
      <c r="E6858" s="1">
        <v>0</v>
      </c>
      <c r="F6858" s="78">
        <f t="shared" si="564"/>
        <v>997</v>
      </c>
    </row>
    <row r="6859" spans="1:6" x14ac:dyDescent="0.25">
      <c r="A6859" s="84" t="s">
        <v>35</v>
      </c>
      <c r="B6859" s="2">
        <v>44178</v>
      </c>
      <c r="C6859" s="1">
        <v>28</v>
      </c>
      <c r="D6859" s="47">
        <f t="shared" si="563"/>
        <v>9249</v>
      </c>
      <c r="E6859" s="1">
        <v>0</v>
      </c>
      <c r="F6859" s="78">
        <f t="shared" si="564"/>
        <v>174</v>
      </c>
    </row>
    <row r="6860" spans="1:6" x14ac:dyDescent="0.25">
      <c r="A6860" s="84" t="s">
        <v>36</v>
      </c>
      <c r="B6860" s="2">
        <v>44178</v>
      </c>
      <c r="C6860" s="1">
        <v>27</v>
      </c>
      <c r="D6860" s="47">
        <f t="shared" si="563"/>
        <v>15485</v>
      </c>
      <c r="E6860" s="1">
        <v>0</v>
      </c>
      <c r="F6860" s="78">
        <f t="shared" si="564"/>
        <v>250</v>
      </c>
    </row>
    <row r="6861" spans="1:6" x14ac:dyDescent="0.25">
      <c r="A6861" s="84" t="s">
        <v>37</v>
      </c>
      <c r="B6861" s="2">
        <v>44178</v>
      </c>
      <c r="C6861" s="1">
        <v>203</v>
      </c>
      <c r="D6861" s="47">
        <f t="shared" si="563"/>
        <v>18837</v>
      </c>
      <c r="E6861" s="1">
        <v>2</v>
      </c>
      <c r="F6861" s="78">
        <f t="shared" si="564"/>
        <v>329</v>
      </c>
    </row>
    <row r="6862" spans="1:6" x14ac:dyDescent="0.25">
      <c r="A6862" s="84" t="s">
        <v>22</v>
      </c>
      <c r="B6862" s="2">
        <v>44178</v>
      </c>
      <c r="C6862" s="1">
        <v>632</v>
      </c>
      <c r="D6862" s="47">
        <f t="shared" si="563"/>
        <v>160080</v>
      </c>
      <c r="E6862" s="1">
        <v>9</v>
      </c>
      <c r="F6862" s="78">
        <f t="shared" si="564"/>
        <v>2547</v>
      </c>
    </row>
    <row r="6863" spans="1:6" x14ac:dyDescent="0.25">
      <c r="A6863" s="84" t="s">
        <v>38</v>
      </c>
      <c r="B6863" s="2">
        <v>44178</v>
      </c>
      <c r="C6863" s="1">
        <v>45</v>
      </c>
      <c r="D6863" s="47">
        <f t="shared" si="563"/>
        <v>16488</v>
      </c>
      <c r="E6863" s="1">
        <v>0</v>
      </c>
      <c r="F6863" s="78">
        <f t="shared" si="564"/>
        <v>206</v>
      </c>
    </row>
    <row r="6864" spans="1:6" x14ac:dyDescent="0.25">
      <c r="A6864" s="84" t="s">
        <v>39</v>
      </c>
      <c r="B6864" s="2">
        <v>44178</v>
      </c>
      <c r="C6864" s="1">
        <v>75</v>
      </c>
      <c r="D6864" s="47">
        <f t="shared" si="563"/>
        <v>17505</v>
      </c>
      <c r="E6864" s="1">
        <v>0</v>
      </c>
      <c r="F6864" s="78">
        <f t="shared" si="564"/>
        <v>242</v>
      </c>
    </row>
    <row r="6865" spans="1:6" ht="15.75" thickBot="1" x14ac:dyDescent="0.3">
      <c r="A6865" s="85" t="s">
        <v>40</v>
      </c>
      <c r="B6865" s="2">
        <v>44178</v>
      </c>
      <c r="C6865" s="1">
        <v>80</v>
      </c>
      <c r="D6865" s="214">
        <f t="shared" si="563"/>
        <v>68395</v>
      </c>
      <c r="E6865" s="1">
        <v>0</v>
      </c>
      <c r="F6865" s="79">
        <f t="shared" si="564"/>
        <v>1292</v>
      </c>
    </row>
    <row r="6866" spans="1:6" x14ac:dyDescent="0.25">
      <c r="A6866" s="36" t="s">
        <v>16</v>
      </c>
      <c r="B6866" s="2">
        <v>44179</v>
      </c>
      <c r="C6866" s="1">
        <v>1532</v>
      </c>
      <c r="D6866" s="211">
        <f t="shared" si="563"/>
        <v>639561</v>
      </c>
      <c r="E6866" s="1">
        <v>121</v>
      </c>
      <c r="F6866" s="77">
        <f t="shared" si="564"/>
        <v>21506</v>
      </c>
    </row>
    <row r="6867" spans="1:6" x14ac:dyDescent="0.25">
      <c r="A6867" s="84" t="s">
        <v>43</v>
      </c>
      <c r="B6867" s="2">
        <v>44179</v>
      </c>
      <c r="C6867" s="1">
        <v>416</v>
      </c>
      <c r="D6867" s="47">
        <f t="shared" si="563"/>
        <v>163225</v>
      </c>
      <c r="E6867" s="1">
        <v>7</v>
      </c>
      <c r="F6867" s="78">
        <f t="shared" si="564"/>
        <v>5347</v>
      </c>
    </row>
    <row r="6868" spans="1:6" x14ac:dyDescent="0.25">
      <c r="A6868" s="84" t="s">
        <v>28</v>
      </c>
      <c r="B6868" s="2">
        <v>44179</v>
      </c>
      <c r="C6868" s="1">
        <v>34</v>
      </c>
      <c r="D6868" s="47">
        <f t="shared" si="563"/>
        <v>2171</v>
      </c>
      <c r="E6868" s="1">
        <v>0</v>
      </c>
      <c r="F6868" s="78">
        <f t="shared" si="564"/>
        <v>17</v>
      </c>
    </row>
    <row r="6869" spans="1:6" x14ac:dyDescent="0.25">
      <c r="A6869" s="84" t="s">
        <v>15</v>
      </c>
      <c r="B6869" s="2">
        <v>44179</v>
      </c>
      <c r="C6869" s="1">
        <v>166</v>
      </c>
      <c r="D6869" s="47">
        <f t="shared" si="563"/>
        <v>21868</v>
      </c>
      <c r="E6869" s="1">
        <v>7</v>
      </c>
      <c r="F6869" s="78">
        <f t="shared" si="564"/>
        <v>626</v>
      </c>
    </row>
    <row r="6870" spans="1:6" x14ac:dyDescent="0.25">
      <c r="A6870" s="84" t="s">
        <v>29</v>
      </c>
      <c r="B6870" s="2">
        <v>44179</v>
      </c>
      <c r="C6870" s="1">
        <v>232</v>
      </c>
      <c r="D6870" s="47">
        <f t="shared" si="563"/>
        <v>26301</v>
      </c>
      <c r="E6870" s="1">
        <v>13</v>
      </c>
      <c r="F6870" s="78">
        <f t="shared" si="564"/>
        <v>449</v>
      </c>
    </row>
    <row r="6871" spans="1:6" x14ac:dyDescent="0.25">
      <c r="A6871" s="84" t="s">
        <v>20</v>
      </c>
      <c r="B6871" s="2">
        <v>44179</v>
      </c>
      <c r="C6871" s="1">
        <v>234</v>
      </c>
      <c r="D6871" s="47">
        <f t="shared" si="563"/>
        <v>120015</v>
      </c>
      <c r="E6871" s="1">
        <v>30</v>
      </c>
      <c r="F6871" s="78">
        <f t="shared" si="564"/>
        <v>2286</v>
      </c>
    </row>
    <row r="6872" spans="1:6" x14ac:dyDescent="0.25">
      <c r="A6872" s="84" t="s">
        <v>30</v>
      </c>
      <c r="B6872" s="2">
        <v>44179</v>
      </c>
      <c r="C6872" s="1">
        <v>92</v>
      </c>
      <c r="D6872" s="47">
        <f t="shared" si="563"/>
        <v>9640</v>
      </c>
      <c r="E6872" s="1">
        <v>2</v>
      </c>
      <c r="F6872" s="78">
        <f t="shared" si="564"/>
        <v>137</v>
      </c>
    </row>
    <row r="6873" spans="1:6" x14ac:dyDescent="0.25">
      <c r="A6873" s="84" t="s">
        <v>31</v>
      </c>
      <c r="B6873" s="2">
        <v>44179</v>
      </c>
      <c r="C6873" s="1">
        <v>73</v>
      </c>
      <c r="D6873" s="47">
        <f t="shared" si="563"/>
        <v>25792</v>
      </c>
      <c r="E6873" s="1">
        <v>8</v>
      </c>
      <c r="F6873" s="78">
        <f t="shared" si="564"/>
        <v>529</v>
      </c>
    </row>
    <row r="6874" spans="1:6" x14ac:dyDescent="0.25">
      <c r="A6874" s="84" t="s">
        <v>41</v>
      </c>
      <c r="B6874" s="2">
        <v>44179</v>
      </c>
      <c r="C6874" s="1">
        <v>1</v>
      </c>
      <c r="D6874" s="47">
        <f t="shared" si="563"/>
        <v>198</v>
      </c>
      <c r="E6874" s="1">
        <v>0</v>
      </c>
      <c r="F6874" s="78">
        <f t="shared" si="564"/>
        <v>3</v>
      </c>
    </row>
    <row r="6875" spans="1:6" x14ac:dyDescent="0.25">
      <c r="A6875" s="84" t="s">
        <v>32</v>
      </c>
      <c r="B6875" s="2">
        <v>44179</v>
      </c>
      <c r="C6875" s="1">
        <v>6</v>
      </c>
      <c r="D6875" s="47">
        <f t="shared" si="563"/>
        <v>18455</v>
      </c>
      <c r="E6875" s="1">
        <v>0</v>
      </c>
      <c r="F6875" s="78">
        <f t="shared" si="564"/>
        <v>854</v>
      </c>
    </row>
    <row r="6876" spans="1:6" x14ac:dyDescent="0.25">
      <c r="A6876" s="84" t="s">
        <v>33</v>
      </c>
      <c r="B6876" s="2">
        <v>44179</v>
      </c>
      <c r="C6876" s="1">
        <v>148</v>
      </c>
      <c r="D6876" s="47">
        <f t="shared" si="563"/>
        <v>7118</v>
      </c>
      <c r="E6876" s="1">
        <v>5</v>
      </c>
      <c r="F6876" s="78">
        <f t="shared" si="564"/>
        <v>104</v>
      </c>
    </row>
    <row r="6877" spans="1:6" x14ac:dyDescent="0.25">
      <c r="A6877" s="84" t="s">
        <v>21</v>
      </c>
      <c r="B6877" s="2">
        <v>44179</v>
      </c>
      <c r="C6877" s="1">
        <v>7</v>
      </c>
      <c r="D6877" s="47">
        <f t="shared" si="563"/>
        <v>8941</v>
      </c>
      <c r="E6877" s="1">
        <v>0</v>
      </c>
      <c r="F6877" s="78">
        <f t="shared" si="564"/>
        <v>325</v>
      </c>
    </row>
    <row r="6878" spans="1:6" x14ac:dyDescent="0.25">
      <c r="A6878" s="84" t="s">
        <v>17</v>
      </c>
      <c r="B6878" s="2">
        <v>44179</v>
      </c>
      <c r="C6878" s="1">
        <v>108</v>
      </c>
      <c r="D6878" s="47">
        <f t="shared" si="563"/>
        <v>58366</v>
      </c>
      <c r="E6878" s="1">
        <v>4</v>
      </c>
      <c r="F6878" s="78">
        <f t="shared" si="564"/>
        <v>1178</v>
      </c>
    </row>
    <row r="6879" spans="1:6" x14ac:dyDescent="0.25">
      <c r="A6879" s="84" t="s">
        <v>23</v>
      </c>
      <c r="B6879" s="2">
        <v>44179</v>
      </c>
      <c r="C6879" s="1">
        <v>2</v>
      </c>
      <c r="D6879" s="47">
        <f t="shared" si="563"/>
        <v>685</v>
      </c>
      <c r="E6879" s="1">
        <v>1</v>
      </c>
      <c r="F6879" s="78">
        <f t="shared" si="564"/>
        <v>10</v>
      </c>
    </row>
    <row r="6880" spans="1:6" x14ac:dyDescent="0.25">
      <c r="A6880" s="84" t="s">
        <v>19</v>
      </c>
      <c r="B6880" s="2">
        <v>44179</v>
      </c>
      <c r="C6880" s="1">
        <v>172</v>
      </c>
      <c r="D6880" s="47">
        <f t="shared" si="563"/>
        <v>37092</v>
      </c>
      <c r="E6880" s="1">
        <v>0</v>
      </c>
      <c r="F6880" s="78">
        <f t="shared" si="564"/>
        <v>673</v>
      </c>
    </row>
    <row r="6881" spans="1:6" x14ac:dyDescent="0.25">
      <c r="A6881" s="84" t="s">
        <v>18</v>
      </c>
      <c r="B6881" s="2">
        <v>44179</v>
      </c>
      <c r="C6881" s="1">
        <v>133</v>
      </c>
      <c r="D6881" s="47">
        <f t="shared" si="563"/>
        <v>34371</v>
      </c>
      <c r="E6881" s="1">
        <v>5</v>
      </c>
      <c r="F6881" s="78">
        <f t="shared" si="564"/>
        <v>844</v>
      </c>
    </row>
    <row r="6882" spans="1:6" x14ac:dyDescent="0.25">
      <c r="A6882" s="84" t="s">
        <v>34</v>
      </c>
      <c r="B6882" s="2">
        <v>44179</v>
      </c>
      <c r="C6882" s="1">
        <v>36</v>
      </c>
      <c r="D6882" s="47">
        <f t="shared" si="563"/>
        <v>21614</v>
      </c>
      <c r="E6882" s="1">
        <v>2</v>
      </c>
      <c r="F6882" s="78">
        <f t="shared" si="564"/>
        <v>999</v>
      </c>
    </row>
    <row r="6883" spans="1:6" x14ac:dyDescent="0.25">
      <c r="A6883" s="84" t="s">
        <v>35</v>
      </c>
      <c r="B6883" s="2">
        <v>44179</v>
      </c>
      <c r="C6883" s="1">
        <v>232</v>
      </c>
      <c r="D6883" s="47">
        <f t="shared" ref="D6883:D6946" si="565">C6883+D6859</f>
        <v>9481</v>
      </c>
      <c r="E6883" s="1">
        <v>22</v>
      </c>
      <c r="F6883" s="78">
        <f t="shared" ref="F6883:F6946" si="566">E6883+F6859</f>
        <v>196</v>
      </c>
    </row>
    <row r="6884" spans="1:6" x14ac:dyDescent="0.25">
      <c r="A6884" s="84" t="s">
        <v>36</v>
      </c>
      <c r="B6884" s="2">
        <v>44179</v>
      </c>
      <c r="C6884" s="1">
        <v>58</v>
      </c>
      <c r="D6884" s="47">
        <f t="shared" si="565"/>
        <v>15543</v>
      </c>
      <c r="E6884" s="1">
        <v>3</v>
      </c>
      <c r="F6884" s="78">
        <f t="shared" si="566"/>
        <v>253</v>
      </c>
    </row>
    <row r="6885" spans="1:6" x14ac:dyDescent="0.25">
      <c r="A6885" s="84" t="s">
        <v>37</v>
      </c>
      <c r="B6885" s="2">
        <v>44179</v>
      </c>
      <c r="C6885" s="1">
        <v>177</v>
      </c>
      <c r="D6885" s="47">
        <f t="shared" si="565"/>
        <v>19014</v>
      </c>
      <c r="E6885" s="1">
        <v>5</v>
      </c>
      <c r="F6885" s="78">
        <f t="shared" si="566"/>
        <v>334</v>
      </c>
    </row>
    <row r="6886" spans="1:6" x14ac:dyDescent="0.25">
      <c r="A6886" s="84" t="s">
        <v>22</v>
      </c>
      <c r="B6886" s="2">
        <v>44179</v>
      </c>
      <c r="C6886" s="1">
        <v>741</v>
      </c>
      <c r="D6886" s="47">
        <f t="shared" si="565"/>
        <v>160821</v>
      </c>
      <c r="E6886" s="1">
        <v>29</v>
      </c>
      <c r="F6886" s="78">
        <f t="shared" si="566"/>
        <v>2576</v>
      </c>
    </row>
    <row r="6887" spans="1:6" x14ac:dyDescent="0.25">
      <c r="A6887" s="84" t="s">
        <v>38</v>
      </c>
      <c r="B6887" s="2">
        <v>44179</v>
      </c>
      <c r="C6887" s="1">
        <v>44</v>
      </c>
      <c r="D6887" s="47">
        <f t="shared" si="565"/>
        <v>16532</v>
      </c>
      <c r="E6887" s="1">
        <v>2</v>
      </c>
      <c r="F6887" s="78">
        <f t="shared" si="566"/>
        <v>208</v>
      </c>
    </row>
    <row r="6888" spans="1:6" x14ac:dyDescent="0.25">
      <c r="A6888" s="84" t="s">
        <v>39</v>
      </c>
      <c r="B6888" s="2">
        <v>44179</v>
      </c>
      <c r="C6888" s="1">
        <v>172</v>
      </c>
      <c r="D6888" s="47">
        <f t="shared" si="565"/>
        <v>17677</v>
      </c>
      <c r="E6888" s="1">
        <v>0</v>
      </c>
      <c r="F6888" s="78">
        <f t="shared" si="566"/>
        <v>242</v>
      </c>
    </row>
    <row r="6889" spans="1:6" ht="15.75" thickBot="1" x14ac:dyDescent="0.3">
      <c r="A6889" s="85" t="s">
        <v>40</v>
      </c>
      <c r="B6889" s="2">
        <v>44179</v>
      </c>
      <c r="C6889" s="1">
        <v>246</v>
      </c>
      <c r="D6889" s="214">
        <f t="shared" si="565"/>
        <v>68641</v>
      </c>
      <c r="E6889" s="1">
        <v>9</v>
      </c>
      <c r="F6889" s="79">
        <f t="shared" si="566"/>
        <v>1301</v>
      </c>
    </row>
    <row r="6890" spans="1:6" x14ac:dyDescent="0.25">
      <c r="A6890" s="36" t="s">
        <v>16</v>
      </c>
      <c r="B6890" s="2">
        <v>44180</v>
      </c>
      <c r="C6890" s="1">
        <v>2226</v>
      </c>
      <c r="D6890" s="211">
        <f t="shared" si="565"/>
        <v>641787</v>
      </c>
      <c r="E6890" s="1">
        <v>29</v>
      </c>
      <c r="F6890" s="77">
        <f t="shared" si="566"/>
        <v>21535</v>
      </c>
    </row>
    <row r="6891" spans="1:6" x14ac:dyDescent="0.25">
      <c r="A6891" s="84" t="s">
        <v>43</v>
      </c>
      <c r="B6891" s="2">
        <v>44180</v>
      </c>
      <c r="C6891" s="1">
        <v>483</v>
      </c>
      <c r="D6891" s="47">
        <f t="shared" si="565"/>
        <v>163708</v>
      </c>
      <c r="E6891" s="1">
        <v>8</v>
      </c>
      <c r="F6891" s="78">
        <f t="shared" si="566"/>
        <v>5355</v>
      </c>
    </row>
    <row r="6892" spans="1:6" x14ac:dyDescent="0.25">
      <c r="A6892" s="84" t="s">
        <v>28</v>
      </c>
      <c r="B6892" s="2">
        <v>44180</v>
      </c>
      <c r="C6892" s="1">
        <v>19</v>
      </c>
      <c r="D6892" s="47">
        <f t="shared" si="565"/>
        <v>2190</v>
      </c>
      <c r="F6892" s="78">
        <f t="shared" si="566"/>
        <v>17</v>
      </c>
    </row>
    <row r="6893" spans="1:6" x14ac:dyDescent="0.25">
      <c r="A6893" s="84" t="s">
        <v>15</v>
      </c>
      <c r="B6893" s="2">
        <v>44180</v>
      </c>
      <c r="C6893" s="1">
        <v>160</v>
      </c>
      <c r="D6893" s="47">
        <f t="shared" si="565"/>
        <v>22028</v>
      </c>
      <c r="E6893" s="1">
        <v>7</v>
      </c>
      <c r="F6893" s="78">
        <f t="shared" si="566"/>
        <v>633</v>
      </c>
    </row>
    <row r="6894" spans="1:6" x14ac:dyDescent="0.25">
      <c r="A6894" s="84" t="s">
        <v>29</v>
      </c>
      <c r="B6894" s="2">
        <v>44180</v>
      </c>
      <c r="C6894" s="1">
        <v>358</v>
      </c>
      <c r="D6894" s="47">
        <f t="shared" si="565"/>
        <v>26659</v>
      </c>
      <c r="E6894" s="1">
        <v>11</v>
      </c>
      <c r="F6894" s="78">
        <f t="shared" si="566"/>
        <v>460</v>
      </c>
    </row>
    <row r="6895" spans="1:6" x14ac:dyDescent="0.25">
      <c r="A6895" s="84" t="s">
        <v>20</v>
      </c>
      <c r="B6895" s="2">
        <v>44180</v>
      </c>
      <c r="C6895" s="1">
        <v>386</v>
      </c>
      <c r="D6895" s="47">
        <f t="shared" si="565"/>
        <v>120401</v>
      </c>
      <c r="E6895" s="1">
        <v>33</v>
      </c>
      <c r="F6895" s="78">
        <f t="shared" si="566"/>
        <v>2319</v>
      </c>
    </row>
    <row r="6896" spans="1:6" x14ac:dyDescent="0.25">
      <c r="A6896" s="84" t="s">
        <v>30</v>
      </c>
      <c r="B6896" s="2">
        <v>44180</v>
      </c>
      <c r="C6896" s="1">
        <v>156</v>
      </c>
      <c r="D6896" s="47">
        <f t="shared" si="565"/>
        <v>9796</v>
      </c>
      <c r="E6896" s="1">
        <v>1</v>
      </c>
      <c r="F6896" s="78">
        <f t="shared" si="566"/>
        <v>138</v>
      </c>
    </row>
    <row r="6897" spans="1:6" x14ac:dyDescent="0.25">
      <c r="A6897" s="84" t="s">
        <v>31</v>
      </c>
      <c r="B6897" s="2">
        <v>44180</v>
      </c>
      <c r="C6897" s="1">
        <v>135</v>
      </c>
      <c r="D6897" s="47">
        <f t="shared" si="565"/>
        <v>25927</v>
      </c>
      <c r="E6897" s="1">
        <v>6</v>
      </c>
      <c r="F6897" s="78">
        <f t="shared" si="566"/>
        <v>535</v>
      </c>
    </row>
    <row r="6898" spans="1:6" x14ac:dyDescent="0.25">
      <c r="A6898" s="84" t="s">
        <v>41</v>
      </c>
      <c r="B6898" s="2">
        <v>44180</v>
      </c>
      <c r="C6898" s="1">
        <v>-1</v>
      </c>
      <c r="D6898" s="47">
        <f t="shared" si="565"/>
        <v>197</v>
      </c>
      <c r="F6898" s="78">
        <f t="shared" si="566"/>
        <v>3</v>
      </c>
    </row>
    <row r="6899" spans="1:6" x14ac:dyDescent="0.25">
      <c r="A6899" s="84" t="s">
        <v>32</v>
      </c>
      <c r="B6899" s="2">
        <v>44180</v>
      </c>
      <c r="C6899" s="1">
        <v>4</v>
      </c>
      <c r="D6899" s="47">
        <f t="shared" si="565"/>
        <v>18459</v>
      </c>
      <c r="F6899" s="78">
        <f t="shared" si="566"/>
        <v>854</v>
      </c>
    </row>
    <row r="6900" spans="1:6" x14ac:dyDescent="0.25">
      <c r="A6900" s="84" t="s">
        <v>33</v>
      </c>
      <c r="B6900" s="2">
        <v>44180</v>
      </c>
      <c r="C6900" s="1">
        <v>163</v>
      </c>
      <c r="D6900" s="47">
        <f t="shared" si="565"/>
        <v>7281</v>
      </c>
      <c r="F6900" s="78">
        <f t="shared" si="566"/>
        <v>104</v>
      </c>
    </row>
    <row r="6901" spans="1:6" x14ac:dyDescent="0.25">
      <c r="A6901" s="84" t="s">
        <v>21</v>
      </c>
      <c r="B6901" s="2">
        <v>44180</v>
      </c>
      <c r="C6901" s="1">
        <v>9</v>
      </c>
      <c r="D6901" s="47">
        <f t="shared" si="565"/>
        <v>8950</v>
      </c>
      <c r="F6901" s="78">
        <f t="shared" si="566"/>
        <v>325</v>
      </c>
    </row>
    <row r="6902" spans="1:6" x14ac:dyDescent="0.25">
      <c r="A6902" s="84" t="s">
        <v>17</v>
      </c>
      <c r="B6902" s="2">
        <v>44180</v>
      </c>
      <c r="C6902" s="1">
        <v>160</v>
      </c>
      <c r="D6902" s="47">
        <f t="shared" si="565"/>
        <v>58526</v>
      </c>
      <c r="E6902" s="1">
        <v>6</v>
      </c>
      <c r="F6902" s="78">
        <f t="shared" si="566"/>
        <v>1184</v>
      </c>
    </row>
    <row r="6903" spans="1:6" x14ac:dyDescent="0.25">
      <c r="A6903" s="84" t="s">
        <v>23</v>
      </c>
      <c r="B6903" s="2">
        <v>44180</v>
      </c>
      <c r="C6903" s="1">
        <v>18</v>
      </c>
      <c r="D6903" s="47">
        <f t="shared" si="565"/>
        <v>703</v>
      </c>
      <c r="E6903" s="1">
        <v>1</v>
      </c>
      <c r="F6903" s="78">
        <f t="shared" si="566"/>
        <v>11</v>
      </c>
    </row>
    <row r="6904" spans="1:6" x14ac:dyDescent="0.25">
      <c r="A6904" s="84" t="s">
        <v>19</v>
      </c>
      <c r="B6904" s="2">
        <v>44180</v>
      </c>
      <c r="C6904" s="1">
        <v>247</v>
      </c>
      <c r="D6904" s="47">
        <f t="shared" si="565"/>
        <v>37339</v>
      </c>
      <c r="E6904" s="1">
        <v>7</v>
      </c>
      <c r="F6904" s="78">
        <f t="shared" si="566"/>
        <v>680</v>
      </c>
    </row>
    <row r="6905" spans="1:6" x14ac:dyDescent="0.25">
      <c r="A6905" s="84" t="s">
        <v>18</v>
      </c>
      <c r="B6905" s="2">
        <v>44180</v>
      </c>
      <c r="C6905" s="1">
        <v>286</v>
      </c>
      <c r="D6905" s="47">
        <f t="shared" si="565"/>
        <v>34657</v>
      </c>
      <c r="E6905" s="1">
        <v>4</v>
      </c>
      <c r="F6905" s="78">
        <f t="shared" si="566"/>
        <v>848</v>
      </c>
    </row>
    <row r="6906" spans="1:6" x14ac:dyDescent="0.25">
      <c r="A6906" s="84" t="s">
        <v>34</v>
      </c>
      <c r="B6906" s="2">
        <v>44180</v>
      </c>
      <c r="C6906" s="1">
        <v>65</v>
      </c>
      <c r="D6906" s="47">
        <f t="shared" si="565"/>
        <v>21679</v>
      </c>
      <c r="E6906" s="1">
        <v>1</v>
      </c>
      <c r="F6906" s="78">
        <f t="shared" si="566"/>
        <v>1000</v>
      </c>
    </row>
    <row r="6907" spans="1:6" x14ac:dyDescent="0.25">
      <c r="A6907" s="84" t="s">
        <v>35</v>
      </c>
      <c r="B6907" s="2">
        <v>44180</v>
      </c>
      <c r="C6907" s="1">
        <v>204</v>
      </c>
      <c r="D6907" s="47">
        <f t="shared" si="565"/>
        <v>9685</v>
      </c>
      <c r="F6907" s="78">
        <f t="shared" si="566"/>
        <v>196</v>
      </c>
    </row>
    <row r="6908" spans="1:6" x14ac:dyDescent="0.25">
      <c r="A6908" s="84" t="s">
        <v>36</v>
      </c>
      <c r="B6908" s="2">
        <v>44180</v>
      </c>
      <c r="C6908" s="1">
        <v>101</v>
      </c>
      <c r="D6908" s="47">
        <f t="shared" si="565"/>
        <v>15644</v>
      </c>
      <c r="E6908" s="1">
        <v>4</v>
      </c>
      <c r="F6908" s="78">
        <f t="shared" si="566"/>
        <v>257</v>
      </c>
    </row>
    <row r="6909" spans="1:6" x14ac:dyDescent="0.25">
      <c r="A6909" s="84" t="s">
        <v>37</v>
      </c>
      <c r="B6909" s="2">
        <v>44180</v>
      </c>
      <c r="C6909" s="1">
        <v>332</v>
      </c>
      <c r="D6909" s="47">
        <f t="shared" si="565"/>
        <v>19346</v>
      </c>
      <c r="E6909" s="1">
        <v>6</v>
      </c>
      <c r="F6909" s="78">
        <f t="shared" si="566"/>
        <v>340</v>
      </c>
    </row>
    <row r="6910" spans="1:6" x14ac:dyDescent="0.25">
      <c r="A6910" s="84" t="s">
        <v>22</v>
      </c>
      <c r="B6910" s="2">
        <v>44180</v>
      </c>
      <c r="C6910" s="1">
        <v>1145</v>
      </c>
      <c r="D6910" s="47">
        <f t="shared" si="565"/>
        <v>161966</v>
      </c>
      <c r="E6910" s="1">
        <v>22</v>
      </c>
      <c r="F6910" s="78">
        <f t="shared" si="566"/>
        <v>2598</v>
      </c>
    </row>
    <row r="6911" spans="1:6" x14ac:dyDescent="0.25">
      <c r="A6911" s="84" t="s">
        <v>38</v>
      </c>
      <c r="B6911" s="2">
        <v>44180</v>
      </c>
      <c r="C6911" s="1">
        <v>39</v>
      </c>
      <c r="D6911" s="47">
        <f t="shared" si="565"/>
        <v>16571</v>
      </c>
      <c r="E6911" s="1">
        <v>2</v>
      </c>
      <c r="F6911" s="78">
        <f t="shared" si="566"/>
        <v>210</v>
      </c>
    </row>
    <row r="6912" spans="1:6" x14ac:dyDescent="0.25">
      <c r="A6912" s="84" t="s">
        <v>39</v>
      </c>
      <c r="B6912" s="2">
        <v>44180</v>
      </c>
      <c r="C6912" s="1">
        <v>72</v>
      </c>
      <c r="D6912" s="47">
        <f t="shared" si="565"/>
        <v>17749</v>
      </c>
      <c r="F6912" s="78">
        <f t="shared" si="566"/>
        <v>242</v>
      </c>
    </row>
    <row r="6913" spans="1:6" ht="15.75" thickBot="1" x14ac:dyDescent="0.3">
      <c r="A6913" s="85" t="s">
        <v>40</v>
      </c>
      <c r="B6913" s="2">
        <v>44180</v>
      </c>
      <c r="C6913" s="1">
        <v>214</v>
      </c>
      <c r="D6913" s="214">
        <f t="shared" si="565"/>
        <v>68855</v>
      </c>
      <c r="E6913" s="1">
        <v>8</v>
      </c>
      <c r="F6913" s="79">
        <f t="shared" si="566"/>
        <v>1309</v>
      </c>
    </row>
    <row r="6914" spans="1:6" x14ac:dyDescent="0.25">
      <c r="A6914" s="36" t="s">
        <v>16</v>
      </c>
      <c r="B6914" s="2">
        <v>44181</v>
      </c>
      <c r="C6914" s="1">
        <v>2321</v>
      </c>
      <c r="D6914" s="211">
        <f t="shared" si="565"/>
        <v>644108</v>
      </c>
      <c r="E6914" s="1">
        <v>38</v>
      </c>
      <c r="F6914" s="77">
        <f t="shared" si="566"/>
        <v>21573</v>
      </c>
    </row>
    <row r="6915" spans="1:6" x14ac:dyDescent="0.25">
      <c r="A6915" s="84" t="s">
        <v>43</v>
      </c>
      <c r="B6915" s="2">
        <v>44181</v>
      </c>
      <c r="C6915" s="1">
        <v>394</v>
      </c>
      <c r="D6915" s="47">
        <f t="shared" si="565"/>
        <v>164102</v>
      </c>
      <c r="E6915" s="1">
        <v>10</v>
      </c>
      <c r="F6915" s="78">
        <f t="shared" si="566"/>
        <v>5365</v>
      </c>
    </row>
    <row r="6916" spans="1:6" x14ac:dyDescent="0.25">
      <c r="A6916" s="84" t="s">
        <v>28</v>
      </c>
      <c r="B6916" s="2">
        <v>44181</v>
      </c>
      <c r="C6916" s="1">
        <v>20</v>
      </c>
      <c r="D6916" s="47">
        <f t="shared" si="565"/>
        <v>2210</v>
      </c>
      <c r="E6916" s="1">
        <v>0</v>
      </c>
      <c r="F6916" s="78">
        <f t="shared" si="566"/>
        <v>17</v>
      </c>
    </row>
    <row r="6917" spans="1:6" x14ac:dyDescent="0.25">
      <c r="A6917" s="84" t="s">
        <v>15</v>
      </c>
      <c r="B6917" s="2">
        <v>44181</v>
      </c>
      <c r="C6917" s="1">
        <v>187</v>
      </c>
      <c r="D6917" s="47">
        <f t="shared" si="565"/>
        <v>22215</v>
      </c>
      <c r="E6917" s="1">
        <v>2</v>
      </c>
      <c r="F6917" s="78">
        <f t="shared" si="566"/>
        <v>635</v>
      </c>
    </row>
    <row r="6918" spans="1:6" x14ac:dyDescent="0.25">
      <c r="A6918" s="84" t="s">
        <v>29</v>
      </c>
      <c r="B6918" s="2">
        <v>44181</v>
      </c>
      <c r="C6918" s="1">
        <v>384</v>
      </c>
      <c r="D6918" s="47">
        <f t="shared" si="565"/>
        <v>27043</v>
      </c>
      <c r="E6918" s="1">
        <v>3</v>
      </c>
      <c r="F6918" s="78">
        <f t="shared" si="566"/>
        <v>463</v>
      </c>
    </row>
    <row r="6919" spans="1:6" x14ac:dyDescent="0.25">
      <c r="A6919" s="84" t="s">
        <v>20</v>
      </c>
      <c r="B6919" s="2">
        <v>44181</v>
      </c>
      <c r="C6919" s="1">
        <v>528</v>
      </c>
      <c r="D6919" s="47">
        <f t="shared" si="565"/>
        <v>120929</v>
      </c>
      <c r="E6919" s="1">
        <v>21</v>
      </c>
      <c r="F6919" s="78">
        <f t="shared" si="566"/>
        <v>2340</v>
      </c>
    </row>
    <row r="6920" spans="1:6" x14ac:dyDescent="0.25">
      <c r="A6920" s="84" t="s">
        <v>30</v>
      </c>
      <c r="B6920" s="2">
        <v>44181</v>
      </c>
      <c r="C6920" s="1">
        <v>111</v>
      </c>
      <c r="D6920" s="47">
        <f t="shared" si="565"/>
        <v>9907</v>
      </c>
      <c r="E6920" s="1">
        <v>0</v>
      </c>
      <c r="F6920" s="78">
        <f t="shared" si="566"/>
        <v>138</v>
      </c>
    </row>
    <row r="6921" spans="1:6" x14ac:dyDescent="0.25">
      <c r="A6921" s="84" t="s">
        <v>31</v>
      </c>
      <c r="B6921" s="2">
        <v>44181</v>
      </c>
      <c r="C6921" s="1">
        <v>242</v>
      </c>
      <c r="D6921" s="47">
        <f t="shared" si="565"/>
        <v>26169</v>
      </c>
      <c r="E6921" s="1">
        <v>8</v>
      </c>
      <c r="F6921" s="78">
        <f t="shared" si="566"/>
        <v>543</v>
      </c>
    </row>
    <row r="6922" spans="1:6" x14ac:dyDescent="0.25">
      <c r="A6922" s="84" t="s">
        <v>41</v>
      </c>
      <c r="B6922" s="2">
        <v>44181</v>
      </c>
      <c r="C6922" s="1">
        <v>5</v>
      </c>
      <c r="D6922" s="47">
        <f t="shared" si="565"/>
        <v>202</v>
      </c>
      <c r="E6922" s="1">
        <v>0</v>
      </c>
      <c r="F6922" s="78">
        <f t="shared" si="566"/>
        <v>3</v>
      </c>
    </row>
    <row r="6923" spans="1:6" x14ac:dyDescent="0.25">
      <c r="A6923" s="84" t="s">
        <v>32</v>
      </c>
      <c r="B6923" s="2">
        <v>44181</v>
      </c>
      <c r="C6923" s="1">
        <v>1</v>
      </c>
      <c r="D6923" s="47">
        <f t="shared" si="565"/>
        <v>18460</v>
      </c>
      <c r="E6923" s="1">
        <v>0</v>
      </c>
      <c r="F6923" s="78">
        <f t="shared" si="566"/>
        <v>854</v>
      </c>
    </row>
    <row r="6924" spans="1:6" x14ac:dyDescent="0.25">
      <c r="A6924" s="84" t="s">
        <v>33</v>
      </c>
      <c r="B6924" s="2">
        <v>44181</v>
      </c>
      <c r="C6924" s="1">
        <v>213</v>
      </c>
      <c r="D6924" s="47">
        <f t="shared" si="565"/>
        <v>7494</v>
      </c>
      <c r="E6924" s="1">
        <v>0</v>
      </c>
      <c r="F6924" s="78">
        <f t="shared" si="566"/>
        <v>104</v>
      </c>
    </row>
    <row r="6925" spans="1:6" x14ac:dyDescent="0.25">
      <c r="A6925" s="84" t="s">
        <v>21</v>
      </c>
      <c r="B6925" s="2">
        <v>44181</v>
      </c>
      <c r="C6925" s="1">
        <v>13</v>
      </c>
      <c r="D6925" s="47">
        <f t="shared" si="565"/>
        <v>8963</v>
      </c>
      <c r="E6925" s="1">
        <v>4</v>
      </c>
      <c r="F6925" s="78">
        <f t="shared" si="566"/>
        <v>329</v>
      </c>
    </row>
    <row r="6926" spans="1:6" x14ac:dyDescent="0.25">
      <c r="A6926" s="84" t="s">
        <v>17</v>
      </c>
      <c r="B6926" s="2">
        <v>44181</v>
      </c>
      <c r="C6926" s="1">
        <v>148</v>
      </c>
      <c r="D6926" s="47">
        <f t="shared" si="565"/>
        <v>58674</v>
      </c>
      <c r="E6926" s="1">
        <v>5</v>
      </c>
      <c r="F6926" s="78">
        <f t="shared" si="566"/>
        <v>1189</v>
      </c>
    </row>
    <row r="6927" spans="1:6" x14ac:dyDescent="0.25">
      <c r="A6927" s="84" t="s">
        <v>23</v>
      </c>
      <c r="B6927" s="2">
        <v>44181</v>
      </c>
      <c r="C6927" s="1">
        <v>45</v>
      </c>
      <c r="D6927" s="47">
        <f t="shared" si="565"/>
        <v>748</v>
      </c>
      <c r="E6927" s="1">
        <v>0</v>
      </c>
      <c r="F6927" s="78">
        <f t="shared" si="566"/>
        <v>11</v>
      </c>
    </row>
    <row r="6928" spans="1:6" x14ac:dyDescent="0.25">
      <c r="A6928" s="84" t="s">
        <v>19</v>
      </c>
      <c r="B6928" s="2">
        <v>44181</v>
      </c>
      <c r="C6928" s="1">
        <v>-4</v>
      </c>
      <c r="D6928" s="47">
        <f t="shared" si="565"/>
        <v>37335</v>
      </c>
      <c r="E6928" s="1">
        <v>1</v>
      </c>
      <c r="F6928" s="78">
        <f t="shared" si="566"/>
        <v>681</v>
      </c>
    </row>
    <row r="6929" spans="1:6" x14ac:dyDescent="0.25">
      <c r="A6929" s="84" t="s">
        <v>18</v>
      </c>
      <c r="B6929" s="2">
        <v>44181</v>
      </c>
      <c r="C6929" s="1">
        <v>224</v>
      </c>
      <c r="D6929" s="47">
        <f t="shared" si="565"/>
        <v>34881</v>
      </c>
      <c r="E6929" s="1">
        <v>3</v>
      </c>
      <c r="F6929" s="78">
        <f t="shared" si="566"/>
        <v>851</v>
      </c>
    </row>
    <row r="6930" spans="1:6" x14ac:dyDescent="0.25">
      <c r="A6930" s="84" t="s">
        <v>34</v>
      </c>
      <c r="B6930" s="2">
        <v>44181</v>
      </c>
      <c r="C6930" s="1">
        <v>53</v>
      </c>
      <c r="D6930" s="47">
        <f t="shared" si="565"/>
        <v>21732</v>
      </c>
      <c r="E6930" s="1">
        <v>5</v>
      </c>
      <c r="F6930" s="78">
        <f t="shared" si="566"/>
        <v>1005</v>
      </c>
    </row>
    <row r="6931" spans="1:6" x14ac:dyDescent="0.25">
      <c r="A6931" s="84" t="s">
        <v>35</v>
      </c>
      <c r="B6931" s="2">
        <v>44181</v>
      </c>
      <c r="C6931" s="1">
        <v>149</v>
      </c>
      <c r="D6931" s="47">
        <f t="shared" si="565"/>
        <v>9834</v>
      </c>
      <c r="E6931" s="1">
        <v>0</v>
      </c>
      <c r="F6931" s="78">
        <f t="shared" si="566"/>
        <v>196</v>
      </c>
    </row>
    <row r="6932" spans="1:6" x14ac:dyDescent="0.25">
      <c r="A6932" s="84" t="s">
        <v>36</v>
      </c>
      <c r="B6932" s="2">
        <v>44181</v>
      </c>
      <c r="C6932" s="1">
        <v>84</v>
      </c>
      <c r="D6932" s="47">
        <f t="shared" si="565"/>
        <v>15728</v>
      </c>
      <c r="E6932" s="1">
        <v>11</v>
      </c>
      <c r="F6932" s="78">
        <f t="shared" si="566"/>
        <v>268</v>
      </c>
    </row>
    <row r="6933" spans="1:6" x14ac:dyDescent="0.25">
      <c r="A6933" s="84" t="s">
        <v>37</v>
      </c>
      <c r="B6933" s="2">
        <v>44181</v>
      </c>
      <c r="C6933" s="1">
        <v>274</v>
      </c>
      <c r="D6933" s="47">
        <f t="shared" si="565"/>
        <v>19620</v>
      </c>
      <c r="E6933" s="1">
        <v>4</v>
      </c>
      <c r="F6933" s="78">
        <f t="shared" si="566"/>
        <v>344</v>
      </c>
    </row>
    <row r="6934" spans="1:6" x14ac:dyDescent="0.25">
      <c r="A6934" s="84" t="s">
        <v>22</v>
      </c>
      <c r="B6934" s="2">
        <v>44181</v>
      </c>
      <c r="C6934" s="1">
        <v>1121</v>
      </c>
      <c r="D6934" s="47">
        <f t="shared" si="565"/>
        <v>163087</v>
      </c>
      <c r="E6934" s="1">
        <v>43</v>
      </c>
      <c r="F6934" s="78">
        <f t="shared" si="566"/>
        <v>2641</v>
      </c>
    </row>
    <row r="6935" spans="1:6" x14ac:dyDescent="0.25">
      <c r="A6935" s="84" t="s">
        <v>38</v>
      </c>
      <c r="B6935" s="2">
        <v>44181</v>
      </c>
      <c r="C6935" s="1">
        <v>54</v>
      </c>
      <c r="D6935" s="47">
        <f t="shared" si="565"/>
        <v>16625</v>
      </c>
      <c r="E6935" s="1">
        <v>0</v>
      </c>
      <c r="F6935" s="78">
        <f t="shared" si="566"/>
        <v>210</v>
      </c>
    </row>
    <row r="6936" spans="1:6" x14ac:dyDescent="0.25">
      <c r="A6936" s="84" t="s">
        <v>39</v>
      </c>
      <c r="B6936" s="2">
        <v>44181</v>
      </c>
      <c r="C6936" s="1">
        <v>48</v>
      </c>
      <c r="D6936" s="47">
        <f t="shared" si="565"/>
        <v>17797</v>
      </c>
      <c r="E6936" s="1">
        <v>0</v>
      </c>
      <c r="F6936" s="78">
        <f t="shared" si="566"/>
        <v>242</v>
      </c>
    </row>
    <row r="6937" spans="1:6" ht="15.75" thickBot="1" x14ac:dyDescent="0.3">
      <c r="A6937" s="85" t="s">
        <v>40</v>
      </c>
      <c r="B6937" s="2">
        <v>44181</v>
      </c>
      <c r="C6937" s="1">
        <v>228</v>
      </c>
      <c r="D6937" s="214">
        <f t="shared" si="565"/>
        <v>69083</v>
      </c>
      <c r="E6937" s="1">
        <v>4</v>
      </c>
      <c r="F6937" s="79">
        <f t="shared" si="566"/>
        <v>1313</v>
      </c>
    </row>
    <row r="6938" spans="1:6" x14ac:dyDescent="0.25">
      <c r="A6938" s="36" t="s">
        <v>16</v>
      </c>
      <c r="B6938" s="2">
        <v>44182</v>
      </c>
      <c r="C6938" s="1">
        <v>2250</v>
      </c>
      <c r="D6938" s="211">
        <f t="shared" si="565"/>
        <v>646358</v>
      </c>
      <c r="E6938" s="1">
        <v>55</v>
      </c>
      <c r="F6938" s="77">
        <f t="shared" si="566"/>
        <v>21628</v>
      </c>
    </row>
    <row r="6939" spans="1:6" x14ac:dyDescent="0.25">
      <c r="A6939" s="84" t="s">
        <v>43</v>
      </c>
      <c r="B6939" s="2">
        <v>44182</v>
      </c>
      <c r="C6939" s="1">
        <v>508</v>
      </c>
      <c r="D6939" s="47">
        <f t="shared" si="565"/>
        <v>164610</v>
      </c>
      <c r="E6939" s="1">
        <v>13</v>
      </c>
      <c r="F6939" s="78">
        <f t="shared" si="566"/>
        <v>5378</v>
      </c>
    </row>
    <row r="6940" spans="1:6" x14ac:dyDescent="0.25">
      <c r="A6940" s="84" t="s">
        <v>28</v>
      </c>
      <c r="B6940" s="2">
        <v>44182</v>
      </c>
      <c r="C6940" s="1">
        <v>17</v>
      </c>
      <c r="D6940" s="47">
        <f t="shared" si="565"/>
        <v>2227</v>
      </c>
      <c r="E6940" s="1">
        <v>0</v>
      </c>
      <c r="F6940" s="78">
        <f t="shared" si="566"/>
        <v>17</v>
      </c>
    </row>
    <row r="6941" spans="1:6" x14ac:dyDescent="0.25">
      <c r="A6941" s="84" t="s">
        <v>15</v>
      </c>
      <c r="B6941" s="2">
        <v>44182</v>
      </c>
      <c r="C6941" s="1">
        <v>196</v>
      </c>
      <c r="D6941" s="47">
        <f t="shared" si="565"/>
        <v>22411</v>
      </c>
      <c r="E6941" s="1">
        <v>1</v>
      </c>
      <c r="F6941" s="78">
        <f t="shared" si="566"/>
        <v>636</v>
      </c>
    </row>
    <row r="6942" spans="1:6" x14ac:dyDescent="0.25">
      <c r="A6942" s="84" t="s">
        <v>29</v>
      </c>
      <c r="B6942" s="2">
        <v>44182</v>
      </c>
      <c r="C6942" s="1">
        <v>417</v>
      </c>
      <c r="D6942" s="47">
        <f t="shared" si="565"/>
        <v>27460</v>
      </c>
      <c r="E6942" s="1">
        <v>6</v>
      </c>
      <c r="F6942" s="78">
        <f t="shared" si="566"/>
        <v>469</v>
      </c>
    </row>
    <row r="6943" spans="1:6" x14ac:dyDescent="0.25">
      <c r="A6943" s="84" t="s">
        <v>20</v>
      </c>
      <c r="B6943" s="2">
        <v>44182</v>
      </c>
      <c r="C6943" s="1">
        <v>605</v>
      </c>
      <c r="D6943" s="47">
        <f t="shared" si="565"/>
        <v>121534</v>
      </c>
      <c r="E6943" s="1">
        <v>25</v>
      </c>
      <c r="F6943" s="78">
        <f t="shared" si="566"/>
        <v>2365</v>
      </c>
    </row>
    <row r="6944" spans="1:6" x14ac:dyDescent="0.25">
      <c r="A6944" s="84" t="s">
        <v>30</v>
      </c>
      <c r="B6944" s="2">
        <v>44182</v>
      </c>
      <c r="C6944" s="1">
        <v>118</v>
      </c>
      <c r="D6944" s="47">
        <f t="shared" si="565"/>
        <v>10025</v>
      </c>
      <c r="E6944" s="1">
        <v>0</v>
      </c>
      <c r="F6944" s="78">
        <f t="shared" si="566"/>
        <v>138</v>
      </c>
    </row>
    <row r="6945" spans="1:6" x14ac:dyDescent="0.25">
      <c r="A6945" s="84" t="s">
        <v>31</v>
      </c>
      <c r="B6945" s="2">
        <v>44182</v>
      </c>
      <c r="C6945" s="1">
        <v>252</v>
      </c>
      <c r="D6945" s="47">
        <f t="shared" si="565"/>
        <v>26421</v>
      </c>
      <c r="E6945" s="1">
        <v>1</v>
      </c>
      <c r="F6945" s="78">
        <f t="shared" si="566"/>
        <v>544</v>
      </c>
    </row>
    <row r="6946" spans="1:6" x14ac:dyDescent="0.25">
      <c r="A6946" s="84" t="s">
        <v>41</v>
      </c>
      <c r="B6946" s="2">
        <v>44182</v>
      </c>
      <c r="C6946" s="1">
        <v>1</v>
      </c>
      <c r="D6946" s="47">
        <f t="shared" si="565"/>
        <v>203</v>
      </c>
      <c r="E6946" s="1">
        <v>0</v>
      </c>
      <c r="F6946" s="78">
        <f t="shared" si="566"/>
        <v>3</v>
      </c>
    </row>
    <row r="6947" spans="1:6" x14ac:dyDescent="0.25">
      <c r="A6947" s="84" t="s">
        <v>32</v>
      </c>
      <c r="B6947" s="2">
        <v>44182</v>
      </c>
      <c r="C6947" s="1">
        <v>5</v>
      </c>
      <c r="D6947" s="47">
        <f t="shared" ref="D6947:D7010" si="567">C6947+D6923</f>
        <v>18465</v>
      </c>
      <c r="E6947" s="1">
        <v>1</v>
      </c>
      <c r="F6947" s="78">
        <f t="shared" ref="F6947:F7010" si="568">E6947+F6923</f>
        <v>855</v>
      </c>
    </row>
    <row r="6948" spans="1:6" x14ac:dyDescent="0.25">
      <c r="A6948" s="84" t="s">
        <v>33</v>
      </c>
      <c r="B6948" s="2">
        <v>44182</v>
      </c>
      <c r="C6948" s="1">
        <v>211</v>
      </c>
      <c r="D6948" s="47">
        <f t="shared" si="567"/>
        <v>7705</v>
      </c>
      <c r="E6948" s="1">
        <v>0</v>
      </c>
      <c r="F6948" s="78">
        <f t="shared" si="568"/>
        <v>104</v>
      </c>
    </row>
    <row r="6949" spans="1:6" x14ac:dyDescent="0.25">
      <c r="A6949" s="84" t="s">
        <v>21</v>
      </c>
      <c r="B6949" s="2">
        <v>44182</v>
      </c>
      <c r="C6949" s="1">
        <v>14</v>
      </c>
      <c r="D6949" s="47">
        <f t="shared" si="567"/>
        <v>8977</v>
      </c>
      <c r="E6949" s="1">
        <v>0</v>
      </c>
      <c r="F6949" s="78">
        <f t="shared" si="568"/>
        <v>329</v>
      </c>
    </row>
    <row r="6950" spans="1:6" x14ac:dyDescent="0.25">
      <c r="A6950" s="84" t="s">
        <v>17</v>
      </c>
      <c r="B6950" s="2">
        <v>44182</v>
      </c>
      <c r="C6950" s="1">
        <v>103</v>
      </c>
      <c r="D6950" s="47">
        <f t="shared" si="567"/>
        <v>58777</v>
      </c>
      <c r="E6950" s="1">
        <v>10</v>
      </c>
      <c r="F6950" s="78">
        <f t="shared" si="568"/>
        <v>1199</v>
      </c>
    </row>
    <row r="6951" spans="1:6" x14ac:dyDescent="0.25">
      <c r="A6951" s="84" t="s">
        <v>23</v>
      </c>
      <c r="B6951" s="2">
        <v>44182</v>
      </c>
      <c r="C6951" s="1">
        <v>40</v>
      </c>
      <c r="D6951" s="47">
        <f t="shared" si="567"/>
        <v>788</v>
      </c>
      <c r="E6951" s="1">
        <v>0</v>
      </c>
      <c r="F6951" s="78">
        <f t="shared" si="568"/>
        <v>11</v>
      </c>
    </row>
    <row r="6952" spans="1:6" x14ac:dyDescent="0.25">
      <c r="A6952" s="84" t="s">
        <v>19</v>
      </c>
      <c r="B6952" s="2">
        <v>44182</v>
      </c>
      <c r="C6952" s="1">
        <v>184</v>
      </c>
      <c r="D6952" s="47">
        <f t="shared" si="567"/>
        <v>37519</v>
      </c>
      <c r="E6952" s="1">
        <v>0</v>
      </c>
      <c r="F6952" s="78">
        <f t="shared" si="568"/>
        <v>681</v>
      </c>
    </row>
    <row r="6953" spans="1:6" x14ac:dyDescent="0.25">
      <c r="A6953" s="84" t="s">
        <v>18</v>
      </c>
      <c r="B6953" s="2">
        <v>44182</v>
      </c>
      <c r="C6953" s="1">
        <v>279</v>
      </c>
      <c r="D6953" s="47">
        <f t="shared" si="567"/>
        <v>35160</v>
      </c>
      <c r="E6953" s="1">
        <v>6</v>
      </c>
      <c r="F6953" s="78">
        <f t="shared" si="568"/>
        <v>857</v>
      </c>
    </row>
    <row r="6954" spans="1:6" x14ac:dyDescent="0.25">
      <c r="A6954" s="84" t="s">
        <v>34</v>
      </c>
      <c r="B6954" s="2">
        <v>44182</v>
      </c>
      <c r="C6954" s="1">
        <v>52</v>
      </c>
      <c r="D6954" s="47">
        <f t="shared" si="567"/>
        <v>21784</v>
      </c>
      <c r="E6954" s="1">
        <v>1</v>
      </c>
      <c r="F6954" s="78">
        <f t="shared" si="568"/>
        <v>1006</v>
      </c>
    </row>
    <row r="6955" spans="1:6" x14ac:dyDescent="0.25">
      <c r="A6955" s="84" t="s">
        <v>35</v>
      </c>
      <c r="B6955" s="2">
        <v>44182</v>
      </c>
      <c r="C6955" s="1">
        <v>228</v>
      </c>
      <c r="D6955" s="47">
        <f t="shared" si="567"/>
        <v>10062</v>
      </c>
      <c r="E6955" s="1">
        <v>0</v>
      </c>
      <c r="F6955" s="78">
        <f t="shared" si="568"/>
        <v>196</v>
      </c>
    </row>
    <row r="6956" spans="1:6" x14ac:dyDescent="0.25">
      <c r="A6956" s="84" t="s">
        <v>36</v>
      </c>
      <c r="B6956" s="2">
        <v>44182</v>
      </c>
      <c r="C6956" s="1">
        <v>38</v>
      </c>
      <c r="D6956" s="47">
        <f t="shared" si="567"/>
        <v>15766</v>
      </c>
      <c r="E6956" s="1">
        <v>6</v>
      </c>
      <c r="F6956" s="78">
        <f t="shared" si="568"/>
        <v>274</v>
      </c>
    </row>
    <row r="6957" spans="1:6" x14ac:dyDescent="0.25">
      <c r="A6957" s="84" t="s">
        <v>37</v>
      </c>
      <c r="B6957" s="2">
        <v>44182</v>
      </c>
      <c r="C6957" s="1">
        <v>315</v>
      </c>
      <c r="D6957" s="47">
        <f t="shared" si="567"/>
        <v>19935</v>
      </c>
      <c r="E6957" s="1">
        <v>4</v>
      </c>
      <c r="F6957" s="78">
        <f t="shared" si="568"/>
        <v>348</v>
      </c>
    </row>
    <row r="6958" spans="1:6" x14ac:dyDescent="0.25">
      <c r="A6958" s="84" t="s">
        <v>22</v>
      </c>
      <c r="B6958" s="2">
        <v>44182</v>
      </c>
      <c r="C6958" s="1">
        <v>1109</v>
      </c>
      <c r="D6958" s="47">
        <f t="shared" si="567"/>
        <v>164196</v>
      </c>
      <c r="E6958" s="1">
        <v>32</v>
      </c>
      <c r="F6958" s="78">
        <f t="shared" si="568"/>
        <v>2673</v>
      </c>
    </row>
    <row r="6959" spans="1:6" x14ac:dyDescent="0.25">
      <c r="A6959" s="84" t="s">
        <v>38</v>
      </c>
      <c r="B6959" s="2">
        <v>44182</v>
      </c>
      <c r="C6959" s="1">
        <v>66</v>
      </c>
      <c r="D6959" s="47">
        <f t="shared" si="567"/>
        <v>16691</v>
      </c>
      <c r="E6959" s="1">
        <v>1</v>
      </c>
      <c r="F6959" s="78">
        <f t="shared" si="568"/>
        <v>211</v>
      </c>
    </row>
    <row r="6960" spans="1:6" x14ac:dyDescent="0.25">
      <c r="A6960" s="84" t="s">
        <v>39</v>
      </c>
      <c r="B6960" s="2">
        <v>44182</v>
      </c>
      <c r="C6960" s="1">
        <v>107</v>
      </c>
      <c r="D6960" s="47">
        <f t="shared" si="567"/>
        <v>17904</v>
      </c>
      <c r="E6960" s="1">
        <v>0</v>
      </c>
      <c r="F6960" s="78">
        <f t="shared" si="568"/>
        <v>242</v>
      </c>
    </row>
    <row r="6961" spans="1:6" ht="15.75" thickBot="1" x14ac:dyDescent="0.3">
      <c r="A6961" s="86" t="s">
        <v>40</v>
      </c>
      <c r="B6961" s="42">
        <v>44182</v>
      </c>
      <c r="C6961" s="300">
        <v>211</v>
      </c>
      <c r="D6961" s="81">
        <f t="shared" si="567"/>
        <v>69294</v>
      </c>
      <c r="E6961" s="300">
        <v>7</v>
      </c>
      <c r="F6961" s="83">
        <f t="shared" si="568"/>
        <v>1320</v>
      </c>
    </row>
    <row r="6962" spans="1:6" x14ac:dyDescent="0.25">
      <c r="A6962" s="36" t="s">
        <v>16</v>
      </c>
      <c r="B6962" s="354">
        <v>44183</v>
      </c>
      <c r="C6962" s="53">
        <v>2323</v>
      </c>
      <c r="D6962" s="211">
        <f t="shared" si="567"/>
        <v>648681</v>
      </c>
      <c r="E6962" s="53">
        <v>49</v>
      </c>
      <c r="F6962" s="77">
        <f t="shared" si="568"/>
        <v>21677</v>
      </c>
    </row>
    <row r="6963" spans="1:6" x14ac:dyDescent="0.25">
      <c r="A6963" s="84" t="s">
        <v>43</v>
      </c>
      <c r="B6963" s="2">
        <v>44183</v>
      </c>
      <c r="C6963" s="1">
        <v>584</v>
      </c>
      <c r="D6963" s="47">
        <f t="shared" si="567"/>
        <v>165194</v>
      </c>
      <c r="E6963" s="1">
        <v>1</v>
      </c>
      <c r="F6963" s="78">
        <f t="shared" si="568"/>
        <v>5379</v>
      </c>
    </row>
    <row r="6964" spans="1:6" x14ac:dyDescent="0.25">
      <c r="A6964" s="84" t="s">
        <v>28</v>
      </c>
      <c r="B6964" s="2">
        <v>44183</v>
      </c>
      <c r="C6964" s="1">
        <v>48</v>
      </c>
      <c r="D6964" s="47">
        <f t="shared" si="567"/>
        <v>2275</v>
      </c>
      <c r="E6964" s="1">
        <v>0</v>
      </c>
      <c r="F6964" s="78">
        <f t="shared" si="568"/>
        <v>17</v>
      </c>
    </row>
    <row r="6965" spans="1:6" x14ac:dyDescent="0.25">
      <c r="A6965" s="84" t="s">
        <v>15</v>
      </c>
      <c r="B6965" s="2">
        <v>44183</v>
      </c>
      <c r="C6965" s="1">
        <v>186</v>
      </c>
      <c r="D6965" s="47">
        <f t="shared" si="567"/>
        <v>22597</v>
      </c>
      <c r="E6965" s="1">
        <v>7</v>
      </c>
      <c r="F6965" s="78">
        <f t="shared" si="568"/>
        <v>643</v>
      </c>
    </row>
    <row r="6966" spans="1:6" x14ac:dyDescent="0.25">
      <c r="A6966" s="84" t="s">
        <v>29</v>
      </c>
      <c r="B6966" s="2">
        <v>44183</v>
      </c>
      <c r="C6966" s="1">
        <v>233</v>
      </c>
      <c r="D6966" s="47">
        <f t="shared" si="567"/>
        <v>27693</v>
      </c>
      <c r="E6966" s="1">
        <v>4</v>
      </c>
      <c r="F6966" s="78">
        <f t="shared" si="568"/>
        <v>473</v>
      </c>
    </row>
    <row r="6967" spans="1:6" x14ac:dyDescent="0.25">
      <c r="A6967" s="84" t="s">
        <v>20</v>
      </c>
      <c r="B6967" s="2">
        <v>44183</v>
      </c>
      <c r="C6967" s="1">
        <v>442</v>
      </c>
      <c r="D6967" s="47">
        <f t="shared" si="567"/>
        <v>121976</v>
      </c>
      <c r="E6967" s="1">
        <v>12</v>
      </c>
      <c r="F6967" s="78">
        <f t="shared" si="568"/>
        <v>2377</v>
      </c>
    </row>
    <row r="6968" spans="1:6" x14ac:dyDescent="0.25">
      <c r="A6968" s="84" t="s">
        <v>30</v>
      </c>
      <c r="B6968" s="2">
        <v>44183</v>
      </c>
      <c r="C6968" s="1">
        <v>175</v>
      </c>
      <c r="D6968" s="47">
        <f t="shared" si="567"/>
        <v>10200</v>
      </c>
      <c r="E6968" s="1">
        <v>3</v>
      </c>
      <c r="F6968" s="78">
        <f t="shared" si="568"/>
        <v>141</v>
      </c>
    </row>
    <row r="6969" spans="1:6" x14ac:dyDescent="0.25">
      <c r="A6969" s="84" t="s">
        <v>31</v>
      </c>
      <c r="B6969" s="2">
        <v>44183</v>
      </c>
      <c r="C6969" s="1">
        <v>177</v>
      </c>
      <c r="D6969" s="47">
        <f t="shared" si="567"/>
        <v>26598</v>
      </c>
      <c r="E6969" s="1">
        <v>7</v>
      </c>
      <c r="F6969" s="78">
        <f t="shared" si="568"/>
        <v>551</v>
      </c>
    </row>
    <row r="6970" spans="1:6" x14ac:dyDescent="0.25">
      <c r="A6970" s="84" t="s">
        <v>41</v>
      </c>
      <c r="B6970" s="2">
        <v>44183</v>
      </c>
      <c r="C6970" s="1">
        <v>-2</v>
      </c>
      <c r="D6970" s="47">
        <f t="shared" si="567"/>
        <v>201</v>
      </c>
      <c r="E6970" s="1">
        <v>0</v>
      </c>
      <c r="F6970" s="78">
        <f t="shared" si="568"/>
        <v>3</v>
      </c>
    </row>
    <row r="6971" spans="1:6" x14ac:dyDescent="0.25">
      <c r="A6971" s="84" t="s">
        <v>32</v>
      </c>
      <c r="B6971" s="2">
        <v>44183</v>
      </c>
      <c r="C6971" s="1">
        <v>13</v>
      </c>
      <c r="D6971" s="47">
        <f t="shared" si="567"/>
        <v>18478</v>
      </c>
      <c r="E6971" s="1">
        <v>1</v>
      </c>
      <c r="F6971" s="78">
        <f t="shared" si="568"/>
        <v>856</v>
      </c>
    </row>
    <row r="6972" spans="1:6" x14ac:dyDescent="0.25">
      <c r="A6972" s="84" t="s">
        <v>33</v>
      </c>
      <c r="B6972" s="2">
        <v>44183</v>
      </c>
      <c r="C6972" s="1">
        <v>193</v>
      </c>
      <c r="D6972" s="47">
        <f t="shared" si="567"/>
        <v>7898</v>
      </c>
      <c r="E6972" s="1">
        <v>1</v>
      </c>
      <c r="F6972" s="78">
        <f t="shared" si="568"/>
        <v>105</v>
      </c>
    </row>
    <row r="6973" spans="1:6" x14ac:dyDescent="0.25">
      <c r="A6973" s="84" t="s">
        <v>21</v>
      </c>
      <c r="B6973" s="2">
        <v>44183</v>
      </c>
      <c r="C6973" s="1">
        <v>12</v>
      </c>
      <c r="D6973" s="47">
        <f t="shared" si="567"/>
        <v>8989</v>
      </c>
      <c r="E6973" s="1">
        <v>10</v>
      </c>
      <c r="F6973" s="78">
        <f t="shared" si="568"/>
        <v>339</v>
      </c>
    </row>
    <row r="6974" spans="1:6" x14ac:dyDescent="0.25">
      <c r="A6974" s="84" t="s">
        <v>17</v>
      </c>
      <c r="B6974" s="2">
        <v>44183</v>
      </c>
      <c r="C6974" s="1">
        <v>95</v>
      </c>
      <c r="D6974" s="47">
        <f t="shared" si="567"/>
        <v>58872</v>
      </c>
      <c r="E6974" s="1">
        <v>0</v>
      </c>
      <c r="F6974" s="78">
        <f t="shared" si="568"/>
        <v>1199</v>
      </c>
    </row>
    <row r="6975" spans="1:6" x14ac:dyDescent="0.25">
      <c r="A6975" s="84" t="s">
        <v>23</v>
      </c>
      <c r="B6975" s="2">
        <v>44183</v>
      </c>
      <c r="C6975" s="1">
        <v>34</v>
      </c>
      <c r="D6975" s="47">
        <f t="shared" si="567"/>
        <v>822</v>
      </c>
      <c r="E6975" s="1">
        <v>0</v>
      </c>
      <c r="F6975" s="78">
        <f t="shared" si="568"/>
        <v>11</v>
      </c>
    </row>
    <row r="6976" spans="1:6" x14ac:dyDescent="0.25">
      <c r="A6976" s="84" t="s">
        <v>19</v>
      </c>
      <c r="B6976" s="2">
        <v>44183</v>
      </c>
      <c r="C6976" s="1">
        <v>176</v>
      </c>
      <c r="D6976" s="47">
        <f t="shared" si="567"/>
        <v>37695</v>
      </c>
      <c r="E6976" s="1">
        <v>0</v>
      </c>
      <c r="F6976" s="78">
        <f t="shared" si="568"/>
        <v>681</v>
      </c>
    </row>
    <row r="6977" spans="1:6" x14ac:dyDescent="0.25">
      <c r="A6977" s="84" t="s">
        <v>18</v>
      </c>
      <c r="B6977" s="2">
        <v>44183</v>
      </c>
      <c r="C6977" s="1">
        <v>197</v>
      </c>
      <c r="D6977" s="47">
        <f t="shared" si="567"/>
        <v>35357</v>
      </c>
      <c r="E6977" s="1">
        <v>5</v>
      </c>
      <c r="F6977" s="78">
        <f t="shared" si="568"/>
        <v>862</v>
      </c>
    </row>
    <row r="6978" spans="1:6" x14ac:dyDescent="0.25">
      <c r="A6978" s="84" t="s">
        <v>34</v>
      </c>
      <c r="B6978" s="2">
        <v>44183</v>
      </c>
      <c r="C6978" s="1">
        <v>73</v>
      </c>
      <c r="D6978" s="47">
        <f t="shared" si="567"/>
        <v>21857</v>
      </c>
      <c r="E6978" s="1">
        <v>1</v>
      </c>
      <c r="F6978" s="78">
        <f t="shared" si="568"/>
        <v>1007</v>
      </c>
    </row>
    <row r="6979" spans="1:6" x14ac:dyDescent="0.25">
      <c r="A6979" s="84" t="s">
        <v>35</v>
      </c>
      <c r="B6979" s="2">
        <v>44183</v>
      </c>
      <c r="C6979" s="1">
        <v>195</v>
      </c>
      <c r="D6979" s="47">
        <f t="shared" si="567"/>
        <v>10257</v>
      </c>
      <c r="E6979" s="1">
        <v>0</v>
      </c>
      <c r="F6979" s="78">
        <f t="shared" si="568"/>
        <v>196</v>
      </c>
    </row>
    <row r="6980" spans="1:6" x14ac:dyDescent="0.25">
      <c r="A6980" s="84" t="s">
        <v>36</v>
      </c>
      <c r="B6980" s="2">
        <v>44183</v>
      </c>
      <c r="C6980" s="1">
        <v>65</v>
      </c>
      <c r="D6980" s="47">
        <f t="shared" si="567"/>
        <v>15831</v>
      </c>
      <c r="E6980" s="1">
        <v>3</v>
      </c>
      <c r="F6980" s="78">
        <f t="shared" si="568"/>
        <v>277</v>
      </c>
    </row>
    <row r="6981" spans="1:6" x14ac:dyDescent="0.25">
      <c r="A6981" s="84" t="s">
        <v>37</v>
      </c>
      <c r="B6981" s="2">
        <v>44183</v>
      </c>
      <c r="C6981" s="1">
        <v>318</v>
      </c>
      <c r="D6981" s="47">
        <f t="shared" si="567"/>
        <v>20253</v>
      </c>
      <c r="E6981" s="1">
        <v>3</v>
      </c>
      <c r="F6981" s="78">
        <f t="shared" si="568"/>
        <v>351</v>
      </c>
    </row>
    <row r="6982" spans="1:6" x14ac:dyDescent="0.25">
      <c r="A6982" s="84" t="s">
        <v>22</v>
      </c>
      <c r="B6982" s="2">
        <v>44183</v>
      </c>
      <c r="C6982" s="1">
        <v>1073</v>
      </c>
      <c r="D6982" s="47">
        <f t="shared" si="567"/>
        <v>165269</v>
      </c>
      <c r="E6982" s="1">
        <v>25</v>
      </c>
      <c r="F6982" s="78">
        <f t="shared" si="568"/>
        <v>2698</v>
      </c>
    </row>
    <row r="6983" spans="1:6" x14ac:dyDescent="0.25">
      <c r="A6983" s="84" t="s">
        <v>38</v>
      </c>
      <c r="B6983" s="2">
        <v>44183</v>
      </c>
      <c r="C6983" s="1">
        <v>75</v>
      </c>
      <c r="D6983" s="47">
        <f t="shared" si="567"/>
        <v>16766</v>
      </c>
      <c r="E6983" s="1">
        <v>2</v>
      </c>
      <c r="F6983" s="78">
        <f t="shared" si="568"/>
        <v>213</v>
      </c>
    </row>
    <row r="6984" spans="1:6" x14ac:dyDescent="0.25">
      <c r="A6984" s="84" t="s">
        <v>39</v>
      </c>
      <c r="B6984" s="2">
        <v>44183</v>
      </c>
      <c r="C6984" s="1">
        <v>116</v>
      </c>
      <c r="D6984" s="47">
        <f t="shared" si="567"/>
        <v>18020</v>
      </c>
      <c r="E6984" s="1">
        <v>2</v>
      </c>
      <c r="F6984" s="78">
        <f t="shared" si="568"/>
        <v>244</v>
      </c>
    </row>
    <row r="6985" spans="1:6" ht="15.75" thickBot="1" x14ac:dyDescent="0.3">
      <c r="A6985" s="85" t="s">
        <v>40</v>
      </c>
      <c r="B6985" s="355">
        <v>44183</v>
      </c>
      <c r="C6985" s="54">
        <v>201</v>
      </c>
      <c r="D6985" s="214">
        <f t="shared" si="567"/>
        <v>69495</v>
      </c>
      <c r="E6985" s="54">
        <v>2</v>
      </c>
      <c r="F6985" s="79">
        <f t="shared" si="568"/>
        <v>1322</v>
      </c>
    </row>
    <row r="6986" spans="1:6" ht="15.75" thickBot="1" x14ac:dyDescent="0.3">
      <c r="A6986" s="36" t="s">
        <v>16</v>
      </c>
      <c r="B6986" s="355">
        <v>44184</v>
      </c>
      <c r="C6986" s="293">
        <v>2180</v>
      </c>
      <c r="D6986" s="211">
        <f t="shared" si="567"/>
        <v>650861</v>
      </c>
      <c r="E6986" s="293">
        <v>33</v>
      </c>
      <c r="F6986" s="77">
        <f t="shared" si="568"/>
        <v>21710</v>
      </c>
    </row>
    <row r="6987" spans="1:6" ht="15.75" thickBot="1" x14ac:dyDescent="0.3">
      <c r="A6987" s="84" t="s">
        <v>43</v>
      </c>
      <c r="B6987" s="355">
        <v>44184</v>
      </c>
      <c r="C6987" s="1">
        <v>501</v>
      </c>
      <c r="D6987" s="47">
        <f t="shared" si="567"/>
        <v>165695</v>
      </c>
      <c r="E6987" s="1">
        <v>3</v>
      </c>
      <c r="F6987" s="78">
        <f t="shared" si="568"/>
        <v>5382</v>
      </c>
    </row>
    <row r="6988" spans="1:6" ht="15.75" thickBot="1" x14ac:dyDescent="0.3">
      <c r="A6988" s="84" t="s">
        <v>28</v>
      </c>
      <c r="B6988" s="355">
        <v>44184</v>
      </c>
      <c r="C6988" s="1">
        <v>29</v>
      </c>
      <c r="D6988" s="47">
        <f t="shared" si="567"/>
        <v>2304</v>
      </c>
      <c r="E6988" s="1">
        <v>0</v>
      </c>
      <c r="F6988" s="78">
        <f t="shared" si="568"/>
        <v>17</v>
      </c>
    </row>
    <row r="6989" spans="1:6" ht="15.75" thickBot="1" x14ac:dyDescent="0.3">
      <c r="A6989" s="84" t="s">
        <v>15</v>
      </c>
      <c r="B6989" s="355">
        <v>44184</v>
      </c>
      <c r="C6989" s="1">
        <v>138</v>
      </c>
      <c r="D6989" s="47">
        <f t="shared" si="567"/>
        <v>22735</v>
      </c>
      <c r="E6989" s="1">
        <v>2</v>
      </c>
      <c r="F6989" s="78">
        <f t="shared" si="568"/>
        <v>645</v>
      </c>
    </row>
    <row r="6990" spans="1:6" ht="15.75" thickBot="1" x14ac:dyDescent="0.3">
      <c r="A6990" s="84" t="s">
        <v>29</v>
      </c>
      <c r="B6990" s="355">
        <v>44184</v>
      </c>
      <c r="C6990" s="1">
        <v>322</v>
      </c>
      <c r="D6990" s="47">
        <f t="shared" si="567"/>
        <v>28015</v>
      </c>
      <c r="E6990" s="1">
        <v>11</v>
      </c>
      <c r="F6990" s="78">
        <f t="shared" si="568"/>
        <v>484</v>
      </c>
    </row>
    <row r="6991" spans="1:6" ht="15.75" thickBot="1" x14ac:dyDescent="0.3">
      <c r="A6991" s="84" t="s">
        <v>20</v>
      </c>
      <c r="B6991" s="355">
        <v>44184</v>
      </c>
      <c r="C6991" s="1">
        <v>262</v>
      </c>
      <c r="D6991" s="47">
        <f t="shared" si="567"/>
        <v>122238</v>
      </c>
      <c r="E6991" s="1">
        <v>8</v>
      </c>
      <c r="F6991" s="78">
        <f t="shared" si="568"/>
        <v>2385</v>
      </c>
    </row>
    <row r="6992" spans="1:6" ht="15.75" thickBot="1" x14ac:dyDescent="0.3">
      <c r="A6992" s="84" t="s">
        <v>30</v>
      </c>
      <c r="B6992" s="355">
        <v>44184</v>
      </c>
      <c r="C6992" s="1">
        <v>100</v>
      </c>
      <c r="D6992" s="47">
        <f t="shared" si="567"/>
        <v>10300</v>
      </c>
      <c r="E6992" s="1">
        <v>2</v>
      </c>
      <c r="F6992" s="78">
        <f t="shared" si="568"/>
        <v>143</v>
      </c>
    </row>
    <row r="6993" spans="1:6" ht="15.75" thickBot="1" x14ac:dyDescent="0.3">
      <c r="A6993" s="84" t="s">
        <v>31</v>
      </c>
      <c r="B6993" s="355">
        <v>44184</v>
      </c>
      <c r="C6993" s="1">
        <v>210</v>
      </c>
      <c r="D6993" s="47">
        <f t="shared" si="567"/>
        <v>26808</v>
      </c>
      <c r="E6993" s="1">
        <v>2</v>
      </c>
      <c r="F6993" s="78">
        <f t="shared" si="568"/>
        <v>553</v>
      </c>
    </row>
    <row r="6994" spans="1:6" ht="15.75" thickBot="1" x14ac:dyDescent="0.3">
      <c r="A6994" s="84" t="s">
        <v>41</v>
      </c>
      <c r="B6994" s="355">
        <v>44184</v>
      </c>
      <c r="C6994" s="1">
        <v>0</v>
      </c>
      <c r="D6994" s="47">
        <f t="shared" si="567"/>
        <v>201</v>
      </c>
      <c r="E6994" s="1">
        <v>0</v>
      </c>
      <c r="F6994" s="78">
        <f t="shared" si="568"/>
        <v>3</v>
      </c>
    </row>
    <row r="6995" spans="1:6" ht="15.75" thickBot="1" x14ac:dyDescent="0.3">
      <c r="A6995" s="84" t="s">
        <v>32</v>
      </c>
      <c r="B6995" s="355">
        <v>44184</v>
      </c>
      <c r="C6995" s="1">
        <v>4</v>
      </c>
      <c r="D6995" s="47">
        <f t="shared" si="567"/>
        <v>18482</v>
      </c>
      <c r="E6995" s="1">
        <v>1</v>
      </c>
      <c r="F6995" s="78">
        <f t="shared" si="568"/>
        <v>857</v>
      </c>
    </row>
    <row r="6996" spans="1:6" ht="15.75" thickBot="1" x14ac:dyDescent="0.3">
      <c r="A6996" s="84" t="s">
        <v>33</v>
      </c>
      <c r="B6996" s="355">
        <v>44184</v>
      </c>
      <c r="C6996" s="1">
        <v>203</v>
      </c>
      <c r="D6996" s="47">
        <f t="shared" si="567"/>
        <v>8101</v>
      </c>
      <c r="E6996" s="1">
        <v>0</v>
      </c>
      <c r="F6996" s="78">
        <f t="shared" si="568"/>
        <v>105</v>
      </c>
    </row>
    <row r="6997" spans="1:6" ht="15.75" thickBot="1" x14ac:dyDescent="0.3">
      <c r="A6997" s="84" t="s">
        <v>21</v>
      </c>
      <c r="B6997" s="355">
        <v>44184</v>
      </c>
      <c r="C6997" s="1">
        <v>5</v>
      </c>
      <c r="D6997" s="47">
        <f t="shared" si="567"/>
        <v>8994</v>
      </c>
      <c r="E6997" s="1">
        <v>9</v>
      </c>
      <c r="F6997" s="78">
        <f t="shared" si="568"/>
        <v>348</v>
      </c>
    </row>
    <row r="6998" spans="1:6" ht="15.75" thickBot="1" x14ac:dyDescent="0.3">
      <c r="A6998" s="84" t="s">
        <v>17</v>
      </c>
      <c r="B6998" s="355">
        <v>44184</v>
      </c>
      <c r="C6998" s="1">
        <v>82</v>
      </c>
      <c r="D6998" s="47">
        <f t="shared" si="567"/>
        <v>58954</v>
      </c>
      <c r="E6998" s="1">
        <v>0</v>
      </c>
      <c r="F6998" s="78">
        <f t="shared" si="568"/>
        <v>1199</v>
      </c>
    </row>
    <row r="6999" spans="1:6" ht="15.75" thickBot="1" x14ac:dyDescent="0.3">
      <c r="A6999" s="84" t="s">
        <v>23</v>
      </c>
      <c r="B6999" s="355">
        <v>44184</v>
      </c>
      <c r="C6999" s="1">
        <v>24</v>
      </c>
      <c r="D6999" s="47">
        <f t="shared" si="567"/>
        <v>846</v>
      </c>
      <c r="E6999" s="1">
        <v>0</v>
      </c>
      <c r="F6999" s="78">
        <f t="shared" si="568"/>
        <v>11</v>
      </c>
    </row>
    <row r="7000" spans="1:6" ht="15.75" thickBot="1" x14ac:dyDescent="0.3">
      <c r="A7000" s="84" t="s">
        <v>19</v>
      </c>
      <c r="B7000" s="355">
        <v>44184</v>
      </c>
      <c r="C7000" s="1">
        <v>215</v>
      </c>
      <c r="D7000" s="47">
        <f t="shared" si="567"/>
        <v>37910</v>
      </c>
      <c r="E7000" s="1">
        <v>0</v>
      </c>
      <c r="F7000" s="78">
        <f t="shared" si="568"/>
        <v>681</v>
      </c>
    </row>
    <row r="7001" spans="1:6" ht="15.75" thickBot="1" x14ac:dyDescent="0.3">
      <c r="A7001" s="84" t="s">
        <v>18</v>
      </c>
      <c r="B7001" s="355">
        <v>44184</v>
      </c>
      <c r="C7001" s="1">
        <v>204</v>
      </c>
      <c r="D7001" s="47">
        <f t="shared" si="567"/>
        <v>35561</v>
      </c>
      <c r="E7001" s="1">
        <v>5</v>
      </c>
      <c r="F7001" s="78">
        <f t="shared" si="568"/>
        <v>867</v>
      </c>
    </row>
    <row r="7002" spans="1:6" ht="15.75" thickBot="1" x14ac:dyDescent="0.3">
      <c r="A7002" s="84" t="s">
        <v>34</v>
      </c>
      <c r="B7002" s="355">
        <v>44184</v>
      </c>
      <c r="C7002" s="1">
        <v>67</v>
      </c>
      <c r="D7002" s="47">
        <f t="shared" si="567"/>
        <v>21924</v>
      </c>
      <c r="E7002" s="1">
        <v>1</v>
      </c>
      <c r="F7002" s="78">
        <f t="shared" si="568"/>
        <v>1008</v>
      </c>
    </row>
    <row r="7003" spans="1:6" ht="15.75" thickBot="1" x14ac:dyDescent="0.3">
      <c r="A7003" s="84" t="s">
        <v>35</v>
      </c>
      <c r="B7003" s="355">
        <v>44184</v>
      </c>
      <c r="C7003" s="1">
        <v>19</v>
      </c>
      <c r="D7003" s="47">
        <f t="shared" si="567"/>
        <v>10276</v>
      </c>
      <c r="E7003" s="1">
        <v>0</v>
      </c>
      <c r="F7003" s="78">
        <f t="shared" si="568"/>
        <v>196</v>
      </c>
    </row>
    <row r="7004" spans="1:6" ht="15.75" thickBot="1" x14ac:dyDescent="0.3">
      <c r="A7004" s="84" t="s">
        <v>36</v>
      </c>
      <c r="B7004" s="355">
        <v>44184</v>
      </c>
      <c r="C7004" s="1">
        <v>31</v>
      </c>
      <c r="D7004" s="47">
        <f t="shared" si="567"/>
        <v>15862</v>
      </c>
      <c r="E7004" s="1">
        <v>0</v>
      </c>
      <c r="F7004" s="78">
        <f t="shared" si="568"/>
        <v>277</v>
      </c>
    </row>
    <row r="7005" spans="1:6" ht="15.75" thickBot="1" x14ac:dyDescent="0.3">
      <c r="A7005" s="84" t="s">
        <v>37</v>
      </c>
      <c r="B7005" s="355">
        <v>44184</v>
      </c>
      <c r="C7005" s="1">
        <v>254</v>
      </c>
      <c r="D7005" s="47">
        <f t="shared" si="567"/>
        <v>20507</v>
      </c>
      <c r="E7005" s="1">
        <v>0</v>
      </c>
      <c r="F7005" s="78">
        <f t="shared" si="568"/>
        <v>351</v>
      </c>
    </row>
    <row r="7006" spans="1:6" ht="15.75" thickBot="1" x14ac:dyDescent="0.3">
      <c r="A7006" s="84" t="s">
        <v>22</v>
      </c>
      <c r="B7006" s="355">
        <v>44184</v>
      </c>
      <c r="C7006" s="1">
        <v>742</v>
      </c>
      <c r="D7006" s="47">
        <f t="shared" si="567"/>
        <v>166011</v>
      </c>
      <c r="E7006" s="1">
        <v>14</v>
      </c>
      <c r="F7006" s="78">
        <f t="shared" si="568"/>
        <v>2712</v>
      </c>
    </row>
    <row r="7007" spans="1:6" ht="15.75" thickBot="1" x14ac:dyDescent="0.3">
      <c r="A7007" s="84" t="s">
        <v>38</v>
      </c>
      <c r="B7007" s="355">
        <v>44184</v>
      </c>
      <c r="C7007" s="1">
        <v>28</v>
      </c>
      <c r="D7007" s="47">
        <f t="shared" si="567"/>
        <v>16794</v>
      </c>
      <c r="E7007" s="1">
        <v>0</v>
      </c>
      <c r="F7007" s="78">
        <f t="shared" si="568"/>
        <v>213</v>
      </c>
    </row>
    <row r="7008" spans="1:6" ht="15.75" thickBot="1" x14ac:dyDescent="0.3">
      <c r="A7008" s="84" t="s">
        <v>39</v>
      </c>
      <c r="B7008" s="355">
        <v>44184</v>
      </c>
      <c r="C7008" s="1">
        <v>69</v>
      </c>
      <c r="D7008" s="47">
        <f t="shared" si="567"/>
        <v>18089</v>
      </c>
      <c r="E7008" s="1">
        <v>0</v>
      </c>
      <c r="F7008" s="78">
        <f t="shared" si="568"/>
        <v>244</v>
      </c>
    </row>
    <row r="7009" spans="1:6" ht="15.75" thickBot="1" x14ac:dyDescent="0.3">
      <c r="A7009" s="85" t="s">
        <v>40</v>
      </c>
      <c r="B7009" s="355">
        <v>44184</v>
      </c>
      <c r="C7009" s="1">
        <v>106</v>
      </c>
      <c r="D7009" s="214">
        <f t="shared" si="567"/>
        <v>69601</v>
      </c>
      <c r="E7009" s="1">
        <v>0</v>
      </c>
      <c r="F7009" s="79">
        <f t="shared" si="568"/>
        <v>1322</v>
      </c>
    </row>
    <row r="7010" spans="1:6" ht="15.75" thickBot="1" x14ac:dyDescent="0.3">
      <c r="A7010" s="36" t="s">
        <v>16</v>
      </c>
      <c r="B7010" s="355">
        <v>44185</v>
      </c>
      <c r="C7010" s="1">
        <v>1276</v>
      </c>
      <c r="D7010" s="211">
        <f t="shared" si="567"/>
        <v>652137</v>
      </c>
      <c r="E7010" s="1">
        <v>9</v>
      </c>
      <c r="F7010" s="77">
        <f t="shared" si="568"/>
        <v>21719</v>
      </c>
    </row>
    <row r="7011" spans="1:6" ht="15.75" thickBot="1" x14ac:dyDescent="0.3">
      <c r="A7011" s="84" t="s">
        <v>43</v>
      </c>
      <c r="B7011" s="355">
        <v>44185</v>
      </c>
      <c r="C7011" s="1">
        <v>391</v>
      </c>
      <c r="D7011" s="47">
        <f t="shared" ref="D7011:D7074" si="569">C7011+D6987</f>
        <v>166086</v>
      </c>
      <c r="E7011" s="1">
        <v>7</v>
      </c>
      <c r="F7011" s="78">
        <f t="shared" ref="F7011:F7074" si="570">E7011+F6987</f>
        <v>5389</v>
      </c>
    </row>
    <row r="7012" spans="1:6" ht="15.75" thickBot="1" x14ac:dyDescent="0.3">
      <c r="A7012" s="84" t="s">
        <v>28</v>
      </c>
      <c r="B7012" s="355">
        <v>44185</v>
      </c>
      <c r="C7012" s="1">
        <v>32</v>
      </c>
      <c r="D7012" s="47">
        <f t="shared" si="569"/>
        <v>2336</v>
      </c>
      <c r="E7012" s="1">
        <v>0</v>
      </c>
      <c r="F7012" s="78">
        <f t="shared" si="570"/>
        <v>17</v>
      </c>
    </row>
    <row r="7013" spans="1:6" ht="15.75" thickBot="1" x14ac:dyDescent="0.3">
      <c r="A7013" s="84" t="s">
        <v>15</v>
      </c>
      <c r="B7013" s="355">
        <v>44185</v>
      </c>
      <c r="C7013" s="1">
        <v>137</v>
      </c>
      <c r="D7013" s="47">
        <f t="shared" si="569"/>
        <v>22872</v>
      </c>
      <c r="E7013" s="1">
        <v>4</v>
      </c>
      <c r="F7013" s="78">
        <f t="shared" si="570"/>
        <v>649</v>
      </c>
    </row>
    <row r="7014" spans="1:6" ht="15.75" thickBot="1" x14ac:dyDescent="0.3">
      <c r="A7014" s="84" t="s">
        <v>29</v>
      </c>
      <c r="B7014" s="355">
        <v>44185</v>
      </c>
      <c r="C7014" s="1">
        <v>115</v>
      </c>
      <c r="D7014" s="47">
        <f t="shared" si="569"/>
        <v>28130</v>
      </c>
      <c r="E7014" s="1">
        <v>0</v>
      </c>
      <c r="F7014" s="78">
        <f t="shared" si="570"/>
        <v>484</v>
      </c>
    </row>
    <row r="7015" spans="1:6" ht="15.75" thickBot="1" x14ac:dyDescent="0.3">
      <c r="A7015" s="84" t="s">
        <v>20</v>
      </c>
      <c r="B7015" s="355">
        <v>44185</v>
      </c>
      <c r="C7015" s="1">
        <v>295</v>
      </c>
      <c r="D7015" s="47">
        <f t="shared" si="569"/>
        <v>122533</v>
      </c>
      <c r="E7015" s="1">
        <v>7</v>
      </c>
      <c r="F7015" s="78">
        <f t="shared" si="570"/>
        <v>2392</v>
      </c>
    </row>
    <row r="7016" spans="1:6" ht="15.75" thickBot="1" x14ac:dyDescent="0.3">
      <c r="A7016" s="84" t="s">
        <v>30</v>
      </c>
      <c r="B7016" s="355">
        <v>44185</v>
      </c>
      <c r="C7016" s="1">
        <v>149</v>
      </c>
      <c r="D7016" s="47">
        <f t="shared" si="569"/>
        <v>10449</v>
      </c>
      <c r="E7016" s="1">
        <v>0</v>
      </c>
      <c r="F7016" s="78">
        <f t="shared" si="570"/>
        <v>143</v>
      </c>
    </row>
    <row r="7017" spans="1:6" ht="15.75" thickBot="1" x14ac:dyDescent="0.3">
      <c r="A7017" s="84" t="s">
        <v>31</v>
      </c>
      <c r="B7017" s="355">
        <v>44185</v>
      </c>
      <c r="C7017" s="1">
        <v>157</v>
      </c>
      <c r="D7017" s="47">
        <f t="shared" si="569"/>
        <v>26965</v>
      </c>
      <c r="E7017" s="1">
        <v>0</v>
      </c>
      <c r="F7017" s="78">
        <f t="shared" si="570"/>
        <v>553</v>
      </c>
    </row>
    <row r="7018" spans="1:6" ht="15.75" thickBot="1" x14ac:dyDescent="0.3">
      <c r="A7018" s="84" t="s">
        <v>41</v>
      </c>
      <c r="B7018" s="355">
        <v>44185</v>
      </c>
      <c r="C7018" s="1">
        <v>3</v>
      </c>
      <c r="D7018" s="47">
        <f t="shared" si="569"/>
        <v>204</v>
      </c>
      <c r="E7018" s="1">
        <v>0</v>
      </c>
      <c r="F7018" s="78">
        <f t="shared" si="570"/>
        <v>3</v>
      </c>
    </row>
    <row r="7019" spans="1:6" ht="15.75" thickBot="1" x14ac:dyDescent="0.3">
      <c r="A7019" s="84" t="s">
        <v>32</v>
      </c>
      <c r="B7019" s="355">
        <v>44185</v>
      </c>
      <c r="C7019" s="1">
        <v>0</v>
      </c>
      <c r="D7019" s="47">
        <f t="shared" si="569"/>
        <v>18482</v>
      </c>
      <c r="E7019" s="1">
        <v>0</v>
      </c>
      <c r="F7019" s="78">
        <f t="shared" si="570"/>
        <v>857</v>
      </c>
    </row>
    <row r="7020" spans="1:6" ht="15.75" thickBot="1" x14ac:dyDescent="0.3">
      <c r="A7020" s="84" t="s">
        <v>33</v>
      </c>
      <c r="B7020" s="355">
        <v>44185</v>
      </c>
      <c r="C7020" s="1">
        <v>170</v>
      </c>
      <c r="D7020" s="47">
        <f t="shared" si="569"/>
        <v>8271</v>
      </c>
      <c r="E7020" s="1">
        <v>1</v>
      </c>
      <c r="F7020" s="78">
        <f t="shared" si="570"/>
        <v>106</v>
      </c>
    </row>
    <row r="7021" spans="1:6" ht="15.75" thickBot="1" x14ac:dyDescent="0.3">
      <c r="A7021" s="84" t="s">
        <v>21</v>
      </c>
      <c r="B7021" s="355">
        <v>44185</v>
      </c>
      <c r="C7021" s="1">
        <v>6</v>
      </c>
      <c r="D7021" s="47">
        <f t="shared" si="569"/>
        <v>9000</v>
      </c>
      <c r="E7021" s="1">
        <v>0</v>
      </c>
      <c r="F7021" s="78">
        <f t="shared" si="570"/>
        <v>348</v>
      </c>
    </row>
    <row r="7022" spans="1:6" ht="15.75" thickBot="1" x14ac:dyDescent="0.3">
      <c r="A7022" s="84" t="s">
        <v>17</v>
      </c>
      <c r="B7022" s="355">
        <v>44185</v>
      </c>
      <c r="C7022" s="1">
        <v>21</v>
      </c>
      <c r="D7022" s="47">
        <f t="shared" si="569"/>
        <v>58975</v>
      </c>
      <c r="E7022" s="1">
        <v>0</v>
      </c>
      <c r="F7022" s="78">
        <f t="shared" si="570"/>
        <v>1199</v>
      </c>
    </row>
    <row r="7023" spans="1:6" ht="15.75" thickBot="1" x14ac:dyDescent="0.3">
      <c r="A7023" s="84" t="s">
        <v>23</v>
      </c>
      <c r="B7023" s="355">
        <v>44185</v>
      </c>
      <c r="C7023" s="1">
        <v>13</v>
      </c>
      <c r="D7023" s="47">
        <f t="shared" si="569"/>
        <v>859</v>
      </c>
      <c r="E7023" s="1">
        <v>0</v>
      </c>
      <c r="F7023" s="78">
        <f t="shared" si="570"/>
        <v>11</v>
      </c>
    </row>
    <row r="7024" spans="1:6" ht="15.75" thickBot="1" x14ac:dyDescent="0.3">
      <c r="A7024" s="84" t="s">
        <v>19</v>
      </c>
      <c r="B7024" s="355">
        <v>44185</v>
      </c>
      <c r="C7024" s="1">
        <v>138</v>
      </c>
      <c r="D7024" s="47">
        <f t="shared" si="569"/>
        <v>38048</v>
      </c>
      <c r="E7024" s="1">
        <v>0</v>
      </c>
      <c r="F7024" s="78">
        <f t="shared" si="570"/>
        <v>681</v>
      </c>
    </row>
    <row r="7025" spans="1:6" ht="15.75" thickBot="1" x14ac:dyDescent="0.3">
      <c r="A7025" s="84" t="s">
        <v>18</v>
      </c>
      <c r="B7025" s="355">
        <v>44185</v>
      </c>
      <c r="C7025" s="1">
        <v>137</v>
      </c>
      <c r="D7025" s="47">
        <f t="shared" si="569"/>
        <v>35698</v>
      </c>
      <c r="E7025" s="1">
        <v>0</v>
      </c>
      <c r="F7025" s="78">
        <f t="shared" si="570"/>
        <v>867</v>
      </c>
    </row>
    <row r="7026" spans="1:6" ht="15.75" thickBot="1" x14ac:dyDescent="0.3">
      <c r="A7026" s="84" t="s">
        <v>34</v>
      </c>
      <c r="B7026" s="355">
        <v>44185</v>
      </c>
      <c r="C7026" s="1">
        <v>39</v>
      </c>
      <c r="D7026" s="47">
        <f t="shared" si="569"/>
        <v>21963</v>
      </c>
      <c r="E7026" s="1">
        <v>2</v>
      </c>
      <c r="F7026" s="78">
        <f t="shared" si="570"/>
        <v>1010</v>
      </c>
    </row>
    <row r="7027" spans="1:6" ht="15.75" thickBot="1" x14ac:dyDescent="0.3">
      <c r="A7027" s="84" t="s">
        <v>35</v>
      </c>
      <c r="B7027" s="355">
        <v>44185</v>
      </c>
      <c r="C7027" s="1">
        <v>21</v>
      </c>
      <c r="D7027" s="47">
        <f t="shared" si="569"/>
        <v>10297</v>
      </c>
      <c r="E7027" s="1">
        <v>0</v>
      </c>
      <c r="F7027" s="78">
        <f t="shared" si="570"/>
        <v>196</v>
      </c>
    </row>
    <row r="7028" spans="1:6" ht="15.75" thickBot="1" x14ac:dyDescent="0.3">
      <c r="A7028" s="84" t="s">
        <v>36</v>
      </c>
      <c r="B7028" s="355">
        <v>44185</v>
      </c>
      <c r="C7028" s="1">
        <v>34</v>
      </c>
      <c r="D7028" s="47">
        <f t="shared" si="569"/>
        <v>15896</v>
      </c>
      <c r="E7028" s="1">
        <v>1</v>
      </c>
      <c r="F7028" s="78">
        <f t="shared" si="570"/>
        <v>278</v>
      </c>
    </row>
    <row r="7029" spans="1:6" ht="15.75" thickBot="1" x14ac:dyDescent="0.3">
      <c r="A7029" s="84" t="s">
        <v>37</v>
      </c>
      <c r="B7029" s="355">
        <v>44185</v>
      </c>
      <c r="C7029" s="1">
        <v>157</v>
      </c>
      <c r="D7029" s="47">
        <f t="shared" si="569"/>
        <v>20664</v>
      </c>
      <c r="E7029" s="1">
        <v>2</v>
      </c>
      <c r="F7029" s="78">
        <f t="shared" si="570"/>
        <v>353</v>
      </c>
    </row>
    <row r="7030" spans="1:6" ht="15.75" thickBot="1" x14ac:dyDescent="0.3">
      <c r="A7030" s="84" t="s">
        <v>22</v>
      </c>
      <c r="B7030" s="355">
        <v>44185</v>
      </c>
      <c r="C7030" s="1">
        <v>680</v>
      </c>
      <c r="D7030" s="47">
        <f t="shared" si="569"/>
        <v>166691</v>
      </c>
      <c r="E7030" s="1">
        <v>16</v>
      </c>
      <c r="F7030" s="78">
        <f t="shared" si="570"/>
        <v>2728</v>
      </c>
    </row>
    <row r="7031" spans="1:6" ht="15.75" thickBot="1" x14ac:dyDescent="0.3">
      <c r="A7031" s="84" t="s">
        <v>38</v>
      </c>
      <c r="B7031" s="355">
        <v>44185</v>
      </c>
      <c r="C7031" s="1">
        <v>44</v>
      </c>
      <c r="D7031" s="47">
        <f t="shared" si="569"/>
        <v>16838</v>
      </c>
      <c r="E7031" s="1">
        <v>1</v>
      </c>
      <c r="F7031" s="78">
        <f t="shared" si="570"/>
        <v>214</v>
      </c>
    </row>
    <row r="7032" spans="1:6" ht="15.75" thickBot="1" x14ac:dyDescent="0.3">
      <c r="A7032" s="84" t="s">
        <v>39</v>
      </c>
      <c r="B7032" s="355">
        <v>44185</v>
      </c>
      <c r="C7032" s="1">
        <v>55</v>
      </c>
      <c r="D7032" s="47">
        <f t="shared" si="569"/>
        <v>18144</v>
      </c>
      <c r="E7032" s="1">
        <v>0</v>
      </c>
      <c r="F7032" s="78">
        <f t="shared" si="570"/>
        <v>244</v>
      </c>
    </row>
    <row r="7033" spans="1:6" ht="15.75" thickBot="1" x14ac:dyDescent="0.3">
      <c r="A7033" s="85" t="s">
        <v>40</v>
      </c>
      <c r="B7033" s="355">
        <v>44185</v>
      </c>
      <c r="C7033" s="1">
        <v>46</v>
      </c>
      <c r="D7033" s="214">
        <f t="shared" si="569"/>
        <v>69647</v>
      </c>
      <c r="E7033" s="1">
        <v>0</v>
      </c>
      <c r="F7033" s="79">
        <f t="shared" si="570"/>
        <v>1322</v>
      </c>
    </row>
    <row r="7034" spans="1:6" ht="15.75" thickBot="1" x14ac:dyDescent="0.3">
      <c r="A7034" s="36" t="s">
        <v>16</v>
      </c>
      <c r="B7034" s="355">
        <v>44186</v>
      </c>
      <c r="C7034" s="1">
        <v>2049</v>
      </c>
      <c r="D7034" s="211">
        <f t="shared" si="569"/>
        <v>654186</v>
      </c>
      <c r="E7034" s="1">
        <v>48</v>
      </c>
      <c r="F7034" s="77">
        <f t="shared" si="570"/>
        <v>21767</v>
      </c>
    </row>
    <row r="7035" spans="1:6" ht="15.75" thickBot="1" x14ac:dyDescent="0.3">
      <c r="A7035" s="84" t="s">
        <v>43</v>
      </c>
      <c r="B7035" s="355">
        <v>44186</v>
      </c>
      <c r="C7035" s="1">
        <v>490</v>
      </c>
      <c r="D7035" s="47">
        <f t="shared" si="569"/>
        <v>166576</v>
      </c>
      <c r="E7035" s="1">
        <v>21</v>
      </c>
      <c r="F7035" s="78">
        <f t="shared" si="570"/>
        <v>5410</v>
      </c>
    </row>
    <row r="7036" spans="1:6" ht="15.75" thickBot="1" x14ac:dyDescent="0.3">
      <c r="A7036" s="84" t="s">
        <v>28</v>
      </c>
      <c r="B7036" s="355">
        <v>44186</v>
      </c>
      <c r="C7036" s="1">
        <v>26</v>
      </c>
      <c r="D7036" s="47">
        <f t="shared" si="569"/>
        <v>2362</v>
      </c>
      <c r="E7036" s="1">
        <v>0</v>
      </c>
      <c r="F7036" s="78">
        <f t="shared" si="570"/>
        <v>17</v>
      </c>
    </row>
    <row r="7037" spans="1:6" ht="15.75" thickBot="1" x14ac:dyDescent="0.3">
      <c r="A7037" s="84" t="s">
        <v>15</v>
      </c>
      <c r="B7037" s="355">
        <v>44186</v>
      </c>
      <c r="C7037" s="1">
        <v>149</v>
      </c>
      <c r="D7037" s="47">
        <f t="shared" si="569"/>
        <v>23021</v>
      </c>
      <c r="E7037" s="1">
        <v>7</v>
      </c>
      <c r="F7037" s="78">
        <f t="shared" si="570"/>
        <v>656</v>
      </c>
    </row>
    <row r="7038" spans="1:6" ht="15.75" thickBot="1" x14ac:dyDescent="0.3">
      <c r="A7038" s="84" t="s">
        <v>29</v>
      </c>
      <c r="B7038" s="355">
        <v>44186</v>
      </c>
      <c r="C7038" s="1">
        <v>366</v>
      </c>
      <c r="D7038" s="47">
        <f t="shared" si="569"/>
        <v>28496</v>
      </c>
      <c r="E7038" s="1">
        <v>1</v>
      </c>
      <c r="F7038" s="78">
        <f t="shared" si="570"/>
        <v>485</v>
      </c>
    </row>
    <row r="7039" spans="1:6" ht="15.75" thickBot="1" x14ac:dyDescent="0.3">
      <c r="A7039" s="84" t="s">
        <v>20</v>
      </c>
      <c r="B7039" s="355">
        <v>44186</v>
      </c>
      <c r="C7039" s="1">
        <v>183</v>
      </c>
      <c r="D7039" s="47">
        <v>122816</v>
      </c>
      <c r="E7039" s="1">
        <v>16</v>
      </c>
      <c r="F7039" s="78">
        <f t="shared" si="570"/>
        <v>2408</v>
      </c>
    </row>
    <row r="7040" spans="1:6" ht="15.75" thickBot="1" x14ac:dyDescent="0.3">
      <c r="A7040" s="84" t="s">
        <v>30</v>
      </c>
      <c r="B7040" s="355">
        <v>44186</v>
      </c>
      <c r="C7040" s="1">
        <v>262</v>
      </c>
      <c r="D7040" s="47">
        <f t="shared" si="569"/>
        <v>10711</v>
      </c>
      <c r="E7040" s="1">
        <v>4</v>
      </c>
      <c r="F7040" s="78">
        <f t="shared" si="570"/>
        <v>147</v>
      </c>
    </row>
    <row r="7041" spans="1:6" ht="15.75" thickBot="1" x14ac:dyDescent="0.3">
      <c r="A7041" s="84" t="s">
        <v>31</v>
      </c>
      <c r="B7041" s="355">
        <v>44186</v>
      </c>
      <c r="C7041" s="1">
        <v>38</v>
      </c>
      <c r="D7041" s="47">
        <f t="shared" si="569"/>
        <v>27003</v>
      </c>
      <c r="E7041" s="1">
        <v>7</v>
      </c>
      <c r="F7041" s="78">
        <f t="shared" si="570"/>
        <v>560</v>
      </c>
    </row>
    <row r="7042" spans="1:6" ht="15.75" thickBot="1" x14ac:dyDescent="0.3">
      <c r="A7042" s="84" t="s">
        <v>41</v>
      </c>
      <c r="B7042" s="355">
        <v>44186</v>
      </c>
      <c r="C7042" s="1">
        <v>-1</v>
      </c>
      <c r="D7042" s="47">
        <f t="shared" si="569"/>
        <v>203</v>
      </c>
      <c r="E7042" s="1">
        <v>0</v>
      </c>
      <c r="F7042" s="78">
        <f t="shared" si="570"/>
        <v>3</v>
      </c>
    </row>
    <row r="7043" spans="1:6" ht="15.75" thickBot="1" x14ac:dyDescent="0.3">
      <c r="A7043" s="84" t="s">
        <v>32</v>
      </c>
      <c r="B7043" s="355">
        <v>44186</v>
      </c>
      <c r="C7043" s="1">
        <v>0</v>
      </c>
      <c r="D7043" s="47">
        <f t="shared" si="569"/>
        <v>18482</v>
      </c>
      <c r="E7043" s="1">
        <v>0</v>
      </c>
      <c r="F7043" s="78">
        <f t="shared" si="570"/>
        <v>857</v>
      </c>
    </row>
    <row r="7044" spans="1:6" ht="15.75" thickBot="1" x14ac:dyDescent="0.3">
      <c r="A7044" s="84" t="s">
        <v>33</v>
      </c>
      <c r="B7044" s="355">
        <v>44186</v>
      </c>
      <c r="C7044" s="1">
        <v>161</v>
      </c>
      <c r="D7044" s="47">
        <f t="shared" si="569"/>
        <v>8432</v>
      </c>
      <c r="E7044" s="1">
        <v>10</v>
      </c>
      <c r="F7044" s="78">
        <f t="shared" si="570"/>
        <v>116</v>
      </c>
    </row>
    <row r="7045" spans="1:6" ht="15.75" thickBot="1" x14ac:dyDescent="0.3">
      <c r="A7045" s="84" t="s">
        <v>21</v>
      </c>
      <c r="B7045" s="355">
        <v>44186</v>
      </c>
      <c r="C7045" s="1">
        <v>14</v>
      </c>
      <c r="D7045" s="47">
        <f t="shared" si="569"/>
        <v>9014</v>
      </c>
      <c r="E7045" s="1">
        <v>10</v>
      </c>
      <c r="F7045" s="78">
        <f t="shared" si="570"/>
        <v>358</v>
      </c>
    </row>
    <row r="7046" spans="1:6" ht="15.75" thickBot="1" x14ac:dyDescent="0.3">
      <c r="A7046" s="84" t="s">
        <v>17</v>
      </c>
      <c r="B7046" s="355">
        <v>44186</v>
      </c>
      <c r="C7046" s="1">
        <v>76</v>
      </c>
      <c r="D7046" s="47">
        <f t="shared" si="569"/>
        <v>59051</v>
      </c>
      <c r="E7046" s="1">
        <v>0</v>
      </c>
      <c r="F7046" s="78">
        <f t="shared" si="570"/>
        <v>1199</v>
      </c>
    </row>
    <row r="7047" spans="1:6" ht="15.75" thickBot="1" x14ac:dyDescent="0.3">
      <c r="A7047" s="84" t="s">
        <v>23</v>
      </c>
      <c r="B7047" s="355">
        <v>44186</v>
      </c>
      <c r="C7047" s="1">
        <v>5</v>
      </c>
      <c r="D7047" s="47">
        <f t="shared" si="569"/>
        <v>864</v>
      </c>
      <c r="E7047" s="1">
        <v>0</v>
      </c>
      <c r="F7047" s="78">
        <f t="shared" si="570"/>
        <v>11</v>
      </c>
    </row>
    <row r="7048" spans="1:6" ht="15.75" thickBot="1" x14ac:dyDescent="0.3">
      <c r="A7048" s="84" t="s">
        <v>19</v>
      </c>
      <c r="B7048" s="355">
        <v>44186</v>
      </c>
      <c r="C7048" s="1">
        <v>268</v>
      </c>
      <c r="D7048" s="47">
        <f t="shared" si="569"/>
        <v>38316</v>
      </c>
      <c r="E7048" s="1">
        <v>0</v>
      </c>
      <c r="F7048" s="78">
        <f t="shared" si="570"/>
        <v>681</v>
      </c>
    </row>
    <row r="7049" spans="1:6" ht="15.75" thickBot="1" x14ac:dyDescent="0.3">
      <c r="A7049" s="84" t="s">
        <v>18</v>
      </c>
      <c r="B7049" s="355">
        <v>44186</v>
      </c>
      <c r="C7049" s="1">
        <v>199</v>
      </c>
      <c r="D7049" s="47">
        <f t="shared" si="569"/>
        <v>35897</v>
      </c>
      <c r="E7049" s="1">
        <v>4</v>
      </c>
      <c r="F7049" s="78">
        <f t="shared" si="570"/>
        <v>871</v>
      </c>
    </row>
    <row r="7050" spans="1:6" ht="15.75" thickBot="1" x14ac:dyDescent="0.3">
      <c r="A7050" s="84" t="s">
        <v>34</v>
      </c>
      <c r="B7050" s="355">
        <v>44186</v>
      </c>
      <c r="C7050" s="1">
        <v>8</v>
      </c>
      <c r="D7050" s="47">
        <f t="shared" si="569"/>
        <v>21971</v>
      </c>
      <c r="E7050" s="1">
        <v>2</v>
      </c>
      <c r="F7050" s="78">
        <f t="shared" si="570"/>
        <v>1012</v>
      </c>
    </row>
    <row r="7051" spans="1:6" ht="15.75" thickBot="1" x14ac:dyDescent="0.3">
      <c r="A7051" s="84" t="s">
        <v>35</v>
      </c>
      <c r="B7051" s="355">
        <v>44186</v>
      </c>
      <c r="C7051" s="1">
        <v>215</v>
      </c>
      <c r="D7051" s="47">
        <f t="shared" si="569"/>
        <v>10512</v>
      </c>
      <c r="E7051" s="1">
        <v>0</v>
      </c>
      <c r="F7051" s="78">
        <f t="shared" si="570"/>
        <v>196</v>
      </c>
    </row>
    <row r="7052" spans="1:6" ht="15.75" thickBot="1" x14ac:dyDescent="0.3">
      <c r="A7052" s="84" t="s">
        <v>36</v>
      </c>
      <c r="B7052" s="355">
        <v>44186</v>
      </c>
      <c r="C7052" s="1">
        <v>32</v>
      </c>
      <c r="D7052" s="47">
        <f t="shared" si="569"/>
        <v>15928</v>
      </c>
      <c r="E7052" s="1">
        <v>9</v>
      </c>
      <c r="F7052" s="78">
        <f t="shared" si="570"/>
        <v>287</v>
      </c>
    </row>
    <row r="7053" spans="1:6" ht="15.75" thickBot="1" x14ac:dyDescent="0.3">
      <c r="A7053" s="84" t="s">
        <v>37</v>
      </c>
      <c r="B7053" s="355">
        <v>44186</v>
      </c>
      <c r="C7053" s="1">
        <v>179</v>
      </c>
      <c r="D7053" s="47">
        <f t="shared" si="569"/>
        <v>20843</v>
      </c>
      <c r="E7053" s="1">
        <v>3</v>
      </c>
      <c r="F7053" s="78">
        <f t="shared" si="570"/>
        <v>356</v>
      </c>
    </row>
    <row r="7054" spans="1:6" ht="15.75" thickBot="1" x14ac:dyDescent="0.3">
      <c r="A7054" s="84" t="s">
        <v>22</v>
      </c>
      <c r="B7054" s="355">
        <v>44186</v>
      </c>
      <c r="C7054" s="1">
        <v>801</v>
      </c>
      <c r="D7054" s="47">
        <f t="shared" si="569"/>
        <v>167492</v>
      </c>
      <c r="E7054" s="1">
        <v>24</v>
      </c>
      <c r="F7054" s="78">
        <f t="shared" si="570"/>
        <v>2752</v>
      </c>
    </row>
    <row r="7055" spans="1:6" ht="15.75" thickBot="1" x14ac:dyDescent="0.3">
      <c r="A7055" s="84" t="s">
        <v>38</v>
      </c>
      <c r="B7055" s="355">
        <v>44186</v>
      </c>
      <c r="C7055" s="1">
        <v>38</v>
      </c>
      <c r="D7055" s="47">
        <f t="shared" si="569"/>
        <v>16876</v>
      </c>
      <c r="E7055" s="1">
        <v>0</v>
      </c>
      <c r="F7055" s="78">
        <f t="shared" si="570"/>
        <v>214</v>
      </c>
    </row>
    <row r="7056" spans="1:6" ht="15.75" thickBot="1" x14ac:dyDescent="0.3">
      <c r="A7056" s="84" t="s">
        <v>39</v>
      </c>
      <c r="B7056" s="355">
        <v>44186</v>
      </c>
      <c r="C7056" s="1">
        <v>59</v>
      </c>
      <c r="D7056" s="47">
        <f t="shared" si="569"/>
        <v>18203</v>
      </c>
      <c r="E7056" s="1">
        <v>2</v>
      </c>
      <c r="F7056" s="78">
        <f t="shared" si="570"/>
        <v>246</v>
      </c>
    </row>
    <row r="7057" spans="1:6" ht="15.75" thickBot="1" x14ac:dyDescent="0.3">
      <c r="A7057" s="86" t="s">
        <v>40</v>
      </c>
      <c r="B7057" s="42">
        <v>44186</v>
      </c>
      <c r="C7057" s="300">
        <v>236</v>
      </c>
      <c r="D7057" s="81">
        <f t="shared" si="569"/>
        <v>69883</v>
      </c>
      <c r="E7057" s="300">
        <v>6</v>
      </c>
      <c r="F7057" s="83">
        <f t="shared" si="570"/>
        <v>1328</v>
      </c>
    </row>
    <row r="7058" spans="1:6" x14ac:dyDescent="0.25">
      <c r="A7058" s="36" t="s">
        <v>16</v>
      </c>
      <c r="B7058" s="354">
        <v>44187</v>
      </c>
      <c r="C7058" s="53">
        <v>3019</v>
      </c>
      <c r="D7058" s="211">
        <f t="shared" si="569"/>
        <v>657205</v>
      </c>
      <c r="E7058" s="53">
        <v>151</v>
      </c>
      <c r="F7058" s="77">
        <f t="shared" si="570"/>
        <v>21918</v>
      </c>
    </row>
    <row r="7059" spans="1:6" x14ac:dyDescent="0.25">
      <c r="A7059" s="84" t="s">
        <v>43</v>
      </c>
      <c r="B7059" s="2">
        <v>44187</v>
      </c>
      <c r="C7059" s="1">
        <v>712</v>
      </c>
      <c r="D7059" s="47">
        <f t="shared" si="569"/>
        <v>167288</v>
      </c>
      <c r="E7059" s="1">
        <v>17</v>
      </c>
      <c r="F7059" s="78">
        <f t="shared" si="570"/>
        <v>5427</v>
      </c>
    </row>
    <row r="7060" spans="1:6" x14ac:dyDescent="0.25">
      <c r="A7060" s="84" t="s">
        <v>28</v>
      </c>
      <c r="B7060" s="2">
        <v>44187</v>
      </c>
      <c r="C7060" s="1">
        <v>37</v>
      </c>
      <c r="D7060" s="47">
        <f t="shared" si="569"/>
        <v>2399</v>
      </c>
      <c r="E7060" s="1">
        <v>0</v>
      </c>
      <c r="F7060" s="78">
        <f t="shared" si="570"/>
        <v>17</v>
      </c>
    </row>
    <row r="7061" spans="1:6" x14ac:dyDescent="0.25">
      <c r="A7061" s="84" t="s">
        <v>15</v>
      </c>
      <c r="B7061" s="2">
        <v>44187</v>
      </c>
      <c r="C7061" s="1">
        <v>191</v>
      </c>
      <c r="D7061" s="47">
        <f t="shared" si="569"/>
        <v>23212</v>
      </c>
      <c r="E7061" s="1">
        <v>0</v>
      </c>
      <c r="F7061" s="78">
        <f t="shared" si="570"/>
        <v>656</v>
      </c>
    </row>
    <row r="7062" spans="1:6" x14ac:dyDescent="0.25">
      <c r="A7062" s="84" t="s">
        <v>29</v>
      </c>
      <c r="B7062" s="2">
        <v>44187</v>
      </c>
      <c r="C7062" s="1">
        <v>409</v>
      </c>
      <c r="D7062" s="47">
        <f t="shared" si="569"/>
        <v>28905</v>
      </c>
      <c r="E7062" s="1">
        <v>1</v>
      </c>
      <c r="F7062" s="78">
        <f t="shared" si="570"/>
        <v>486</v>
      </c>
    </row>
    <row r="7063" spans="1:6" x14ac:dyDescent="0.25">
      <c r="A7063" s="84" t="s">
        <v>20</v>
      </c>
      <c r="B7063" s="2">
        <v>44187</v>
      </c>
      <c r="C7063" s="1">
        <v>494</v>
      </c>
      <c r="D7063" s="47">
        <f t="shared" si="569"/>
        <v>123310</v>
      </c>
      <c r="E7063" s="1">
        <v>10</v>
      </c>
      <c r="F7063" s="78">
        <f t="shared" si="570"/>
        <v>2418</v>
      </c>
    </row>
    <row r="7064" spans="1:6" x14ac:dyDescent="0.25">
      <c r="A7064" s="84" t="s">
        <v>30</v>
      </c>
      <c r="B7064" s="2">
        <v>44187</v>
      </c>
      <c r="C7064" s="1">
        <v>143</v>
      </c>
      <c r="D7064" s="47">
        <f t="shared" si="569"/>
        <v>10854</v>
      </c>
      <c r="E7064" s="1">
        <v>3</v>
      </c>
      <c r="F7064" s="78">
        <f t="shared" si="570"/>
        <v>150</v>
      </c>
    </row>
    <row r="7065" spans="1:6" x14ac:dyDescent="0.25">
      <c r="A7065" s="84" t="s">
        <v>31</v>
      </c>
      <c r="B7065" s="2">
        <v>44187</v>
      </c>
      <c r="C7065" s="1">
        <v>140</v>
      </c>
      <c r="D7065" s="47">
        <f t="shared" si="569"/>
        <v>27143</v>
      </c>
      <c r="E7065" s="1">
        <v>7</v>
      </c>
      <c r="F7065" s="78">
        <f t="shared" si="570"/>
        <v>567</v>
      </c>
    </row>
    <row r="7066" spans="1:6" x14ac:dyDescent="0.25">
      <c r="A7066" s="84" t="s">
        <v>41</v>
      </c>
      <c r="B7066" s="2">
        <v>44187</v>
      </c>
      <c r="C7066" s="1">
        <v>7</v>
      </c>
      <c r="D7066" s="47">
        <f t="shared" si="569"/>
        <v>210</v>
      </c>
      <c r="E7066" s="1">
        <v>0</v>
      </c>
      <c r="F7066" s="78">
        <f t="shared" si="570"/>
        <v>3</v>
      </c>
    </row>
    <row r="7067" spans="1:6" x14ac:dyDescent="0.25">
      <c r="A7067" s="84" t="s">
        <v>32</v>
      </c>
      <c r="B7067" s="2">
        <v>44187</v>
      </c>
      <c r="C7067" s="1">
        <v>3</v>
      </c>
      <c r="D7067" s="47">
        <f t="shared" si="569"/>
        <v>18485</v>
      </c>
      <c r="E7067" s="1">
        <v>0</v>
      </c>
      <c r="F7067" s="78">
        <f t="shared" si="570"/>
        <v>857</v>
      </c>
    </row>
    <row r="7068" spans="1:6" x14ac:dyDescent="0.25">
      <c r="A7068" s="84" t="s">
        <v>33</v>
      </c>
      <c r="B7068" s="2">
        <v>44187</v>
      </c>
      <c r="C7068" s="1">
        <v>247</v>
      </c>
      <c r="D7068" s="47">
        <f t="shared" si="569"/>
        <v>8679</v>
      </c>
      <c r="E7068" s="1">
        <v>0</v>
      </c>
      <c r="F7068" s="78">
        <f t="shared" si="570"/>
        <v>116</v>
      </c>
    </row>
    <row r="7069" spans="1:6" x14ac:dyDescent="0.25">
      <c r="A7069" s="84" t="s">
        <v>21</v>
      </c>
      <c r="B7069" s="2">
        <v>44187</v>
      </c>
      <c r="C7069" s="1">
        <v>9</v>
      </c>
      <c r="D7069" s="47">
        <f t="shared" si="569"/>
        <v>9023</v>
      </c>
      <c r="E7069" s="1">
        <v>3</v>
      </c>
      <c r="F7069" s="78">
        <f t="shared" si="570"/>
        <v>361</v>
      </c>
    </row>
    <row r="7070" spans="1:6" x14ac:dyDescent="0.25">
      <c r="A7070" s="84" t="s">
        <v>17</v>
      </c>
      <c r="B7070" s="2">
        <v>44187</v>
      </c>
      <c r="C7070" s="1">
        <v>138</v>
      </c>
      <c r="D7070" s="47">
        <f t="shared" si="569"/>
        <v>59189</v>
      </c>
      <c r="E7070" s="1">
        <v>17</v>
      </c>
      <c r="F7070" s="78">
        <f t="shared" si="570"/>
        <v>1216</v>
      </c>
    </row>
    <row r="7071" spans="1:6" x14ac:dyDescent="0.25">
      <c r="A7071" s="84" t="s">
        <v>23</v>
      </c>
      <c r="B7071" s="2">
        <v>44187</v>
      </c>
      <c r="C7071" s="1">
        <v>24</v>
      </c>
      <c r="D7071" s="47">
        <f t="shared" si="569"/>
        <v>888</v>
      </c>
      <c r="E7071" s="1">
        <v>0</v>
      </c>
      <c r="F7071" s="78">
        <f t="shared" si="570"/>
        <v>11</v>
      </c>
    </row>
    <row r="7072" spans="1:6" x14ac:dyDescent="0.25">
      <c r="A7072" s="84" t="s">
        <v>19</v>
      </c>
      <c r="B7072" s="2">
        <v>44187</v>
      </c>
      <c r="C7072" s="1">
        <v>327</v>
      </c>
      <c r="D7072" s="47">
        <f t="shared" si="569"/>
        <v>38643</v>
      </c>
      <c r="E7072" s="1">
        <v>0</v>
      </c>
      <c r="F7072" s="78">
        <f t="shared" si="570"/>
        <v>681</v>
      </c>
    </row>
    <row r="7073" spans="1:6" x14ac:dyDescent="0.25">
      <c r="A7073" s="84" t="s">
        <v>18</v>
      </c>
      <c r="B7073" s="2">
        <v>44187</v>
      </c>
      <c r="C7073" s="1">
        <v>396</v>
      </c>
      <c r="D7073" s="47">
        <f t="shared" si="569"/>
        <v>36293</v>
      </c>
      <c r="E7073" s="1">
        <v>4</v>
      </c>
      <c r="F7073" s="78">
        <f t="shared" si="570"/>
        <v>875</v>
      </c>
    </row>
    <row r="7074" spans="1:6" x14ac:dyDescent="0.25">
      <c r="A7074" s="84" t="s">
        <v>34</v>
      </c>
      <c r="B7074" s="2">
        <v>44187</v>
      </c>
      <c r="C7074" s="1">
        <v>45</v>
      </c>
      <c r="D7074" s="47">
        <f t="shared" si="569"/>
        <v>22016</v>
      </c>
      <c r="E7074" s="1">
        <v>0</v>
      </c>
      <c r="F7074" s="78">
        <f t="shared" si="570"/>
        <v>1012</v>
      </c>
    </row>
    <row r="7075" spans="1:6" x14ac:dyDescent="0.25">
      <c r="A7075" s="84" t="s">
        <v>35</v>
      </c>
      <c r="B7075" s="2">
        <v>44187</v>
      </c>
      <c r="C7075" s="1">
        <v>153</v>
      </c>
      <c r="D7075" s="47">
        <f t="shared" ref="D7075:D7138" si="571">C7075+D7051</f>
        <v>10665</v>
      </c>
      <c r="E7075" s="1">
        <v>0</v>
      </c>
      <c r="F7075" s="78">
        <f t="shared" ref="F7075:F7138" si="572">E7075+F7051</f>
        <v>196</v>
      </c>
    </row>
    <row r="7076" spans="1:6" x14ac:dyDescent="0.25">
      <c r="A7076" s="84" t="s">
        <v>36</v>
      </c>
      <c r="B7076" s="2">
        <v>44187</v>
      </c>
      <c r="C7076" s="1">
        <v>13</v>
      </c>
      <c r="D7076" s="47">
        <f t="shared" si="571"/>
        <v>15941</v>
      </c>
      <c r="E7076" s="1">
        <v>0</v>
      </c>
      <c r="F7076" s="78">
        <f t="shared" si="572"/>
        <v>287</v>
      </c>
    </row>
    <row r="7077" spans="1:6" x14ac:dyDescent="0.25">
      <c r="A7077" s="84" t="s">
        <v>37</v>
      </c>
      <c r="B7077" s="2">
        <v>44187</v>
      </c>
      <c r="C7077" s="1">
        <v>312</v>
      </c>
      <c r="D7077" s="47">
        <f t="shared" si="571"/>
        <v>21155</v>
      </c>
      <c r="E7077" s="1">
        <v>1</v>
      </c>
      <c r="F7077" s="78">
        <f t="shared" si="572"/>
        <v>357</v>
      </c>
    </row>
    <row r="7078" spans="1:6" x14ac:dyDescent="0.25">
      <c r="A7078" s="84" t="s">
        <v>22</v>
      </c>
      <c r="B7078" s="2">
        <v>44187</v>
      </c>
      <c r="C7078" s="1">
        <v>1180</v>
      </c>
      <c r="D7078" s="47">
        <f t="shared" si="571"/>
        <v>168672</v>
      </c>
      <c r="E7078" s="1">
        <v>37</v>
      </c>
      <c r="F7078" s="78">
        <f t="shared" si="572"/>
        <v>2789</v>
      </c>
    </row>
    <row r="7079" spans="1:6" x14ac:dyDescent="0.25">
      <c r="A7079" s="84" t="s">
        <v>38</v>
      </c>
      <c r="B7079" s="2">
        <v>44187</v>
      </c>
      <c r="C7079" s="1">
        <v>-43</v>
      </c>
      <c r="D7079" s="47">
        <f t="shared" si="571"/>
        <v>16833</v>
      </c>
      <c r="E7079" s="1">
        <v>0</v>
      </c>
      <c r="F7079" s="78">
        <f t="shared" si="572"/>
        <v>214</v>
      </c>
    </row>
    <row r="7080" spans="1:6" x14ac:dyDescent="0.25">
      <c r="A7080" s="84" t="s">
        <v>39</v>
      </c>
      <c r="B7080" s="2">
        <v>44187</v>
      </c>
      <c r="C7080" s="1">
        <v>51</v>
      </c>
      <c r="D7080" s="47">
        <f t="shared" si="571"/>
        <v>18254</v>
      </c>
      <c r="E7080" s="1">
        <v>0</v>
      </c>
      <c r="F7080" s="78">
        <f t="shared" si="572"/>
        <v>246</v>
      </c>
    </row>
    <row r="7081" spans="1:6" ht="15.75" thickBot="1" x14ac:dyDescent="0.3">
      <c r="A7081" s="86" t="s">
        <v>40</v>
      </c>
      <c r="B7081" s="42">
        <v>44187</v>
      </c>
      <c r="C7081" s="300">
        <v>134</v>
      </c>
      <c r="D7081" s="81">
        <f t="shared" si="571"/>
        <v>70017</v>
      </c>
      <c r="E7081" s="300">
        <v>5</v>
      </c>
      <c r="F7081" s="83">
        <f t="shared" si="572"/>
        <v>1333</v>
      </c>
    </row>
    <row r="7082" spans="1:6" x14ac:dyDescent="0.25">
      <c r="A7082" s="36" t="s">
        <v>16</v>
      </c>
      <c r="B7082" s="354">
        <v>44188</v>
      </c>
      <c r="C7082" s="53">
        <v>3467</v>
      </c>
      <c r="D7082" s="211">
        <f t="shared" si="571"/>
        <v>660672</v>
      </c>
      <c r="E7082" s="53">
        <v>12</v>
      </c>
      <c r="F7082" s="77">
        <f t="shared" si="572"/>
        <v>21930</v>
      </c>
    </row>
    <row r="7083" spans="1:6" x14ac:dyDescent="0.25">
      <c r="A7083" s="84" t="s">
        <v>43</v>
      </c>
      <c r="B7083" s="2">
        <v>44188</v>
      </c>
      <c r="C7083" s="1">
        <v>690</v>
      </c>
      <c r="D7083" s="47">
        <f t="shared" si="571"/>
        <v>167978</v>
      </c>
      <c r="E7083" s="1">
        <v>4</v>
      </c>
      <c r="F7083" s="78">
        <f t="shared" si="572"/>
        <v>5431</v>
      </c>
    </row>
    <row r="7084" spans="1:6" x14ac:dyDescent="0.25">
      <c r="A7084" s="84" t="s">
        <v>28</v>
      </c>
      <c r="B7084" s="2">
        <v>44188</v>
      </c>
      <c r="C7084" s="1">
        <v>18</v>
      </c>
      <c r="D7084" s="47">
        <f t="shared" si="571"/>
        <v>2417</v>
      </c>
      <c r="E7084" s="1">
        <v>0</v>
      </c>
      <c r="F7084" s="78">
        <f t="shared" si="572"/>
        <v>17</v>
      </c>
    </row>
    <row r="7085" spans="1:6" x14ac:dyDescent="0.25">
      <c r="A7085" s="84" t="s">
        <v>15</v>
      </c>
      <c r="B7085" s="2">
        <v>44188</v>
      </c>
      <c r="C7085" s="1">
        <v>236</v>
      </c>
      <c r="D7085" s="47">
        <f t="shared" si="571"/>
        <v>23448</v>
      </c>
      <c r="E7085" s="1">
        <v>3</v>
      </c>
      <c r="F7085" s="78">
        <f t="shared" si="572"/>
        <v>659</v>
      </c>
    </row>
    <row r="7086" spans="1:6" x14ac:dyDescent="0.25">
      <c r="A7086" s="84" t="s">
        <v>29</v>
      </c>
      <c r="B7086" s="2">
        <v>44188</v>
      </c>
      <c r="C7086" s="1">
        <v>308</v>
      </c>
      <c r="D7086" s="47">
        <f t="shared" si="571"/>
        <v>29213</v>
      </c>
      <c r="E7086" s="1">
        <v>0</v>
      </c>
      <c r="F7086" s="78">
        <f t="shared" si="572"/>
        <v>486</v>
      </c>
    </row>
    <row r="7087" spans="1:6" x14ac:dyDescent="0.25">
      <c r="A7087" s="84" t="s">
        <v>20</v>
      </c>
      <c r="B7087" s="2">
        <v>44188</v>
      </c>
      <c r="C7087" s="1">
        <v>575</v>
      </c>
      <c r="D7087" s="47">
        <f t="shared" si="571"/>
        <v>123885</v>
      </c>
      <c r="E7087" s="1">
        <v>12</v>
      </c>
      <c r="F7087" s="78">
        <f t="shared" si="572"/>
        <v>2430</v>
      </c>
    </row>
    <row r="7088" spans="1:6" x14ac:dyDescent="0.25">
      <c r="A7088" s="84" t="s">
        <v>30</v>
      </c>
      <c r="B7088" s="2">
        <v>44188</v>
      </c>
      <c r="C7088" s="1">
        <v>179</v>
      </c>
      <c r="D7088" s="47">
        <f t="shared" si="571"/>
        <v>11033</v>
      </c>
      <c r="E7088" s="1">
        <v>2</v>
      </c>
      <c r="F7088" s="78">
        <f t="shared" si="572"/>
        <v>152</v>
      </c>
    </row>
    <row r="7089" spans="1:6" x14ac:dyDescent="0.25">
      <c r="A7089" s="84" t="s">
        <v>31</v>
      </c>
      <c r="B7089" s="2">
        <v>44188</v>
      </c>
      <c r="C7089" s="1">
        <v>278</v>
      </c>
      <c r="D7089" s="47">
        <f t="shared" si="571"/>
        <v>27421</v>
      </c>
      <c r="E7089" s="1">
        <v>2</v>
      </c>
      <c r="F7089" s="78">
        <f t="shared" si="572"/>
        <v>569</v>
      </c>
    </row>
    <row r="7090" spans="1:6" x14ac:dyDescent="0.25">
      <c r="A7090" s="84" t="s">
        <v>41</v>
      </c>
      <c r="B7090" s="2">
        <v>44188</v>
      </c>
      <c r="C7090" s="1">
        <v>2</v>
      </c>
      <c r="D7090" s="47">
        <f t="shared" si="571"/>
        <v>212</v>
      </c>
      <c r="E7090" s="1">
        <v>0</v>
      </c>
      <c r="F7090" s="78">
        <f t="shared" si="572"/>
        <v>3</v>
      </c>
    </row>
    <row r="7091" spans="1:6" x14ac:dyDescent="0.25">
      <c r="A7091" s="84" t="s">
        <v>32</v>
      </c>
      <c r="B7091" s="2">
        <v>44188</v>
      </c>
      <c r="C7091" s="1">
        <v>6</v>
      </c>
      <c r="D7091" s="47">
        <f t="shared" si="571"/>
        <v>18491</v>
      </c>
      <c r="E7091" s="1">
        <v>0</v>
      </c>
      <c r="F7091" s="78">
        <f t="shared" si="572"/>
        <v>857</v>
      </c>
    </row>
    <row r="7092" spans="1:6" x14ac:dyDescent="0.25">
      <c r="A7092" s="84" t="s">
        <v>33</v>
      </c>
      <c r="B7092" s="2">
        <v>44188</v>
      </c>
      <c r="C7092" s="1">
        <v>240</v>
      </c>
      <c r="D7092" s="47">
        <f t="shared" si="571"/>
        <v>8919</v>
      </c>
      <c r="E7092" s="1">
        <v>0</v>
      </c>
      <c r="F7092" s="78">
        <f t="shared" si="572"/>
        <v>116</v>
      </c>
    </row>
    <row r="7093" spans="1:6" x14ac:dyDescent="0.25">
      <c r="A7093" s="84" t="s">
        <v>21</v>
      </c>
      <c r="B7093" s="2">
        <v>44188</v>
      </c>
      <c r="C7093" s="1">
        <v>17</v>
      </c>
      <c r="D7093" s="47">
        <f t="shared" si="571"/>
        <v>9040</v>
      </c>
      <c r="E7093" s="1">
        <v>0</v>
      </c>
      <c r="F7093" s="78">
        <f t="shared" si="572"/>
        <v>361</v>
      </c>
    </row>
    <row r="7094" spans="1:6" x14ac:dyDescent="0.25">
      <c r="A7094" s="84" t="s">
        <v>17</v>
      </c>
      <c r="B7094" s="2">
        <v>44188</v>
      </c>
      <c r="C7094" s="1">
        <v>183</v>
      </c>
      <c r="D7094" s="47">
        <f t="shared" si="571"/>
        <v>59372</v>
      </c>
      <c r="E7094" s="1">
        <v>2</v>
      </c>
      <c r="F7094" s="78">
        <f t="shared" si="572"/>
        <v>1218</v>
      </c>
    </row>
    <row r="7095" spans="1:6" x14ac:dyDescent="0.25">
      <c r="A7095" s="84" t="s">
        <v>23</v>
      </c>
      <c r="B7095" s="2">
        <v>44188</v>
      </c>
      <c r="C7095" s="1">
        <v>8</v>
      </c>
      <c r="D7095" s="47">
        <f t="shared" si="571"/>
        <v>896</v>
      </c>
      <c r="E7095" s="1">
        <v>0</v>
      </c>
      <c r="F7095" s="78">
        <f t="shared" si="572"/>
        <v>11</v>
      </c>
    </row>
    <row r="7096" spans="1:6" x14ac:dyDescent="0.25">
      <c r="A7096" s="84" t="s">
        <v>19</v>
      </c>
      <c r="B7096" s="2">
        <v>44188</v>
      </c>
      <c r="C7096" s="1">
        <v>234</v>
      </c>
      <c r="D7096" s="47">
        <f t="shared" si="571"/>
        <v>38877</v>
      </c>
      <c r="E7096" s="1">
        <v>7</v>
      </c>
      <c r="F7096" s="78">
        <f t="shared" si="572"/>
        <v>688</v>
      </c>
    </row>
    <row r="7097" spans="1:6" x14ac:dyDescent="0.25">
      <c r="A7097" s="84" t="s">
        <v>18</v>
      </c>
      <c r="B7097" s="2">
        <v>44188</v>
      </c>
      <c r="C7097" s="1">
        <v>335</v>
      </c>
      <c r="D7097" s="47">
        <f t="shared" si="571"/>
        <v>36628</v>
      </c>
      <c r="E7097" s="1">
        <v>2</v>
      </c>
      <c r="F7097" s="78">
        <f t="shared" si="572"/>
        <v>877</v>
      </c>
    </row>
    <row r="7098" spans="1:6" x14ac:dyDescent="0.25">
      <c r="A7098" s="84" t="s">
        <v>34</v>
      </c>
      <c r="B7098" s="2">
        <v>44188</v>
      </c>
      <c r="C7098" s="1">
        <v>51</v>
      </c>
      <c r="D7098" s="47">
        <f t="shared" si="571"/>
        <v>22067</v>
      </c>
      <c r="E7098" s="1">
        <v>0</v>
      </c>
      <c r="F7098" s="78">
        <f t="shared" si="572"/>
        <v>1012</v>
      </c>
    </row>
    <row r="7099" spans="1:6" x14ac:dyDescent="0.25">
      <c r="A7099" s="84" t="s">
        <v>35</v>
      </c>
      <c r="B7099" s="2">
        <v>44188</v>
      </c>
      <c r="C7099" s="1">
        <v>147</v>
      </c>
      <c r="D7099" s="47">
        <f t="shared" si="571"/>
        <v>10812</v>
      </c>
      <c r="E7099" s="1">
        <v>0</v>
      </c>
      <c r="F7099" s="78">
        <f t="shared" si="572"/>
        <v>196</v>
      </c>
    </row>
    <row r="7100" spans="1:6" x14ac:dyDescent="0.25">
      <c r="A7100" s="84" t="s">
        <v>36</v>
      </c>
      <c r="B7100" s="2">
        <v>44188</v>
      </c>
      <c r="C7100" s="1">
        <v>22</v>
      </c>
      <c r="D7100" s="47">
        <f t="shared" si="571"/>
        <v>15963</v>
      </c>
      <c r="E7100" s="1">
        <v>5</v>
      </c>
      <c r="F7100" s="78">
        <f t="shared" si="572"/>
        <v>292</v>
      </c>
    </row>
    <row r="7101" spans="1:6" x14ac:dyDescent="0.25">
      <c r="A7101" s="84" t="s">
        <v>37</v>
      </c>
      <c r="B7101" s="2">
        <v>44188</v>
      </c>
      <c r="C7101" s="1">
        <v>301</v>
      </c>
      <c r="D7101" s="47">
        <f t="shared" si="571"/>
        <v>21456</v>
      </c>
      <c r="E7101" s="1">
        <v>1</v>
      </c>
      <c r="F7101" s="78">
        <f t="shared" si="572"/>
        <v>358</v>
      </c>
    </row>
    <row r="7102" spans="1:6" x14ac:dyDescent="0.25">
      <c r="A7102" s="84" t="s">
        <v>22</v>
      </c>
      <c r="B7102" s="2">
        <v>44188</v>
      </c>
      <c r="C7102" s="1">
        <v>1003</v>
      </c>
      <c r="D7102" s="47">
        <f t="shared" si="571"/>
        <v>169675</v>
      </c>
      <c r="E7102" s="1">
        <v>8</v>
      </c>
      <c r="F7102" s="78">
        <f t="shared" si="572"/>
        <v>2797</v>
      </c>
    </row>
    <row r="7103" spans="1:6" x14ac:dyDescent="0.25">
      <c r="A7103" s="84" t="s">
        <v>38</v>
      </c>
      <c r="B7103" s="2">
        <v>44188</v>
      </c>
      <c r="C7103" s="1">
        <v>49</v>
      </c>
      <c r="D7103" s="47">
        <f t="shared" si="571"/>
        <v>16882</v>
      </c>
      <c r="E7103" s="1">
        <v>0</v>
      </c>
      <c r="F7103" s="78">
        <f t="shared" si="572"/>
        <v>214</v>
      </c>
    </row>
    <row r="7104" spans="1:6" x14ac:dyDescent="0.25">
      <c r="A7104" s="84" t="s">
        <v>39</v>
      </c>
      <c r="B7104" s="2">
        <v>44188</v>
      </c>
      <c r="C7104" s="1">
        <v>111</v>
      </c>
      <c r="D7104" s="47">
        <f t="shared" si="571"/>
        <v>18365</v>
      </c>
      <c r="E7104" s="1">
        <v>0</v>
      </c>
      <c r="F7104" s="78">
        <f t="shared" si="572"/>
        <v>246</v>
      </c>
    </row>
    <row r="7105" spans="1:6" ht="15.75" thickBot="1" x14ac:dyDescent="0.3">
      <c r="A7105" s="85" t="s">
        <v>40</v>
      </c>
      <c r="B7105" s="355">
        <v>44188</v>
      </c>
      <c r="C7105" s="54">
        <v>126</v>
      </c>
      <c r="D7105" s="214">
        <f t="shared" si="571"/>
        <v>70143</v>
      </c>
      <c r="E7105" s="54">
        <v>0</v>
      </c>
      <c r="F7105" s="79">
        <f t="shared" si="572"/>
        <v>1333</v>
      </c>
    </row>
    <row r="7106" spans="1:6" ht="15.75" thickBot="1" x14ac:dyDescent="0.3">
      <c r="A7106" s="36" t="s">
        <v>16</v>
      </c>
      <c r="B7106" s="355">
        <v>44189</v>
      </c>
      <c r="C7106" s="293">
        <v>2877</v>
      </c>
      <c r="D7106" s="211">
        <f t="shared" si="571"/>
        <v>663549</v>
      </c>
      <c r="E7106" s="293">
        <v>17</v>
      </c>
      <c r="F7106" s="77">
        <f t="shared" si="572"/>
        <v>21947</v>
      </c>
    </row>
    <row r="7107" spans="1:6" x14ac:dyDescent="0.25">
      <c r="A7107" s="84" t="s">
        <v>43</v>
      </c>
      <c r="B7107" s="2">
        <v>44189</v>
      </c>
      <c r="C7107" s="1">
        <v>835</v>
      </c>
      <c r="D7107" s="47">
        <f t="shared" si="571"/>
        <v>168813</v>
      </c>
      <c r="E7107" s="1">
        <v>5</v>
      </c>
      <c r="F7107" s="78">
        <f t="shared" si="572"/>
        <v>5436</v>
      </c>
    </row>
    <row r="7108" spans="1:6" x14ac:dyDescent="0.25">
      <c r="A7108" s="84" t="s">
        <v>28</v>
      </c>
      <c r="B7108" s="2">
        <v>44189</v>
      </c>
      <c r="C7108" s="1">
        <v>76</v>
      </c>
      <c r="D7108" s="47">
        <f t="shared" si="571"/>
        <v>2493</v>
      </c>
      <c r="E7108" s="1">
        <v>0</v>
      </c>
      <c r="F7108" s="78">
        <f t="shared" si="572"/>
        <v>17</v>
      </c>
    </row>
    <row r="7109" spans="1:6" x14ac:dyDescent="0.25">
      <c r="A7109" s="84" t="s">
        <v>15</v>
      </c>
      <c r="B7109" s="2">
        <v>44189</v>
      </c>
      <c r="C7109" s="1">
        <v>176</v>
      </c>
      <c r="D7109" s="47">
        <f t="shared" si="571"/>
        <v>23624</v>
      </c>
      <c r="E7109" s="1">
        <v>3</v>
      </c>
      <c r="F7109" s="78">
        <f t="shared" si="572"/>
        <v>662</v>
      </c>
    </row>
    <row r="7110" spans="1:6" x14ac:dyDescent="0.25">
      <c r="A7110" s="84" t="s">
        <v>29</v>
      </c>
      <c r="B7110" s="2">
        <v>44189</v>
      </c>
      <c r="C7110" s="1">
        <v>250</v>
      </c>
      <c r="D7110" s="47">
        <f t="shared" si="571"/>
        <v>29463</v>
      </c>
      <c r="E7110" s="1">
        <v>0</v>
      </c>
      <c r="F7110" s="78">
        <f t="shared" si="572"/>
        <v>486</v>
      </c>
    </row>
    <row r="7111" spans="1:6" x14ac:dyDescent="0.25">
      <c r="A7111" s="84" t="s">
        <v>20</v>
      </c>
      <c r="B7111" s="2">
        <v>44189</v>
      </c>
      <c r="C7111" s="1">
        <v>660</v>
      </c>
      <c r="D7111" s="47">
        <f t="shared" si="571"/>
        <v>124545</v>
      </c>
      <c r="E7111" s="1">
        <v>15</v>
      </c>
      <c r="F7111" s="78">
        <f t="shared" si="572"/>
        <v>2445</v>
      </c>
    </row>
    <row r="7112" spans="1:6" x14ac:dyDescent="0.25">
      <c r="A7112" s="84" t="s">
        <v>30</v>
      </c>
      <c r="B7112" s="2">
        <v>44189</v>
      </c>
      <c r="C7112" s="1">
        <v>56</v>
      </c>
      <c r="D7112" s="47">
        <f t="shared" si="571"/>
        <v>11089</v>
      </c>
      <c r="E7112" s="1">
        <v>2</v>
      </c>
      <c r="F7112" s="78">
        <f t="shared" si="572"/>
        <v>154</v>
      </c>
    </row>
    <row r="7113" spans="1:6" x14ac:dyDescent="0.25">
      <c r="A7113" s="84" t="s">
        <v>31</v>
      </c>
      <c r="B7113" s="2">
        <v>44189</v>
      </c>
      <c r="C7113" s="1">
        <v>283</v>
      </c>
      <c r="D7113" s="47">
        <f t="shared" si="571"/>
        <v>27704</v>
      </c>
      <c r="E7113" s="1">
        <v>2</v>
      </c>
      <c r="F7113" s="78">
        <f t="shared" si="572"/>
        <v>571</v>
      </c>
    </row>
    <row r="7114" spans="1:6" x14ac:dyDescent="0.25">
      <c r="A7114" s="84" t="s">
        <v>41</v>
      </c>
      <c r="B7114" s="2">
        <v>44189</v>
      </c>
      <c r="C7114" s="1">
        <v>1</v>
      </c>
      <c r="D7114" s="47">
        <f t="shared" si="571"/>
        <v>213</v>
      </c>
      <c r="E7114" s="1">
        <v>0</v>
      </c>
      <c r="F7114" s="78">
        <f t="shared" si="572"/>
        <v>3</v>
      </c>
    </row>
    <row r="7115" spans="1:6" x14ac:dyDescent="0.25">
      <c r="A7115" s="84" t="s">
        <v>32</v>
      </c>
      <c r="B7115" s="2">
        <v>44189</v>
      </c>
      <c r="C7115" s="1">
        <v>3</v>
      </c>
      <c r="D7115" s="47">
        <f t="shared" si="571"/>
        <v>18494</v>
      </c>
      <c r="E7115" s="1">
        <v>0</v>
      </c>
      <c r="F7115" s="78">
        <f t="shared" si="572"/>
        <v>857</v>
      </c>
    </row>
    <row r="7116" spans="1:6" x14ac:dyDescent="0.25">
      <c r="A7116" s="84" t="s">
        <v>33</v>
      </c>
      <c r="B7116" s="2">
        <v>44189</v>
      </c>
      <c r="C7116" s="1">
        <v>276</v>
      </c>
      <c r="D7116" s="47">
        <f t="shared" si="571"/>
        <v>9195</v>
      </c>
      <c r="E7116" s="1">
        <v>0</v>
      </c>
      <c r="F7116" s="78">
        <f t="shared" si="572"/>
        <v>116</v>
      </c>
    </row>
    <row r="7117" spans="1:6" x14ac:dyDescent="0.25">
      <c r="A7117" s="84" t="s">
        <v>21</v>
      </c>
      <c r="B7117" s="2">
        <v>44189</v>
      </c>
      <c r="C7117" s="1">
        <v>10</v>
      </c>
      <c r="D7117" s="47">
        <f t="shared" si="571"/>
        <v>9050</v>
      </c>
      <c r="E7117" s="1">
        <v>13</v>
      </c>
      <c r="F7117" s="78">
        <f t="shared" si="572"/>
        <v>374</v>
      </c>
    </row>
    <row r="7118" spans="1:6" x14ac:dyDescent="0.25">
      <c r="A7118" s="84" t="s">
        <v>17</v>
      </c>
      <c r="B7118" s="2">
        <v>44189</v>
      </c>
      <c r="C7118" s="1">
        <v>111</v>
      </c>
      <c r="D7118" s="47">
        <f t="shared" si="571"/>
        <v>59483</v>
      </c>
      <c r="E7118" s="1">
        <v>0</v>
      </c>
      <c r="F7118" s="78">
        <f t="shared" si="572"/>
        <v>1218</v>
      </c>
    </row>
    <row r="7119" spans="1:6" x14ac:dyDescent="0.25">
      <c r="A7119" s="84" t="s">
        <v>23</v>
      </c>
      <c r="B7119" s="2">
        <v>44189</v>
      </c>
      <c r="C7119" s="1">
        <v>4</v>
      </c>
      <c r="D7119" s="47">
        <f t="shared" si="571"/>
        <v>900</v>
      </c>
      <c r="E7119" s="1">
        <v>0</v>
      </c>
      <c r="F7119" s="78">
        <f t="shared" si="572"/>
        <v>11</v>
      </c>
    </row>
    <row r="7120" spans="1:6" x14ac:dyDescent="0.25">
      <c r="A7120" s="84" t="s">
        <v>19</v>
      </c>
      <c r="B7120" s="2">
        <v>44189</v>
      </c>
      <c r="C7120" s="1">
        <v>225</v>
      </c>
      <c r="D7120" s="47">
        <f t="shared" si="571"/>
        <v>39102</v>
      </c>
      <c r="E7120" s="1">
        <v>0</v>
      </c>
      <c r="F7120" s="78">
        <f t="shared" si="572"/>
        <v>688</v>
      </c>
    </row>
    <row r="7121" spans="1:6" x14ac:dyDescent="0.25">
      <c r="A7121" s="84" t="s">
        <v>18</v>
      </c>
      <c r="B7121" s="2">
        <v>44189</v>
      </c>
      <c r="C7121" s="1">
        <v>234</v>
      </c>
      <c r="D7121" s="47">
        <f t="shared" si="571"/>
        <v>36862</v>
      </c>
      <c r="E7121" s="1">
        <v>3</v>
      </c>
      <c r="F7121" s="78">
        <f t="shared" si="572"/>
        <v>880</v>
      </c>
    </row>
    <row r="7122" spans="1:6" x14ac:dyDescent="0.25">
      <c r="A7122" s="84" t="s">
        <v>34</v>
      </c>
      <c r="B7122" s="2">
        <v>44189</v>
      </c>
      <c r="C7122" s="1">
        <v>67</v>
      </c>
      <c r="D7122" s="47">
        <f t="shared" si="571"/>
        <v>22134</v>
      </c>
      <c r="E7122" s="1">
        <v>1</v>
      </c>
      <c r="F7122" s="78">
        <f t="shared" si="572"/>
        <v>1013</v>
      </c>
    </row>
    <row r="7123" spans="1:6" x14ac:dyDescent="0.25">
      <c r="A7123" s="84" t="s">
        <v>35</v>
      </c>
      <c r="B7123" s="2">
        <v>44189</v>
      </c>
      <c r="C7123" s="1">
        <v>64</v>
      </c>
      <c r="D7123" s="47">
        <f t="shared" si="571"/>
        <v>10876</v>
      </c>
      <c r="E7123" s="1">
        <v>0</v>
      </c>
      <c r="F7123" s="78">
        <f t="shared" si="572"/>
        <v>196</v>
      </c>
    </row>
    <row r="7124" spans="1:6" x14ac:dyDescent="0.25">
      <c r="A7124" s="84" t="s">
        <v>36</v>
      </c>
      <c r="B7124" s="2">
        <v>44189</v>
      </c>
      <c r="C7124" s="1">
        <v>22</v>
      </c>
      <c r="D7124" s="47">
        <f t="shared" si="571"/>
        <v>15985</v>
      </c>
      <c r="E7124" s="1">
        <v>1</v>
      </c>
      <c r="F7124" s="78">
        <f t="shared" si="572"/>
        <v>293</v>
      </c>
    </row>
    <row r="7125" spans="1:6" x14ac:dyDescent="0.25">
      <c r="A7125" s="84" t="s">
        <v>37</v>
      </c>
      <c r="B7125" s="2">
        <v>44189</v>
      </c>
      <c r="C7125" s="1">
        <v>290</v>
      </c>
      <c r="D7125" s="47">
        <f t="shared" si="571"/>
        <v>21746</v>
      </c>
      <c r="E7125" s="1">
        <v>2</v>
      </c>
      <c r="F7125" s="78">
        <f t="shared" si="572"/>
        <v>360</v>
      </c>
    </row>
    <row r="7126" spans="1:6" x14ac:dyDescent="0.25">
      <c r="A7126" s="84" t="s">
        <v>22</v>
      </c>
      <c r="B7126" s="2">
        <v>44189</v>
      </c>
      <c r="C7126" s="1">
        <v>1038</v>
      </c>
      <c r="D7126" s="47">
        <f t="shared" si="571"/>
        <v>170713</v>
      </c>
      <c r="E7126" s="1">
        <v>13</v>
      </c>
      <c r="F7126" s="78">
        <f t="shared" si="572"/>
        <v>2810</v>
      </c>
    </row>
    <row r="7127" spans="1:6" x14ac:dyDescent="0.25">
      <c r="A7127" s="84" t="s">
        <v>38</v>
      </c>
      <c r="B7127" s="2">
        <v>44189</v>
      </c>
      <c r="C7127" s="1">
        <v>73</v>
      </c>
      <c r="D7127" s="47">
        <f t="shared" si="571"/>
        <v>16955</v>
      </c>
      <c r="E7127" s="1">
        <v>0</v>
      </c>
      <c r="F7127" s="78">
        <f t="shared" si="572"/>
        <v>214</v>
      </c>
    </row>
    <row r="7128" spans="1:6" x14ac:dyDescent="0.25">
      <c r="A7128" s="84" t="s">
        <v>39</v>
      </c>
      <c r="B7128" s="2">
        <v>44189</v>
      </c>
      <c r="C7128" s="1">
        <v>71</v>
      </c>
      <c r="D7128" s="47">
        <f t="shared" si="571"/>
        <v>18436</v>
      </c>
      <c r="E7128" s="1">
        <v>0</v>
      </c>
      <c r="F7128" s="78">
        <f t="shared" si="572"/>
        <v>246</v>
      </c>
    </row>
    <row r="7129" spans="1:6" ht="15.75" thickBot="1" x14ac:dyDescent="0.3">
      <c r="A7129" s="85" t="s">
        <v>40</v>
      </c>
      <c r="B7129" s="2">
        <v>44189</v>
      </c>
      <c r="C7129" s="1">
        <v>113</v>
      </c>
      <c r="D7129" s="214">
        <f t="shared" si="571"/>
        <v>70256</v>
      </c>
      <c r="E7129" s="1">
        <v>1</v>
      </c>
      <c r="F7129" s="79">
        <f t="shared" si="572"/>
        <v>1334</v>
      </c>
    </row>
    <row r="7130" spans="1:6" x14ac:dyDescent="0.25">
      <c r="A7130" s="36" t="s">
        <v>16</v>
      </c>
      <c r="B7130" s="2">
        <v>44190</v>
      </c>
      <c r="C7130" s="1">
        <v>1102</v>
      </c>
      <c r="D7130" s="211">
        <f t="shared" si="571"/>
        <v>664651</v>
      </c>
      <c r="E7130" s="1">
        <v>2</v>
      </c>
      <c r="F7130" s="77">
        <f t="shared" si="572"/>
        <v>21949</v>
      </c>
    </row>
    <row r="7131" spans="1:6" x14ac:dyDescent="0.25">
      <c r="A7131" s="84" t="s">
        <v>43</v>
      </c>
      <c r="B7131" s="2">
        <v>44190</v>
      </c>
      <c r="C7131" s="1">
        <v>411</v>
      </c>
      <c r="D7131" s="47">
        <f t="shared" si="571"/>
        <v>169224</v>
      </c>
      <c r="E7131" s="1">
        <v>12</v>
      </c>
      <c r="F7131" s="78">
        <f t="shared" si="572"/>
        <v>5448</v>
      </c>
    </row>
    <row r="7132" spans="1:6" x14ac:dyDescent="0.25">
      <c r="A7132" s="84" t="s">
        <v>28</v>
      </c>
      <c r="B7132" s="2">
        <v>44190</v>
      </c>
      <c r="C7132" s="1">
        <v>14</v>
      </c>
      <c r="D7132" s="47">
        <f t="shared" si="571"/>
        <v>2507</v>
      </c>
      <c r="E7132" s="1">
        <v>0</v>
      </c>
      <c r="F7132" s="78">
        <f t="shared" si="572"/>
        <v>17</v>
      </c>
    </row>
    <row r="7133" spans="1:6" x14ac:dyDescent="0.25">
      <c r="A7133" s="84" t="s">
        <v>15</v>
      </c>
      <c r="B7133" s="2">
        <v>44190</v>
      </c>
      <c r="C7133" s="1">
        <v>90</v>
      </c>
      <c r="D7133" s="47">
        <f t="shared" si="571"/>
        <v>23714</v>
      </c>
      <c r="E7133" s="1">
        <v>7</v>
      </c>
      <c r="F7133" s="78">
        <f t="shared" si="572"/>
        <v>669</v>
      </c>
    </row>
    <row r="7134" spans="1:6" x14ac:dyDescent="0.25">
      <c r="A7134" s="84" t="s">
        <v>29</v>
      </c>
      <c r="B7134" s="2">
        <v>44190</v>
      </c>
      <c r="C7134" s="1">
        <v>48</v>
      </c>
      <c r="D7134" s="47">
        <f t="shared" si="571"/>
        <v>29511</v>
      </c>
      <c r="E7134" s="1">
        <v>0</v>
      </c>
      <c r="F7134" s="78">
        <f t="shared" si="572"/>
        <v>486</v>
      </c>
    </row>
    <row r="7135" spans="1:6" x14ac:dyDescent="0.25">
      <c r="A7135" s="84" t="s">
        <v>20</v>
      </c>
      <c r="B7135" s="2">
        <v>44190</v>
      </c>
      <c r="C7135" s="1">
        <v>158</v>
      </c>
      <c r="D7135" s="47">
        <f t="shared" si="571"/>
        <v>124703</v>
      </c>
      <c r="E7135" s="1">
        <v>3</v>
      </c>
      <c r="F7135" s="78">
        <f t="shared" si="572"/>
        <v>2448</v>
      </c>
    </row>
    <row r="7136" spans="1:6" x14ac:dyDescent="0.25">
      <c r="A7136" s="84" t="s">
        <v>30</v>
      </c>
      <c r="B7136" s="2">
        <v>44190</v>
      </c>
      <c r="C7136" s="1">
        <v>35</v>
      </c>
      <c r="D7136" s="47">
        <f t="shared" si="571"/>
        <v>11124</v>
      </c>
      <c r="E7136" s="1">
        <v>0</v>
      </c>
      <c r="F7136" s="78">
        <f t="shared" si="572"/>
        <v>154</v>
      </c>
    </row>
    <row r="7137" spans="1:6" x14ac:dyDescent="0.25">
      <c r="A7137" s="84" t="s">
        <v>31</v>
      </c>
      <c r="B7137" s="2">
        <v>44190</v>
      </c>
      <c r="C7137" s="1">
        <v>134</v>
      </c>
      <c r="D7137" s="47">
        <f t="shared" si="571"/>
        <v>27838</v>
      </c>
      <c r="E7137" s="1">
        <v>0</v>
      </c>
      <c r="F7137" s="78">
        <f t="shared" si="572"/>
        <v>571</v>
      </c>
    </row>
    <row r="7138" spans="1:6" x14ac:dyDescent="0.25">
      <c r="A7138" s="84" t="s">
        <v>41</v>
      </c>
      <c r="B7138" s="2">
        <v>44190</v>
      </c>
      <c r="C7138" s="1">
        <v>0</v>
      </c>
      <c r="D7138" s="47">
        <f t="shared" si="571"/>
        <v>213</v>
      </c>
      <c r="E7138" s="1">
        <v>0</v>
      </c>
      <c r="F7138" s="78">
        <f t="shared" si="572"/>
        <v>3</v>
      </c>
    </row>
    <row r="7139" spans="1:6" x14ac:dyDescent="0.25">
      <c r="A7139" s="84" t="s">
        <v>32</v>
      </c>
      <c r="B7139" s="2">
        <v>44190</v>
      </c>
      <c r="C7139" s="1">
        <v>4</v>
      </c>
      <c r="D7139" s="47">
        <f t="shared" ref="D7139:D7202" si="573">C7139+D7115</f>
        <v>18498</v>
      </c>
      <c r="E7139" s="1">
        <v>0</v>
      </c>
      <c r="F7139" s="78">
        <f t="shared" ref="F7139:F7202" si="574">E7139+F7115</f>
        <v>857</v>
      </c>
    </row>
    <row r="7140" spans="1:6" x14ac:dyDescent="0.25">
      <c r="A7140" s="84" t="s">
        <v>33</v>
      </c>
      <c r="B7140" s="2">
        <v>44190</v>
      </c>
      <c r="C7140" s="1">
        <v>140</v>
      </c>
      <c r="D7140" s="47">
        <f t="shared" si="573"/>
        <v>9335</v>
      </c>
      <c r="E7140" s="1">
        <v>0</v>
      </c>
      <c r="F7140" s="78">
        <f t="shared" si="574"/>
        <v>116</v>
      </c>
    </row>
    <row r="7141" spans="1:6" x14ac:dyDescent="0.25">
      <c r="A7141" s="84" t="s">
        <v>21</v>
      </c>
      <c r="B7141" s="2">
        <v>44190</v>
      </c>
      <c r="C7141" s="1">
        <v>7</v>
      </c>
      <c r="D7141" s="47">
        <f t="shared" si="573"/>
        <v>9057</v>
      </c>
      <c r="E7141" s="1">
        <v>5</v>
      </c>
      <c r="F7141" s="78">
        <f t="shared" si="574"/>
        <v>379</v>
      </c>
    </row>
    <row r="7142" spans="1:6" x14ac:dyDescent="0.25">
      <c r="A7142" s="84" t="s">
        <v>17</v>
      </c>
      <c r="B7142" s="2">
        <v>44190</v>
      </c>
      <c r="C7142" s="1">
        <v>22</v>
      </c>
      <c r="D7142" s="47">
        <f t="shared" si="573"/>
        <v>59505</v>
      </c>
      <c r="E7142" s="1">
        <v>0</v>
      </c>
      <c r="F7142" s="78">
        <f t="shared" si="574"/>
        <v>1218</v>
      </c>
    </row>
    <row r="7143" spans="1:6" x14ac:dyDescent="0.25">
      <c r="A7143" s="84" t="s">
        <v>23</v>
      </c>
      <c r="B7143" s="2">
        <v>44190</v>
      </c>
      <c r="C7143" s="1">
        <v>45</v>
      </c>
      <c r="D7143" s="47">
        <f t="shared" si="573"/>
        <v>945</v>
      </c>
      <c r="E7143" s="1">
        <v>0</v>
      </c>
      <c r="F7143" s="78">
        <f t="shared" si="574"/>
        <v>11</v>
      </c>
    </row>
    <row r="7144" spans="1:6" x14ac:dyDescent="0.25">
      <c r="A7144" s="84" t="s">
        <v>19</v>
      </c>
      <c r="B7144" s="2">
        <v>44190</v>
      </c>
      <c r="C7144" s="1">
        <v>79</v>
      </c>
      <c r="D7144" s="47">
        <f t="shared" si="573"/>
        <v>39181</v>
      </c>
      <c r="E7144" s="1">
        <v>0</v>
      </c>
      <c r="F7144" s="78">
        <f t="shared" si="574"/>
        <v>688</v>
      </c>
    </row>
    <row r="7145" spans="1:6" x14ac:dyDescent="0.25">
      <c r="A7145" s="84" t="s">
        <v>18</v>
      </c>
      <c r="B7145" s="2">
        <v>44190</v>
      </c>
      <c r="C7145" s="1">
        <v>89</v>
      </c>
      <c r="D7145" s="47">
        <f t="shared" si="573"/>
        <v>36951</v>
      </c>
      <c r="E7145" s="1">
        <v>1</v>
      </c>
      <c r="F7145" s="78">
        <f t="shared" si="574"/>
        <v>881</v>
      </c>
    </row>
    <row r="7146" spans="1:6" x14ac:dyDescent="0.25">
      <c r="A7146" s="84" t="s">
        <v>34</v>
      </c>
      <c r="B7146" s="2">
        <v>44190</v>
      </c>
      <c r="C7146" s="1">
        <v>12</v>
      </c>
      <c r="D7146" s="47">
        <f t="shared" si="573"/>
        <v>22146</v>
      </c>
      <c r="E7146" s="1">
        <v>0</v>
      </c>
      <c r="F7146" s="78">
        <f t="shared" si="574"/>
        <v>1013</v>
      </c>
    </row>
    <row r="7147" spans="1:6" x14ac:dyDescent="0.25">
      <c r="A7147" s="84" t="s">
        <v>35</v>
      </c>
      <c r="B7147" s="2">
        <v>44190</v>
      </c>
      <c r="C7147" s="1">
        <v>2</v>
      </c>
      <c r="D7147" s="47">
        <f t="shared" si="573"/>
        <v>10878</v>
      </c>
      <c r="E7147" s="1">
        <v>0</v>
      </c>
      <c r="F7147" s="78">
        <f t="shared" si="574"/>
        <v>196</v>
      </c>
    </row>
    <row r="7148" spans="1:6" x14ac:dyDescent="0.25">
      <c r="A7148" s="84" t="s">
        <v>36</v>
      </c>
      <c r="B7148" s="2">
        <v>44190</v>
      </c>
      <c r="C7148" s="1">
        <v>3</v>
      </c>
      <c r="D7148" s="47">
        <f t="shared" si="573"/>
        <v>15988</v>
      </c>
      <c r="E7148" s="1">
        <v>0</v>
      </c>
      <c r="F7148" s="78">
        <f t="shared" si="574"/>
        <v>293</v>
      </c>
    </row>
    <row r="7149" spans="1:6" x14ac:dyDescent="0.25">
      <c r="A7149" s="84" t="s">
        <v>37</v>
      </c>
      <c r="B7149" s="2">
        <v>44190</v>
      </c>
      <c r="C7149" s="1">
        <v>92</v>
      </c>
      <c r="D7149" s="47">
        <f t="shared" si="573"/>
        <v>21838</v>
      </c>
      <c r="E7149" s="1">
        <v>0</v>
      </c>
      <c r="F7149" s="78">
        <f t="shared" si="574"/>
        <v>360</v>
      </c>
    </row>
    <row r="7150" spans="1:6" x14ac:dyDescent="0.25">
      <c r="A7150" s="84" t="s">
        <v>22</v>
      </c>
      <c r="B7150" s="2">
        <v>44190</v>
      </c>
      <c r="C7150" s="1">
        <v>228</v>
      </c>
      <c r="D7150" s="47">
        <f t="shared" si="573"/>
        <v>170941</v>
      </c>
      <c r="E7150" s="1">
        <v>0</v>
      </c>
      <c r="F7150" s="78">
        <f t="shared" si="574"/>
        <v>2810</v>
      </c>
    </row>
    <row r="7151" spans="1:6" x14ac:dyDescent="0.25">
      <c r="A7151" s="84" t="s">
        <v>38</v>
      </c>
      <c r="B7151" s="2">
        <v>44190</v>
      </c>
      <c r="C7151" s="1">
        <v>45</v>
      </c>
      <c r="D7151" s="47">
        <f t="shared" si="573"/>
        <v>17000</v>
      </c>
      <c r="E7151" s="1">
        <v>0</v>
      </c>
      <c r="F7151" s="78">
        <f t="shared" si="574"/>
        <v>214</v>
      </c>
    </row>
    <row r="7152" spans="1:6" x14ac:dyDescent="0.25">
      <c r="A7152" s="84" t="s">
        <v>39</v>
      </c>
      <c r="B7152" s="2">
        <v>44190</v>
      </c>
      <c r="C7152" s="1">
        <v>91</v>
      </c>
      <c r="D7152" s="47">
        <f t="shared" si="573"/>
        <v>18527</v>
      </c>
      <c r="E7152" s="1">
        <v>0</v>
      </c>
      <c r="F7152" s="78">
        <f t="shared" si="574"/>
        <v>246</v>
      </c>
    </row>
    <row r="7153" spans="1:6" ht="15.75" thickBot="1" x14ac:dyDescent="0.3">
      <c r="A7153" s="85" t="s">
        <v>40</v>
      </c>
      <c r="B7153" s="2">
        <v>44190</v>
      </c>
      <c r="C7153" s="1">
        <v>23</v>
      </c>
      <c r="D7153" s="214">
        <f t="shared" si="573"/>
        <v>70279</v>
      </c>
      <c r="E7153" s="1">
        <v>0</v>
      </c>
      <c r="F7153" s="79">
        <f t="shared" si="574"/>
        <v>1334</v>
      </c>
    </row>
    <row r="7154" spans="1:6" x14ac:dyDescent="0.25">
      <c r="A7154" s="36" t="s">
        <v>16</v>
      </c>
      <c r="B7154" s="2">
        <v>44191</v>
      </c>
      <c r="C7154" s="1">
        <v>1343</v>
      </c>
      <c r="D7154" s="211">
        <f t="shared" si="573"/>
        <v>665994</v>
      </c>
      <c r="E7154" s="1">
        <v>39</v>
      </c>
      <c r="F7154" s="77">
        <f t="shared" si="574"/>
        <v>21988</v>
      </c>
    </row>
    <row r="7155" spans="1:6" x14ac:dyDescent="0.25">
      <c r="A7155" s="84" t="s">
        <v>43</v>
      </c>
      <c r="B7155" s="2">
        <v>44191</v>
      </c>
      <c r="C7155" s="1">
        <v>375</v>
      </c>
      <c r="D7155" s="47">
        <f t="shared" si="573"/>
        <v>169599</v>
      </c>
      <c r="E7155" s="1">
        <v>2</v>
      </c>
      <c r="F7155" s="78">
        <f t="shared" si="574"/>
        <v>5450</v>
      </c>
    </row>
    <row r="7156" spans="1:6" x14ac:dyDescent="0.25">
      <c r="A7156" s="84" t="s">
        <v>28</v>
      </c>
      <c r="B7156" s="2">
        <v>44191</v>
      </c>
      <c r="C7156" s="1">
        <v>23</v>
      </c>
      <c r="D7156" s="47">
        <f t="shared" si="573"/>
        <v>2530</v>
      </c>
      <c r="E7156" s="1">
        <v>0</v>
      </c>
      <c r="F7156" s="78">
        <f t="shared" si="574"/>
        <v>17</v>
      </c>
    </row>
    <row r="7157" spans="1:6" x14ac:dyDescent="0.25">
      <c r="A7157" s="84" t="s">
        <v>15</v>
      </c>
      <c r="B7157" s="2">
        <v>44191</v>
      </c>
      <c r="C7157" s="1">
        <v>63</v>
      </c>
      <c r="D7157" s="47">
        <f t="shared" si="573"/>
        <v>23777</v>
      </c>
      <c r="E7157" s="1">
        <v>4</v>
      </c>
      <c r="F7157" s="78">
        <f t="shared" si="574"/>
        <v>673</v>
      </c>
    </row>
    <row r="7158" spans="1:6" x14ac:dyDescent="0.25">
      <c r="A7158" s="84" t="s">
        <v>29</v>
      </c>
      <c r="B7158" s="2">
        <v>44191</v>
      </c>
      <c r="C7158" s="1">
        <v>215</v>
      </c>
      <c r="D7158" s="47">
        <f t="shared" si="573"/>
        <v>29726</v>
      </c>
      <c r="E7158" s="1">
        <v>0</v>
      </c>
      <c r="F7158" s="78">
        <f t="shared" si="574"/>
        <v>486</v>
      </c>
    </row>
    <row r="7159" spans="1:6" x14ac:dyDescent="0.25">
      <c r="A7159" s="84" t="s">
        <v>20</v>
      </c>
      <c r="B7159" s="2">
        <v>44191</v>
      </c>
      <c r="C7159" s="1">
        <v>163</v>
      </c>
      <c r="D7159" s="47">
        <f t="shared" si="573"/>
        <v>124866</v>
      </c>
      <c r="E7159" s="1">
        <v>4</v>
      </c>
      <c r="F7159" s="78">
        <f t="shared" si="574"/>
        <v>2452</v>
      </c>
    </row>
    <row r="7160" spans="1:6" x14ac:dyDescent="0.25">
      <c r="A7160" s="84" t="s">
        <v>30</v>
      </c>
      <c r="B7160" s="2">
        <v>44191</v>
      </c>
      <c r="C7160" s="1">
        <v>24</v>
      </c>
      <c r="D7160" s="47">
        <f t="shared" si="573"/>
        <v>11148</v>
      </c>
      <c r="E7160" s="1">
        <v>3</v>
      </c>
      <c r="F7160" s="78">
        <f t="shared" si="574"/>
        <v>157</v>
      </c>
    </row>
    <row r="7161" spans="1:6" x14ac:dyDescent="0.25">
      <c r="A7161" s="84" t="s">
        <v>31</v>
      </c>
      <c r="B7161" s="2">
        <v>44191</v>
      </c>
      <c r="C7161" s="1">
        <v>85</v>
      </c>
      <c r="D7161" s="47">
        <f t="shared" si="573"/>
        <v>27923</v>
      </c>
      <c r="E7161" s="1">
        <v>0</v>
      </c>
      <c r="F7161" s="78">
        <f t="shared" si="574"/>
        <v>571</v>
      </c>
    </row>
    <row r="7162" spans="1:6" x14ac:dyDescent="0.25">
      <c r="A7162" s="84" t="s">
        <v>41</v>
      </c>
      <c r="B7162" s="2">
        <v>44191</v>
      </c>
      <c r="C7162" s="1">
        <v>0</v>
      </c>
      <c r="D7162" s="47">
        <f t="shared" si="573"/>
        <v>213</v>
      </c>
      <c r="E7162" s="1">
        <v>0</v>
      </c>
      <c r="F7162" s="78">
        <f t="shared" si="574"/>
        <v>3</v>
      </c>
    </row>
    <row r="7163" spans="1:6" x14ac:dyDescent="0.25">
      <c r="A7163" s="84" t="s">
        <v>32</v>
      </c>
      <c r="B7163" s="2">
        <v>44191</v>
      </c>
      <c r="C7163" s="1">
        <v>2</v>
      </c>
      <c r="D7163" s="47">
        <f t="shared" si="573"/>
        <v>18500</v>
      </c>
      <c r="E7163" s="1">
        <v>0</v>
      </c>
      <c r="F7163" s="78">
        <f t="shared" si="574"/>
        <v>857</v>
      </c>
    </row>
    <row r="7164" spans="1:6" x14ac:dyDescent="0.25">
      <c r="A7164" s="84" t="s">
        <v>33</v>
      </c>
      <c r="B7164" s="2">
        <v>44191</v>
      </c>
      <c r="C7164" s="1">
        <v>182</v>
      </c>
      <c r="D7164" s="47">
        <f t="shared" si="573"/>
        <v>9517</v>
      </c>
      <c r="E7164" s="1">
        <v>0</v>
      </c>
      <c r="F7164" s="78">
        <f t="shared" si="574"/>
        <v>116</v>
      </c>
    </row>
    <row r="7165" spans="1:6" x14ac:dyDescent="0.25">
      <c r="A7165" s="84" t="s">
        <v>21</v>
      </c>
      <c r="B7165" s="2">
        <v>44191</v>
      </c>
      <c r="C7165" s="1">
        <v>4</v>
      </c>
      <c r="D7165" s="47">
        <f t="shared" si="573"/>
        <v>9061</v>
      </c>
      <c r="E7165" s="1">
        <v>6</v>
      </c>
      <c r="F7165" s="78">
        <f t="shared" si="574"/>
        <v>385</v>
      </c>
    </row>
    <row r="7166" spans="1:6" x14ac:dyDescent="0.25">
      <c r="A7166" s="84" t="s">
        <v>17</v>
      </c>
      <c r="B7166" s="2">
        <v>44191</v>
      </c>
      <c r="C7166" s="1">
        <v>53</v>
      </c>
      <c r="D7166" s="47">
        <f t="shared" si="573"/>
        <v>59558</v>
      </c>
      <c r="E7166" s="1">
        <v>1</v>
      </c>
      <c r="F7166" s="78">
        <f t="shared" si="574"/>
        <v>1219</v>
      </c>
    </row>
    <row r="7167" spans="1:6" x14ac:dyDescent="0.25">
      <c r="A7167" s="84" t="s">
        <v>23</v>
      </c>
      <c r="B7167" s="2">
        <v>44191</v>
      </c>
      <c r="C7167" s="1">
        <v>43</v>
      </c>
      <c r="D7167" s="47">
        <f t="shared" si="573"/>
        <v>988</v>
      </c>
      <c r="E7167" s="1">
        <v>0</v>
      </c>
      <c r="F7167" s="78">
        <f t="shared" si="574"/>
        <v>11</v>
      </c>
    </row>
    <row r="7168" spans="1:6" x14ac:dyDescent="0.25">
      <c r="A7168" s="84" t="s">
        <v>19</v>
      </c>
      <c r="B7168" s="2">
        <v>44191</v>
      </c>
      <c r="C7168" s="1">
        <v>102</v>
      </c>
      <c r="D7168" s="47">
        <f t="shared" si="573"/>
        <v>39283</v>
      </c>
      <c r="E7168" s="1">
        <v>0</v>
      </c>
      <c r="F7168" s="78">
        <f t="shared" si="574"/>
        <v>688</v>
      </c>
    </row>
    <row r="7169" spans="1:6" x14ac:dyDescent="0.25">
      <c r="A7169" s="84" t="s">
        <v>18</v>
      </c>
      <c r="B7169" s="2">
        <v>44191</v>
      </c>
      <c r="C7169" s="1">
        <v>163</v>
      </c>
      <c r="D7169" s="47">
        <f t="shared" si="573"/>
        <v>37114</v>
      </c>
      <c r="E7169" s="1">
        <v>2</v>
      </c>
      <c r="F7169" s="78">
        <f t="shared" si="574"/>
        <v>883</v>
      </c>
    </row>
    <row r="7170" spans="1:6" x14ac:dyDescent="0.25">
      <c r="A7170" s="84" t="s">
        <v>34</v>
      </c>
      <c r="B7170" s="2">
        <v>44191</v>
      </c>
      <c r="C7170" s="1">
        <v>25</v>
      </c>
      <c r="D7170" s="47">
        <f t="shared" si="573"/>
        <v>22171</v>
      </c>
      <c r="E7170" s="1">
        <v>0</v>
      </c>
      <c r="F7170" s="78">
        <f t="shared" si="574"/>
        <v>1013</v>
      </c>
    </row>
    <row r="7171" spans="1:6" x14ac:dyDescent="0.25">
      <c r="A7171" s="84" t="s">
        <v>35</v>
      </c>
      <c r="B7171" s="2">
        <v>44191</v>
      </c>
      <c r="C7171" s="1">
        <v>12</v>
      </c>
      <c r="D7171" s="47">
        <f t="shared" si="573"/>
        <v>10890</v>
      </c>
      <c r="E7171" s="1">
        <v>0</v>
      </c>
      <c r="F7171" s="78">
        <f t="shared" si="574"/>
        <v>196</v>
      </c>
    </row>
    <row r="7172" spans="1:6" x14ac:dyDescent="0.25">
      <c r="A7172" s="84" t="s">
        <v>36</v>
      </c>
      <c r="B7172" s="2">
        <v>44191</v>
      </c>
      <c r="C7172" s="1">
        <v>6</v>
      </c>
      <c r="D7172" s="47">
        <f t="shared" si="573"/>
        <v>15994</v>
      </c>
      <c r="E7172" s="1">
        <v>0</v>
      </c>
      <c r="F7172" s="78">
        <f t="shared" si="574"/>
        <v>293</v>
      </c>
    </row>
    <row r="7173" spans="1:6" x14ac:dyDescent="0.25">
      <c r="A7173" s="84" t="s">
        <v>37</v>
      </c>
      <c r="B7173" s="2">
        <v>44191</v>
      </c>
      <c r="C7173" s="1">
        <v>159</v>
      </c>
      <c r="D7173" s="47">
        <f t="shared" si="573"/>
        <v>21997</v>
      </c>
      <c r="E7173" s="1">
        <v>1</v>
      </c>
      <c r="F7173" s="78">
        <f t="shared" si="574"/>
        <v>361</v>
      </c>
    </row>
    <row r="7174" spans="1:6" x14ac:dyDescent="0.25">
      <c r="A7174" s="84" t="s">
        <v>22</v>
      </c>
      <c r="B7174" s="2">
        <v>44191</v>
      </c>
      <c r="C7174" s="1">
        <v>423</v>
      </c>
      <c r="D7174" s="47">
        <f t="shared" si="573"/>
        <v>171364</v>
      </c>
      <c r="E7174" s="1">
        <v>17</v>
      </c>
      <c r="F7174" s="78">
        <f t="shared" si="574"/>
        <v>2827</v>
      </c>
    </row>
    <row r="7175" spans="1:6" x14ac:dyDescent="0.25">
      <c r="A7175" s="84" t="s">
        <v>38</v>
      </c>
      <c r="B7175" s="2">
        <v>44191</v>
      </c>
      <c r="C7175" s="1">
        <v>47</v>
      </c>
      <c r="D7175" s="47">
        <f t="shared" si="573"/>
        <v>17047</v>
      </c>
      <c r="E7175" s="1">
        <v>0</v>
      </c>
      <c r="F7175" s="78">
        <f t="shared" si="574"/>
        <v>214</v>
      </c>
    </row>
    <row r="7176" spans="1:6" x14ac:dyDescent="0.25">
      <c r="A7176" s="84" t="s">
        <v>39</v>
      </c>
      <c r="B7176" s="2">
        <v>44191</v>
      </c>
      <c r="C7176" s="1">
        <v>124</v>
      </c>
      <c r="D7176" s="47">
        <f t="shared" si="573"/>
        <v>18651</v>
      </c>
      <c r="E7176" s="1">
        <v>0</v>
      </c>
      <c r="F7176" s="78">
        <f t="shared" si="574"/>
        <v>246</v>
      </c>
    </row>
    <row r="7177" spans="1:6" ht="15.75" thickBot="1" x14ac:dyDescent="0.3">
      <c r="A7177" s="85" t="s">
        <v>40</v>
      </c>
      <c r="B7177" s="2">
        <v>44191</v>
      </c>
      <c r="C7177" s="1">
        <v>77</v>
      </c>
      <c r="D7177" s="214">
        <f t="shared" si="573"/>
        <v>70356</v>
      </c>
      <c r="E7177" s="1">
        <v>0</v>
      </c>
      <c r="F7177" s="79">
        <f t="shared" si="574"/>
        <v>1334</v>
      </c>
    </row>
    <row r="7178" spans="1:6" x14ac:dyDescent="0.25">
      <c r="A7178" s="36" t="s">
        <v>16</v>
      </c>
      <c r="B7178" s="2">
        <v>44192</v>
      </c>
      <c r="C7178" s="1">
        <v>1996</v>
      </c>
      <c r="D7178" s="211">
        <f t="shared" si="573"/>
        <v>667990</v>
      </c>
      <c r="E7178" s="1">
        <v>111</v>
      </c>
      <c r="F7178" s="77">
        <f t="shared" si="574"/>
        <v>22099</v>
      </c>
    </row>
    <row r="7179" spans="1:6" x14ac:dyDescent="0.25">
      <c r="A7179" s="84" t="s">
        <v>43</v>
      </c>
      <c r="B7179" s="2">
        <v>44192</v>
      </c>
      <c r="C7179" s="1">
        <v>728</v>
      </c>
      <c r="D7179" s="47">
        <f t="shared" si="573"/>
        <v>170327</v>
      </c>
      <c r="E7179" s="1">
        <v>3</v>
      </c>
      <c r="F7179" s="78">
        <f t="shared" si="574"/>
        <v>5453</v>
      </c>
    </row>
    <row r="7180" spans="1:6" x14ac:dyDescent="0.25">
      <c r="A7180" s="84" t="s">
        <v>28</v>
      </c>
      <c r="B7180" s="2">
        <v>44192</v>
      </c>
      <c r="C7180" s="1">
        <v>46</v>
      </c>
      <c r="D7180" s="47">
        <f t="shared" si="573"/>
        <v>2576</v>
      </c>
      <c r="E7180" s="1">
        <v>0</v>
      </c>
      <c r="F7180" s="78">
        <f t="shared" si="574"/>
        <v>17</v>
      </c>
    </row>
    <row r="7181" spans="1:6" x14ac:dyDescent="0.25">
      <c r="A7181" s="84" t="s">
        <v>15</v>
      </c>
      <c r="B7181" s="2">
        <v>44192</v>
      </c>
      <c r="C7181" s="1">
        <v>70</v>
      </c>
      <c r="D7181" s="47">
        <f t="shared" si="573"/>
        <v>23847</v>
      </c>
      <c r="E7181" s="1">
        <v>1</v>
      </c>
      <c r="F7181" s="78">
        <f t="shared" si="574"/>
        <v>674</v>
      </c>
    </row>
    <row r="7182" spans="1:6" x14ac:dyDescent="0.25">
      <c r="A7182" s="84" t="s">
        <v>29</v>
      </c>
      <c r="B7182" s="2">
        <v>44192</v>
      </c>
      <c r="C7182" s="1">
        <v>155</v>
      </c>
      <c r="D7182" s="47">
        <f t="shared" si="573"/>
        <v>29881</v>
      </c>
      <c r="E7182" s="1">
        <v>1</v>
      </c>
      <c r="F7182" s="78">
        <f t="shared" si="574"/>
        <v>487</v>
      </c>
    </row>
    <row r="7183" spans="1:6" x14ac:dyDescent="0.25">
      <c r="A7183" s="84" t="s">
        <v>20</v>
      </c>
      <c r="B7183" s="2">
        <v>44192</v>
      </c>
      <c r="C7183" s="1">
        <v>227</v>
      </c>
      <c r="D7183" s="47">
        <f t="shared" si="573"/>
        <v>125093</v>
      </c>
      <c r="E7183" s="1">
        <v>0</v>
      </c>
      <c r="F7183" s="78">
        <f t="shared" si="574"/>
        <v>2452</v>
      </c>
    </row>
    <row r="7184" spans="1:6" x14ac:dyDescent="0.25">
      <c r="A7184" s="84" t="s">
        <v>30</v>
      </c>
      <c r="B7184" s="2">
        <v>44192</v>
      </c>
      <c r="C7184" s="1">
        <v>235</v>
      </c>
      <c r="D7184" s="47">
        <f t="shared" si="573"/>
        <v>11383</v>
      </c>
      <c r="E7184" s="1">
        <v>0</v>
      </c>
      <c r="F7184" s="78">
        <f t="shared" si="574"/>
        <v>157</v>
      </c>
    </row>
    <row r="7185" spans="1:6" x14ac:dyDescent="0.25">
      <c r="A7185" s="84" t="s">
        <v>31</v>
      </c>
      <c r="B7185" s="2">
        <v>44192</v>
      </c>
      <c r="C7185" s="1">
        <v>155</v>
      </c>
      <c r="D7185" s="47">
        <f t="shared" si="573"/>
        <v>28078</v>
      </c>
      <c r="E7185" s="1">
        <v>1</v>
      </c>
      <c r="F7185" s="78">
        <f t="shared" si="574"/>
        <v>572</v>
      </c>
    </row>
    <row r="7186" spans="1:6" x14ac:dyDescent="0.25">
      <c r="A7186" s="84" t="s">
        <v>41</v>
      </c>
      <c r="B7186" s="2">
        <v>44192</v>
      </c>
      <c r="C7186" s="1">
        <v>1</v>
      </c>
      <c r="D7186" s="47">
        <f t="shared" si="573"/>
        <v>214</v>
      </c>
      <c r="E7186" s="1">
        <v>0</v>
      </c>
      <c r="F7186" s="78">
        <f t="shared" si="574"/>
        <v>3</v>
      </c>
    </row>
    <row r="7187" spans="1:6" x14ac:dyDescent="0.25">
      <c r="A7187" s="84" t="s">
        <v>32</v>
      </c>
      <c r="B7187" s="2">
        <v>44192</v>
      </c>
      <c r="C7187" s="1">
        <v>6</v>
      </c>
      <c r="D7187" s="47">
        <f t="shared" si="573"/>
        <v>18506</v>
      </c>
      <c r="E7187" s="1">
        <v>0</v>
      </c>
      <c r="F7187" s="78">
        <f t="shared" si="574"/>
        <v>857</v>
      </c>
    </row>
    <row r="7188" spans="1:6" x14ac:dyDescent="0.25">
      <c r="A7188" s="84" t="s">
        <v>33</v>
      </c>
      <c r="B7188" s="2">
        <v>44192</v>
      </c>
      <c r="C7188" s="1">
        <v>189</v>
      </c>
      <c r="D7188" s="47">
        <f t="shared" si="573"/>
        <v>9706</v>
      </c>
      <c r="E7188" s="1">
        <v>0</v>
      </c>
      <c r="F7188" s="78">
        <f t="shared" si="574"/>
        <v>116</v>
      </c>
    </row>
    <row r="7189" spans="1:6" x14ac:dyDescent="0.25">
      <c r="A7189" s="84" t="s">
        <v>21</v>
      </c>
      <c r="B7189" s="2">
        <v>44192</v>
      </c>
      <c r="C7189" s="1">
        <v>7</v>
      </c>
      <c r="D7189" s="47">
        <f t="shared" si="573"/>
        <v>9068</v>
      </c>
      <c r="E7189" s="1">
        <v>3</v>
      </c>
      <c r="F7189" s="78">
        <f t="shared" si="574"/>
        <v>388</v>
      </c>
    </row>
    <row r="7190" spans="1:6" x14ac:dyDescent="0.25">
      <c r="A7190" s="84" t="s">
        <v>17</v>
      </c>
      <c r="B7190" s="2">
        <v>44192</v>
      </c>
      <c r="C7190" s="1">
        <v>51</v>
      </c>
      <c r="D7190" s="47">
        <f t="shared" si="573"/>
        <v>59609</v>
      </c>
      <c r="E7190" s="1">
        <v>0</v>
      </c>
      <c r="F7190" s="78">
        <f t="shared" si="574"/>
        <v>1219</v>
      </c>
    </row>
    <row r="7191" spans="1:6" x14ac:dyDescent="0.25">
      <c r="A7191" s="84" t="s">
        <v>23</v>
      </c>
      <c r="B7191" s="2">
        <v>44192</v>
      </c>
      <c r="C7191" s="1">
        <v>23</v>
      </c>
      <c r="D7191" s="47">
        <f t="shared" si="573"/>
        <v>1011</v>
      </c>
      <c r="E7191" s="1">
        <v>0</v>
      </c>
      <c r="F7191" s="78">
        <f t="shared" si="574"/>
        <v>11</v>
      </c>
    </row>
    <row r="7192" spans="1:6" x14ac:dyDescent="0.25">
      <c r="A7192" s="84" t="s">
        <v>19</v>
      </c>
      <c r="B7192" s="2">
        <v>44192</v>
      </c>
      <c r="C7192" s="1">
        <v>82</v>
      </c>
      <c r="D7192" s="47">
        <f t="shared" si="573"/>
        <v>39365</v>
      </c>
      <c r="E7192" s="1">
        <v>0</v>
      </c>
      <c r="F7192" s="78">
        <f t="shared" si="574"/>
        <v>688</v>
      </c>
    </row>
    <row r="7193" spans="1:6" x14ac:dyDescent="0.25">
      <c r="A7193" s="84" t="s">
        <v>18</v>
      </c>
      <c r="B7193" s="2">
        <v>44192</v>
      </c>
      <c r="C7193" s="1">
        <v>163</v>
      </c>
      <c r="D7193" s="47">
        <f t="shared" si="573"/>
        <v>37277</v>
      </c>
      <c r="E7193" s="1">
        <v>1</v>
      </c>
      <c r="F7193" s="78">
        <f t="shared" si="574"/>
        <v>884</v>
      </c>
    </row>
    <row r="7194" spans="1:6" x14ac:dyDescent="0.25">
      <c r="A7194" s="84" t="s">
        <v>34</v>
      </c>
      <c r="B7194" s="2">
        <v>44192</v>
      </c>
      <c r="C7194" s="1">
        <v>37</v>
      </c>
      <c r="D7194" s="47">
        <f t="shared" si="573"/>
        <v>22208</v>
      </c>
      <c r="E7194" s="1">
        <v>1</v>
      </c>
      <c r="F7194" s="78">
        <f t="shared" si="574"/>
        <v>1014</v>
      </c>
    </row>
    <row r="7195" spans="1:6" x14ac:dyDescent="0.25">
      <c r="A7195" s="84" t="s">
        <v>35</v>
      </c>
      <c r="B7195" s="2">
        <v>44192</v>
      </c>
      <c r="C7195" s="1">
        <v>10</v>
      </c>
      <c r="D7195" s="47">
        <f t="shared" si="573"/>
        <v>10900</v>
      </c>
      <c r="E7195" s="1">
        <v>0</v>
      </c>
      <c r="F7195" s="78">
        <f t="shared" si="574"/>
        <v>196</v>
      </c>
    </row>
    <row r="7196" spans="1:6" x14ac:dyDescent="0.25">
      <c r="A7196" s="84" t="s">
        <v>36</v>
      </c>
      <c r="B7196" s="2">
        <v>44192</v>
      </c>
      <c r="C7196" s="1">
        <v>38</v>
      </c>
      <c r="D7196" s="47">
        <f t="shared" si="573"/>
        <v>16032</v>
      </c>
      <c r="E7196" s="1">
        <v>2</v>
      </c>
      <c r="F7196" s="78">
        <f t="shared" si="574"/>
        <v>295</v>
      </c>
    </row>
    <row r="7197" spans="1:6" x14ac:dyDescent="0.25">
      <c r="A7197" s="84" t="s">
        <v>37</v>
      </c>
      <c r="B7197" s="2">
        <v>44192</v>
      </c>
      <c r="C7197" s="1">
        <v>242</v>
      </c>
      <c r="D7197" s="47">
        <f t="shared" si="573"/>
        <v>22239</v>
      </c>
      <c r="E7197" s="1">
        <v>3</v>
      </c>
      <c r="F7197" s="78">
        <f t="shared" si="574"/>
        <v>364</v>
      </c>
    </row>
    <row r="7198" spans="1:6" x14ac:dyDescent="0.25">
      <c r="A7198" s="84" t="s">
        <v>22</v>
      </c>
      <c r="B7198" s="2">
        <v>44192</v>
      </c>
      <c r="C7198" s="1">
        <v>406</v>
      </c>
      <c r="D7198" s="47">
        <f t="shared" si="573"/>
        <v>171770</v>
      </c>
      <c r="E7198" s="1">
        <v>16</v>
      </c>
      <c r="F7198" s="78">
        <f t="shared" si="574"/>
        <v>2843</v>
      </c>
    </row>
    <row r="7199" spans="1:6" x14ac:dyDescent="0.25">
      <c r="A7199" s="84" t="s">
        <v>38</v>
      </c>
      <c r="B7199" s="2">
        <v>44192</v>
      </c>
      <c r="C7199" s="1">
        <v>24</v>
      </c>
      <c r="D7199" s="47">
        <f t="shared" si="573"/>
        <v>17071</v>
      </c>
      <c r="E7199" s="1">
        <v>3</v>
      </c>
      <c r="F7199" s="78">
        <f t="shared" si="574"/>
        <v>217</v>
      </c>
    </row>
    <row r="7200" spans="1:6" x14ac:dyDescent="0.25">
      <c r="A7200" s="84" t="s">
        <v>39</v>
      </c>
      <c r="B7200" s="2">
        <v>44192</v>
      </c>
      <c r="C7200" s="1">
        <v>88</v>
      </c>
      <c r="D7200" s="47">
        <f t="shared" si="573"/>
        <v>18739</v>
      </c>
      <c r="E7200" s="1">
        <v>2</v>
      </c>
      <c r="F7200" s="78">
        <f t="shared" si="574"/>
        <v>248</v>
      </c>
    </row>
    <row r="7201" spans="1:6" ht="15.75" thickBot="1" x14ac:dyDescent="0.3">
      <c r="A7201" s="86" t="s">
        <v>40</v>
      </c>
      <c r="B7201" s="42">
        <v>44192</v>
      </c>
      <c r="C7201" s="300">
        <v>51</v>
      </c>
      <c r="D7201" s="81">
        <f t="shared" si="573"/>
        <v>70407</v>
      </c>
      <c r="E7201" s="300">
        <v>1</v>
      </c>
      <c r="F7201" s="83">
        <f t="shared" si="574"/>
        <v>1335</v>
      </c>
    </row>
    <row r="7202" spans="1:6" x14ac:dyDescent="0.25">
      <c r="A7202" s="36" t="s">
        <v>16</v>
      </c>
      <c r="B7202" s="354">
        <v>44193</v>
      </c>
      <c r="C7202" s="53">
        <v>2873</v>
      </c>
      <c r="D7202" s="211">
        <f t="shared" si="573"/>
        <v>670863</v>
      </c>
      <c r="E7202" s="53">
        <v>90</v>
      </c>
      <c r="F7202" s="77">
        <f t="shared" si="574"/>
        <v>22189</v>
      </c>
    </row>
    <row r="7203" spans="1:6" x14ac:dyDescent="0.25">
      <c r="A7203" s="84" t="s">
        <v>43</v>
      </c>
      <c r="B7203" s="2">
        <v>44193</v>
      </c>
      <c r="C7203" s="1">
        <v>863</v>
      </c>
      <c r="D7203" s="47">
        <f t="shared" ref="D7203:D7249" si="575">C7203+D7179</f>
        <v>171190</v>
      </c>
      <c r="E7203" s="1">
        <v>20</v>
      </c>
      <c r="F7203" s="78">
        <f t="shared" ref="F7203:F7249" si="576">E7203+F7179</f>
        <v>5473</v>
      </c>
    </row>
    <row r="7204" spans="1:6" x14ac:dyDescent="0.25">
      <c r="A7204" s="84" t="s">
        <v>28</v>
      </c>
      <c r="B7204" s="2">
        <v>44193</v>
      </c>
      <c r="C7204" s="1">
        <v>31</v>
      </c>
      <c r="D7204" s="47">
        <f t="shared" si="575"/>
        <v>2607</v>
      </c>
      <c r="E7204" s="1">
        <v>0</v>
      </c>
      <c r="F7204" s="78">
        <f t="shared" si="576"/>
        <v>17</v>
      </c>
    </row>
    <row r="7205" spans="1:6" x14ac:dyDescent="0.25">
      <c r="A7205" s="84" t="s">
        <v>15</v>
      </c>
      <c r="B7205" s="2">
        <v>44193</v>
      </c>
      <c r="C7205" s="1">
        <v>121</v>
      </c>
      <c r="D7205" s="47">
        <f t="shared" si="575"/>
        <v>23968</v>
      </c>
      <c r="E7205" s="1">
        <v>7</v>
      </c>
      <c r="F7205" s="78">
        <f t="shared" si="576"/>
        <v>681</v>
      </c>
    </row>
    <row r="7206" spans="1:6" x14ac:dyDescent="0.25">
      <c r="A7206" s="84" t="s">
        <v>29</v>
      </c>
      <c r="B7206" s="2">
        <v>44193</v>
      </c>
      <c r="C7206" s="1">
        <v>451</v>
      </c>
      <c r="D7206" s="47">
        <f t="shared" si="575"/>
        <v>30332</v>
      </c>
      <c r="E7206" s="1">
        <v>4</v>
      </c>
      <c r="F7206" s="78">
        <f t="shared" si="576"/>
        <v>491</v>
      </c>
    </row>
    <row r="7207" spans="1:6" x14ac:dyDescent="0.25">
      <c r="A7207" s="84" t="s">
        <v>20</v>
      </c>
      <c r="B7207" s="2">
        <v>44193</v>
      </c>
      <c r="C7207" s="1">
        <v>286</v>
      </c>
      <c r="D7207" s="47">
        <f t="shared" si="575"/>
        <v>125379</v>
      </c>
      <c r="E7207" s="1">
        <v>7</v>
      </c>
      <c r="F7207" s="78">
        <f t="shared" si="576"/>
        <v>2459</v>
      </c>
    </row>
    <row r="7208" spans="1:6" x14ac:dyDescent="0.25">
      <c r="A7208" s="84" t="s">
        <v>30</v>
      </c>
      <c r="B7208" s="2">
        <v>44193</v>
      </c>
      <c r="C7208" s="1">
        <v>183</v>
      </c>
      <c r="D7208" s="47">
        <f t="shared" si="575"/>
        <v>11566</v>
      </c>
      <c r="E7208" s="1">
        <v>1</v>
      </c>
      <c r="F7208" s="78">
        <f t="shared" si="576"/>
        <v>158</v>
      </c>
    </row>
    <row r="7209" spans="1:6" x14ac:dyDescent="0.25">
      <c r="A7209" s="84" t="s">
        <v>31</v>
      </c>
      <c r="B7209" s="2">
        <v>44193</v>
      </c>
      <c r="C7209" s="1">
        <v>178</v>
      </c>
      <c r="D7209" s="47">
        <f t="shared" si="575"/>
        <v>28256</v>
      </c>
      <c r="E7209" s="1">
        <v>2</v>
      </c>
      <c r="F7209" s="78">
        <f t="shared" si="576"/>
        <v>574</v>
      </c>
    </row>
    <row r="7210" spans="1:6" x14ac:dyDescent="0.25">
      <c r="A7210" s="84" t="s">
        <v>41</v>
      </c>
      <c r="B7210" s="2">
        <v>44193</v>
      </c>
      <c r="C7210" s="1">
        <v>7</v>
      </c>
      <c r="D7210" s="47">
        <f t="shared" si="575"/>
        <v>221</v>
      </c>
      <c r="E7210" s="1">
        <v>0</v>
      </c>
      <c r="F7210" s="78">
        <f t="shared" si="576"/>
        <v>3</v>
      </c>
    </row>
    <row r="7211" spans="1:6" x14ac:dyDescent="0.25">
      <c r="A7211" s="84" t="s">
        <v>32</v>
      </c>
      <c r="B7211" s="2">
        <v>44193</v>
      </c>
      <c r="C7211" s="1">
        <v>3</v>
      </c>
      <c r="D7211" s="47">
        <f t="shared" si="575"/>
        <v>18509</v>
      </c>
      <c r="E7211" s="1">
        <v>1</v>
      </c>
      <c r="F7211" s="78">
        <f t="shared" si="576"/>
        <v>858</v>
      </c>
    </row>
    <row r="7212" spans="1:6" x14ac:dyDescent="0.25">
      <c r="A7212" s="84" t="s">
        <v>33</v>
      </c>
      <c r="B7212" s="2">
        <v>44193</v>
      </c>
      <c r="C7212" s="1">
        <v>208</v>
      </c>
      <c r="D7212" s="47">
        <f t="shared" si="575"/>
        <v>9914</v>
      </c>
      <c r="E7212" s="1">
        <v>8</v>
      </c>
      <c r="F7212" s="78">
        <f t="shared" si="576"/>
        <v>124</v>
      </c>
    </row>
    <row r="7213" spans="1:6" x14ac:dyDescent="0.25">
      <c r="A7213" s="84" t="s">
        <v>21</v>
      </c>
      <c r="B7213" s="2">
        <v>44193</v>
      </c>
      <c r="C7213" s="1">
        <v>4</v>
      </c>
      <c r="D7213" s="47">
        <f t="shared" si="575"/>
        <v>9072</v>
      </c>
      <c r="E7213" s="1">
        <v>0</v>
      </c>
      <c r="F7213" s="78">
        <f t="shared" si="576"/>
        <v>388</v>
      </c>
    </row>
    <row r="7214" spans="1:6" x14ac:dyDescent="0.25">
      <c r="A7214" s="84" t="s">
        <v>17</v>
      </c>
      <c r="B7214" s="2">
        <v>44193</v>
      </c>
      <c r="C7214" s="1">
        <v>77</v>
      </c>
      <c r="D7214" s="47">
        <f t="shared" si="575"/>
        <v>59686</v>
      </c>
      <c r="E7214" s="1">
        <v>3</v>
      </c>
      <c r="F7214" s="78">
        <f t="shared" si="576"/>
        <v>1222</v>
      </c>
    </row>
    <row r="7215" spans="1:6" x14ac:dyDescent="0.25">
      <c r="A7215" s="84" t="s">
        <v>23</v>
      </c>
      <c r="B7215" s="2">
        <v>44193</v>
      </c>
      <c r="C7215" s="1">
        <v>3</v>
      </c>
      <c r="D7215" s="47">
        <f t="shared" si="575"/>
        <v>1014</v>
      </c>
      <c r="E7215" s="1">
        <v>0</v>
      </c>
      <c r="F7215" s="78">
        <f t="shared" si="576"/>
        <v>11</v>
      </c>
    </row>
    <row r="7216" spans="1:6" x14ac:dyDescent="0.25">
      <c r="A7216" s="84" t="s">
        <v>19</v>
      </c>
      <c r="B7216" s="2">
        <v>44193</v>
      </c>
      <c r="C7216" s="1">
        <v>206</v>
      </c>
      <c r="D7216" s="47">
        <f t="shared" si="575"/>
        <v>39571</v>
      </c>
      <c r="E7216" s="1">
        <v>0</v>
      </c>
      <c r="F7216" s="78">
        <f t="shared" si="576"/>
        <v>688</v>
      </c>
    </row>
    <row r="7217" spans="1:6" x14ac:dyDescent="0.25">
      <c r="A7217" s="84" t="s">
        <v>18</v>
      </c>
      <c r="B7217" s="2">
        <v>44193</v>
      </c>
      <c r="C7217" s="1">
        <v>263</v>
      </c>
      <c r="D7217" s="47">
        <f t="shared" si="575"/>
        <v>37540</v>
      </c>
      <c r="E7217" s="1">
        <v>6</v>
      </c>
      <c r="F7217" s="78">
        <f t="shared" si="576"/>
        <v>890</v>
      </c>
    </row>
    <row r="7218" spans="1:6" x14ac:dyDescent="0.25">
      <c r="A7218" s="84" t="s">
        <v>34</v>
      </c>
      <c r="B7218" s="2">
        <v>44193</v>
      </c>
      <c r="C7218" s="1">
        <v>8</v>
      </c>
      <c r="D7218" s="47">
        <f t="shared" si="575"/>
        <v>22216</v>
      </c>
      <c r="E7218" s="1">
        <v>1</v>
      </c>
      <c r="F7218" s="78">
        <f t="shared" si="576"/>
        <v>1015</v>
      </c>
    </row>
    <row r="7219" spans="1:6" x14ac:dyDescent="0.25">
      <c r="A7219" s="84" t="s">
        <v>35</v>
      </c>
      <c r="B7219" s="2">
        <v>44193</v>
      </c>
      <c r="C7219" s="1">
        <v>150</v>
      </c>
      <c r="D7219" s="47">
        <f t="shared" si="575"/>
        <v>11050</v>
      </c>
      <c r="E7219" s="1">
        <v>1</v>
      </c>
      <c r="F7219" s="78">
        <f t="shared" si="576"/>
        <v>197</v>
      </c>
    </row>
    <row r="7220" spans="1:6" x14ac:dyDescent="0.25">
      <c r="A7220" s="84" t="s">
        <v>36</v>
      </c>
      <c r="B7220" s="2">
        <v>44193</v>
      </c>
      <c r="C7220" s="1">
        <v>34</v>
      </c>
      <c r="D7220" s="47">
        <f t="shared" si="575"/>
        <v>16066</v>
      </c>
      <c r="E7220" s="1">
        <v>1</v>
      </c>
      <c r="F7220" s="78">
        <f t="shared" si="576"/>
        <v>296</v>
      </c>
    </row>
    <row r="7221" spans="1:6" x14ac:dyDescent="0.25">
      <c r="A7221" s="84" t="s">
        <v>37</v>
      </c>
      <c r="B7221" s="2">
        <v>44193</v>
      </c>
      <c r="C7221" s="1">
        <v>265</v>
      </c>
      <c r="D7221" s="47">
        <f t="shared" si="575"/>
        <v>22504</v>
      </c>
      <c r="E7221" s="1">
        <v>9</v>
      </c>
      <c r="F7221" s="78">
        <f t="shared" si="576"/>
        <v>373</v>
      </c>
    </row>
    <row r="7222" spans="1:6" x14ac:dyDescent="0.25">
      <c r="A7222" s="84" t="s">
        <v>22</v>
      </c>
      <c r="B7222" s="2">
        <v>44193</v>
      </c>
      <c r="C7222" s="1">
        <v>718</v>
      </c>
      <c r="D7222" s="47">
        <f t="shared" si="575"/>
        <v>172488</v>
      </c>
      <c r="E7222" s="1">
        <v>55</v>
      </c>
      <c r="F7222" s="78">
        <f t="shared" si="576"/>
        <v>2898</v>
      </c>
    </row>
    <row r="7223" spans="1:6" x14ac:dyDescent="0.25">
      <c r="A7223" s="84" t="s">
        <v>38</v>
      </c>
      <c r="B7223" s="2">
        <v>44193</v>
      </c>
      <c r="C7223" s="1">
        <v>61</v>
      </c>
      <c r="D7223" s="47">
        <f t="shared" si="575"/>
        <v>17132</v>
      </c>
      <c r="E7223" s="1">
        <v>0</v>
      </c>
      <c r="F7223" s="78">
        <f t="shared" si="576"/>
        <v>217</v>
      </c>
    </row>
    <row r="7224" spans="1:6" x14ac:dyDescent="0.25">
      <c r="A7224" s="84" t="s">
        <v>39</v>
      </c>
      <c r="B7224" s="2">
        <v>44193</v>
      </c>
      <c r="C7224" s="1">
        <v>63</v>
      </c>
      <c r="D7224" s="47">
        <f t="shared" si="575"/>
        <v>18802</v>
      </c>
      <c r="E7224" s="1">
        <v>0</v>
      </c>
      <c r="F7224" s="78">
        <f t="shared" si="576"/>
        <v>248</v>
      </c>
    </row>
    <row r="7225" spans="1:6" x14ac:dyDescent="0.25">
      <c r="A7225" s="86" t="s">
        <v>40</v>
      </c>
      <c r="B7225" s="42">
        <v>44193</v>
      </c>
      <c r="C7225" s="300">
        <v>160</v>
      </c>
      <c r="D7225" s="81">
        <f t="shared" si="575"/>
        <v>70567</v>
      </c>
      <c r="E7225" s="300">
        <v>1</v>
      </c>
      <c r="F7225" s="83">
        <f t="shared" si="576"/>
        <v>1336</v>
      </c>
    </row>
    <row r="7226" spans="1:6" x14ac:dyDescent="0.25">
      <c r="A7226" s="34" t="s">
        <v>16</v>
      </c>
      <c r="B7226" s="2">
        <v>44194</v>
      </c>
      <c r="C7226" s="1">
        <v>4417</v>
      </c>
      <c r="D7226" s="47">
        <f t="shared" si="575"/>
        <v>675280</v>
      </c>
      <c r="E7226" s="1">
        <v>67</v>
      </c>
      <c r="F7226" s="47">
        <f t="shared" si="576"/>
        <v>22256</v>
      </c>
    </row>
    <row r="7227" spans="1:6" x14ac:dyDescent="0.25">
      <c r="A7227" s="34" t="s">
        <v>43</v>
      </c>
      <c r="B7227" s="2">
        <v>44194</v>
      </c>
      <c r="C7227" s="1">
        <v>996</v>
      </c>
      <c r="D7227" s="47">
        <f t="shared" si="575"/>
        <v>172186</v>
      </c>
      <c r="E7227" s="1">
        <v>11</v>
      </c>
      <c r="F7227" s="47">
        <f t="shared" si="576"/>
        <v>5484</v>
      </c>
    </row>
    <row r="7228" spans="1:6" x14ac:dyDescent="0.25">
      <c r="A7228" s="34" t="s">
        <v>28</v>
      </c>
      <c r="B7228" s="2">
        <v>44194</v>
      </c>
      <c r="C7228" s="1">
        <v>16</v>
      </c>
      <c r="D7228" s="47">
        <f t="shared" si="575"/>
        <v>2623</v>
      </c>
      <c r="E7228" s="1">
        <v>0</v>
      </c>
      <c r="F7228" s="47">
        <f t="shared" si="576"/>
        <v>17</v>
      </c>
    </row>
    <row r="7229" spans="1:6" x14ac:dyDescent="0.25">
      <c r="A7229" s="34" t="s">
        <v>15</v>
      </c>
      <c r="B7229" s="2">
        <v>44194</v>
      </c>
      <c r="C7229" s="1">
        <v>306</v>
      </c>
      <c r="D7229" s="47">
        <f t="shared" si="575"/>
        <v>24274</v>
      </c>
      <c r="E7229" s="1">
        <v>5</v>
      </c>
      <c r="F7229" s="47">
        <f t="shared" si="576"/>
        <v>686</v>
      </c>
    </row>
    <row r="7230" spans="1:6" x14ac:dyDescent="0.25">
      <c r="A7230" s="34" t="s">
        <v>29</v>
      </c>
      <c r="B7230" s="2">
        <v>44194</v>
      </c>
      <c r="C7230" s="1">
        <v>606</v>
      </c>
      <c r="D7230" s="47">
        <f t="shared" si="575"/>
        <v>30938</v>
      </c>
      <c r="E7230" s="1">
        <v>2</v>
      </c>
      <c r="F7230" s="47">
        <f t="shared" si="576"/>
        <v>493</v>
      </c>
    </row>
    <row r="7231" spans="1:6" x14ac:dyDescent="0.25">
      <c r="A7231" s="34" t="s">
        <v>20</v>
      </c>
      <c r="B7231" s="2">
        <v>44194</v>
      </c>
      <c r="C7231" s="1">
        <v>775</v>
      </c>
      <c r="D7231" s="47">
        <f t="shared" si="575"/>
        <v>126154</v>
      </c>
      <c r="E7231" s="1">
        <v>2</v>
      </c>
      <c r="F7231" s="47">
        <f t="shared" si="576"/>
        <v>2461</v>
      </c>
    </row>
    <row r="7232" spans="1:6" x14ac:dyDescent="0.25">
      <c r="A7232" s="34" t="s">
        <v>30</v>
      </c>
      <c r="B7232" s="2">
        <v>44194</v>
      </c>
      <c r="C7232" s="1">
        <v>216</v>
      </c>
      <c r="D7232" s="47">
        <f t="shared" si="575"/>
        <v>11782</v>
      </c>
      <c r="E7232" s="1">
        <v>5</v>
      </c>
      <c r="F7232" s="47">
        <f t="shared" si="576"/>
        <v>163</v>
      </c>
    </row>
    <row r="7233" spans="1:6" x14ac:dyDescent="0.25">
      <c r="A7233" s="34" t="s">
        <v>31</v>
      </c>
      <c r="B7233" s="2">
        <v>44194</v>
      </c>
      <c r="C7233" s="1">
        <v>327</v>
      </c>
      <c r="D7233" s="47">
        <f t="shared" si="575"/>
        <v>28583</v>
      </c>
      <c r="E7233" s="1">
        <v>2</v>
      </c>
      <c r="F7233" s="47">
        <f t="shared" si="576"/>
        <v>576</v>
      </c>
    </row>
    <row r="7234" spans="1:6" x14ac:dyDescent="0.25">
      <c r="A7234" s="34" t="s">
        <v>41</v>
      </c>
      <c r="B7234" s="2">
        <v>44194</v>
      </c>
      <c r="C7234" s="1">
        <v>-9</v>
      </c>
      <c r="D7234" s="47">
        <f t="shared" si="575"/>
        <v>212</v>
      </c>
      <c r="E7234" s="1">
        <v>0</v>
      </c>
      <c r="F7234" s="47">
        <f t="shared" si="576"/>
        <v>3</v>
      </c>
    </row>
    <row r="7235" spans="1:6" x14ac:dyDescent="0.25">
      <c r="A7235" s="34" t="s">
        <v>32</v>
      </c>
      <c r="B7235" s="2">
        <v>44194</v>
      </c>
      <c r="C7235" s="1">
        <v>14</v>
      </c>
      <c r="D7235" s="47">
        <f t="shared" si="575"/>
        <v>18523</v>
      </c>
      <c r="E7235" s="1">
        <v>0</v>
      </c>
      <c r="F7235" s="47">
        <f t="shared" si="576"/>
        <v>858</v>
      </c>
    </row>
    <row r="7236" spans="1:6" x14ac:dyDescent="0.25">
      <c r="A7236" s="34" t="s">
        <v>33</v>
      </c>
      <c r="B7236" s="2">
        <v>44194</v>
      </c>
      <c r="C7236" s="1">
        <v>314</v>
      </c>
      <c r="D7236" s="47">
        <f t="shared" si="575"/>
        <v>10228</v>
      </c>
      <c r="E7236" s="1">
        <v>0</v>
      </c>
      <c r="F7236" s="47">
        <f t="shared" si="576"/>
        <v>124</v>
      </c>
    </row>
    <row r="7237" spans="1:6" x14ac:dyDescent="0.25">
      <c r="A7237" s="34" t="s">
        <v>21</v>
      </c>
      <c r="B7237" s="2">
        <v>44194</v>
      </c>
      <c r="C7237" s="1">
        <v>3</v>
      </c>
      <c r="D7237" s="47">
        <f t="shared" si="575"/>
        <v>9075</v>
      </c>
      <c r="E7237" s="1">
        <v>0</v>
      </c>
      <c r="F7237" s="47">
        <f t="shared" si="576"/>
        <v>388</v>
      </c>
    </row>
    <row r="7238" spans="1:6" x14ac:dyDescent="0.25">
      <c r="A7238" s="34" t="s">
        <v>17</v>
      </c>
      <c r="B7238" s="2">
        <v>44194</v>
      </c>
      <c r="C7238" s="1">
        <v>161</v>
      </c>
      <c r="D7238" s="47">
        <f t="shared" si="575"/>
        <v>59847</v>
      </c>
      <c r="E7238" s="1">
        <v>7</v>
      </c>
      <c r="F7238" s="47">
        <f t="shared" si="576"/>
        <v>1229</v>
      </c>
    </row>
    <row r="7239" spans="1:6" x14ac:dyDescent="0.25">
      <c r="A7239" s="34" t="s">
        <v>23</v>
      </c>
      <c r="B7239" s="2">
        <v>44194</v>
      </c>
      <c r="C7239" s="1">
        <v>30</v>
      </c>
      <c r="D7239" s="47">
        <f t="shared" si="575"/>
        <v>1044</v>
      </c>
      <c r="E7239" s="1">
        <v>0</v>
      </c>
      <c r="F7239" s="47">
        <f t="shared" si="576"/>
        <v>11</v>
      </c>
    </row>
    <row r="7240" spans="1:6" x14ac:dyDescent="0.25">
      <c r="A7240" s="34" t="s">
        <v>19</v>
      </c>
      <c r="B7240" s="2">
        <v>44194</v>
      </c>
      <c r="C7240" s="1">
        <v>558</v>
      </c>
      <c r="D7240" s="47">
        <f t="shared" si="575"/>
        <v>40129</v>
      </c>
      <c r="E7240" s="1">
        <v>0</v>
      </c>
      <c r="F7240" s="47">
        <f t="shared" si="576"/>
        <v>688</v>
      </c>
    </row>
    <row r="7241" spans="1:6" x14ac:dyDescent="0.25">
      <c r="A7241" s="34" t="s">
        <v>18</v>
      </c>
      <c r="B7241" s="2">
        <v>44194</v>
      </c>
      <c r="C7241" s="1">
        <v>387</v>
      </c>
      <c r="D7241" s="47">
        <f t="shared" si="575"/>
        <v>37927</v>
      </c>
      <c r="E7241" s="1">
        <v>3</v>
      </c>
      <c r="F7241" s="47">
        <f t="shared" si="576"/>
        <v>893</v>
      </c>
    </row>
    <row r="7242" spans="1:6" x14ac:dyDescent="0.25">
      <c r="A7242" s="34" t="s">
        <v>34</v>
      </c>
      <c r="B7242" s="2">
        <v>44194</v>
      </c>
      <c r="C7242" s="1">
        <v>40</v>
      </c>
      <c r="D7242" s="47">
        <f t="shared" si="575"/>
        <v>22256</v>
      </c>
      <c r="E7242" s="1">
        <v>3</v>
      </c>
      <c r="F7242" s="47">
        <f t="shared" si="576"/>
        <v>1018</v>
      </c>
    </row>
    <row r="7243" spans="1:6" x14ac:dyDescent="0.25">
      <c r="A7243" s="34" t="s">
        <v>35</v>
      </c>
      <c r="B7243" s="2">
        <v>44194</v>
      </c>
      <c r="C7243" s="1">
        <v>305</v>
      </c>
      <c r="D7243" s="47">
        <f t="shared" si="575"/>
        <v>11355</v>
      </c>
      <c r="E7243" s="1">
        <v>1</v>
      </c>
      <c r="F7243" s="47">
        <f t="shared" si="576"/>
        <v>198</v>
      </c>
    </row>
    <row r="7244" spans="1:6" x14ac:dyDescent="0.25">
      <c r="A7244" s="34" t="s">
        <v>36</v>
      </c>
      <c r="B7244" s="2">
        <v>44194</v>
      </c>
      <c r="C7244" s="1">
        <v>55</v>
      </c>
      <c r="D7244" s="47">
        <f t="shared" si="575"/>
        <v>16121</v>
      </c>
      <c r="E7244" s="1">
        <v>4</v>
      </c>
      <c r="F7244" s="47">
        <f t="shared" si="576"/>
        <v>300</v>
      </c>
    </row>
    <row r="7245" spans="1:6" x14ac:dyDescent="0.25">
      <c r="A7245" s="34" t="s">
        <v>37</v>
      </c>
      <c r="B7245" s="2">
        <v>44194</v>
      </c>
      <c r="C7245" s="1">
        <v>397</v>
      </c>
      <c r="D7245" s="47">
        <f t="shared" si="575"/>
        <v>22901</v>
      </c>
      <c r="E7245" s="1">
        <v>4</v>
      </c>
      <c r="F7245" s="47">
        <f t="shared" si="576"/>
        <v>377</v>
      </c>
    </row>
    <row r="7246" spans="1:6" x14ac:dyDescent="0.25">
      <c r="A7246" s="34" t="s">
        <v>22</v>
      </c>
      <c r="B7246" s="2">
        <v>44194</v>
      </c>
      <c r="C7246" s="1">
        <v>1226</v>
      </c>
      <c r="D7246" s="47">
        <f t="shared" si="575"/>
        <v>173714</v>
      </c>
      <c r="E7246" s="1">
        <v>17</v>
      </c>
      <c r="F7246" s="47">
        <f t="shared" si="576"/>
        <v>2915</v>
      </c>
    </row>
    <row r="7247" spans="1:6" x14ac:dyDescent="0.25">
      <c r="A7247" s="34" t="s">
        <v>38</v>
      </c>
      <c r="B7247" s="2">
        <v>44194</v>
      </c>
      <c r="C7247" s="1">
        <v>75</v>
      </c>
      <c r="D7247" s="47">
        <f t="shared" si="575"/>
        <v>17207</v>
      </c>
      <c r="E7247" s="1">
        <v>1</v>
      </c>
      <c r="F7247" s="47">
        <f t="shared" si="576"/>
        <v>218</v>
      </c>
    </row>
    <row r="7248" spans="1:6" x14ac:dyDescent="0.25">
      <c r="A7248" s="34" t="s">
        <v>39</v>
      </c>
      <c r="B7248" s="2">
        <v>44194</v>
      </c>
      <c r="C7248" s="1">
        <v>159</v>
      </c>
      <c r="D7248" s="47">
        <f t="shared" si="575"/>
        <v>18961</v>
      </c>
      <c r="E7248" s="1">
        <v>0</v>
      </c>
      <c r="F7248" s="47">
        <f t="shared" si="576"/>
        <v>248</v>
      </c>
    </row>
    <row r="7249" spans="1:6" x14ac:dyDescent="0.25">
      <c r="A7249" s="34" t="s">
        <v>40</v>
      </c>
      <c r="B7249" s="2">
        <v>44194</v>
      </c>
      <c r="C7249" s="1">
        <v>276</v>
      </c>
      <c r="D7249" s="47">
        <f t="shared" si="575"/>
        <v>70843</v>
      </c>
      <c r="E7249" s="1">
        <v>17</v>
      </c>
      <c r="F7249" s="47">
        <f t="shared" si="576"/>
        <v>1353</v>
      </c>
    </row>
    <row r="7250" spans="1:6" x14ac:dyDescent="0.25">
      <c r="A7250" s="34" t="s">
        <v>16</v>
      </c>
      <c r="B7250" s="2">
        <v>44195</v>
      </c>
      <c r="C7250" s="1">
        <v>4761</v>
      </c>
      <c r="D7250" s="47">
        <f t="shared" ref="D7250:D7313" si="577">C7250+D7226</f>
        <v>680041</v>
      </c>
      <c r="E7250" s="1">
        <v>36</v>
      </c>
      <c r="F7250" s="47">
        <f t="shared" ref="F7250:F7313" si="578">E7250+F7226</f>
        <v>22292</v>
      </c>
    </row>
    <row r="7251" spans="1:6" x14ac:dyDescent="0.25">
      <c r="A7251" s="34" t="s">
        <v>43</v>
      </c>
      <c r="B7251" s="2">
        <v>44195</v>
      </c>
      <c r="C7251" s="1">
        <v>1076</v>
      </c>
      <c r="D7251" s="47">
        <f t="shared" si="577"/>
        <v>173262</v>
      </c>
      <c r="E7251" s="1">
        <v>15</v>
      </c>
      <c r="F7251" s="47">
        <f t="shared" si="578"/>
        <v>5499</v>
      </c>
    </row>
    <row r="7252" spans="1:6" x14ac:dyDescent="0.25">
      <c r="A7252" s="34" t="s">
        <v>28</v>
      </c>
      <c r="B7252" s="2">
        <v>44195</v>
      </c>
      <c r="C7252" s="1">
        <v>62</v>
      </c>
      <c r="D7252" s="47">
        <f t="shared" si="577"/>
        <v>2685</v>
      </c>
      <c r="E7252" s="1">
        <v>0</v>
      </c>
      <c r="F7252" s="47">
        <f t="shared" si="578"/>
        <v>17</v>
      </c>
    </row>
    <row r="7253" spans="1:6" x14ac:dyDescent="0.25">
      <c r="A7253" s="34" t="s">
        <v>15</v>
      </c>
      <c r="B7253" s="2">
        <v>44195</v>
      </c>
      <c r="C7253" s="1">
        <v>249</v>
      </c>
      <c r="D7253" s="47">
        <f t="shared" si="577"/>
        <v>24523</v>
      </c>
      <c r="E7253" s="1">
        <v>6</v>
      </c>
      <c r="F7253" s="47">
        <f t="shared" si="578"/>
        <v>692</v>
      </c>
    </row>
    <row r="7254" spans="1:6" x14ac:dyDescent="0.25">
      <c r="A7254" s="34" t="s">
        <v>29</v>
      </c>
      <c r="B7254" s="2">
        <v>44195</v>
      </c>
      <c r="C7254" s="1">
        <v>538</v>
      </c>
      <c r="D7254" s="47">
        <f t="shared" si="577"/>
        <v>31476</v>
      </c>
      <c r="E7254" s="1">
        <v>0</v>
      </c>
      <c r="F7254" s="47">
        <f t="shared" si="578"/>
        <v>493</v>
      </c>
    </row>
    <row r="7255" spans="1:6" x14ac:dyDescent="0.25">
      <c r="A7255" s="34" t="s">
        <v>20</v>
      </c>
      <c r="B7255" s="2">
        <v>44195</v>
      </c>
      <c r="C7255" s="1">
        <v>763</v>
      </c>
      <c r="D7255" s="47">
        <f t="shared" si="577"/>
        <v>126917</v>
      </c>
      <c r="E7255" s="1">
        <v>3</v>
      </c>
      <c r="F7255" s="47">
        <f t="shared" si="578"/>
        <v>2464</v>
      </c>
    </row>
    <row r="7256" spans="1:6" x14ac:dyDescent="0.25">
      <c r="A7256" s="34" t="s">
        <v>30</v>
      </c>
      <c r="B7256" s="2">
        <v>44195</v>
      </c>
      <c r="C7256" s="1">
        <v>118</v>
      </c>
      <c r="D7256" s="47">
        <f t="shared" si="577"/>
        <v>11900</v>
      </c>
      <c r="E7256" s="1">
        <v>6</v>
      </c>
      <c r="F7256" s="47">
        <f t="shared" si="578"/>
        <v>169</v>
      </c>
    </row>
    <row r="7257" spans="1:6" x14ac:dyDescent="0.25">
      <c r="A7257" s="34" t="s">
        <v>31</v>
      </c>
      <c r="B7257" s="2">
        <v>44195</v>
      </c>
      <c r="C7257" s="1">
        <v>419</v>
      </c>
      <c r="D7257" s="47">
        <f t="shared" si="577"/>
        <v>29002</v>
      </c>
      <c r="E7257" s="1">
        <v>4</v>
      </c>
      <c r="F7257" s="47">
        <f t="shared" si="578"/>
        <v>580</v>
      </c>
    </row>
    <row r="7258" spans="1:6" x14ac:dyDescent="0.25">
      <c r="A7258" s="34" t="s">
        <v>41</v>
      </c>
      <c r="B7258" s="2">
        <v>44195</v>
      </c>
      <c r="C7258" s="1">
        <v>0</v>
      </c>
      <c r="D7258" s="47">
        <f t="shared" si="577"/>
        <v>212</v>
      </c>
      <c r="E7258" s="1">
        <v>0</v>
      </c>
      <c r="F7258" s="47">
        <f t="shared" si="578"/>
        <v>3</v>
      </c>
    </row>
    <row r="7259" spans="1:6" x14ac:dyDescent="0.25">
      <c r="A7259" s="34" t="s">
        <v>32</v>
      </c>
      <c r="B7259" s="2">
        <v>44195</v>
      </c>
      <c r="C7259" s="1">
        <v>22</v>
      </c>
      <c r="D7259" s="47">
        <f t="shared" si="577"/>
        <v>18545</v>
      </c>
      <c r="E7259" s="1">
        <v>0</v>
      </c>
      <c r="F7259" s="47">
        <f t="shared" si="578"/>
        <v>858</v>
      </c>
    </row>
    <row r="7260" spans="1:6" x14ac:dyDescent="0.25">
      <c r="A7260" s="34" t="s">
        <v>33</v>
      </c>
      <c r="B7260" s="2">
        <v>44195</v>
      </c>
      <c r="C7260" s="1">
        <v>321</v>
      </c>
      <c r="D7260" s="47">
        <f t="shared" si="577"/>
        <v>10549</v>
      </c>
      <c r="E7260" s="1">
        <v>0</v>
      </c>
      <c r="F7260" s="47">
        <f t="shared" si="578"/>
        <v>124</v>
      </c>
    </row>
    <row r="7261" spans="1:6" x14ac:dyDescent="0.25">
      <c r="A7261" s="34" t="s">
        <v>21</v>
      </c>
      <c r="B7261" s="2">
        <v>44195</v>
      </c>
      <c r="C7261" s="1">
        <v>10</v>
      </c>
      <c r="D7261" s="47">
        <f t="shared" si="577"/>
        <v>9085</v>
      </c>
      <c r="E7261" s="1">
        <v>0</v>
      </c>
      <c r="F7261" s="47">
        <f t="shared" si="578"/>
        <v>388</v>
      </c>
    </row>
    <row r="7262" spans="1:6" x14ac:dyDescent="0.25">
      <c r="A7262" s="34" t="s">
        <v>17</v>
      </c>
      <c r="B7262" s="2">
        <v>44195</v>
      </c>
      <c r="C7262" s="1">
        <v>169</v>
      </c>
      <c r="D7262" s="47">
        <f t="shared" si="577"/>
        <v>60016</v>
      </c>
      <c r="E7262" s="1">
        <v>2</v>
      </c>
      <c r="F7262" s="47">
        <f t="shared" si="578"/>
        <v>1231</v>
      </c>
    </row>
    <row r="7263" spans="1:6" x14ac:dyDescent="0.25">
      <c r="A7263" s="34" t="s">
        <v>23</v>
      </c>
      <c r="B7263" s="2">
        <v>44195</v>
      </c>
      <c r="C7263" s="1">
        <v>32</v>
      </c>
      <c r="D7263" s="47">
        <f t="shared" si="577"/>
        <v>1076</v>
      </c>
      <c r="E7263" s="1">
        <v>0</v>
      </c>
      <c r="F7263" s="47">
        <f t="shared" si="578"/>
        <v>11</v>
      </c>
    </row>
    <row r="7264" spans="1:6" x14ac:dyDescent="0.25">
      <c r="A7264" s="34" t="s">
        <v>19</v>
      </c>
      <c r="B7264" s="2">
        <v>44195</v>
      </c>
      <c r="C7264" s="1">
        <v>518</v>
      </c>
      <c r="D7264" s="47">
        <f t="shared" si="577"/>
        <v>40647</v>
      </c>
      <c r="E7264" s="1">
        <v>23</v>
      </c>
      <c r="F7264" s="47">
        <f t="shared" si="578"/>
        <v>711</v>
      </c>
    </row>
    <row r="7265" spans="1:6" x14ac:dyDescent="0.25">
      <c r="A7265" s="34" t="s">
        <v>18</v>
      </c>
      <c r="B7265" s="2">
        <v>44195</v>
      </c>
      <c r="C7265" s="1">
        <v>387</v>
      </c>
      <c r="D7265" s="47">
        <f t="shared" si="577"/>
        <v>38314</v>
      </c>
      <c r="E7265" s="1">
        <v>7</v>
      </c>
      <c r="F7265" s="47">
        <f t="shared" si="578"/>
        <v>900</v>
      </c>
    </row>
    <row r="7266" spans="1:6" x14ac:dyDescent="0.25">
      <c r="A7266" s="34" t="s">
        <v>34</v>
      </c>
      <c r="B7266" s="2">
        <v>44195</v>
      </c>
      <c r="C7266" s="1">
        <v>52</v>
      </c>
      <c r="D7266" s="47">
        <f t="shared" si="577"/>
        <v>22308</v>
      </c>
      <c r="E7266" s="1">
        <v>1</v>
      </c>
      <c r="F7266" s="47">
        <f t="shared" si="578"/>
        <v>1019</v>
      </c>
    </row>
    <row r="7267" spans="1:6" x14ac:dyDescent="0.25">
      <c r="A7267" s="34" t="s">
        <v>35</v>
      </c>
      <c r="B7267" s="2">
        <v>44195</v>
      </c>
      <c r="C7267" s="1">
        <v>148</v>
      </c>
      <c r="D7267" s="47">
        <f t="shared" si="577"/>
        <v>11503</v>
      </c>
      <c r="E7267" s="1">
        <v>0</v>
      </c>
      <c r="F7267" s="47">
        <f t="shared" si="578"/>
        <v>198</v>
      </c>
    </row>
    <row r="7268" spans="1:6" x14ac:dyDescent="0.25">
      <c r="A7268" s="34" t="s">
        <v>36</v>
      </c>
      <c r="B7268" s="2">
        <v>44195</v>
      </c>
      <c r="C7268" s="1">
        <v>38</v>
      </c>
      <c r="D7268" s="47">
        <f t="shared" si="577"/>
        <v>16159</v>
      </c>
      <c r="E7268" s="1">
        <v>0</v>
      </c>
      <c r="F7268" s="47">
        <f t="shared" si="578"/>
        <v>300</v>
      </c>
    </row>
    <row r="7269" spans="1:6" x14ac:dyDescent="0.25">
      <c r="A7269" s="34" t="s">
        <v>37</v>
      </c>
      <c r="B7269" s="2">
        <v>44195</v>
      </c>
      <c r="C7269" s="1">
        <v>434</v>
      </c>
      <c r="D7269" s="47">
        <f t="shared" si="577"/>
        <v>23335</v>
      </c>
      <c r="E7269" s="1">
        <v>1</v>
      </c>
      <c r="F7269" s="47">
        <f t="shared" si="578"/>
        <v>378</v>
      </c>
    </row>
    <row r="7270" spans="1:6" x14ac:dyDescent="0.25">
      <c r="A7270" s="34" t="s">
        <v>22</v>
      </c>
      <c r="B7270" s="2">
        <v>44195</v>
      </c>
      <c r="C7270" s="1">
        <v>1307</v>
      </c>
      <c r="D7270" s="47">
        <f t="shared" si="577"/>
        <v>175021</v>
      </c>
      <c r="E7270" s="1">
        <v>25</v>
      </c>
      <c r="F7270" s="47">
        <f t="shared" si="578"/>
        <v>2940</v>
      </c>
    </row>
    <row r="7271" spans="1:6" x14ac:dyDescent="0.25">
      <c r="A7271" s="34" t="s">
        <v>38</v>
      </c>
      <c r="B7271" s="2">
        <v>44195</v>
      </c>
      <c r="C7271" s="1">
        <v>123</v>
      </c>
      <c r="D7271" s="47">
        <f t="shared" si="577"/>
        <v>17330</v>
      </c>
      <c r="E7271" s="1">
        <v>0</v>
      </c>
      <c r="F7271" s="47">
        <f t="shared" si="578"/>
        <v>218</v>
      </c>
    </row>
    <row r="7272" spans="1:6" x14ac:dyDescent="0.25">
      <c r="A7272" s="34" t="s">
        <v>39</v>
      </c>
      <c r="B7272" s="2">
        <v>44195</v>
      </c>
      <c r="C7272" s="1">
        <v>67</v>
      </c>
      <c r="D7272" s="47">
        <f t="shared" si="577"/>
        <v>19028</v>
      </c>
      <c r="E7272" s="1">
        <v>3</v>
      </c>
      <c r="F7272" s="47">
        <f t="shared" si="578"/>
        <v>251</v>
      </c>
    </row>
    <row r="7273" spans="1:6" x14ac:dyDescent="0.25">
      <c r="A7273" s="34" t="s">
        <v>40</v>
      </c>
      <c r="B7273" s="2">
        <v>44195</v>
      </c>
      <c r="C7273" s="300">
        <v>151</v>
      </c>
      <c r="D7273" s="47">
        <f t="shared" si="577"/>
        <v>70994</v>
      </c>
      <c r="E7273" s="1">
        <v>13</v>
      </c>
      <c r="F7273" s="47">
        <f t="shared" si="578"/>
        <v>1366</v>
      </c>
    </row>
    <row r="7274" spans="1:6" x14ac:dyDescent="0.25">
      <c r="A7274" s="34" t="s">
        <v>16</v>
      </c>
      <c r="B7274" s="37">
        <v>44196</v>
      </c>
      <c r="C7274" s="364">
        <v>4724</v>
      </c>
      <c r="D7274" s="365">
        <f t="shared" si="577"/>
        <v>684765</v>
      </c>
      <c r="E7274" s="1">
        <v>57</v>
      </c>
      <c r="F7274" s="47">
        <f t="shared" si="578"/>
        <v>22349</v>
      </c>
    </row>
    <row r="7275" spans="1:6" x14ac:dyDescent="0.25">
      <c r="A7275" s="34" t="s">
        <v>43</v>
      </c>
      <c r="B7275" s="37">
        <v>44196</v>
      </c>
      <c r="C7275" s="364">
        <v>1337</v>
      </c>
      <c r="D7275" s="365">
        <f t="shared" si="577"/>
        <v>174599</v>
      </c>
      <c r="E7275" s="1">
        <v>5</v>
      </c>
      <c r="F7275" s="47">
        <f t="shared" si="578"/>
        <v>5504</v>
      </c>
    </row>
    <row r="7276" spans="1:6" x14ac:dyDescent="0.25">
      <c r="A7276" s="34" t="s">
        <v>28</v>
      </c>
      <c r="B7276" s="37">
        <v>44196</v>
      </c>
      <c r="C7276" s="364">
        <v>82</v>
      </c>
      <c r="D7276" s="365">
        <f t="shared" si="577"/>
        <v>2767</v>
      </c>
      <c r="F7276" s="47">
        <f t="shared" si="578"/>
        <v>17</v>
      </c>
    </row>
    <row r="7277" spans="1:6" x14ac:dyDescent="0.25">
      <c r="A7277" s="34" t="s">
        <v>15</v>
      </c>
      <c r="B7277" s="37">
        <v>44196</v>
      </c>
      <c r="C7277" s="364">
        <v>259</v>
      </c>
      <c r="D7277" s="365">
        <f t="shared" si="577"/>
        <v>24782</v>
      </c>
      <c r="E7277" s="1">
        <v>2</v>
      </c>
      <c r="F7277" s="47">
        <f t="shared" si="578"/>
        <v>694</v>
      </c>
    </row>
    <row r="7278" spans="1:6" x14ac:dyDescent="0.25">
      <c r="A7278" s="34" t="s">
        <v>29</v>
      </c>
      <c r="B7278" s="37">
        <v>44196</v>
      </c>
      <c r="C7278" s="364">
        <v>455</v>
      </c>
      <c r="D7278" s="365">
        <f t="shared" si="577"/>
        <v>31931</v>
      </c>
      <c r="F7278" s="47">
        <f t="shared" si="578"/>
        <v>493</v>
      </c>
    </row>
    <row r="7279" spans="1:6" x14ac:dyDescent="0.25">
      <c r="A7279" s="34" t="s">
        <v>20</v>
      </c>
      <c r="B7279" s="37">
        <v>44196</v>
      </c>
      <c r="C7279" s="364">
        <v>780</v>
      </c>
      <c r="D7279" s="365">
        <f t="shared" si="577"/>
        <v>127697</v>
      </c>
      <c r="E7279" s="1">
        <v>5</v>
      </c>
      <c r="F7279" s="47">
        <f t="shared" si="578"/>
        <v>2469</v>
      </c>
    </row>
    <row r="7280" spans="1:6" x14ac:dyDescent="0.25">
      <c r="A7280" s="34" t="s">
        <v>30</v>
      </c>
      <c r="B7280" s="37">
        <v>44196</v>
      </c>
      <c r="C7280" s="364">
        <v>75</v>
      </c>
      <c r="D7280" s="365">
        <f t="shared" si="577"/>
        <v>11975</v>
      </c>
      <c r="F7280" s="47">
        <f t="shared" si="578"/>
        <v>169</v>
      </c>
    </row>
    <row r="7281" spans="1:6" x14ac:dyDescent="0.25">
      <c r="A7281" s="34" t="s">
        <v>31</v>
      </c>
      <c r="B7281" s="37">
        <v>44196</v>
      </c>
      <c r="C7281" s="364">
        <v>491</v>
      </c>
      <c r="D7281" s="365">
        <f t="shared" si="577"/>
        <v>29493</v>
      </c>
      <c r="E7281" s="1">
        <v>3</v>
      </c>
      <c r="F7281" s="47">
        <f t="shared" si="578"/>
        <v>583</v>
      </c>
    </row>
    <row r="7282" spans="1:6" x14ac:dyDescent="0.25">
      <c r="A7282" s="34" t="s">
        <v>41</v>
      </c>
      <c r="B7282" s="37">
        <v>44196</v>
      </c>
      <c r="C7282" s="364">
        <v>6</v>
      </c>
      <c r="D7282" s="365">
        <f t="shared" si="577"/>
        <v>218</v>
      </c>
      <c r="F7282" s="47">
        <f t="shared" si="578"/>
        <v>3</v>
      </c>
    </row>
    <row r="7283" spans="1:6" x14ac:dyDescent="0.25">
      <c r="A7283" s="34" t="s">
        <v>32</v>
      </c>
      <c r="B7283" s="37">
        <v>44196</v>
      </c>
      <c r="C7283" s="364">
        <v>6</v>
      </c>
      <c r="D7283" s="365">
        <f t="shared" si="577"/>
        <v>18551</v>
      </c>
      <c r="F7283" s="47">
        <f t="shared" si="578"/>
        <v>858</v>
      </c>
    </row>
    <row r="7284" spans="1:6" x14ac:dyDescent="0.25">
      <c r="A7284" s="34" t="s">
        <v>33</v>
      </c>
      <c r="B7284" s="37">
        <v>44196</v>
      </c>
      <c r="C7284" s="364">
        <v>302</v>
      </c>
      <c r="D7284" s="365">
        <f t="shared" si="577"/>
        <v>10851</v>
      </c>
      <c r="F7284" s="47">
        <f t="shared" si="578"/>
        <v>124</v>
      </c>
    </row>
    <row r="7285" spans="1:6" x14ac:dyDescent="0.25">
      <c r="A7285" s="34" t="s">
        <v>21</v>
      </c>
      <c r="B7285" s="37">
        <v>44196</v>
      </c>
      <c r="C7285" s="364">
        <v>9</v>
      </c>
      <c r="D7285" s="365">
        <f t="shared" si="577"/>
        <v>9094</v>
      </c>
      <c r="F7285" s="47">
        <f t="shared" si="578"/>
        <v>388</v>
      </c>
    </row>
    <row r="7286" spans="1:6" x14ac:dyDescent="0.25">
      <c r="A7286" s="34" t="s">
        <v>17</v>
      </c>
      <c r="B7286" s="37">
        <v>44196</v>
      </c>
      <c r="C7286" s="364">
        <v>131</v>
      </c>
      <c r="D7286" s="365">
        <f t="shared" si="577"/>
        <v>60147</v>
      </c>
      <c r="F7286" s="47">
        <f t="shared" si="578"/>
        <v>1231</v>
      </c>
    </row>
    <row r="7287" spans="1:6" x14ac:dyDescent="0.25">
      <c r="A7287" s="34" t="s">
        <v>23</v>
      </c>
      <c r="B7287" s="37">
        <v>44196</v>
      </c>
      <c r="C7287" s="364">
        <v>6</v>
      </c>
      <c r="D7287" s="365">
        <f t="shared" si="577"/>
        <v>1082</v>
      </c>
      <c r="E7287" s="1">
        <v>1</v>
      </c>
      <c r="F7287" s="47">
        <f t="shared" si="578"/>
        <v>12</v>
      </c>
    </row>
    <row r="7288" spans="1:6" x14ac:dyDescent="0.25">
      <c r="A7288" s="34" t="s">
        <v>19</v>
      </c>
      <c r="B7288" s="37">
        <v>44196</v>
      </c>
      <c r="C7288" s="364">
        <v>403</v>
      </c>
      <c r="D7288" s="365">
        <f t="shared" si="577"/>
        <v>41050</v>
      </c>
      <c r="F7288" s="47">
        <f t="shared" si="578"/>
        <v>711</v>
      </c>
    </row>
    <row r="7289" spans="1:6" x14ac:dyDescent="0.25">
      <c r="A7289" s="34" t="s">
        <v>18</v>
      </c>
      <c r="B7289" s="37">
        <v>44196</v>
      </c>
      <c r="C7289" s="364">
        <v>272</v>
      </c>
      <c r="D7289" s="365">
        <f t="shared" si="577"/>
        <v>38586</v>
      </c>
      <c r="E7289" s="1">
        <v>1</v>
      </c>
      <c r="F7289" s="47">
        <f t="shared" si="578"/>
        <v>901</v>
      </c>
    </row>
    <row r="7290" spans="1:6" x14ac:dyDescent="0.25">
      <c r="A7290" s="34" t="s">
        <v>34</v>
      </c>
      <c r="B7290" s="37">
        <v>44196</v>
      </c>
      <c r="C7290" s="364">
        <v>71</v>
      </c>
      <c r="D7290" s="365">
        <f t="shared" si="577"/>
        <v>22379</v>
      </c>
      <c r="E7290" s="1">
        <v>1</v>
      </c>
      <c r="F7290" s="47">
        <f t="shared" si="578"/>
        <v>1020</v>
      </c>
    </row>
    <row r="7291" spans="1:6" x14ac:dyDescent="0.25">
      <c r="A7291" s="34" t="s">
        <v>35</v>
      </c>
      <c r="B7291" s="37">
        <v>44196</v>
      </c>
      <c r="C7291" s="364">
        <v>45</v>
      </c>
      <c r="D7291" s="365">
        <f t="shared" si="577"/>
        <v>11548</v>
      </c>
      <c r="F7291" s="47">
        <f t="shared" si="578"/>
        <v>198</v>
      </c>
    </row>
    <row r="7292" spans="1:6" x14ac:dyDescent="0.25">
      <c r="A7292" s="34" t="s">
        <v>36</v>
      </c>
      <c r="B7292" s="37">
        <v>44196</v>
      </c>
      <c r="C7292" s="364">
        <v>32</v>
      </c>
      <c r="D7292" s="365">
        <f t="shared" si="577"/>
        <v>16191</v>
      </c>
      <c r="F7292" s="47">
        <f t="shared" si="578"/>
        <v>300</v>
      </c>
    </row>
    <row r="7293" spans="1:6" x14ac:dyDescent="0.25">
      <c r="A7293" s="34" t="s">
        <v>37</v>
      </c>
      <c r="B7293" s="37">
        <v>44196</v>
      </c>
      <c r="C7293" s="364">
        <v>420</v>
      </c>
      <c r="D7293" s="365">
        <f t="shared" si="577"/>
        <v>23755</v>
      </c>
      <c r="E7293" s="1">
        <v>1</v>
      </c>
      <c r="F7293" s="47">
        <f t="shared" si="578"/>
        <v>379</v>
      </c>
    </row>
    <row r="7294" spans="1:6" x14ac:dyDescent="0.25">
      <c r="A7294" s="34" t="s">
        <v>22</v>
      </c>
      <c r="B7294" s="37">
        <v>44196</v>
      </c>
      <c r="C7294" s="364">
        <v>1354</v>
      </c>
      <c r="D7294" s="365">
        <f t="shared" si="577"/>
        <v>176375</v>
      </c>
      <c r="E7294" s="1">
        <v>6</v>
      </c>
      <c r="F7294" s="47">
        <f t="shared" si="578"/>
        <v>2946</v>
      </c>
    </row>
    <row r="7295" spans="1:6" x14ac:dyDescent="0.25">
      <c r="A7295" s="34" t="s">
        <v>38</v>
      </c>
      <c r="B7295" s="37">
        <v>44196</v>
      </c>
      <c r="C7295" s="364">
        <v>100</v>
      </c>
      <c r="D7295" s="365">
        <f t="shared" si="577"/>
        <v>17430</v>
      </c>
      <c r="F7295" s="47">
        <f t="shared" si="578"/>
        <v>218</v>
      </c>
    </row>
    <row r="7296" spans="1:6" x14ac:dyDescent="0.25">
      <c r="A7296" s="34" t="s">
        <v>39</v>
      </c>
      <c r="B7296" s="37">
        <v>44196</v>
      </c>
      <c r="C7296" s="364">
        <v>111</v>
      </c>
      <c r="D7296" s="365">
        <f t="shared" si="577"/>
        <v>19139</v>
      </c>
      <c r="E7296" s="1">
        <v>1</v>
      </c>
      <c r="F7296" s="47">
        <f t="shared" si="578"/>
        <v>252</v>
      </c>
    </row>
    <row r="7297" spans="1:6" x14ac:dyDescent="0.25">
      <c r="A7297" s="34" t="s">
        <v>40</v>
      </c>
      <c r="B7297" s="37">
        <v>44196</v>
      </c>
      <c r="C7297" s="364">
        <v>116</v>
      </c>
      <c r="D7297" s="365">
        <f t="shared" si="577"/>
        <v>71110</v>
      </c>
      <c r="F7297" s="47">
        <f t="shared" si="578"/>
        <v>1366</v>
      </c>
    </row>
    <row r="7298" spans="1:6" x14ac:dyDescent="0.25">
      <c r="A7298" s="34" t="s">
        <v>16</v>
      </c>
      <c r="B7298" s="37">
        <v>44197</v>
      </c>
      <c r="C7298" s="293">
        <v>1486</v>
      </c>
      <c r="D7298" s="365">
        <f t="shared" si="577"/>
        <v>686251</v>
      </c>
      <c r="E7298" s="1">
        <v>64</v>
      </c>
      <c r="F7298" s="47">
        <f t="shared" si="578"/>
        <v>22413</v>
      </c>
    </row>
    <row r="7299" spans="1:6" x14ac:dyDescent="0.25">
      <c r="A7299" s="34" t="s">
        <v>43</v>
      </c>
      <c r="B7299" s="37">
        <v>44197</v>
      </c>
      <c r="C7299" s="1">
        <v>574</v>
      </c>
      <c r="D7299" s="365">
        <f t="shared" si="577"/>
        <v>175173</v>
      </c>
      <c r="E7299" s="1">
        <v>6</v>
      </c>
      <c r="F7299" s="47">
        <f t="shared" si="578"/>
        <v>5510</v>
      </c>
    </row>
    <row r="7300" spans="1:6" x14ac:dyDescent="0.25">
      <c r="A7300" s="34" t="s">
        <v>28</v>
      </c>
      <c r="B7300" s="37">
        <v>44197</v>
      </c>
      <c r="C7300" s="1">
        <v>0</v>
      </c>
      <c r="D7300" s="365">
        <f t="shared" si="577"/>
        <v>2767</v>
      </c>
      <c r="F7300" s="47">
        <f t="shared" si="578"/>
        <v>17</v>
      </c>
    </row>
    <row r="7301" spans="1:6" x14ac:dyDescent="0.25">
      <c r="A7301" s="34" t="s">
        <v>15</v>
      </c>
      <c r="B7301" s="37">
        <v>44197</v>
      </c>
      <c r="C7301" s="1">
        <v>101</v>
      </c>
      <c r="D7301" s="365">
        <f t="shared" si="577"/>
        <v>24883</v>
      </c>
      <c r="E7301" s="1">
        <v>1</v>
      </c>
      <c r="F7301" s="47">
        <f t="shared" si="578"/>
        <v>695</v>
      </c>
    </row>
    <row r="7302" spans="1:6" x14ac:dyDescent="0.25">
      <c r="A7302" s="34" t="s">
        <v>29</v>
      </c>
      <c r="B7302" s="37">
        <v>44197</v>
      </c>
      <c r="C7302" s="1">
        <v>117</v>
      </c>
      <c r="D7302" s="365">
        <f t="shared" si="577"/>
        <v>32048</v>
      </c>
      <c r="F7302" s="47">
        <f t="shared" si="578"/>
        <v>493</v>
      </c>
    </row>
    <row r="7303" spans="1:6" x14ac:dyDescent="0.25">
      <c r="A7303" s="34" t="s">
        <v>20</v>
      </c>
      <c r="B7303" s="37">
        <v>44197</v>
      </c>
      <c r="C7303" s="1">
        <v>244</v>
      </c>
      <c r="D7303" s="365">
        <f t="shared" si="577"/>
        <v>127941</v>
      </c>
      <c r="F7303" s="47">
        <f t="shared" si="578"/>
        <v>2469</v>
      </c>
    </row>
    <row r="7304" spans="1:6" x14ac:dyDescent="0.25">
      <c r="A7304" s="34" t="s">
        <v>30</v>
      </c>
      <c r="B7304" s="37">
        <v>44197</v>
      </c>
      <c r="C7304" s="1">
        <v>40</v>
      </c>
      <c r="D7304" s="365">
        <f t="shared" si="577"/>
        <v>12015</v>
      </c>
      <c r="F7304" s="47">
        <f t="shared" si="578"/>
        <v>169</v>
      </c>
    </row>
    <row r="7305" spans="1:6" x14ac:dyDescent="0.25">
      <c r="A7305" s="34" t="s">
        <v>31</v>
      </c>
      <c r="B7305" s="37">
        <v>44197</v>
      </c>
      <c r="C7305" s="1">
        <v>259</v>
      </c>
      <c r="D7305" s="365">
        <f t="shared" si="577"/>
        <v>29752</v>
      </c>
      <c r="F7305" s="47">
        <f t="shared" si="578"/>
        <v>583</v>
      </c>
    </row>
    <row r="7306" spans="1:6" x14ac:dyDescent="0.25">
      <c r="A7306" s="34" t="s">
        <v>41</v>
      </c>
      <c r="B7306" s="37">
        <v>44197</v>
      </c>
      <c r="C7306" s="1">
        <v>1</v>
      </c>
      <c r="D7306" s="365">
        <f t="shared" si="577"/>
        <v>219</v>
      </c>
      <c r="F7306" s="47">
        <f t="shared" si="578"/>
        <v>3</v>
      </c>
    </row>
    <row r="7307" spans="1:6" x14ac:dyDescent="0.25">
      <c r="A7307" s="34" t="s">
        <v>32</v>
      </c>
      <c r="B7307" s="37">
        <v>44197</v>
      </c>
      <c r="C7307" s="1">
        <v>12</v>
      </c>
      <c r="D7307" s="365">
        <f t="shared" si="577"/>
        <v>18563</v>
      </c>
      <c r="F7307" s="47">
        <f t="shared" si="578"/>
        <v>858</v>
      </c>
    </row>
    <row r="7308" spans="1:6" x14ac:dyDescent="0.25">
      <c r="A7308" s="34" t="s">
        <v>33</v>
      </c>
      <c r="B7308" s="37">
        <v>44197</v>
      </c>
      <c r="C7308" s="1">
        <v>226</v>
      </c>
      <c r="D7308" s="365">
        <f t="shared" si="577"/>
        <v>11077</v>
      </c>
      <c r="F7308" s="47">
        <f t="shared" si="578"/>
        <v>124</v>
      </c>
    </row>
    <row r="7309" spans="1:6" x14ac:dyDescent="0.25">
      <c r="A7309" s="34" t="s">
        <v>21</v>
      </c>
      <c r="B7309" s="37">
        <v>44197</v>
      </c>
      <c r="C7309" s="1">
        <v>18</v>
      </c>
      <c r="D7309" s="365">
        <f t="shared" si="577"/>
        <v>9112</v>
      </c>
      <c r="F7309" s="47">
        <f t="shared" si="578"/>
        <v>388</v>
      </c>
    </row>
    <row r="7310" spans="1:6" x14ac:dyDescent="0.25">
      <c r="A7310" s="34" t="s">
        <v>17</v>
      </c>
      <c r="B7310" s="37">
        <v>44197</v>
      </c>
      <c r="C7310" s="1">
        <v>41</v>
      </c>
      <c r="D7310" s="365">
        <f t="shared" si="577"/>
        <v>60188</v>
      </c>
      <c r="F7310" s="47">
        <f t="shared" si="578"/>
        <v>1231</v>
      </c>
    </row>
    <row r="7311" spans="1:6" x14ac:dyDescent="0.25">
      <c r="A7311" s="34" t="s">
        <v>23</v>
      </c>
      <c r="B7311" s="37">
        <v>44197</v>
      </c>
      <c r="C7311" s="1">
        <v>0</v>
      </c>
      <c r="D7311" s="365">
        <f t="shared" si="577"/>
        <v>1082</v>
      </c>
      <c r="F7311" s="47">
        <f t="shared" si="578"/>
        <v>12</v>
      </c>
    </row>
    <row r="7312" spans="1:6" x14ac:dyDescent="0.25">
      <c r="A7312" s="34" t="s">
        <v>19</v>
      </c>
      <c r="B7312" s="37">
        <v>44197</v>
      </c>
      <c r="C7312" s="1">
        <v>199</v>
      </c>
      <c r="D7312" s="365">
        <f t="shared" si="577"/>
        <v>41249</v>
      </c>
      <c r="F7312" s="47">
        <f t="shared" si="578"/>
        <v>711</v>
      </c>
    </row>
    <row r="7313" spans="1:6" x14ac:dyDescent="0.25">
      <c r="A7313" s="34" t="s">
        <v>18</v>
      </c>
      <c r="B7313" s="37">
        <v>44197</v>
      </c>
      <c r="C7313" s="1">
        <v>114</v>
      </c>
      <c r="D7313" s="365">
        <f t="shared" si="577"/>
        <v>38700</v>
      </c>
      <c r="F7313" s="47">
        <f t="shared" si="578"/>
        <v>901</v>
      </c>
    </row>
    <row r="7314" spans="1:6" x14ac:dyDescent="0.25">
      <c r="A7314" s="34" t="s">
        <v>34</v>
      </c>
      <c r="B7314" s="37">
        <v>44197</v>
      </c>
      <c r="C7314" s="1">
        <v>14</v>
      </c>
      <c r="D7314" s="365">
        <f t="shared" ref="D7314:D7377" si="579">C7314+D7290</f>
        <v>22393</v>
      </c>
      <c r="F7314" s="47">
        <f t="shared" ref="F7314:F7377" si="580">E7314+F7290</f>
        <v>1020</v>
      </c>
    </row>
    <row r="7315" spans="1:6" x14ac:dyDescent="0.25">
      <c r="A7315" s="34" t="s">
        <v>35</v>
      </c>
      <c r="B7315" s="37">
        <v>44197</v>
      </c>
      <c r="C7315" s="1">
        <v>13</v>
      </c>
      <c r="D7315" s="365">
        <f t="shared" si="579"/>
        <v>11561</v>
      </c>
      <c r="F7315" s="47">
        <f t="shared" si="580"/>
        <v>198</v>
      </c>
    </row>
    <row r="7316" spans="1:6" x14ac:dyDescent="0.25">
      <c r="A7316" s="34" t="s">
        <v>36</v>
      </c>
      <c r="B7316" s="37">
        <v>44197</v>
      </c>
      <c r="C7316" s="1">
        <v>8</v>
      </c>
      <c r="D7316" s="365">
        <f t="shared" si="579"/>
        <v>16199</v>
      </c>
      <c r="F7316" s="47">
        <f t="shared" si="580"/>
        <v>300</v>
      </c>
    </row>
    <row r="7317" spans="1:6" x14ac:dyDescent="0.25">
      <c r="A7317" s="34" t="s">
        <v>37</v>
      </c>
      <c r="B7317" s="37">
        <v>44197</v>
      </c>
      <c r="C7317" s="1">
        <v>134</v>
      </c>
      <c r="D7317" s="365">
        <f t="shared" si="579"/>
        <v>23889</v>
      </c>
      <c r="E7317" s="1">
        <v>1</v>
      </c>
      <c r="F7317" s="47">
        <f t="shared" si="580"/>
        <v>380</v>
      </c>
    </row>
    <row r="7318" spans="1:6" x14ac:dyDescent="0.25">
      <c r="A7318" s="34" t="s">
        <v>22</v>
      </c>
      <c r="B7318" s="37">
        <v>44197</v>
      </c>
      <c r="C7318" s="1">
        <v>352</v>
      </c>
      <c r="D7318" s="365">
        <f t="shared" si="579"/>
        <v>176727</v>
      </c>
      <c r="F7318" s="47">
        <f t="shared" si="580"/>
        <v>2946</v>
      </c>
    </row>
    <row r="7319" spans="1:6" x14ac:dyDescent="0.25">
      <c r="A7319" s="34" t="s">
        <v>38</v>
      </c>
      <c r="B7319" s="37">
        <v>44197</v>
      </c>
      <c r="C7319" s="1">
        <v>9</v>
      </c>
      <c r="D7319" s="365">
        <f t="shared" si="579"/>
        <v>17439</v>
      </c>
      <c r="F7319" s="47">
        <f t="shared" si="580"/>
        <v>218</v>
      </c>
    </row>
    <row r="7320" spans="1:6" x14ac:dyDescent="0.25">
      <c r="A7320" s="34" t="s">
        <v>39</v>
      </c>
      <c r="B7320" s="37">
        <v>44197</v>
      </c>
      <c r="C7320" s="1">
        <v>82</v>
      </c>
      <c r="D7320" s="365">
        <f t="shared" si="579"/>
        <v>19221</v>
      </c>
      <c r="F7320" s="47">
        <f t="shared" si="580"/>
        <v>252</v>
      </c>
    </row>
    <row r="7321" spans="1:6" x14ac:dyDescent="0.25">
      <c r="A7321" s="34" t="s">
        <v>40</v>
      </c>
      <c r="B7321" s="37">
        <v>44197</v>
      </c>
      <c r="C7321" s="1">
        <v>35</v>
      </c>
      <c r="D7321" s="365">
        <f t="shared" si="579"/>
        <v>71145</v>
      </c>
      <c r="F7321" s="47">
        <f t="shared" si="580"/>
        <v>1366</v>
      </c>
    </row>
    <row r="7322" spans="1:6" x14ac:dyDescent="0.25">
      <c r="A7322" s="34" t="s">
        <v>16</v>
      </c>
      <c r="B7322" s="37">
        <v>44198</v>
      </c>
      <c r="C7322" s="1">
        <v>2098</v>
      </c>
      <c r="D7322" s="365">
        <f t="shared" si="579"/>
        <v>688349</v>
      </c>
      <c r="E7322" s="1">
        <v>13</v>
      </c>
      <c r="F7322" s="47">
        <f t="shared" si="580"/>
        <v>22426</v>
      </c>
    </row>
    <row r="7323" spans="1:6" x14ac:dyDescent="0.25">
      <c r="A7323" s="34" t="s">
        <v>43</v>
      </c>
      <c r="B7323" s="37">
        <v>44198</v>
      </c>
      <c r="C7323" s="1">
        <v>495</v>
      </c>
      <c r="D7323" s="365">
        <f t="shared" si="579"/>
        <v>175668</v>
      </c>
      <c r="E7323" s="1">
        <v>13</v>
      </c>
      <c r="F7323" s="47">
        <f t="shared" si="580"/>
        <v>5523</v>
      </c>
    </row>
    <row r="7324" spans="1:6" x14ac:dyDescent="0.25">
      <c r="A7324" s="34" t="s">
        <v>28</v>
      </c>
      <c r="B7324" s="37">
        <v>44198</v>
      </c>
      <c r="C7324" s="1">
        <v>51</v>
      </c>
      <c r="D7324" s="365">
        <f t="shared" si="579"/>
        <v>2818</v>
      </c>
      <c r="E7324" s="1">
        <v>0</v>
      </c>
      <c r="F7324" s="47">
        <f t="shared" si="580"/>
        <v>17</v>
      </c>
    </row>
    <row r="7325" spans="1:6" x14ac:dyDescent="0.25">
      <c r="A7325" s="34" t="s">
        <v>15</v>
      </c>
      <c r="B7325" s="37">
        <v>44198</v>
      </c>
      <c r="C7325" s="1">
        <v>152</v>
      </c>
      <c r="D7325" s="365">
        <f t="shared" si="579"/>
        <v>25035</v>
      </c>
      <c r="E7325" s="1">
        <v>4</v>
      </c>
      <c r="F7325" s="47">
        <f t="shared" si="580"/>
        <v>699</v>
      </c>
    </row>
    <row r="7326" spans="1:6" x14ac:dyDescent="0.25">
      <c r="A7326" s="34" t="s">
        <v>29</v>
      </c>
      <c r="B7326" s="37">
        <v>44198</v>
      </c>
      <c r="C7326" s="1">
        <v>204</v>
      </c>
      <c r="D7326" s="365">
        <f t="shared" si="579"/>
        <v>32252</v>
      </c>
      <c r="E7326" s="1">
        <v>1</v>
      </c>
      <c r="F7326" s="47">
        <f t="shared" si="580"/>
        <v>494</v>
      </c>
    </row>
    <row r="7327" spans="1:6" x14ac:dyDescent="0.25">
      <c r="A7327" s="34" t="s">
        <v>20</v>
      </c>
      <c r="B7327" s="37">
        <v>44198</v>
      </c>
      <c r="C7327" s="1">
        <v>83</v>
      </c>
      <c r="D7327" s="365">
        <f t="shared" si="579"/>
        <v>128024</v>
      </c>
      <c r="E7327" s="1">
        <v>2</v>
      </c>
      <c r="F7327" s="47">
        <f t="shared" si="580"/>
        <v>2471</v>
      </c>
    </row>
    <row r="7328" spans="1:6" x14ac:dyDescent="0.25">
      <c r="A7328" s="34" t="s">
        <v>30</v>
      </c>
      <c r="B7328" s="37">
        <v>44198</v>
      </c>
      <c r="C7328" s="1">
        <v>103</v>
      </c>
      <c r="D7328" s="365">
        <f t="shared" si="579"/>
        <v>12118</v>
      </c>
      <c r="E7328" s="1">
        <v>0</v>
      </c>
      <c r="F7328" s="47">
        <f t="shared" si="580"/>
        <v>169</v>
      </c>
    </row>
    <row r="7329" spans="1:6" x14ac:dyDescent="0.25">
      <c r="A7329" s="34" t="s">
        <v>31</v>
      </c>
      <c r="B7329" s="37">
        <v>44198</v>
      </c>
      <c r="C7329" s="1">
        <v>143</v>
      </c>
      <c r="D7329" s="365">
        <f t="shared" si="579"/>
        <v>29895</v>
      </c>
      <c r="E7329" s="1">
        <v>4</v>
      </c>
      <c r="F7329" s="47">
        <f t="shared" si="580"/>
        <v>587</v>
      </c>
    </row>
    <row r="7330" spans="1:6" x14ac:dyDescent="0.25">
      <c r="A7330" s="34" t="s">
        <v>41</v>
      </c>
      <c r="B7330" s="37">
        <v>44198</v>
      </c>
      <c r="C7330" s="1">
        <v>1</v>
      </c>
      <c r="D7330" s="365">
        <f t="shared" si="579"/>
        <v>220</v>
      </c>
      <c r="E7330" s="1">
        <v>0</v>
      </c>
      <c r="F7330" s="47">
        <f t="shared" si="580"/>
        <v>3</v>
      </c>
    </row>
    <row r="7331" spans="1:6" x14ac:dyDescent="0.25">
      <c r="A7331" s="34" t="s">
        <v>32</v>
      </c>
      <c r="B7331" s="37">
        <v>44198</v>
      </c>
      <c r="C7331" s="1">
        <v>-1</v>
      </c>
      <c r="D7331" s="365">
        <f t="shared" si="579"/>
        <v>18562</v>
      </c>
      <c r="E7331" s="1">
        <v>0</v>
      </c>
      <c r="F7331" s="47">
        <f t="shared" si="580"/>
        <v>858</v>
      </c>
    </row>
    <row r="7332" spans="1:6" x14ac:dyDescent="0.25">
      <c r="A7332" s="34" t="s">
        <v>33</v>
      </c>
      <c r="B7332" s="37">
        <v>44198</v>
      </c>
      <c r="C7332" s="1">
        <v>197</v>
      </c>
      <c r="D7332" s="365">
        <f t="shared" si="579"/>
        <v>11274</v>
      </c>
      <c r="E7332" s="1">
        <v>0</v>
      </c>
      <c r="F7332" s="47">
        <f t="shared" si="580"/>
        <v>124</v>
      </c>
    </row>
    <row r="7333" spans="1:6" x14ac:dyDescent="0.25">
      <c r="A7333" s="34" t="s">
        <v>21</v>
      </c>
      <c r="B7333" s="37">
        <v>44198</v>
      </c>
      <c r="C7333" s="1">
        <v>9</v>
      </c>
      <c r="D7333" s="365">
        <f t="shared" si="579"/>
        <v>9121</v>
      </c>
      <c r="E7333" s="1">
        <v>0</v>
      </c>
      <c r="F7333" s="47">
        <f t="shared" si="580"/>
        <v>388</v>
      </c>
    </row>
    <row r="7334" spans="1:6" x14ac:dyDescent="0.25">
      <c r="A7334" s="34" t="s">
        <v>17</v>
      </c>
      <c r="B7334" s="37">
        <v>44198</v>
      </c>
      <c r="C7334" s="1">
        <v>65</v>
      </c>
      <c r="D7334" s="365">
        <f t="shared" si="579"/>
        <v>60253</v>
      </c>
      <c r="E7334" s="1">
        <v>0</v>
      </c>
      <c r="F7334" s="47">
        <f t="shared" si="580"/>
        <v>1231</v>
      </c>
    </row>
    <row r="7335" spans="1:6" x14ac:dyDescent="0.25">
      <c r="A7335" s="34" t="s">
        <v>23</v>
      </c>
      <c r="B7335" s="37">
        <v>44198</v>
      </c>
      <c r="C7335" s="1">
        <v>2</v>
      </c>
      <c r="D7335" s="365">
        <f t="shared" si="579"/>
        <v>1084</v>
      </c>
      <c r="E7335" s="1">
        <v>0</v>
      </c>
      <c r="F7335" s="47">
        <f t="shared" si="580"/>
        <v>12</v>
      </c>
    </row>
    <row r="7336" spans="1:6" x14ac:dyDescent="0.25">
      <c r="A7336" s="34" t="s">
        <v>19</v>
      </c>
      <c r="B7336" s="37">
        <v>44198</v>
      </c>
      <c r="C7336" s="1">
        <v>305</v>
      </c>
      <c r="D7336" s="365">
        <f t="shared" si="579"/>
        <v>41554</v>
      </c>
      <c r="E7336" s="1">
        <v>0</v>
      </c>
      <c r="F7336" s="47">
        <f t="shared" si="580"/>
        <v>711</v>
      </c>
    </row>
    <row r="7337" spans="1:6" x14ac:dyDescent="0.25">
      <c r="A7337" s="34" t="s">
        <v>18</v>
      </c>
      <c r="B7337" s="37">
        <v>44198</v>
      </c>
      <c r="C7337" s="1">
        <v>160</v>
      </c>
      <c r="D7337" s="365">
        <f t="shared" si="579"/>
        <v>38860</v>
      </c>
      <c r="E7337" s="1">
        <v>3</v>
      </c>
      <c r="F7337" s="47">
        <f t="shared" si="580"/>
        <v>904</v>
      </c>
    </row>
    <row r="7338" spans="1:6" x14ac:dyDescent="0.25">
      <c r="A7338" s="34" t="s">
        <v>34</v>
      </c>
      <c r="B7338" s="37">
        <v>44198</v>
      </c>
      <c r="C7338" s="1">
        <v>12</v>
      </c>
      <c r="D7338" s="365">
        <f t="shared" si="579"/>
        <v>22405</v>
      </c>
      <c r="E7338" s="1">
        <v>0</v>
      </c>
      <c r="F7338" s="47">
        <f t="shared" si="580"/>
        <v>1020</v>
      </c>
    </row>
    <row r="7339" spans="1:6" x14ac:dyDescent="0.25">
      <c r="A7339" s="34" t="s">
        <v>35</v>
      </c>
      <c r="B7339" s="37">
        <v>44198</v>
      </c>
      <c r="C7339" s="1">
        <v>4</v>
      </c>
      <c r="D7339" s="365">
        <f t="shared" si="579"/>
        <v>11565</v>
      </c>
      <c r="E7339" s="1">
        <v>0</v>
      </c>
      <c r="F7339" s="47">
        <f t="shared" si="580"/>
        <v>198</v>
      </c>
    </row>
    <row r="7340" spans="1:6" x14ac:dyDescent="0.25">
      <c r="A7340" s="34" t="s">
        <v>36</v>
      </c>
      <c r="B7340" s="37">
        <v>44198</v>
      </c>
      <c r="C7340" s="1">
        <v>2</v>
      </c>
      <c r="D7340" s="365">
        <f t="shared" si="579"/>
        <v>16201</v>
      </c>
      <c r="E7340" s="1">
        <v>0</v>
      </c>
      <c r="F7340" s="47">
        <f t="shared" si="580"/>
        <v>300</v>
      </c>
    </row>
    <row r="7341" spans="1:6" x14ac:dyDescent="0.25">
      <c r="A7341" s="34" t="s">
        <v>37</v>
      </c>
      <c r="B7341" s="37">
        <v>44198</v>
      </c>
      <c r="C7341" s="1">
        <v>305</v>
      </c>
      <c r="D7341" s="365">
        <f t="shared" si="579"/>
        <v>24194</v>
      </c>
      <c r="E7341" s="1">
        <v>2</v>
      </c>
      <c r="F7341" s="47">
        <f t="shared" si="580"/>
        <v>382</v>
      </c>
    </row>
    <row r="7342" spans="1:6" x14ac:dyDescent="0.25">
      <c r="A7342" s="34" t="s">
        <v>22</v>
      </c>
      <c r="B7342" s="37">
        <v>44198</v>
      </c>
      <c r="C7342" s="1">
        <v>568</v>
      </c>
      <c r="D7342" s="365">
        <f t="shared" si="579"/>
        <v>177295</v>
      </c>
      <c r="E7342" s="1">
        <v>14</v>
      </c>
      <c r="F7342" s="47">
        <f t="shared" si="580"/>
        <v>2960</v>
      </c>
    </row>
    <row r="7343" spans="1:6" x14ac:dyDescent="0.25">
      <c r="A7343" s="34" t="s">
        <v>38</v>
      </c>
      <c r="B7343" s="37">
        <v>44198</v>
      </c>
      <c r="C7343" s="1">
        <v>128</v>
      </c>
      <c r="D7343" s="365">
        <f t="shared" si="579"/>
        <v>17567</v>
      </c>
      <c r="E7343" s="1">
        <v>0</v>
      </c>
      <c r="F7343" s="47">
        <f t="shared" si="580"/>
        <v>218</v>
      </c>
    </row>
    <row r="7344" spans="1:6" x14ac:dyDescent="0.25">
      <c r="A7344" s="34" t="s">
        <v>39</v>
      </c>
      <c r="B7344" s="37">
        <v>44198</v>
      </c>
      <c r="C7344" s="1">
        <v>108</v>
      </c>
      <c r="D7344" s="365">
        <f t="shared" si="579"/>
        <v>19329</v>
      </c>
      <c r="E7344" s="1">
        <v>1</v>
      </c>
      <c r="F7344" s="47">
        <f t="shared" si="580"/>
        <v>253</v>
      </c>
    </row>
    <row r="7345" spans="1:6" x14ac:dyDescent="0.25">
      <c r="A7345" s="34" t="s">
        <v>40</v>
      </c>
      <c r="B7345" s="37">
        <v>44198</v>
      </c>
      <c r="C7345" s="1">
        <v>46</v>
      </c>
      <c r="D7345" s="365">
        <f t="shared" si="579"/>
        <v>71191</v>
      </c>
      <c r="E7345" s="1">
        <v>0</v>
      </c>
      <c r="F7345" s="47">
        <f t="shared" si="580"/>
        <v>1366</v>
      </c>
    </row>
    <row r="7346" spans="1:6" x14ac:dyDescent="0.25">
      <c r="A7346" s="34" t="s">
        <v>16</v>
      </c>
      <c r="B7346" s="37">
        <v>44199</v>
      </c>
      <c r="C7346" s="1">
        <v>2034</v>
      </c>
      <c r="D7346" s="365">
        <f t="shared" si="579"/>
        <v>690383</v>
      </c>
      <c r="E7346" s="1">
        <v>63</v>
      </c>
      <c r="F7346" s="47">
        <f t="shared" si="580"/>
        <v>22489</v>
      </c>
    </row>
    <row r="7347" spans="1:6" x14ac:dyDescent="0.25">
      <c r="A7347" s="34" t="s">
        <v>43</v>
      </c>
      <c r="B7347" s="37">
        <v>44199</v>
      </c>
      <c r="C7347" s="1">
        <v>827</v>
      </c>
      <c r="D7347" s="365">
        <f t="shared" si="579"/>
        <v>176495</v>
      </c>
      <c r="E7347" s="1">
        <v>2</v>
      </c>
      <c r="F7347" s="47">
        <f t="shared" si="580"/>
        <v>5525</v>
      </c>
    </row>
    <row r="7348" spans="1:6" x14ac:dyDescent="0.25">
      <c r="A7348" s="34" t="s">
        <v>28</v>
      </c>
      <c r="B7348" s="37">
        <v>44199</v>
      </c>
      <c r="C7348" s="1">
        <v>33</v>
      </c>
      <c r="D7348" s="365">
        <f t="shared" si="579"/>
        <v>2851</v>
      </c>
      <c r="E7348" s="1">
        <v>0</v>
      </c>
      <c r="F7348" s="47">
        <f t="shared" si="580"/>
        <v>17</v>
      </c>
    </row>
    <row r="7349" spans="1:6" x14ac:dyDescent="0.25">
      <c r="A7349" s="34" t="s">
        <v>15</v>
      </c>
      <c r="B7349" s="37">
        <v>44199</v>
      </c>
      <c r="C7349" s="1">
        <v>113</v>
      </c>
      <c r="D7349" s="365">
        <f t="shared" si="579"/>
        <v>25148</v>
      </c>
      <c r="E7349" s="1">
        <v>2</v>
      </c>
      <c r="F7349" s="47">
        <f t="shared" si="580"/>
        <v>701</v>
      </c>
    </row>
    <row r="7350" spans="1:6" x14ac:dyDescent="0.25">
      <c r="A7350" s="34" t="s">
        <v>29</v>
      </c>
      <c r="B7350" s="37">
        <v>44199</v>
      </c>
      <c r="C7350" s="1">
        <v>202</v>
      </c>
      <c r="D7350" s="365">
        <f t="shared" si="579"/>
        <v>32454</v>
      </c>
      <c r="E7350" s="1">
        <v>0</v>
      </c>
      <c r="F7350" s="47">
        <f t="shared" si="580"/>
        <v>494</v>
      </c>
    </row>
    <row r="7351" spans="1:6" x14ac:dyDescent="0.25">
      <c r="A7351" s="34" t="s">
        <v>20</v>
      </c>
      <c r="B7351" s="37">
        <v>44199</v>
      </c>
      <c r="C7351" s="1">
        <v>356</v>
      </c>
      <c r="D7351" s="365">
        <f t="shared" si="579"/>
        <v>128380</v>
      </c>
      <c r="E7351" s="1">
        <v>6</v>
      </c>
      <c r="F7351" s="47">
        <f t="shared" si="580"/>
        <v>2477</v>
      </c>
    </row>
    <row r="7352" spans="1:6" x14ac:dyDescent="0.25">
      <c r="A7352" s="34" t="s">
        <v>30</v>
      </c>
      <c r="B7352" s="37">
        <v>44199</v>
      </c>
      <c r="C7352" s="1">
        <v>104</v>
      </c>
      <c r="D7352" s="365">
        <f t="shared" si="579"/>
        <v>12222</v>
      </c>
      <c r="E7352" s="1">
        <v>0</v>
      </c>
      <c r="F7352" s="47">
        <f t="shared" si="580"/>
        <v>169</v>
      </c>
    </row>
    <row r="7353" spans="1:6" x14ac:dyDescent="0.25">
      <c r="A7353" s="34" t="s">
        <v>31</v>
      </c>
      <c r="B7353" s="37">
        <v>44199</v>
      </c>
      <c r="C7353" s="1">
        <v>264</v>
      </c>
      <c r="D7353" s="365">
        <f t="shared" si="579"/>
        <v>30159</v>
      </c>
      <c r="E7353" s="1">
        <v>0</v>
      </c>
      <c r="F7353" s="47">
        <f t="shared" si="580"/>
        <v>587</v>
      </c>
    </row>
    <row r="7354" spans="1:6" x14ac:dyDescent="0.25">
      <c r="A7354" s="34" t="s">
        <v>41</v>
      </c>
      <c r="B7354" s="37">
        <v>44199</v>
      </c>
      <c r="C7354" s="1">
        <v>1</v>
      </c>
      <c r="D7354" s="365">
        <f t="shared" si="579"/>
        <v>221</v>
      </c>
      <c r="E7354" s="1">
        <v>0</v>
      </c>
      <c r="F7354" s="47">
        <f t="shared" si="580"/>
        <v>3</v>
      </c>
    </row>
    <row r="7355" spans="1:6" x14ac:dyDescent="0.25">
      <c r="A7355" s="34" t="s">
        <v>32</v>
      </c>
      <c r="B7355" s="37">
        <v>44199</v>
      </c>
      <c r="C7355" s="1">
        <v>5</v>
      </c>
      <c r="D7355" s="365">
        <f t="shared" si="579"/>
        <v>18567</v>
      </c>
      <c r="E7355" s="1">
        <v>0</v>
      </c>
      <c r="F7355" s="47">
        <f t="shared" si="580"/>
        <v>858</v>
      </c>
    </row>
    <row r="7356" spans="1:6" x14ac:dyDescent="0.25">
      <c r="A7356" s="34" t="s">
        <v>33</v>
      </c>
      <c r="B7356" s="37">
        <v>44199</v>
      </c>
      <c r="C7356" s="1">
        <v>194</v>
      </c>
      <c r="D7356" s="365">
        <f t="shared" si="579"/>
        <v>11468</v>
      </c>
      <c r="E7356" s="1">
        <v>0</v>
      </c>
      <c r="F7356" s="47">
        <f t="shared" si="580"/>
        <v>124</v>
      </c>
    </row>
    <row r="7357" spans="1:6" x14ac:dyDescent="0.25">
      <c r="A7357" s="34" t="s">
        <v>21</v>
      </c>
      <c r="B7357" s="37">
        <v>44199</v>
      </c>
      <c r="C7357" s="1">
        <v>3</v>
      </c>
      <c r="D7357" s="365">
        <f t="shared" si="579"/>
        <v>9124</v>
      </c>
      <c r="E7357" s="1">
        <v>9</v>
      </c>
      <c r="F7357" s="47">
        <f t="shared" si="580"/>
        <v>397</v>
      </c>
    </row>
    <row r="7358" spans="1:6" x14ac:dyDescent="0.25">
      <c r="A7358" s="34" t="s">
        <v>17</v>
      </c>
      <c r="B7358" s="37">
        <v>44199</v>
      </c>
      <c r="C7358" s="1">
        <v>77</v>
      </c>
      <c r="D7358" s="365">
        <f t="shared" si="579"/>
        <v>60330</v>
      </c>
      <c r="E7358" s="1">
        <v>1</v>
      </c>
      <c r="F7358" s="47">
        <f t="shared" si="580"/>
        <v>1232</v>
      </c>
    </row>
    <row r="7359" spans="1:6" x14ac:dyDescent="0.25">
      <c r="A7359" s="34" t="s">
        <v>23</v>
      </c>
      <c r="B7359" s="37">
        <v>44199</v>
      </c>
      <c r="C7359" s="1">
        <v>40</v>
      </c>
      <c r="D7359" s="365">
        <f t="shared" si="579"/>
        <v>1124</v>
      </c>
      <c r="E7359" s="1">
        <v>0</v>
      </c>
      <c r="F7359" s="47">
        <f t="shared" si="580"/>
        <v>12</v>
      </c>
    </row>
    <row r="7360" spans="1:6" x14ac:dyDescent="0.25">
      <c r="A7360" s="34" t="s">
        <v>19</v>
      </c>
      <c r="B7360" s="37">
        <v>44199</v>
      </c>
      <c r="C7360" s="1">
        <v>372</v>
      </c>
      <c r="D7360" s="365">
        <f t="shared" si="579"/>
        <v>41926</v>
      </c>
      <c r="E7360" s="1">
        <v>2</v>
      </c>
      <c r="F7360" s="47">
        <f t="shared" si="580"/>
        <v>713</v>
      </c>
    </row>
    <row r="7361" spans="1:6" x14ac:dyDescent="0.25">
      <c r="A7361" s="34" t="s">
        <v>18</v>
      </c>
      <c r="B7361" s="37">
        <v>44199</v>
      </c>
      <c r="C7361" s="1">
        <v>212</v>
      </c>
      <c r="D7361" s="365">
        <f t="shared" si="579"/>
        <v>39072</v>
      </c>
      <c r="E7361" s="1">
        <v>6</v>
      </c>
      <c r="F7361" s="47">
        <f t="shared" si="580"/>
        <v>910</v>
      </c>
    </row>
    <row r="7362" spans="1:6" x14ac:dyDescent="0.25">
      <c r="A7362" s="34" t="s">
        <v>34</v>
      </c>
      <c r="B7362" s="37">
        <v>44199</v>
      </c>
      <c r="C7362" s="1">
        <v>8</v>
      </c>
      <c r="D7362" s="365">
        <f t="shared" si="579"/>
        <v>22413</v>
      </c>
      <c r="E7362" s="1">
        <v>0</v>
      </c>
      <c r="F7362" s="47">
        <f t="shared" si="580"/>
        <v>1020</v>
      </c>
    </row>
    <row r="7363" spans="1:6" x14ac:dyDescent="0.25">
      <c r="A7363" s="34" t="s">
        <v>35</v>
      </c>
      <c r="B7363" s="37">
        <v>44199</v>
      </c>
      <c r="C7363" s="1">
        <v>33</v>
      </c>
      <c r="D7363" s="365">
        <f t="shared" si="579"/>
        <v>11598</v>
      </c>
      <c r="E7363" s="1">
        <v>0</v>
      </c>
      <c r="F7363" s="47">
        <f t="shared" si="580"/>
        <v>198</v>
      </c>
    </row>
    <row r="7364" spans="1:6" x14ac:dyDescent="0.25">
      <c r="A7364" s="34" t="s">
        <v>36</v>
      </c>
      <c r="B7364" s="37">
        <v>44199</v>
      </c>
      <c r="C7364" s="1">
        <v>24</v>
      </c>
      <c r="D7364" s="365">
        <f t="shared" si="579"/>
        <v>16225</v>
      </c>
      <c r="E7364" s="1">
        <v>0</v>
      </c>
      <c r="F7364" s="47">
        <f t="shared" si="580"/>
        <v>300</v>
      </c>
    </row>
    <row r="7365" spans="1:6" x14ac:dyDescent="0.25">
      <c r="A7365" s="34" t="s">
        <v>37</v>
      </c>
      <c r="B7365" s="37">
        <v>44199</v>
      </c>
      <c r="C7365" s="1">
        <v>207</v>
      </c>
      <c r="D7365" s="365">
        <f t="shared" si="579"/>
        <v>24401</v>
      </c>
      <c r="E7365" s="1">
        <v>6</v>
      </c>
      <c r="F7365" s="47">
        <f t="shared" si="580"/>
        <v>388</v>
      </c>
    </row>
    <row r="7366" spans="1:6" x14ac:dyDescent="0.25">
      <c r="A7366" s="34" t="s">
        <v>22</v>
      </c>
      <c r="B7366" s="37">
        <v>44199</v>
      </c>
      <c r="C7366" s="1">
        <v>516</v>
      </c>
      <c r="D7366" s="365">
        <f t="shared" si="579"/>
        <v>177811</v>
      </c>
      <c r="E7366" s="1">
        <v>8</v>
      </c>
      <c r="F7366" s="47">
        <f t="shared" si="580"/>
        <v>2968</v>
      </c>
    </row>
    <row r="7367" spans="1:6" x14ac:dyDescent="0.25">
      <c r="A7367" s="34" t="s">
        <v>38</v>
      </c>
      <c r="B7367" s="37">
        <v>44199</v>
      </c>
      <c r="C7367" s="1">
        <v>50</v>
      </c>
      <c r="D7367" s="365">
        <f t="shared" si="579"/>
        <v>17617</v>
      </c>
      <c r="E7367" s="1">
        <v>1</v>
      </c>
      <c r="F7367" s="47">
        <f t="shared" si="580"/>
        <v>219</v>
      </c>
    </row>
    <row r="7368" spans="1:6" x14ac:dyDescent="0.25">
      <c r="A7368" s="34" t="s">
        <v>39</v>
      </c>
      <c r="B7368" s="37">
        <v>44199</v>
      </c>
      <c r="C7368" s="1">
        <v>103</v>
      </c>
      <c r="D7368" s="365">
        <f t="shared" si="579"/>
        <v>19432</v>
      </c>
      <c r="E7368" s="1">
        <v>1</v>
      </c>
      <c r="F7368" s="47">
        <f t="shared" si="580"/>
        <v>254</v>
      </c>
    </row>
    <row r="7369" spans="1:6" x14ac:dyDescent="0.25">
      <c r="A7369" s="34" t="s">
        <v>40</v>
      </c>
      <c r="B7369" s="37">
        <v>44199</v>
      </c>
      <c r="C7369" s="1">
        <v>106</v>
      </c>
      <c r="D7369" s="365">
        <f t="shared" si="579"/>
        <v>71297</v>
      </c>
      <c r="E7369" s="1">
        <v>0</v>
      </c>
      <c r="F7369" s="47">
        <f t="shared" si="580"/>
        <v>1366</v>
      </c>
    </row>
    <row r="7370" spans="1:6" x14ac:dyDescent="0.25">
      <c r="A7370" s="34" t="s">
        <v>16</v>
      </c>
      <c r="B7370" s="37">
        <v>44200</v>
      </c>
      <c r="C7370" s="1">
        <v>2961</v>
      </c>
      <c r="D7370" s="365">
        <f t="shared" si="579"/>
        <v>693344</v>
      </c>
      <c r="E7370" s="1">
        <v>46</v>
      </c>
      <c r="F7370" s="47">
        <f t="shared" si="580"/>
        <v>22535</v>
      </c>
    </row>
    <row r="7371" spans="1:6" x14ac:dyDescent="0.25">
      <c r="A7371" s="34" t="s">
        <v>43</v>
      </c>
      <c r="B7371" s="37">
        <v>44200</v>
      </c>
      <c r="C7371" s="1">
        <v>1075</v>
      </c>
      <c r="D7371" s="365">
        <f t="shared" si="579"/>
        <v>177570</v>
      </c>
      <c r="E7371" s="1">
        <v>10</v>
      </c>
      <c r="F7371" s="47">
        <f t="shared" si="580"/>
        <v>5535</v>
      </c>
    </row>
    <row r="7372" spans="1:6" x14ac:dyDescent="0.25">
      <c r="A7372" s="34" t="s">
        <v>28</v>
      </c>
      <c r="B7372" s="37">
        <v>44200</v>
      </c>
      <c r="C7372" s="1">
        <v>18</v>
      </c>
      <c r="D7372" s="365">
        <f t="shared" si="579"/>
        <v>2869</v>
      </c>
      <c r="E7372" s="1">
        <v>0</v>
      </c>
      <c r="F7372" s="47">
        <f t="shared" si="580"/>
        <v>17</v>
      </c>
    </row>
    <row r="7373" spans="1:6" x14ac:dyDescent="0.25">
      <c r="A7373" s="34" t="s">
        <v>15</v>
      </c>
      <c r="B7373" s="37">
        <v>44200</v>
      </c>
      <c r="C7373" s="1">
        <v>175</v>
      </c>
      <c r="D7373" s="365">
        <f t="shared" si="579"/>
        <v>25323</v>
      </c>
      <c r="E7373" s="1">
        <v>9</v>
      </c>
      <c r="F7373" s="47">
        <f t="shared" si="580"/>
        <v>710</v>
      </c>
    </row>
    <row r="7374" spans="1:6" x14ac:dyDescent="0.25">
      <c r="A7374" s="34" t="s">
        <v>29</v>
      </c>
      <c r="B7374" s="37">
        <v>44200</v>
      </c>
      <c r="C7374" s="1">
        <v>315</v>
      </c>
      <c r="D7374" s="365">
        <f t="shared" si="579"/>
        <v>32769</v>
      </c>
      <c r="E7374" s="1">
        <v>1</v>
      </c>
      <c r="F7374" s="47">
        <f t="shared" si="580"/>
        <v>495</v>
      </c>
    </row>
    <row r="7375" spans="1:6" x14ac:dyDescent="0.25">
      <c r="A7375" s="34" t="s">
        <v>20</v>
      </c>
      <c r="B7375" s="37">
        <v>44200</v>
      </c>
      <c r="C7375" s="1">
        <v>302</v>
      </c>
      <c r="D7375" s="365">
        <f t="shared" si="579"/>
        <v>128682</v>
      </c>
      <c r="E7375" s="1">
        <v>12</v>
      </c>
      <c r="F7375" s="47">
        <f t="shared" si="580"/>
        <v>2489</v>
      </c>
    </row>
    <row r="7376" spans="1:6" x14ac:dyDescent="0.25">
      <c r="A7376" s="34" t="s">
        <v>30</v>
      </c>
      <c r="B7376" s="37">
        <v>44200</v>
      </c>
      <c r="C7376" s="1">
        <v>237</v>
      </c>
      <c r="D7376" s="365">
        <f t="shared" si="579"/>
        <v>12459</v>
      </c>
      <c r="E7376" s="1">
        <v>0</v>
      </c>
      <c r="F7376" s="47">
        <f t="shared" si="580"/>
        <v>169</v>
      </c>
    </row>
    <row r="7377" spans="1:6" x14ac:dyDescent="0.25">
      <c r="A7377" s="34" t="s">
        <v>31</v>
      </c>
      <c r="B7377" s="37">
        <v>44200</v>
      </c>
      <c r="C7377" s="1">
        <v>258</v>
      </c>
      <c r="D7377" s="365">
        <f t="shared" si="579"/>
        <v>30417</v>
      </c>
      <c r="E7377" s="1">
        <v>2</v>
      </c>
      <c r="F7377" s="47">
        <f t="shared" si="580"/>
        <v>589</v>
      </c>
    </row>
    <row r="7378" spans="1:6" x14ac:dyDescent="0.25">
      <c r="A7378" s="34" t="s">
        <v>41</v>
      </c>
      <c r="B7378" s="37">
        <v>44200</v>
      </c>
      <c r="C7378" s="1">
        <v>0</v>
      </c>
      <c r="D7378" s="365">
        <f t="shared" ref="D7378:D7442" si="581">C7378+D7354</f>
        <v>221</v>
      </c>
      <c r="E7378" s="1">
        <v>0</v>
      </c>
      <c r="F7378" s="47">
        <f t="shared" ref="F7378:F7442" si="582">E7378+F7354</f>
        <v>3</v>
      </c>
    </row>
    <row r="7379" spans="1:6" x14ac:dyDescent="0.25">
      <c r="A7379" s="34" t="s">
        <v>32</v>
      </c>
      <c r="B7379" s="37">
        <v>44200</v>
      </c>
      <c r="C7379" s="1">
        <v>2</v>
      </c>
      <c r="D7379" s="365">
        <f t="shared" si="581"/>
        <v>18569</v>
      </c>
      <c r="E7379" s="1">
        <v>1</v>
      </c>
      <c r="F7379" s="47">
        <f t="shared" si="582"/>
        <v>859</v>
      </c>
    </row>
    <row r="7380" spans="1:6" x14ac:dyDescent="0.25">
      <c r="A7380" s="34" t="s">
        <v>33</v>
      </c>
      <c r="B7380" s="37">
        <v>44200</v>
      </c>
      <c r="C7380" s="1">
        <v>171</v>
      </c>
      <c r="D7380" s="365">
        <f t="shared" si="581"/>
        <v>11639</v>
      </c>
      <c r="E7380" s="1">
        <v>8</v>
      </c>
      <c r="F7380" s="47">
        <f t="shared" si="582"/>
        <v>132</v>
      </c>
    </row>
    <row r="7381" spans="1:6" x14ac:dyDescent="0.25">
      <c r="A7381" s="34" t="s">
        <v>21</v>
      </c>
      <c r="B7381" s="37">
        <v>44200</v>
      </c>
      <c r="C7381" s="1">
        <v>3</v>
      </c>
      <c r="D7381" s="365">
        <f t="shared" si="581"/>
        <v>9127</v>
      </c>
      <c r="E7381" s="1">
        <v>1</v>
      </c>
      <c r="F7381" s="47">
        <f t="shared" si="582"/>
        <v>398</v>
      </c>
    </row>
    <row r="7382" spans="1:6" x14ac:dyDescent="0.25">
      <c r="A7382" s="34" t="s">
        <v>17</v>
      </c>
      <c r="B7382" s="37">
        <v>44200</v>
      </c>
      <c r="C7382" s="1">
        <v>69</v>
      </c>
      <c r="D7382" s="365">
        <f t="shared" si="581"/>
        <v>60399</v>
      </c>
      <c r="E7382" s="1">
        <v>0</v>
      </c>
      <c r="F7382" s="47">
        <f t="shared" si="582"/>
        <v>1232</v>
      </c>
    </row>
    <row r="7383" spans="1:6" x14ac:dyDescent="0.25">
      <c r="A7383" s="34" t="s">
        <v>23</v>
      </c>
      <c r="B7383" s="37">
        <v>44200</v>
      </c>
      <c r="C7383" s="1">
        <v>33</v>
      </c>
      <c r="D7383" s="365">
        <f t="shared" si="581"/>
        <v>1157</v>
      </c>
      <c r="E7383" s="1">
        <v>0</v>
      </c>
      <c r="F7383" s="47">
        <f t="shared" si="582"/>
        <v>12</v>
      </c>
    </row>
    <row r="7384" spans="1:6" x14ac:dyDescent="0.25">
      <c r="A7384" s="34" t="s">
        <v>19</v>
      </c>
      <c r="B7384" s="37">
        <v>44200</v>
      </c>
      <c r="C7384" s="1">
        <v>305</v>
      </c>
      <c r="D7384" s="365">
        <f t="shared" si="581"/>
        <v>42231</v>
      </c>
      <c r="E7384" s="1">
        <v>0</v>
      </c>
      <c r="F7384" s="47">
        <f t="shared" si="582"/>
        <v>713</v>
      </c>
    </row>
    <row r="7385" spans="1:6" x14ac:dyDescent="0.25">
      <c r="A7385" s="34" t="s">
        <v>18</v>
      </c>
      <c r="B7385" s="37">
        <v>44200</v>
      </c>
      <c r="C7385" s="1">
        <v>290</v>
      </c>
      <c r="D7385" s="365">
        <f t="shared" si="581"/>
        <v>39362</v>
      </c>
      <c r="E7385" s="1">
        <v>10</v>
      </c>
      <c r="F7385" s="47">
        <f t="shared" si="582"/>
        <v>920</v>
      </c>
    </row>
    <row r="7386" spans="1:6" x14ac:dyDescent="0.25">
      <c r="A7386" s="34" t="s">
        <v>34</v>
      </c>
      <c r="B7386" s="37">
        <v>44200</v>
      </c>
      <c r="C7386" s="1">
        <v>21</v>
      </c>
      <c r="D7386" s="365">
        <f t="shared" si="581"/>
        <v>22434</v>
      </c>
      <c r="E7386" s="1">
        <v>2</v>
      </c>
      <c r="F7386" s="47">
        <f t="shared" si="582"/>
        <v>1022</v>
      </c>
    </row>
    <row r="7387" spans="1:6" x14ac:dyDescent="0.25">
      <c r="A7387" s="34" t="s">
        <v>35</v>
      </c>
      <c r="B7387" s="37">
        <v>44200</v>
      </c>
      <c r="C7387" s="1">
        <v>79</v>
      </c>
      <c r="D7387" s="365">
        <f t="shared" si="581"/>
        <v>11677</v>
      </c>
      <c r="E7387" s="1">
        <v>4</v>
      </c>
      <c r="F7387" s="47">
        <f t="shared" si="582"/>
        <v>202</v>
      </c>
    </row>
    <row r="7388" spans="1:6" x14ac:dyDescent="0.25">
      <c r="A7388" s="34" t="s">
        <v>36</v>
      </c>
      <c r="B7388" s="37">
        <v>44200</v>
      </c>
      <c r="C7388" s="1">
        <v>48</v>
      </c>
      <c r="D7388" s="365">
        <f t="shared" si="581"/>
        <v>16273</v>
      </c>
      <c r="E7388" s="1">
        <v>1</v>
      </c>
      <c r="F7388" s="47">
        <f t="shared" si="582"/>
        <v>301</v>
      </c>
    </row>
    <row r="7389" spans="1:6" x14ac:dyDescent="0.25">
      <c r="A7389" s="34" t="s">
        <v>37</v>
      </c>
      <c r="B7389" s="37">
        <v>44200</v>
      </c>
      <c r="C7389" s="1">
        <v>309</v>
      </c>
      <c r="D7389" s="365">
        <f t="shared" si="581"/>
        <v>24710</v>
      </c>
      <c r="E7389" s="1">
        <v>11</v>
      </c>
      <c r="F7389" s="47">
        <f t="shared" si="582"/>
        <v>399</v>
      </c>
    </row>
    <row r="7390" spans="1:6" x14ac:dyDescent="0.25">
      <c r="A7390" s="34" t="s">
        <v>22</v>
      </c>
      <c r="B7390" s="37">
        <v>44200</v>
      </c>
      <c r="C7390" s="1">
        <v>1046</v>
      </c>
      <c r="D7390" s="365">
        <f t="shared" si="581"/>
        <v>178857</v>
      </c>
      <c r="E7390" s="1">
        <v>32</v>
      </c>
      <c r="F7390" s="47">
        <f t="shared" si="582"/>
        <v>3000</v>
      </c>
    </row>
    <row r="7391" spans="1:6" x14ac:dyDescent="0.25">
      <c r="A7391" s="34" t="s">
        <v>38</v>
      </c>
      <c r="B7391" s="37">
        <v>44200</v>
      </c>
      <c r="C7391" s="1">
        <v>116</v>
      </c>
      <c r="D7391" s="365">
        <f t="shared" si="581"/>
        <v>17733</v>
      </c>
      <c r="E7391" s="1">
        <v>0</v>
      </c>
      <c r="F7391" s="47">
        <f t="shared" si="582"/>
        <v>219</v>
      </c>
    </row>
    <row r="7392" spans="1:6" x14ac:dyDescent="0.25">
      <c r="A7392" s="34" t="s">
        <v>39</v>
      </c>
      <c r="B7392" s="37">
        <v>44200</v>
      </c>
      <c r="C7392" s="1">
        <v>100</v>
      </c>
      <c r="D7392" s="365">
        <f t="shared" si="581"/>
        <v>19532</v>
      </c>
      <c r="E7392" s="1">
        <v>0</v>
      </c>
      <c r="F7392" s="47">
        <f t="shared" si="582"/>
        <v>254</v>
      </c>
    </row>
    <row r="7393" spans="1:6" x14ac:dyDescent="0.25">
      <c r="A7393" s="34" t="s">
        <v>40</v>
      </c>
      <c r="B7393" s="37">
        <v>44200</v>
      </c>
      <c r="C7393" s="1">
        <v>289</v>
      </c>
      <c r="D7393" s="365">
        <f t="shared" si="581"/>
        <v>71586</v>
      </c>
      <c r="E7393" s="1">
        <v>2</v>
      </c>
      <c r="F7393" s="47">
        <f t="shared" si="582"/>
        <v>1368</v>
      </c>
    </row>
    <row r="7394" spans="1:6" x14ac:dyDescent="0.25">
      <c r="A7394" s="34" t="s">
        <v>16</v>
      </c>
      <c r="B7394" s="37">
        <v>44201</v>
      </c>
      <c r="C7394" s="1">
        <v>5419</v>
      </c>
      <c r="D7394" s="365">
        <f t="shared" si="581"/>
        <v>698763</v>
      </c>
      <c r="E7394" s="1">
        <v>44</v>
      </c>
      <c r="F7394" s="47">
        <f t="shared" si="582"/>
        <v>22579</v>
      </c>
    </row>
    <row r="7395" spans="1:6" x14ac:dyDescent="0.25">
      <c r="A7395" s="34" t="s">
        <v>43</v>
      </c>
      <c r="B7395" s="37">
        <v>44201</v>
      </c>
      <c r="C7395" s="1">
        <v>1445</v>
      </c>
      <c r="D7395" s="365">
        <f t="shared" si="581"/>
        <v>179015</v>
      </c>
      <c r="E7395" s="1">
        <v>10</v>
      </c>
      <c r="F7395" s="47">
        <f t="shared" si="582"/>
        <v>5545</v>
      </c>
    </row>
    <row r="7396" spans="1:6" x14ac:dyDescent="0.25">
      <c r="A7396" s="34" t="s">
        <v>28</v>
      </c>
      <c r="B7396" s="37">
        <v>44201</v>
      </c>
      <c r="C7396" s="1">
        <v>61</v>
      </c>
      <c r="D7396" s="365">
        <f t="shared" si="581"/>
        <v>2930</v>
      </c>
      <c r="E7396" s="1">
        <v>0</v>
      </c>
      <c r="F7396" s="47">
        <f t="shared" si="582"/>
        <v>17</v>
      </c>
    </row>
    <row r="7397" spans="1:6" x14ac:dyDescent="0.25">
      <c r="A7397" s="34" t="s">
        <v>15</v>
      </c>
      <c r="B7397" s="37">
        <v>44201</v>
      </c>
      <c r="C7397" s="1">
        <v>300</v>
      </c>
      <c r="D7397" s="365">
        <f t="shared" si="581"/>
        <v>25623</v>
      </c>
      <c r="E7397" s="1">
        <v>6</v>
      </c>
      <c r="F7397" s="47">
        <f t="shared" si="582"/>
        <v>716</v>
      </c>
    </row>
    <row r="7398" spans="1:6" x14ac:dyDescent="0.25">
      <c r="A7398" s="34" t="s">
        <v>29</v>
      </c>
      <c r="B7398" s="37">
        <v>44201</v>
      </c>
      <c r="C7398" s="1">
        <v>583</v>
      </c>
      <c r="D7398" s="365">
        <f t="shared" si="581"/>
        <v>33352</v>
      </c>
      <c r="E7398" s="1">
        <v>1</v>
      </c>
      <c r="F7398" s="47">
        <f t="shared" si="582"/>
        <v>496</v>
      </c>
    </row>
    <row r="7399" spans="1:6" x14ac:dyDescent="0.25">
      <c r="A7399" s="34" t="s">
        <v>20</v>
      </c>
      <c r="B7399" s="37">
        <v>44201</v>
      </c>
      <c r="C7399" s="1">
        <v>907</v>
      </c>
      <c r="D7399" s="365">
        <f t="shared" si="581"/>
        <v>129589</v>
      </c>
      <c r="E7399" s="1">
        <v>3</v>
      </c>
      <c r="F7399" s="47">
        <f t="shared" si="582"/>
        <v>2492</v>
      </c>
    </row>
    <row r="7400" spans="1:6" x14ac:dyDescent="0.25">
      <c r="A7400" s="34" t="s">
        <v>30</v>
      </c>
      <c r="B7400" s="37">
        <v>44201</v>
      </c>
      <c r="C7400" s="1">
        <v>176</v>
      </c>
      <c r="D7400" s="365">
        <f t="shared" si="581"/>
        <v>12635</v>
      </c>
      <c r="E7400" s="1">
        <v>0</v>
      </c>
      <c r="F7400" s="47">
        <f t="shared" si="582"/>
        <v>169</v>
      </c>
    </row>
    <row r="7401" spans="1:6" x14ac:dyDescent="0.25">
      <c r="A7401" s="34" t="s">
        <v>31</v>
      </c>
      <c r="B7401" s="37">
        <v>44201</v>
      </c>
      <c r="C7401" s="1">
        <v>550</v>
      </c>
      <c r="D7401" s="365">
        <f t="shared" si="581"/>
        <v>30967</v>
      </c>
      <c r="E7401" s="1">
        <v>4</v>
      </c>
      <c r="F7401" s="47">
        <f t="shared" si="582"/>
        <v>593</v>
      </c>
    </row>
    <row r="7402" spans="1:6" x14ac:dyDescent="0.25">
      <c r="A7402" s="34" t="s">
        <v>41</v>
      </c>
      <c r="B7402" s="37">
        <v>44201</v>
      </c>
      <c r="C7402" s="1">
        <v>5</v>
      </c>
      <c r="D7402" s="365">
        <f t="shared" si="581"/>
        <v>226</v>
      </c>
      <c r="E7402" s="1">
        <v>0</v>
      </c>
      <c r="F7402" s="47">
        <f t="shared" si="582"/>
        <v>3</v>
      </c>
    </row>
    <row r="7403" spans="1:6" x14ac:dyDescent="0.25">
      <c r="A7403" s="34" t="s">
        <v>32</v>
      </c>
      <c r="B7403" s="37">
        <v>44201</v>
      </c>
      <c r="C7403" s="1">
        <v>19</v>
      </c>
      <c r="D7403" s="365">
        <f t="shared" si="581"/>
        <v>18588</v>
      </c>
      <c r="E7403" s="1">
        <v>0</v>
      </c>
      <c r="F7403" s="47">
        <f t="shared" si="582"/>
        <v>859</v>
      </c>
    </row>
    <row r="7404" spans="1:6" x14ac:dyDescent="0.25">
      <c r="A7404" s="34" t="s">
        <v>33</v>
      </c>
      <c r="B7404" s="37">
        <v>44201</v>
      </c>
      <c r="C7404" s="1">
        <v>300</v>
      </c>
      <c r="D7404" s="365">
        <f t="shared" si="581"/>
        <v>11939</v>
      </c>
      <c r="E7404" s="1">
        <v>5</v>
      </c>
      <c r="F7404" s="47">
        <f t="shared" si="582"/>
        <v>137</v>
      </c>
    </row>
    <row r="7405" spans="1:6" x14ac:dyDescent="0.25">
      <c r="A7405" s="34" t="s">
        <v>21</v>
      </c>
      <c r="B7405" s="37">
        <v>44201</v>
      </c>
      <c r="C7405" s="1">
        <v>10</v>
      </c>
      <c r="D7405" s="365">
        <f t="shared" si="581"/>
        <v>9137</v>
      </c>
      <c r="E7405" s="1">
        <v>0</v>
      </c>
      <c r="F7405" s="47">
        <f t="shared" si="582"/>
        <v>398</v>
      </c>
    </row>
    <row r="7406" spans="1:6" x14ac:dyDescent="0.25">
      <c r="A7406" s="34" t="s">
        <v>17</v>
      </c>
      <c r="B7406" s="37">
        <v>44201</v>
      </c>
      <c r="C7406" s="1">
        <v>155</v>
      </c>
      <c r="D7406" s="365">
        <f t="shared" si="581"/>
        <v>60554</v>
      </c>
      <c r="E7406" s="1">
        <v>4</v>
      </c>
      <c r="F7406" s="47">
        <f t="shared" si="582"/>
        <v>1236</v>
      </c>
    </row>
    <row r="7407" spans="1:6" x14ac:dyDescent="0.25">
      <c r="A7407" s="34" t="s">
        <v>23</v>
      </c>
      <c r="B7407" s="37">
        <v>44201</v>
      </c>
      <c r="C7407" s="1">
        <v>5</v>
      </c>
      <c r="D7407" s="365">
        <f t="shared" si="581"/>
        <v>1162</v>
      </c>
      <c r="E7407" s="1">
        <v>0</v>
      </c>
      <c r="F7407" s="47">
        <f t="shared" si="582"/>
        <v>12</v>
      </c>
    </row>
    <row r="7408" spans="1:6" x14ac:dyDescent="0.25">
      <c r="A7408" s="34" t="s">
        <v>19</v>
      </c>
      <c r="B7408" s="37">
        <v>44201</v>
      </c>
      <c r="C7408" s="1">
        <v>673</v>
      </c>
      <c r="D7408" s="365">
        <f t="shared" si="581"/>
        <v>42904</v>
      </c>
      <c r="E7408" s="1">
        <v>2</v>
      </c>
      <c r="F7408" s="47">
        <f t="shared" si="582"/>
        <v>715</v>
      </c>
    </row>
    <row r="7409" spans="1:6" x14ac:dyDescent="0.25">
      <c r="A7409" s="34" t="s">
        <v>18</v>
      </c>
      <c r="B7409" s="37">
        <v>44201</v>
      </c>
      <c r="C7409" s="1">
        <v>382</v>
      </c>
      <c r="D7409" s="365">
        <f t="shared" si="581"/>
        <v>39744</v>
      </c>
      <c r="E7409" s="1">
        <v>10</v>
      </c>
      <c r="F7409" s="47">
        <f t="shared" si="582"/>
        <v>930</v>
      </c>
    </row>
    <row r="7410" spans="1:6" x14ac:dyDescent="0.25">
      <c r="A7410" s="34" t="s">
        <v>34</v>
      </c>
      <c r="B7410" s="37">
        <v>44201</v>
      </c>
      <c r="C7410" s="1">
        <v>25</v>
      </c>
      <c r="D7410" s="365">
        <f t="shared" si="581"/>
        <v>22459</v>
      </c>
      <c r="E7410" s="1">
        <v>0</v>
      </c>
      <c r="F7410" s="47">
        <f t="shared" si="582"/>
        <v>1022</v>
      </c>
    </row>
    <row r="7411" spans="1:6" x14ac:dyDescent="0.25">
      <c r="A7411" s="34" t="s">
        <v>35</v>
      </c>
      <c r="B7411" s="37">
        <v>44201</v>
      </c>
      <c r="C7411" s="1">
        <v>210</v>
      </c>
      <c r="D7411" s="365">
        <f t="shared" si="581"/>
        <v>11887</v>
      </c>
      <c r="E7411" s="1">
        <v>2</v>
      </c>
      <c r="F7411" s="47">
        <f t="shared" si="582"/>
        <v>204</v>
      </c>
    </row>
    <row r="7412" spans="1:6" x14ac:dyDescent="0.25">
      <c r="A7412" s="34" t="s">
        <v>36</v>
      </c>
      <c r="B7412" s="37">
        <v>44201</v>
      </c>
      <c r="C7412" s="1">
        <v>62</v>
      </c>
      <c r="D7412" s="365">
        <f t="shared" si="581"/>
        <v>16335</v>
      </c>
      <c r="E7412" s="1">
        <v>7</v>
      </c>
      <c r="F7412" s="47">
        <f t="shared" si="582"/>
        <v>308</v>
      </c>
    </row>
    <row r="7413" spans="1:6" x14ac:dyDescent="0.25">
      <c r="A7413" s="34" t="s">
        <v>37</v>
      </c>
      <c r="B7413" s="37">
        <v>44201</v>
      </c>
      <c r="C7413" s="1">
        <v>528</v>
      </c>
      <c r="D7413" s="365">
        <f t="shared" si="581"/>
        <v>25238</v>
      </c>
      <c r="E7413" s="1">
        <v>5</v>
      </c>
      <c r="F7413" s="47">
        <f t="shared" si="582"/>
        <v>404</v>
      </c>
    </row>
    <row r="7414" spans="1:6" x14ac:dyDescent="0.25">
      <c r="A7414" s="34" t="s">
        <v>22</v>
      </c>
      <c r="B7414" s="37">
        <v>44201</v>
      </c>
      <c r="C7414" s="1">
        <v>1477</v>
      </c>
      <c r="D7414" s="365">
        <f t="shared" si="581"/>
        <v>180334</v>
      </c>
      <c r="E7414" s="1">
        <v>42</v>
      </c>
      <c r="F7414" s="47">
        <f t="shared" si="582"/>
        <v>3042</v>
      </c>
    </row>
    <row r="7415" spans="1:6" x14ac:dyDescent="0.25">
      <c r="A7415" s="34" t="s">
        <v>38</v>
      </c>
      <c r="B7415" s="37">
        <v>44201</v>
      </c>
      <c r="C7415" s="1">
        <v>118</v>
      </c>
      <c r="D7415" s="365">
        <f t="shared" si="581"/>
        <v>17851</v>
      </c>
      <c r="E7415" s="1">
        <v>0</v>
      </c>
      <c r="F7415" s="47">
        <f t="shared" si="582"/>
        <v>219</v>
      </c>
    </row>
    <row r="7416" spans="1:6" x14ac:dyDescent="0.25">
      <c r="A7416" s="34" t="s">
        <v>39</v>
      </c>
      <c r="B7416" s="37">
        <v>44201</v>
      </c>
      <c r="C7416" s="1">
        <v>136</v>
      </c>
      <c r="D7416" s="365">
        <f t="shared" si="581"/>
        <v>19668</v>
      </c>
      <c r="E7416" s="1">
        <v>1</v>
      </c>
      <c r="F7416" s="47">
        <f t="shared" si="582"/>
        <v>255</v>
      </c>
    </row>
    <row r="7417" spans="1:6" x14ac:dyDescent="0.25">
      <c r="A7417" s="34" t="s">
        <v>40</v>
      </c>
      <c r="B7417" s="37">
        <v>44201</v>
      </c>
      <c r="C7417" s="1">
        <v>244</v>
      </c>
      <c r="D7417" s="365">
        <f t="shared" si="581"/>
        <v>71830</v>
      </c>
      <c r="E7417" s="1">
        <v>5</v>
      </c>
      <c r="F7417" s="47">
        <f t="shared" si="582"/>
        <v>1373</v>
      </c>
    </row>
    <row r="7418" spans="1:6" x14ac:dyDescent="0.25">
      <c r="A7418" s="34" t="s">
        <v>16</v>
      </c>
      <c r="B7418" s="37">
        <v>44202</v>
      </c>
      <c r="C7418" s="1">
        <v>5251</v>
      </c>
      <c r="D7418" s="365">
        <f t="shared" si="581"/>
        <v>704014</v>
      </c>
      <c r="E7418" s="1">
        <v>111</v>
      </c>
      <c r="F7418" s="47">
        <f t="shared" si="582"/>
        <v>22690</v>
      </c>
    </row>
    <row r="7419" spans="1:6" x14ac:dyDescent="0.25">
      <c r="A7419" s="34" t="s">
        <v>43</v>
      </c>
      <c r="B7419" s="37">
        <v>44202</v>
      </c>
      <c r="C7419" s="1">
        <v>1418</v>
      </c>
      <c r="D7419" s="365">
        <f t="shared" si="581"/>
        <v>180433</v>
      </c>
      <c r="E7419" s="1">
        <v>27</v>
      </c>
      <c r="F7419" s="47">
        <f t="shared" si="582"/>
        <v>5572</v>
      </c>
    </row>
    <row r="7420" spans="1:6" x14ac:dyDescent="0.25">
      <c r="A7420" s="34" t="s">
        <v>28</v>
      </c>
      <c r="B7420" s="37">
        <v>44202</v>
      </c>
      <c r="C7420" s="1">
        <v>39</v>
      </c>
      <c r="D7420" s="365">
        <f t="shared" si="581"/>
        <v>2969</v>
      </c>
      <c r="E7420" s="1">
        <v>0</v>
      </c>
      <c r="F7420" s="47">
        <f t="shared" si="582"/>
        <v>17</v>
      </c>
    </row>
    <row r="7421" spans="1:6" x14ac:dyDescent="0.25">
      <c r="A7421" s="34" t="s">
        <v>15</v>
      </c>
      <c r="B7421" s="37">
        <v>44202</v>
      </c>
      <c r="C7421" s="1">
        <v>274</v>
      </c>
      <c r="D7421" s="365">
        <f t="shared" si="581"/>
        <v>25897</v>
      </c>
      <c r="E7421" s="1">
        <v>3</v>
      </c>
      <c r="F7421" s="47">
        <f t="shared" si="582"/>
        <v>719</v>
      </c>
    </row>
    <row r="7422" spans="1:6" x14ac:dyDescent="0.25">
      <c r="A7422" s="34" t="s">
        <v>29</v>
      </c>
      <c r="B7422" s="37">
        <v>44202</v>
      </c>
      <c r="C7422" s="1">
        <v>486</v>
      </c>
      <c r="D7422" s="365">
        <f t="shared" si="581"/>
        <v>33838</v>
      </c>
      <c r="E7422" s="1">
        <v>0</v>
      </c>
      <c r="F7422" s="47">
        <f t="shared" si="582"/>
        <v>496</v>
      </c>
    </row>
    <row r="7423" spans="1:6" x14ac:dyDescent="0.25">
      <c r="A7423" s="34" t="s">
        <v>20</v>
      </c>
      <c r="B7423" s="37">
        <v>44202</v>
      </c>
      <c r="C7423" s="1">
        <v>914</v>
      </c>
      <c r="D7423" s="365">
        <f t="shared" si="581"/>
        <v>130503</v>
      </c>
      <c r="E7423" s="1">
        <v>5</v>
      </c>
      <c r="F7423" s="47">
        <f t="shared" si="582"/>
        <v>2497</v>
      </c>
    </row>
    <row r="7424" spans="1:6" x14ac:dyDescent="0.25">
      <c r="A7424" s="34" t="s">
        <v>30</v>
      </c>
      <c r="B7424" s="37">
        <v>44202</v>
      </c>
      <c r="C7424" s="1">
        <v>205</v>
      </c>
      <c r="D7424" s="365">
        <f t="shared" si="581"/>
        <v>12840</v>
      </c>
      <c r="E7424" s="1">
        <v>1</v>
      </c>
      <c r="F7424" s="47">
        <f t="shared" si="582"/>
        <v>170</v>
      </c>
    </row>
    <row r="7425" spans="1:6" x14ac:dyDescent="0.25">
      <c r="A7425" s="34" t="s">
        <v>31</v>
      </c>
      <c r="B7425" s="37">
        <v>44202</v>
      </c>
      <c r="C7425" s="1">
        <v>534</v>
      </c>
      <c r="D7425" s="365">
        <f t="shared" si="581"/>
        <v>31501</v>
      </c>
      <c r="E7425" s="1">
        <v>6</v>
      </c>
      <c r="F7425" s="47">
        <f t="shared" si="582"/>
        <v>599</v>
      </c>
    </row>
    <row r="7426" spans="1:6" x14ac:dyDescent="0.25">
      <c r="A7426" s="34" t="s">
        <v>41</v>
      </c>
      <c r="B7426" s="37">
        <v>44202</v>
      </c>
      <c r="C7426" s="1">
        <v>7</v>
      </c>
      <c r="D7426" s="365">
        <f t="shared" si="581"/>
        <v>233</v>
      </c>
      <c r="E7426" s="1">
        <v>0</v>
      </c>
      <c r="F7426" s="47">
        <f t="shared" si="582"/>
        <v>3</v>
      </c>
    </row>
    <row r="7427" spans="1:6" x14ac:dyDescent="0.25">
      <c r="A7427" s="34" t="s">
        <v>32</v>
      </c>
      <c r="B7427" s="37">
        <v>44202</v>
      </c>
      <c r="C7427" s="1">
        <v>14</v>
      </c>
      <c r="D7427" s="365">
        <f t="shared" si="581"/>
        <v>18602</v>
      </c>
      <c r="E7427" s="1">
        <v>0</v>
      </c>
      <c r="F7427" s="47">
        <f t="shared" si="582"/>
        <v>859</v>
      </c>
    </row>
    <row r="7428" spans="1:6" x14ac:dyDescent="0.25">
      <c r="A7428" s="34" t="s">
        <v>33</v>
      </c>
      <c r="B7428" s="37">
        <v>44202</v>
      </c>
      <c r="C7428" s="1">
        <v>402</v>
      </c>
      <c r="D7428" s="365">
        <f t="shared" si="581"/>
        <v>12341</v>
      </c>
      <c r="E7428" s="1">
        <v>0</v>
      </c>
      <c r="F7428" s="47">
        <f t="shared" si="582"/>
        <v>137</v>
      </c>
    </row>
    <row r="7429" spans="1:6" x14ac:dyDescent="0.25">
      <c r="A7429" s="34" t="s">
        <v>21</v>
      </c>
      <c r="B7429" s="37">
        <v>44202</v>
      </c>
      <c r="C7429" s="1">
        <v>9</v>
      </c>
      <c r="D7429" s="365">
        <f t="shared" si="581"/>
        <v>9146</v>
      </c>
      <c r="E7429" s="1">
        <v>0</v>
      </c>
      <c r="F7429" s="47">
        <f t="shared" si="582"/>
        <v>398</v>
      </c>
    </row>
    <row r="7430" spans="1:6" x14ac:dyDescent="0.25">
      <c r="A7430" s="34" t="s">
        <v>17</v>
      </c>
      <c r="B7430" s="37">
        <v>44202</v>
      </c>
      <c r="C7430" s="1">
        <v>157</v>
      </c>
      <c r="D7430" s="365">
        <f t="shared" si="581"/>
        <v>60711</v>
      </c>
      <c r="E7430" s="1">
        <v>2</v>
      </c>
      <c r="F7430" s="47">
        <f t="shared" si="582"/>
        <v>1238</v>
      </c>
    </row>
    <row r="7431" spans="1:6" x14ac:dyDescent="0.25">
      <c r="A7431" s="34" t="s">
        <v>23</v>
      </c>
      <c r="B7431" s="37">
        <v>44202</v>
      </c>
      <c r="C7431" s="1">
        <v>4</v>
      </c>
      <c r="D7431" s="365">
        <f t="shared" si="581"/>
        <v>1166</v>
      </c>
      <c r="E7431" s="1">
        <v>0</v>
      </c>
      <c r="F7431" s="47">
        <f t="shared" si="582"/>
        <v>12</v>
      </c>
    </row>
    <row r="7432" spans="1:6" x14ac:dyDescent="0.25">
      <c r="A7432" s="34" t="s">
        <v>19</v>
      </c>
      <c r="B7432" s="37">
        <v>44202</v>
      </c>
      <c r="C7432" s="1">
        <v>568</v>
      </c>
      <c r="D7432" s="365">
        <f t="shared" si="581"/>
        <v>43472</v>
      </c>
      <c r="E7432" s="1">
        <v>0</v>
      </c>
      <c r="F7432" s="47">
        <f t="shared" si="582"/>
        <v>715</v>
      </c>
    </row>
    <row r="7433" spans="1:6" x14ac:dyDescent="0.25">
      <c r="A7433" s="34" t="s">
        <v>18</v>
      </c>
      <c r="B7433" s="37">
        <v>44202</v>
      </c>
      <c r="C7433" s="1">
        <v>381</v>
      </c>
      <c r="D7433" s="365">
        <f t="shared" si="581"/>
        <v>40125</v>
      </c>
      <c r="E7433" s="1">
        <v>5</v>
      </c>
      <c r="F7433" s="47">
        <f t="shared" si="582"/>
        <v>935</v>
      </c>
    </row>
    <row r="7434" spans="1:6" x14ac:dyDescent="0.25">
      <c r="A7434" s="34" t="s">
        <v>34</v>
      </c>
      <c r="B7434" s="37">
        <v>44202</v>
      </c>
      <c r="C7434" s="1">
        <v>50</v>
      </c>
      <c r="D7434" s="365">
        <f t="shared" si="581"/>
        <v>22509</v>
      </c>
      <c r="E7434" s="1">
        <v>0</v>
      </c>
      <c r="F7434" s="47">
        <f t="shared" si="582"/>
        <v>1022</v>
      </c>
    </row>
    <row r="7435" spans="1:6" x14ac:dyDescent="0.25">
      <c r="A7435" s="34" t="s">
        <v>35</v>
      </c>
      <c r="B7435" s="37">
        <v>44202</v>
      </c>
      <c r="C7435" s="1">
        <v>113</v>
      </c>
      <c r="D7435" s="365">
        <f t="shared" si="581"/>
        <v>12000</v>
      </c>
      <c r="E7435" s="1">
        <v>2</v>
      </c>
      <c r="F7435" s="47">
        <f t="shared" si="582"/>
        <v>206</v>
      </c>
    </row>
    <row r="7436" spans="1:6" x14ac:dyDescent="0.25">
      <c r="A7436" s="34" t="s">
        <v>36</v>
      </c>
      <c r="B7436" s="37">
        <v>44202</v>
      </c>
      <c r="C7436" s="1">
        <v>62</v>
      </c>
      <c r="D7436" s="365">
        <f t="shared" si="581"/>
        <v>16397</v>
      </c>
      <c r="E7436" s="1">
        <v>0</v>
      </c>
      <c r="F7436" s="47">
        <f t="shared" si="582"/>
        <v>308</v>
      </c>
    </row>
    <row r="7437" spans="1:6" x14ac:dyDescent="0.25">
      <c r="A7437" s="34" t="s">
        <v>37</v>
      </c>
      <c r="B7437" s="37">
        <v>44202</v>
      </c>
      <c r="C7437" s="1">
        <v>461</v>
      </c>
      <c r="D7437" s="365">
        <f t="shared" si="581"/>
        <v>25699</v>
      </c>
      <c r="E7437" s="1">
        <v>7</v>
      </c>
      <c r="F7437" s="47">
        <f t="shared" si="582"/>
        <v>411</v>
      </c>
    </row>
    <row r="7438" spans="1:6" x14ac:dyDescent="0.25">
      <c r="A7438" s="34" t="s">
        <v>22</v>
      </c>
      <c r="B7438" s="37">
        <v>44202</v>
      </c>
      <c r="C7438" s="1">
        <v>1511</v>
      </c>
      <c r="D7438" s="365">
        <f t="shared" si="581"/>
        <v>181845</v>
      </c>
      <c r="E7438" s="1">
        <v>18</v>
      </c>
      <c r="F7438" s="47">
        <f t="shared" si="582"/>
        <v>3060</v>
      </c>
    </row>
    <row r="7439" spans="1:6" x14ac:dyDescent="0.25">
      <c r="A7439" s="34" t="s">
        <v>38</v>
      </c>
      <c r="B7439" s="37">
        <v>44202</v>
      </c>
      <c r="C7439" s="1">
        <v>181</v>
      </c>
      <c r="D7439" s="365">
        <f t="shared" si="581"/>
        <v>18032</v>
      </c>
      <c r="E7439" s="1">
        <v>0</v>
      </c>
      <c r="F7439" s="47">
        <f t="shared" si="582"/>
        <v>219</v>
      </c>
    </row>
    <row r="7440" spans="1:6" x14ac:dyDescent="0.25">
      <c r="A7440" s="34" t="s">
        <v>39</v>
      </c>
      <c r="B7440" s="37">
        <v>44202</v>
      </c>
      <c r="C7440" s="1">
        <v>171</v>
      </c>
      <c r="D7440" s="365">
        <f t="shared" si="581"/>
        <v>19839</v>
      </c>
      <c r="E7440" s="1">
        <v>4</v>
      </c>
      <c r="F7440" s="47">
        <f t="shared" si="582"/>
        <v>259</v>
      </c>
    </row>
    <row r="7441" spans="1:6" x14ac:dyDescent="0.25">
      <c r="A7441" s="34" t="s">
        <v>40</v>
      </c>
      <c r="B7441" s="37">
        <v>44202</v>
      </c>
      <c r="C7441" s="1">
        <v>229</v>
      </c>
      <c r="D7441" s="365">
        <f t="shared" si="581"/>
        <v>72059</v>
      </c>
      <c r="F7441" s="47">
        <f t="shared" si="582"/>
        <v>1373</v>
      </c>
    </row>
    <row r="7442" spans="1:6" x14ac:dyDescent="0.25">
      <c r="A7442" s="34" t="s">
        <v>16</v>
      </c>
      <c r="B7442" s="37">
        <v>44203</v>
      </c>
      <c r="C7442" s="1">
        <v>5319</v>
      </c>
      <c r="D7442" s="365">
        <f t="shared" si="581"/>
        <v>709333</v>
      </c>
      <c r="E7442" s="1">
        <v>43</v>
      </c>
      <c r="F7442" s="47">
        <f t="shared" si="582"/>
        <v>22733</v>
      </c>
    </row>
    <row r="7443" spans="1:6" x14ac:dyDescent="0.25">
      <c r="A7443" s="34" t="s">
        <v>43</v>
      </c>
      <c r="B7443" s="37">
        <v>44203</v>
      </c>
      <c r="C7443" s="1">
        <v>1556</v>
      </c>
      <c r="D7443" s="365">
        <f t="shared" ref="D7443:D7506" si="583">C7443+D7419</f>
        <v>181989</v>
      </c>
      <c r="E7443" s="1">
        <v>5</v>
      </c>
      <c r="F7443" s="47">
        <f t="shared" ref="F7443:F7506" si="584">E7443+F7419</f>
        <v>5577</v>
      </c>
    </row>
    <row r="7444" spans="1:6" x14ac:dyDescent="0.25">
      <c r="A7444" s="34" t="s">
        <v>28</v>
      </c>
      <c r="B7444" s="37">
        <v>44203</v>
      </c>
      <c r="C7444" s="1">
        <v>29</v>
      </c>
      <c r="D7444" s="365">
        <f t="shared" si="583"/>
        <v>2998</v>
      </c>
      <c r="E7444" s="1">
        <v>0</v>
      </c>
      <c r="F7444" s="47">
        <f t="shared" si="584"/>
        <v>17</v>
      </c>
    </row>
    <row r="7445" spans="1:6" x14ac:dyDescent="0.25">
      <c r="A7445" s="34" t="s">
        <v>15</v>
      </c>
      <c r="B7445" s="37">
        <v>44203</v>
      </c>
      <c r="C7445" s="1">
        <v>318</v>
      </c>
      <c r="D7445" s="365">
        <f t="shared" si="583"/>
        <v>26215</v>
      </c>
      <c r="E7445" s="1">
        <v>10</v>
      </c>
      <c r="F7445" s="47">
        <f t="shared" si="584"/>
        <v>729</v>
      </c>
    </row>
    <row r="7446" spans="1:6" x14ac:dyDescent="0.25">
      <c r="A7446" s="34" t="s">
        <v>29</v>
      </c>
      <c r="B7446" s="37">
        <v>44203</v>
      </c>
      <c r="C7446" s="1">
        <v>490</v>
      </c>
      <c r="D7446" s="365">
        <f t="shared" si="583"/>
        <v>34328</v>
      </c>
      <c r="E7446" s="1">
        <v>27</v>
      </c>
      <c r="F7446" s="47">
        <f t="shared" si="584"/>
        <v>523</v>
      </c>
    </row>
    <row r="7447" spans="1:6" x14ac:dyDescent="0.25">
      <c r="A7447" s="34" t="s">
        <v>20</v>
      </c>
      <c r="B7447" s="37">
        <v>44203</v>
      </c>
      <c r="C7447" s="1">
        <v>956</v>
      </c>
      <c r="D7447" s="365">
        <f t="shared" si="583"/>
        <v>131459</v>
      </c>
      <c r="E7447" s="1">
        <v>5</v>
      </c>
      <c r="F7447" s="47">
        <f t="shared" si="584"/>
        <v>2502</v>
      </c>
    </row>
    <row r="7448" spans="1:6" x14ac:dyDescent="0.25">
      <c r="A7448" s="34" t="s">
        <v>30</v>
      </c>
      <c r="B7448" s="37">
        <v>44203</v>
      </c>
      <c r="C7448" s="1">
        <v>210</v>
      </c>
      <c r="D7448" s="365">
        <f t="shared" si="583"/>
        <v>13050</v>
      </c>
      <c r="E7448" s="1">
        <v>0</v>
      </c>
      <c r="F7448" s="47">
        <f t="shared" si="584"/>
        <v>170</v>
      </c>
    </row>
    <row r="7449" spans="1:6" x14ac:dyDescent="0.25">
      <c r="A7449" s="34" t="s">
        <v>31</v>
      </c>
      <c r="B7449" s="37">
        <v>44203</v>
      </c>
      <c r="C7449" s="1">
        <v>587</v>
      </c>
      <c r="D7449" s="365">
        <f t="shared" si="583"/>
        <v>32088</v>
      </c>
      <c r="E7449" s="1">
        <v>3</v>
      </c>
      <c r="F7449" s="47">
        <f t="shared" si="584"/>
        <v>602</v>
      </c>
    </row>
    <row r="7450" spans="1:6" x14ac:dyDescent="0.25">
      <c r="A7450" s="34" t="s">
        <v>41</v>
      </c>
      <c r="B7450" s="37">
        <v>44203</v>
      </c>
      <c r="C7450" s="1">
        <v>5</v>
      </c>
      <c r="D7450" s="365">
        <f t="shared" si="583"/>
        <v>238</v>
      </c>
      <c r="E7450" s="1">
        <v>0</v>
      </c>
      <c r="F7450" s="47">
        <f t="shared" si="584"/>
        <v>3</v>
      </c>
    </row>
    <row r="7451" spans="1:6" x14ac:dyDescent="0.25">
      <c r="A7451" s="34" t="s">
        <v>32</v>
      </c>
      <c r="B7451" s="37">
        <v>44203</v>
      </c>
      <c r="C7451" s="1">
        <v>15</v>
      </c>
      <c r="D7451" s="365">
        <f t="shared" si="583"/>
        <v>18617</v>
      </c>
      <c r="E7451" s="1">
        <v>0</v>
      </c>
      <c r="F7451" s="47">
        <f t="shared" si="584"/>
        <v>859</v>
      </c>
    </row>
    <row r="7452" spans="1:6" x14ac:dyDescent="0.25">
      <c r="A7452" s="34" t="s">
        <v>33</v>
      </c>
      <c r="B7452" s="37">
        <v>44203</v>
      </c>
      <c r="C7452" s="1">
        <v>412</v>
      </c>
      <c r="D7452" s="365">
        <f t="shared" si="583"/>
        <v>12753</v>
      </c>
      <c r="E7452" s="1">
        <v>1</v>
      </c>
      <c r="F7452" s="47">
        <f t="shared" si="584"/>
        <v>138</v>
      </c>
    </row>
    <row r="7453" spans="1:6" x14ac:dyDescent="0.25">
      <c r="A7453" s="34" t="s">
        <v>21</v>
      </c>
      <c r="B7453" s="37">
        <v>44203</v>
      </c>
      <c r="C7453" s="1">
        <v>21</v>
      </c>
      <c r="D7453" s="365">
        <f t="shared" si="583"/>
        <v>9167</v>
      </c>
      <c r="E7453" s="1">
        <v>1</v>
      </c>
      <c r="F7453" s="47">
        <f t="shared" si="584"/>
        <v>399</v>
      </c>
    </row>
    <row r="7454" spans="1:6" x14ac:dyDescent="0.25">
      <c r="A7454" s="34" t="s">
        <v>17</v>
      </c>
      <c r="B7454" s="37">
        <v>44203</v>
      </c>
      <c r="C7454" s="1">
        <v>178</v>
      </c>
      <c r="D7454" s="365">
        <f t="shared" si="583"/>
        <v>60889</v>
      </c>
      <c r="E7454" s="1">
        <v>0</v>
      </c>
      <c r="F7454" s="47">
        <f t="shared" si="584"/>
        <v>1238</v>
      </c>
    </row>
    <row r="7455" spans="1:6" x14ac:dyDescent="0.25">
      <c r="A7455" s="34" t="s">
        <v>23</v>
      </c>
      <c r="B7455" s="37">
        <v>44203</v>
      </c>
      <c r="C7455" s="1">
        <v>9</v>
      </c>
      <c r="D7455" s="365">
        <f t="shared" si="583"/>
        <v>1175</v>
      </c>
      <c r="E7455" s="1">
        <v>3</v>
      </c>
      <c r="F7455" s="47">
        <f t="shared" si="584"/>
        <v>15</v>
      </c>
    </row>
    <row r="7456" spans="1:6" x14ac:dyDescent="0.25">
      <c r="A7456" s="34" t="s">
        <v>19</v>
      </c>
      <c r="B7456" s="37">
        <v>44203</v>
      </c>
      <c r="C7456" s="1">
        <v>592</v>
      </c>
      <c r="D7456" s="365">
        <f t="shared" si="583"/>
        <v>44064</v>
      </c>
      <c r="E7456" s="1">
        <v>0</v>
      </c>
      <c r="F7456" s="47">
        <f t="shared" si="584"/>
        <v>715</v>
      </c>
    </row>
    <row r="7457" spans="1:6" x14ac:dyDescent="0.25">
      <c r="A7457" s="34" t="s">
        <v>18</v>
      </c>
      <c r="B7457" s="37">
        <v>44203</v>
      </c>
      <c r="C7457" s="1">
        <v>457</v>
      </c>
      <c r="D7457" s="365">
        <f t="shared" si="583"/>
        <v>40582</v>
      </c>
      <c r="E7457" s="1">
        <v>8</v>
      </c>
      <c r="F7457" s="47">
        <f t="shared" si="584"/>
        <v>943</v>
      </c>
    </row>
    <row r="7458" spans="1:6" x14ac:dyDescent="0.25">
      <c r="A7458" s="34" t="s">
        <v>34</v>
      </c>
      <c r="B7458" s="37">
        <v>44203</v>
      </c>
      <c r="C7458" s="1">
        <v>69</v>
      </c>
      <c r="D7458" s="365">
        <f t="shared" si="583"/>
        <v>22578</v>
      </c>
      <c r="E7458" s="1">
        <v>0</v>
      </c>
      <c r="F7458" s="47">
        <f t="shared" si="584"/>
        <v>1022</v>
      </c>
    </row>
    <row r="7459" spans="1:6" x14ac:dyDescent="0.25">
      <c r="A7459" s="34" t="s">
        <v>35</v>
      </c>
      <c r="B7459" s="37">
        <v>44203</v>
      </c>
      <c r="C7459" s="1">
        <v>142</v>
      </c>
      <c r="D7459" s="365">
        <f t="shared" si="583"/>
        <v>12142</v>
      </c>
      <c r="E7459" s="1">
        <v>1</v>
      </c>
      <c r="F7459" s="47">
        <f t="shared" si="584"/>
        <v>207</v>
      </c>
    </row>
    <row r="7460" spans="1:6" x14ac:dyDescent="0.25">
      <c r="A7460" s="34" t="s">
        <v>36</v>
      </c>
      <c r="B7460" s="37">
        <v>44203</v>
      </c>
      <c r="C7460" s="1">
        <v>49</v>
      </c>
      <c r="D7460" s="365">
        <f t="shared" si="583"/>
        <v>16446</v>
      </c>
      <c r="E7460" s="1">
        <v>7</v>
      </c>
      <c r="F7460" s="47">
        <f t="shared" si="584"/>
        <v>315</v>
      </c>
    </row>
    <row r="7461" spans="1:6" x14ac:dyDescent="0.25">
      <c r="A7461" s="34" t="s">
        <v>37</v>
      </c>
      <c r="B7461" s="37">
        <v>44203</v>
      </c>
      <c r="C7461" s="1">
        <v>461</v>
      </c>
      <c r="D7461" s="365">
        <f t="shared" si="583"/>
        <v>26160</v>
      </c>
      <c r="E7461" s="1">
        <v>3</v>
      </c>
      <c r="F7461" s="47">
        <f t="shared" si="584"/>
        <v>414</v>
      </c>
    </row>
    <row r="7462" spans="1:6" x14ac:dyDescent="0.25">
      <c r="A7462" s="34" t="s">
        <v>22</v>
      </c>
      <c r="B7462" s="37">
        <v>44203</v>
      </c>
      <c r="C7462" s="1">
        <v>1446</v>
      </c>
      <c r="D7462" s="365">
        <f t="shared" si="583"/>
        <v>183291</v>
      </c>
      <c r="E7462" s="1">
        <v>12</v>
      </c>
      <c r="F7462" s="47">
        <f t="shared" si="584"/>
        <v>3072</v>
      </c>
    </row>
    <row r="7463" spans="1:6" x14ac:dyDescent="0.25">
      <c r="A7463" s="34" t="s">
        <v>38</v>
      </c>
      <c r="B7463" s="37">
        <v>44203</v>
      </c>
      <c r="C7463" s="1">
        <v>167</v>
      </c>
      <c r="D7463" s="365">
        <f t="shared" si="583"/>
        <v>18199</v>
      </c>
      <c r="E7463" s="1">
        <v>1</v>
      </c>
      <c r="F7463" s="47">
        <f t="shared" si="584"/>
        <v>220</v>
      </c>
    </row>
    <row r="7464" spans="1:6" x14ac:dyDescent="0.25">
      <c r="A7464" s="34" t="s">
        <v>39</v>
      </c>
      <c r="B7464" s="37">
        <v>44203</v>
      </c>
      <c r="C7464" s="1">
        <v>74</v>
      </c>
      <c r="D7464" s="365">
        <f t="shared" si="583"/>
        <v>19913</v>
      </c>
      <c r="E7464" s="1">
        <v>6</v>
      </c>
      <c r="F7464" s="47">
        <f t="shared" si="584"/>
        <v>265</v>
      </c>
    </row>
    <row r="7465" spans="1:6" x14ac:dyDescent="0.25">
      <c r="A7465" s="34" t="s">
        <v>40</v>
      </c>
      <c r="B7465" s="37">
        <v>44203</v>
      </c>
      <c r="C7465" s="1">
        <v>273</v>
      </c>
      <c r="D7465" s="365">
        <f t="shared" si="583"/>
        <v>72332</v>
      </c>
      <c r="E7465" s="1">
        <v>10</v>
      </c>
      <c r="F7465" s="47">
        <f t="shared" si="584"/>
        <v>1383</v>
      </c>
    </row>
    <row r="7466" spans="1:6" x14ac:dyDescent="0.25">
      <c r="A7466" s="34" t="s">
        <v>16</v>
      </c>
      <c r="B7466" s="37">
        <v>44204</v>
      </c>
      <c r="C7466" s="1">
        <v>4937</v>
      </c>
      <c r="D7466" s="365">
        <f t="shared" si="583"/>
        <v>714270</v>
      </c>
      <c r="E7466" s="1">
        <v>60</v>
      </c>
      <c r="F7466" s="47">
        <f t="shared" si="584"/>
        <v>22793</v>
      </c>
    </row>
    <row r="7467" spans="1:6" x14ac:dyDescent="0.25">
      <c r="A7467" s="34" t="s">
        <v>43</v>
      </c>
      <c r="B7467" s="37">
        <v>44204</v>
      </c>
      <c r="C7467" s="1">
        <v>1451</v>
      </c>
      <c r="D7467" s="365">
        <f t="shared" si="583"/>
        <v>183440</v>
      </c>
      <c r="E7467" s="1">
        <v>12</v>
      </c>
      <c r="F7467" s="47">
        <f t="shared" si="584"/>
        <v>5589</v>
      </c>
    </row>
    <row r="7468" spans="1:6" x14ac:dyDescent="0.25">
      <c r="A7468" s="34" t="s">
        <v>28</v>
      </c>
      <c r="B7468" s="37">
        <v>44204</v>
      </c>
      <c r="C7468" s="1">
        <v>55</v>
      </c>
      <c r="D7468" s="365">
        <f t="shared" si="583"/>
        <v>3053</v>
      </c>
      <c r="E7468" s="1">
        <v>0</v>
      </c>
      <c r="F7468" s="47">
        <f t="shared" si="584"/>
        <v>17</v>
      </c>
    </row>
    <row r="7469" spans="1:6" x14ac:dyDescent="0.25">
      <c r="A7469" s="34" t="s">
        <v>15</v>
      </c>
      <c r="B7469" s="37">
        <v>44204</v>
      </c>
      <c r="C7469" s="1">
        <v>298</v>
      </c>
      <c r="D7469" s="365">
        <f t="shared" si="583"/>
        <v>26513</v>
      </c>
      <c r="E7469" s="1">
        <v>2</v>
      </c>
      <c r="F7469" s="47">
        <f t="shared" si="584"/>
        <v>731</v>
      </c>
    </row>
    <row r="7470" spans="1:6" x14ac:dyDescent="0.25">
      <c r="A7470" s="34" t="s">
        <v>29</v>
      </c>
      <c r="B7470" s="37">
        <v>44204</v>
      </c>
      <c r="C7470" s="1">
        <v>468</v>
      </c>
      <c r="D7470" s="365">
        <f t="shared" si="583"/>
        <v>34796</v>
      </c>
      <c r="E7470" s="1">
        <v>9</v>
      </c>
      <c r="F7470" s="47">
        <f t="shared" si="584"/>
        <v>532</v>
      </c>
    </row>
    <row r="7471" spans="1:6" x14ac:dyDescent="0.25">
      <c r="A7471" s="34" t="s">
        <v>20</v>
      </c>
      <c r="B7471" s="37">
        <v>44204</v>
      </c>
      <c r="C7471" s="1">
        <v>991</v>
      </c>
      <c r="D7471" s="365">
        <f t="shared" si="583"/>
        <v>132450</v>
      </c>
      <c r="E7471" s="1">
        <v>5</v>
      </c>
      <c r="F7471" s="47">
        <f t="shared" si="584"/>
        <v>2507</v>
      </c>
    </row>
    <row r="7472" spans="1:6" x14ac:dyDescent="0.25">
      <c r="A7472" s="34" t="s">
        <v>30</v>
      </c>
      <c r="B7472" s="37">
        <v>44204</v>
      </c>
      <c r="C7472" s="1">
        <v>298</v>
      </c>
      <c r="D7472" s="365">
        <f t="shared" si="583"/>
        <v>13348</v>
      </c>
      <c r="E7472" s="1">
        <v>4</v>
      </c>
      <c r="F7472" s="47">
        <f t="shared" si="584"/>
        <v>174</v>
      </c>
    </row>
    <row r="7473" spans="1:6" x14ac:dyDescent="0.25">
      <c r="A7473" s="34" t="s">
        <v>31</v>
      </c>
      <c r="B7473" s="37">
        <v>44204</v>
      </c>
      <c r="C7473" s="1">
        <v>587</v>
      </c>
      <c r="D7473" s="365">
        <f t="shared" si="583"/>
        <v>32675</v>
      </c>
      <c r="E7473" s="1">
        <v>7</v>
      </c>
      <c r="F7473" s="47">
        <f t="shared" si="584"/>
        <v>609</v>
      </c>
    </row>
    <row r="7474" spans="1:6" x14ac:dyDescent="0.25">
      <c r="A7474" s="34" t="s">
        <v>41</v>
      </c>
      <c r="B7474" s="37">
        <v>44204</v>
      </c>
      <c r="C7474" s="1">
        <v>3</v>
      </c>
      <c r="D7474" s="365">
        <f t="shared" si="583"/>
        <v>241</v>
      </c>
      <c r="E7474" s="1">
        <v>0</v>
      </c>
      <c r="F7474" s="47">
        <f t="shared" si="584"/>
        <v>3</v>
      </c>
    </row>
    <row r="7475" spans="1:6" x14ac:dyDescent="0.25">
      <c r="A7475" s="34" t="s">
        <v>32</v>
      </c>
      <c r="B7475" s="37">
        <v>44204</v>
      </c>
      <c r="C7475" s="1">
        <v>41</v>
      </c>
      <c r="D7475" s="365">
        <f t="shared" si="583"/>
        <v>18658</v>
      </c>
      <c r="E7475" s="1">
        <v>0</v>
      </c>
      <c r="F7475" s="47">
        <f t="shared" si="584"/>
        <v>859</v>
      </c>
    </row>
    <row r="7476" spans="1:6" x14ac:dyDescent="0.25">
      <c r="A7476" s="34" t="s">
        <v>33</v>
      </c>
      <c r="B7476" s="37">
        <v>44204</v>
      </c>
      <c r="C7476" s="1">
        <v>330</v>
      </c>
      <c r="D7476" s="365">
        <f t="shared" si="583"/>
        <v>13083</v>
      </c>
      <c r="E7476" s="1">
        <v>4</v>
      </c>
      <c r="F7476" s="47">
        <f t="shared" si="584"/>
        <v>142</v>
      </c>
    </row>
    <row r="7477" spans="1:6" x14ac:dyDescent="0.25">
      <c r="A7477" s="34" t="s">
        <v>21</v>
      </c>
      <c r="B7477" s="37">
        <v>44204</v>
      </c>
      <c r="C7477" s="1">
        <v>17</v>
      </c>
      <c r="D7477" s="365">
        <f t="shared" si="583"/>
        <v>9184</v>
      </c>
      <c r="E7477" s="1">
        <v>0</v>
      </c>
      <c r="F7477" s="47">
        <f t="shared" si="584"/>
        <v>399</v>
      </c>
    </row>
    <row r="7478" spans="1:6" x14ac:dyDescent="0.25">
      <c r="A7478" s="34" t="s">
        <v>17</v>
      </c>
      <c r="B7478" s="37">
        <v>44204</v>
      </c>
      <c r="C7478" s="1">
        <v>180</v>
      </c>
      <c r="D7478" s="365">
        <f t="shared" si="583"/>
        <v>61069</v>
      </c>
      <c r="E7478" s="1">
        <v>6</v>
      </c>
      <c r="F7478" s="47">
        <f t="shared" si="584"/>
        <v>1244</v>
      </c>
    </row>
    <row r="7479" spans="1:6" x14ac:dyDescent="0.25">
      <c r="A7479" s="34" t="s">
        <v>23</v>
      </c>
      <c r="B7479" s="37">
        <v>44204</v>
      </c>
      <c r="C7479" s="1">
        <v>4</v>
      </c>
      <c r="D7479" s="365">
        <f t="shared" si="583"/>
        <v>1179</v>
      </c>
      <c r="E7479" s="1">
        <v>0</v>
      </c>
      <c r="F7479" s="47">
        <f t="shared" si="584"/>
        <v>15</v>
      </c>
    </row>
    <row r="7480" spans="1:6" x14ac:dyDescent="0.25">
      <c r="A7480" s="34" t="s">
        <v>19</v>
      </c>
      <c r="B7480" s="37">
        <v>44204</v>
      </c>
      <c r="C7480" s="1">
        <v>506</v>
      </c>
      <c r="D7480" s="365">
        <f t="shared" si="583"/>
        <v>44570</v>
      </c>
      <c r="E7480" s="1">
        <v>0</v>
      </c>
      <c r="F7480" s="47">
        <f t="shared" si="584"/>
        <v>715</v>
      </c>
    </row>
    <row r="7481" spans="1:6" x14ac:dyDescent="0.25">
      <c r="A7481" s="34" t="s">
        <v>18</v>
      </c>
      <c r="B7481" s="37">
        <v>44204</v>
      </c>
      <c r="C7481" s="1">
        <v>464</v>
      </c>
      <c r="D7481" s="365">
        <f t="shared" si="583"/>
        <v>41046</v>
      </c>
      <c r="E7481" s="1">
        <v>10</v>
      </c>
      <c r="F7481" s="47">
        <f t="shared" si="584"/>
        <v>953</v>
      </c>
    </row>
    <row r="7482" spans="1:6" x14ac:dyDescent="0.25">
      <c r="A7482" s="34" t="s">
        <v>34</v>
      </c>
      <c r="B7482" s="37">
        <v>44204</v>
      </c>
      <c r="C7482" s="1">
        <v>38</v>
      </c>
      <c r="D7482" s="365">
        <f t="shared" si="583"/>
        <v>22616</v>
      </c>
      <c r="E7482" s="1">
        <v>1</v>
      </c>
      <c r="F7482" s="47">
        <f t="shared" si="584"/>
        <v>1023</v>
      </c>
    </row>
    <row r="7483" spans="1:6" x14ac:dyDescent="0.25">
      <c r="A7483" s="34" t="s">
        <v>35</v>
      </c>
      <c r="B7483" s="37">
        <v>44204</v>
      </c>
      <c r="C7483" s="1">
        <v>138</v>
      </c>
      <c r="D7483" s="365">
        <f t="shared" si="583"/>
        <v>12280</v>
      </c>
      <c r="E7483" s="1">
        <v>0</v>
      </c>
      <c r="F7483" s="47">
        <f t="shared" si="584"/>
        <v>207</v>
      </c>
    </row>
    <row r="7484" spans="1:6" x14ac:dyDescent="0.25">
      <c r="A7484" s="34" t="s">
        <v>36</v>
      </c>
      <c r="B7484" s="37">
        <v>44204</v>
      </c>
      <c r="C7484" s="1">
        <v>74</v>
      </c>
      <c r="D7484" s="365">
        <f t="shared" si="583"/>
        <v>16520</v>
      </c>
      <c r="E7484" s="1">
        <v>5</v>
      </c>
      <c r="F7484" s="47">
        <f t="shared" si="584"/>
        <v>320</v>
      </c>
    </row>
    <row r="7485" spans="1:6" x14ac:dyDescent="0.25">
      <c r="A7485" s="34" t="s">
        <v>37</v>
      </c>
      <c r="B7485" s="37">
        <v>44204</v>
      </c>
      <c r="C7485" s="1">
        <v>414</v>
      </c>
      <c r="D7485" s="365">
        <f t="shared" si="583"/>
        <v>26574</v>
      </c>
      <c r="E7485" s="1">
        <v>4</v>
      </c>
      <c r="F7485" s="47">
        <f t="shared" si="584"/>
        <v>418</v>
      </c>
    </row>
    <row r="7486" spans="1:6" x14ac:dyDescent="0.25">
      <c r="A7486" s="34" t="s">
        <v>22</v>
      </c>
      <c r="B7486" s="37">
        <v>44204</v>
      </c>
      <c r="C7486" s="1">
        <v>1428</v>
      </c>
      <c r="D7486" s="365">
        <f t="shared" si="583"/>
        <v>184719</v>
      </c>
      <c r="E7486" s="1">
        <v>11</v>
      </c>
      <c r="F7486" s="47">
        <f t="shared" si="584"/>
        <v>3083</v>
      </c>
    </row>
    <row r="7487" spans="1:6" x14ac:dyDescent="0.25">
      <c r="A7487" s="34" t="s">
        <v>38</v>
      </c>
      <c r="B7487" s="37">
        <v>44204</v>
      </c>
      <c r="C7487" s="1">
        <v>228</v>
      </c>
      <c r="D7487" s="365">
        <f t="shared" si="583"/>
        <v>18427</v>
      </c>
      <c r="E7487" s="1">
        <v>2</v>
      </c>
      <c r="F7487" s="47">
        <f t="shared" si="584"/>
        <v>222</v>
      </c>
    </row>
    <row r="7488" spans="1:6" x14ac:dyDescent="0.25">
      <c r="A7488" s="34" t="s">
        <v>39</v>
      </c>
      <c r="B7488" s="37">
        <v>44204</v>
      </c>
      <c r="C7488" s="1">
        <v>127</v>
      </c>
      <c r="D7488" s="365">
        <f t="shared" si="583"/>
        <v>20040</v>
      </c>
      <c r="E7488" s="1">
        <v>9</v>
      </c>
      <c r="F7488" s="47">
        <f t="shared" si="584"/>
        <v>274</v>
      </c>
    </row>
    <row r="7489" spans="1:6" x14ac:dyDescent="0.25">
      <c r="A7489" s="34" t="s">
        <v>40</v>
      </c>
      <c r="B7489" s="37">
        <v>44204</v>
      </c>
      <c r="C7489" s="1">
        <v>269</v>
      </c>
      <c r="D7489" s="365">
        <f t="shared" si="583"/>
        <v>72601</v>
      </c>
      <c r="E7489" s="1">
        <v>0</v>
      </c>
      <c r="F7489" s="47">
        <f t="shared" si="584"/>
        <v>1383</v>
      </c>
    </row>
    <row r="7490" spans="1:6" x14ac:dyDescent="0.25">
      <c r="A7490" s="34" t="s">
        <v>16</v>
      </c>
      <c r="B7490" s="37">
        <v>44205</v>
      </c>
      <c r="C7490" s="1">
        <v>4389</v>
      </c>
      <c r="D7490" s="365">
        <f t="shared" si="583"/>
        <v>718659</v>
      </c>
      <c r="E7490" s="1">
        <v>68</v>
      </c>
      <c r="F7490" s="47">
        <f t="shared" si="584"/>
        <v>22861</v>
      </c>
    </row>
    <row r="7491" spans="1:6" x14ac:dyDescent="0.25">
      <c r="A7491" s="34" t="s">
        <v>43</v>
      </c>
      <c r="B7491" s="37">
        <v>44205</v>
      </c>
      <c r="C7491" s="1">
        <v>1350</v>
      </c>
      <c r="D7491" s="365">
        <f t="shared" si="583"/>
        <v>184790</v>
      </c>
      <c r="E7491" s="1">
        <v>4</v>
      </c>
      <c r="F7491" s="47">
        <f t="shared" si="584"/>
        <v>5593</v>
      </c>
    </row>
    <row r="7492" spans="1:6" x14ac:dyDescent="0.25">
      <c r="A7492" s="34" t="s">
        <v>28</v>
      </c>
      <c r="B7492" s="37">
        <v>44205</v>
      </c>
      <c r="C7492" s="1">
        <v>69</v>
      </c>
      <c r="D7492" s="365">
        <f t="shared" si="583"/>
        <v>3122</v>
      </c>
      <c r="E7492" s="1">
        <v>0</v>
      </c>
      <c r="F7492" s="47">
        <f t="shared" si="584"/>
        <v>17</v>
      </c>
    </row>
    <row r="7493" spans="1:6" x14ac:dyDescent="0.25">
      <c r="A7493" s="34" t="s">
        <v>15</v>
      </c>
      <c r="B7493" s="37">
        <v>44205</v>
      </c>
      <c r="C7493" s="1">
        <v>225</v>
      </c>
      <c r="D7493" s="365">
        <f t="shared" si="583"/>
        <v>26738</v>
      </c>
      <c r="E7493" s="1">
        <v>1</v>
      </c>
      <c r="F7493" s="47">
        <f t="shared" si="584"/>
        <v>732</v>
      </c>
    </row>
    <row r="7494" spans="1:6" x14ac:dyDescent="0.25">
      <c r="A7494" s="34" t="s">
        <v>29</v>
      </c>
      <c r="B7494" s="37">
        <v>44205</v>
      </c>
      <c r="C7494" s="1">
        <v>330</v>
      </c>
      <c r="D7494" s="365">
        <f t="shared" si="583"/>
        <v>35126</v>
      </c>
      <c r="E7494" s="1">
        <v>0</v>
      </c>
      <c r="F7494" s="47">
        <f t="shared" si="584"/>
        <v>532</v>
      </c>
    </row>
    <row r="7495" spans="1:6" x14ac:dyDescent="0.25">
      <c r="A7495" s="34" t="s">
        <v>20</v>
      </c>
      <c r="B7495" s="37">
        <v>44205</v>
      </c>
      <c r="C7495" s="1">
        <v>628</v>
      </c>
      <c r="D7495" s="365">
        <f t="shared" si="583"/>
        <v>133078</v>
      </c>
      <c r="E7495" s="1">
        <v>2</v>
      </c>
      <c r="F7495" s="47">
        <f t="shared" si="584"/>
        <v>2509</v>
      </c>
    </row>
    <row r="7496" spans="1:6" x14ac:dyDescent="0.25">
      <c r="A7496" s="34" t="s">
        <v>30</v>
      </c>
      <c r="B7496" s="37">
        <v>44205</v>
      </c>
      <c r="C7496" s="1">
        <v>298</v>
      </c>
      <c r="D7496" s="365">
        <f t="shared" si="583"/>
        <v>13646</v>
      </c>
      <c r="E7496" s="1">
        <v>0</v>
      </c>
      <c r="F7496" s="47">
        <f t="shared" si="584"/>
        <v>174</v>
      </c>
    </row>
    <row r="7497" spans="1:6" x14ac:dyDescent="0.25">
      <c r="A7497" s="34" t="s">
        <v>31</v>
      </c>
      <c r="B7497" s="37">
        <v>44205</v>
      </c>
      <c r="C7497" s="1">
        <v>516</v>
      </c>
      <c r="D7497" s="365">
        <f t="shared" si="583"/>
        <v>33191</v>
      </c>
      <c r="E7497" s="1">
        <v>1</v>
      </c>
      <c r="F7497" s="47">
        <f t="shared" si="584"/>
        <v>610</v>
      </c>
    </row>
    <row r="7498" spans="1:6" x14ac:dyDescent="0.25">
      <c r="A7498" s="34" t="s">
        <v>41</v>
      </c>
      <c r="B7498" s="37">
        <v>44205</v>
      </c>
      <c r="C7498" s="1">
        <v>18</v>
      </c>
      <c r="D7498" s="365">
        <f t="shared" si="583"/>
        <v>259</v>
      </c>
      <c r="E7498" s="1">
        <v>0</v>
      </c>
      <c r="F7498" s="47">
        <f t="shared" si="584"/>
        <v>3</v>
      </c>
    </row>
    <row r="7499" spans="1:6" x14ac:dyDescent="0.25">
      <c r="A7499" s="34" t="s">
        <v>32</v>
      </c>
      <c r="B7499" s="37">
        <v>44205</v>
      </c>
      <c r="C7499" s="1">
        <v>8</v>
      </c>
      <c r="D7499" s="365">
        <f t="shared" si="583"/>
        <v>18666</v>
      </c>
      <c r="E7499" s="1">
        <v>0</v>
      </c>
      <c r="F7499" s="47">
        <f t="shared" si="584"/>
        <v>859</v>
      </c>
    </row>
    <row r="7500" spans="1:6" x14ac:dyDescent="0.25">
      <c r="A7500" s="34" t="s">
        <v>33</v>
      </c>
      <c r="B7500" s="37">
        <v>44205</v>
      </c>
      <c r="C7500" s="1">
        <v>315</v>
      </c>
      <c r="D7500" s="365">
        <f t="shared" si="583"/>
        <v>13398</v>
      </c>
      <c r="E7500" s="1">
        <v>12</v>
      </c>
      <c r="F7500" s="47">
        <f t="shared" si="584"/>
        <v>154</v>
      </c>
    </row>
    <row r="7501" spans="1:6" x14ac:dyDescent="0.25">
      <c r="A7501" s="34" t="s">
        <v>21</v>
      </c>
      <c r="B7501" s="37">
        <v>44205</v>
      </c>
      <c r="C7501" s="1">
        <v>15</v>
      </c>
      <c r="D7501" s="365">
        <f t="shared" si="583"/>
        <v>9199</v>
      </c>
      <c r="E7501" s="1">
        <v>2</v>
      </c>
      <c r="F7501" s="47">
        <f t="shared" si="584"/>
        <v>401</v>
      </c>
    </row>
    <row r="7502" spans="1:6" x14ac:dyDescent="0.25">
      <c r="A7502" s="34" t="s">
        <v>17</v>
      </c>
      <c r="B7502" s="37">
        <v>44205</v>
      </c>
      <c r="C7502" s="1">
        <v>145</v>
      </c>
      <c r="D7502" s="365">
        <f t="shared" si="583"/>
        <v>61214</v>
      </c>
      <c r="E7502" s="1">
        <v>1</v>
      </c>
      <c r="F7502" s="47">
        <f t="shared" si="584"/>
        <v>1245</v>
      </c>
    </row>
    <row r="7503" spans="1:6" x14ac:dyDescent="0.25">
      <c r="A7503" s="34" t="s">
        <v>23</v>
      </c>
      <c r="B7503" s="37">
        <v>44205</v>
      </c>
      <c r="C7503" s="1">
        <v>156</v>
      </c>
      <c r="D7503" s="365">
        <f t="shared" si="583"/>
        <v>1335</v>
      </c>
      <c r="E7503" s="1">
        <v>1</v>
      </c>
      <c r="F7503" s="47">
        <f t="shared" si="584"/>
        <v>16</v>
      </c>
    </row>
    <row r="7504" spans="1:6" x14ac:dyDescent="0.25">
      <c r="A7504" s="34" t="s">
        <v>19</v>
      </c>
      <c r="B7504" s="37">
        <v>44205</v>
      </c>
      <c r="C7504" s="1">
        <v>351</v>
      </c>
      <c r="D7504" s="365">
        <f t="shared" si="583"/>
        <v>44921</v>
      </c>
      <c r="E7504" s="1">
        <v>38</v>
      </c>
      <c r="F7504" s="47">
        <f t="shared" si="584"/>
        <v>753</v>
      </c>
    </row>
    <row r="7505" spans="1:6" x14ac:dyDescent="0.25">
      <c r="A7505" s="34" t="s">
        <v>18</v>
      </c>
      <c r="B7505" s="37">
        <v>44205</v>
      </c>
      <c r="C7505" s="1">
        <v>237</v>
      </c>
      <c r="D7505" s="365">
        <f t="shared" si="583"/>
        <v>41283</v>
      </c>
      <c r="E7505" s="1">
        <v>3</v>
      </c>
      <c r="F7505" s="47">
        <f t="shared" si="584"/>
        <v>956</v>
      </c>
    </row>
    <row r="7506" spans="1:6" x14ac:dyDescent="0.25">
      <c r="A7506" s="34" t="s">
        <v>34</v>
      </c>
      <c r="B7506" s="37">
        <v>44205</v>
      </c>
      <c r="C7506" s="1">
        <v>73</v>
      </c>
      <c r="D7506" s="365">
        <f t="shared" si="583"/>
        <v>22689</v>
      </c>
      <c r="E7506" s="1">
        <v>0</v>
      </c>
      <c r="F7506" s="47">
        <f t="shared" si="584"/>
        <v>1023</v>
      </c>
    </row>
    <row r="7507" spans="1:6" x14ac:dyDescent="0.25">
      <c r="A7507" s="34" t="s">
        <v>35</v>
      </c>
      <c r="B7507" s="37">
        <v>44205</v>
      </c>
      <c r="C7507" s="1">
        <v>79</v>
      </c>
      <c r="D7507" s="365">
        <f t="shared" ref="D7507:D7513" si="585">C7507+D7483</f>
        <v>12359</v>
      </c>
      <c r="E7507" s="1">
        <v>0</v>
      </c>
      <c r="F7507" s="47">
        <f t="shared" ref="F7507:F7513" si="586">E7507+F7483</f>
        <v>207</v>
      </c>
    </row>
    <row r="7508" spans="1:6" x14ac:dyDescent="0.25">
      <c r="A7508" s="34" t="s">
        <v>36</v>
      </c>
      <c r="B7508" s="37">
        <v>44205</v>
      </c>
      <c r="C7508" s="1">
        <v>16</v>
      </c>
      <c r="D7508" s="365">
        <f t="shared" si="585"/>
        <v>16536</v>
      </c>
      <c r="E7508" s="1">
        <v>1</v>
      </c>
      <c r="F7508" s="47">
        <f t="shared" si="586"/>
        <v>321</v>
      </c>
    </row>
    <row r="7509" spans="1:6" x14ac:dyDescent="0.25">
      <c r="A7509" s="34" t="s">
        <v>37</v>
      </c>
      <c r="B7509" s="37">
        <v>44205</v>
      </c>
      <c r="C7509" s="1">
        <v>365</v>
      </c>
      <c r="D7509" s="365">
        <f t="shared" si="585"/>
        <v>26939</v>
      </c>
      <c r="E7509" s="1">
        <v>2</v>
      </c>
      <c r="F7509" s="47">
        <f t="shared" si="586"/>
        <v>420</v>
      </c>
    </row>
    <row r="7510" spans="1:6" x14ac:dyDescent="0.25">
      <c r="A7510" s="34" t="s">
        <v>22</v>
      </c>
      <c r="B7510" s="37">
        <v>44205</v>
      </c>
      <c r="C7510" s="1">
        <v>1171</v>
      </c>
      <c r="D7510" s="365">
        <f t="shared" si="585"/>
        <v>185890</v>
      </c>
      <c r="E7510" s="1">
        <v>2</v>
      </c>
      <c r="F7510" s="47">
        <f t="shared" si="586"/>
        <v>3085</v>
      </c>
    </row>
    <row r="7511" spans="1:6" x14ac:dyDescent="0.25">
      <c r="A7511" s="34" t="s">
        <v>38</v>
      </c>
      <c r="B7511" s="37">
        <v>44205</v>
      </c>
      <c r="C7511" s="1">
        <v>125</v>
      </c>
      <c r="D7511" s="365">
        <f t="shared" si="585"/>
        <v>18552</v>
      </c>
      <c r="E7511" s="1">
        <v>3</v>
      </c>
      <c r="F7511" s="47">
        <f t="shared" si="586"/>
        <v>225</v>
      </c>
    </row>
    <row r="7512" spans="1:6" x14ac:dyDescent="0.25">
      <c r="A7512" s="34" t="s">
        <v>39</v>
      </c>
      <c r="B7512" s="37">
        <v>44205</v>
      </c>
      <c r="C7512" s="1">
        <v>57</v>
      </c>
      <c r="D7512" s="365">
        <f t="shared" si="585"/>
        <v>20097</v>
      </c>
      <c r="E7512" s="1">
        <v>0</v>
      </c>
      <c r="F7512" s="47">
        <f t="shared" si="586"/>
        <v>274</v>
      </c>
    </row>
    <row r="7513" spans="1:6" x14ac:dyDescent="0.25">
      <c r="A7513" s="34" t="s">
        <v>40</v>
      </c>
      <c r="B7513" s="37">
        <v>44205</v>
      </c>
      <c r="C7513" s="1">
        <v>121</v>
      </c>
      <c r="D7513" s="365">
        <f t="shared" si="585"/>
        <v>72722</v>
      </c>
      <c r="E7513" s="1">
        <v>0</v>
      </c>
      <c r="F7513" s="47">
        <f t="shared" si="586"/>
        <v>1383</v>
      </c>
    </row>
    <row r="7514" spans="1:6" x14ac:dyDescent="0.25">
      <c r="A7514" s="34" t="s">
        <v>16</v>
      </c>
      <c r="B7514" s="37">
        <v>44206</v>
      </c>
      <c r="C7514" s="1">
        <v>3295</v>
      </c>
      <c r="D7514" s="365">
        <f>C7514+D7490</f>
        <v>721954</v>
      </c>
      <c r="E7514" s="1">
        <v>49</v>
      </c>
      <c r="F7514" s="47">
        <f>E7514+F7490</f>
        <v>22910</v>
      </c>
    </row>
    <row r="7515" spans="1:6" x14ac:dyDescent="0.25">
      <c r="A7515" s="34" t="s">
        <v>43</v>
      </c>
      <c r="B7515" s="37">
        <v>44206</v>
      </c>
      <c r="C7515" s="1">
        <v>1247</v>
      </c>
      <c r="D7515" s="365">
        <f t="shared" ref="D7515:D7537" si="587">C7515+D7491</f>
        <v>186037</v>
      </c>
      <c r="E7515" s="1">
        <v>4</v>
      </c>
      <c r="F7515" s="47">
        <f t="shared" ref="F7515:F7537" si="588">E7515+F7491</f>
        <v>5597</v>
      </c>
    </row>
    <row r="7516" spans="1:6" x14ac:dyDescent="0.25">
      <c r="A7516" s="34" t="s">
        <v>28</v>
      </c>
      <c r="B7516" s="37">
        <v>44206</v>
      </c>
      <c r="C7516" s="1">
        <v>51</v>
      </c>
      <c r="D7516" s="365">
        <f t="shared" si="587"/>
        <v>3173</v>
      </c>
      <c r="E7516" s="1">
        <v>0</v>
      </c>
      <c r="F7516" s="47">
        <f t="shared" si="588"/>
        <v>17</v>
      </c>
    </row>
    <row r="7517" spans="1:6" x14ac:dyDescent="0.25">
      <c r="A7517" s="34" t="s">
        <v>15</v>
      </c>
      <c r="B7517" s="37">
        <v>44206</v>
      </c>
      <c r="C7517" s="1">
        <v>191</v>
      </c>
      <c r="D7517" s="365">
        <f t="shared" si="587"/>
        <v>26929</v>
      </c>
      <c r="E7517" s="1">
        <v>2</v>
      </c>
      <c r="F7517" s="47">
        <f t="shared" si="588"/>
        <v>734</v>
      </c>
    </row>
    <row r="7518" spans="1:6" x14ac:dyDescent="0.25">
      <c r="A7518" s="34" t="s">
        <v>29</v>
      </c>
      <c r="B7518" s="37">
        <v>44206</v>
      </c>
      <c r="C7518" s="1">
        <v>194</v>
      </c>
      <c r="D7518" s="365">
        <f t="shared" si="587"/>
        <v>35320</v>
      </c>
      <c r="E7518" s="1">
        <v>3</v>
      </c>
      <c r="F7518" s="47">
        <f t="shared" si="588"/>
        <v>535</v>
      </c>
    </row>
    <row r="7519" spans="1:6" x14ac:dyDescent="0.25">
      <c r="A7519" s="34" t="s">
        <v>20</v>
      </c>
      <c r="B7519" s="37">
        <v>44206</v>
      </c>
      <c r="C7519" s="1">
        <v>466</v>
      </c>
      <c r="D7519" s="365">
        <f t="shared" si="587"/>
        <v>133544</v>
      </c>
      <c r="E7519" s="1">
        <v>0</v>
      </c>
      <c r="F7519" s="47">
        <f t="shared" si="588"/>
        <v>2509</v>
      </c>
    </row>
    <row r="7520" spans="1:6" x14ac:dyDescent="0.25">
      <c r="A7520" s="34" t="s">
        <v>30</v>
      </c>
      <c r="B7520" s="37">
        <v>44206</v>
      </c>
      <c r="C7520" s="1">
        <v>119</v>
      </c>
      <c r="D7520" s="365">
        <f t="shared" si="587"/>
        <v>13765</v>
      </c>
      <c r="E7520" s="1">
        <v>0</v>
      </c>
      <c r="F7520" s="47">
        <f t="shared" si="588"/>
        <v>174</v>
      </c>
    </row>
    <row r="7521" spans="1:6" x14ac:dyDescent="0.25">
      <c r="A7521" s="34" t="s">
        <v>31</v>
      </c>
      <c r="B7521" s="37">
        <v>44206</v>
      </c>
      <c r="C7521" s="1">
        <v>350</v>
      </c>
      <c r="D7521" s="365">
        <f t="shared" si="587"/>
        <v>33541</v>
      </c>
      <c r="E7521" s="1">
        <v>3</v>
      </c>
      <c r="F7521" s="47">
        <f t="shared" si="588"/>
        <v>613</v>
      </c>
    </row>
    <row r="7522" spans="1:6" x14ac:dyDescent="0.25">
      <c r="A7522" s="34" t="s">
        <v>41</v>
      </c>
      <c r="B7522" s="37">
        <v>44206</v>
      </c>
      <c r="C7522" s="1">
        <v>32</v>
      </c>
      <c r="D7522" s="365">
        <f t="shared" si="587"/>
        <v>291</v>
      </c>
      <c r="E7522" s="1">
        <v>0</v>
      </c>
      <c r="F7522" s="47">
        <f t="shared" si="588"/>
        <v>3</v>
      </c>
    </row>
    <row r="7523" spans="1:6" x14ac:dyDescent="0.25">
      <c r="A7523" s="34" t="s">
        <v>32</v>
      </c>
      <c r="B7523" s="37">
        <v>44206</v>
      </c>
      <c r="C7523" s="1">
        <v>20</v>
      </c>
      <c r="D7523" s="365">
        <f t="shared" si="587"/>
        <v>18686</v>
      </c>
      <c r="E7523" s="1">
        <v>0</v>
      </c>
      <c r="F7523" s="47">
        <f t="shared" si="588"/>
        <v>859</v>
      </c>
    </row>
    <row r="7524" spans="1:6" x14ac:dyDescent="0.25">
      <c r="A7524" s="34" t="s">
        <v>33</v>
      </c>
      <c r="B7524" s="37">
        <v>44206</v>
      </c>
      <c r="C7524" s="1">
        <v>102</v>
      </c>
      <c r="D7524" s="365">
        <f t="shared" si="587"/>
        <v>13500</v>
      </c>
      <c r="E7524" s="1">
        <v>3</v>
      </c>
      <c r="F7524" s="47">
        <f t="shared" si="588"/>
        <v>157</v>
      </c>
    </row>
    <row r="7525" spans="1:6" x14ac:dyDescent="0.25">
      <c r="A7525" s="34" t="s">
        <v>21</v>
      </c>
      <c r="B7525" s="37">
        <v>44206</v>
      </c>
      <c r="C7525" s="1">
        <v>15</v>
      </c>
      <c r="D7525" s="365">
        <f t="shared" si="587"/>
        <v>9214</v>
      </c>
      <c r="E7525" s="1">
        <v>0</v>
      </c>
      <c r="F7525" s="47">
        <f t="shared" si="588"/>
        <v>401</v>
      </c>
    </row>
    <row r="7526" spans="1:6" x14ac:dyDescent="0.25">
      <c r="A7526" s="34" t="s">
        <v>17</v>
      </c>
      <c r="B7526" s="37">
        <v>44206</v>
      </c>
      <c r="C7526" s="1">
        <v>76</v>
      </c>
      <c r="D7526" s="365">
        <f t="shared" si="587"/>
        <v>61290</v>
      </c>
      <c r="E7526" s="1">
        <v>0</v>
      </c>
      <c r="F7526" s="47">
        <f t="shared" si="588"/>
        <v>1245</v>
      </c>
    </row>
    <row r="7527" spans="1:6" x14ac:dyDescent="0.25">
      <c r="A7527" s="34" t="s">
        <v>23</v>
      </c>
      <c r="B7527" s="37">
        <v>44206</v>
      </c>
      <c r="C7527" s="1">
        <v>110</v>
      </c>
      <c r="D7527" s="365">
        <f t="shared" si="587"/>
        <v>1445</v>
      </c>
      <c r="E7527" s="1">
        <v>0</v>
      </c>
      <c r="F7527" s="47">
        <f t="shared" si="588"/>
        <v>16</v>
      </c>
    </row>
    <row r="7528" spans="1:6" x14ac:dyDescent="0.25">
      <c r="A7528" s="34" t="s">
        <v>19</v>
      </c>
      <c r="B7528" s="37">
        <v>44206</v>
      </c>
      <c r="C7528" s="1">
        <v>229</v>
      </c>
      <c r="D7528" s="365">
        <f t="shared" si="587"/>
        <v>45150</v>
      </c>
      <c r="E7528" s="1">
        <v>0</v>
      </c>
      <c r="F7528" s="47">
        <f t="shared" si="588"/>
        <v>753</v>
      </c>
    </row>
    <row r="7529" spans="1:6" x14ac:dyDescent="0.25">
      <c r="A7529" s="34" t="s">
        <v>18</v>
      </c>
      <c r="B7529" s="37">
        <v>44206</v>
      </c>
      <c r="C7529" s="1">
        <v>201</v>
      </c>
      <c r="D7529" s="365">
        <f t="shared" si="587"/>
        <v>41484</v>
      </c>
      <c r="E7529" s="1">
        <v>4</v>
      </c>
      <c r="F7529" s="47">
        <f t="shared" si="588"/>
        <v>960</v>
      </c>
    </row>
    <row r="7530" spans="1:6" x14ac:dyDescent="0.25">
      <c r="A7530" s="34" t="s">
        <v>34</v>
      </c>
      <c r="B7530" s="37">
        <v>44206</v>
      </c>
      <c r="C7530" s="1">
        <v>21</v>
      </c>
      <c r="D7530" s="365">
        <f t="shared" si="587"/>
        <v>22710</v>
      </c>
      <c r="E7530" s="1">
        <v>0</v>
      </c>
      <c r="F7530" s="47">
        <f t="shared" si="588"/>
        <v>1023</v>
      </c>
    </row>
    <row r="7531" spans="1:6" x14ac:dyDescent="0.25">
      <c r="A7531" s="34" t="s">
        <v>35</v>
      </c>
      <c r="B7531" s="37">
        <v>44206</v>
      </c>
      <c r="C7531" s="1">
        <v>23</v>
      </c>
      <c r="D7531" s="365">
        <f t="shared" si="587"/>
        <v>12382</v>
      </c>
      <c r="E7531" s="1">
        <v>0</v>
      </c>
      <c r="F7531" s="47">
        <f t="shared" si="588"/>
        <v>207</v>
      </c>
    </row>
    <row r="7532" spans="1:6" x14ac:dyDescent="0.25">
      <c r="A7532" s="34" t="s">
        <v>36</v>
      </c>
      <c r="B7532" s="37">
        <v>44206</v>
      </c>
      <c r="C7532" s="1">
        <v>8</v>
      </c>
      <c r="D7532" s="365">
        <f t="shared" si="587"/>
        <v>16544</v>
      </c>
      <c r="E7532" s="1">
        <v>0</v>
      </c>
      <c r="F7532" s="47">
        <f t="shared" si="588"/>
        <v>321</v>
      </c>
    </row>
    <row r="7533" spans="1:6" x14ac:dyDescent="0.25">
      <c r="A7533" s="34" t="s">
        <v>37</v>
      </c>
      <c r="B7533" s="37">
        <v>44206</v>
      </c>
      <c r="C7533" s="1">
        <v>255</v>
      </c>
      <c r="D7533" s="365">
        <f t="shared" si="587"/>
        <v>27194</v>
      </c>
      <c r="E7533" s="1">
        <v>4</v>
      </c>
      <c r="F7533" s="47">
        <f t="shared" si="588"/>
        <v>424</v>
      </c>
    </row>
    <row r="7534" spans="1:6" x14ac:dyDescent="0.25">
      <c r="A7534" s="34" t="s">
        <v>22</v>
      </c>
      <c r="B7534" s="37">
        <v>44206</v>
      </c>
      <c r="C7534" s="1">
        <v>548</v>
      </c>
      <c r="D7534" s="365">
        <f t="shared" si="587"/>
        <v>186438</v>
      </c>
      <c r="E7534" s="1">
        <v>4</v>
      </c>
      <c r="F7534" s="47">
        <f t="shared" si="588"/>
        <v>3089</v>
      </c>
    </row>
    <row r="7535" spans="1:6" x14ac:dyDescent="0.25">
      <c r="A7535" s="34" t="s">
        <v>38</v>
      </c>
      <c r="B7535" s="37">
        <v>44206</v>
      </c>
      <c r="C7535" s="1">
        <v>65</v>
      </c>
      <c r="D7535" s="365">
        <f t="shared" si="587"/>
        <v>18617</v>
      </c>
      <c r="E7535" s="1">
        <v>1</v>
      </c>
      <c r="F7535" s="47">
        <f t="shared" si="588"/>
        <v>226</v>
      </c>
    </row>
    <row r="7536" spans="1:6" x14ac:dyDescent="0.25">
      <c r="A7536" s="34" t="s">
        <v>39</v>
      </c>
      <c r="B7536" s="37">
        <v>44206</v>
      </c>
      <c r="C7536" s="1">
        <v>74</v>
      </c>
      <c r="D7536" s="365">
        <f t="shared" si="587"/>
        <v>20171</v>
      </c>
      <c r="E7536" s="1">
        <v>0</v>
      </c>
      <c r="F7536" s="47">
        <f t="shared" si="588"/>
        <v>274</v>
      </c>
    </row>
    <row r="7537" spans="1:8" x14ac:dyDescent="0.25">
      <c r="A7537" s="34" t="s">
        <v>40</v>
      </c>
      <c r="B7537" s="37">
        <v>44206</v>
      </c>
      <c r="C7537" s="1">
        <v>116</v>
      </c>
      <c r="D7537" s="365">
        <f t="shared" si="587"/>
        <v>72838</v>
      </c>
      <c r="E7537" s="1">
        <v>1</v>
      </c>
      <c r="F7537" s="47">
        <f t="shared" si="588"/>
        <v>1384</v>
      </c>
    </row>
    <row r="7538" spans="1:8" x14ac:dyDescent="0.25">
      <c r="A7538" s="34" t="s">
        <v>16</v>
      </c>
      <c r="B7538" s="37">
        <v>44207</v>
      </c>
      <c r="C7538" s="1">
        <v>3180</v>
      </c>
      <c r="D7538" s="365">
        <f>C7538+D7514</f>
        <v>725134</v>
      </c>
      <c r="E7538" s="1">
        <v>91</v>
      </c>
      <c r="F7538" s="47">
        <f>E7538+F7514</f>
        <v>23001</v>
      </c>
      <c r="G7538" s="17">
        <v>61</v>
      </c>
      <c r="H7538" s="17">
        <v>29</v>
      </c>
    </row>
    <row r="7539" spans="1:8" x14ac:dyDescent="0.25">
      <c r="A7539" s="34" t="s">
        <v>43</v>
      </c>
      <c r="B7539" s="37">
        <v>44207</v>
      </c>
      <c r="C7539" s="1">
        <v>915</v>
      </c>
      <c r="D7539" s="365">
        <f t="shared" ref="D7539:D7602" si="589">C7539+D7515</f>
        <v>186952</v>
      </c>
      <c r="E7539" s="1">
        <v>7</v>
      </c>
      <c r="F7539" s="47">
        <f t="shared" ref="F7539:F7602" si="590">E7539+F7515</f>
        <v>5604</v>
      </c>
      <c r="G7539" s="17">
        <v>6</v>
      </c>
      <c r="H7539" s="17">
        <v>1</v>
      </c>
    </row>
    <row r="7540" spans="1:8" x14ac:dyDescent="0.25">
      <c r="A7540" s="34" t="s">
        <v>28</v>
      </c>
      <c r="B7540" s="37">
        <v>44207</v>
      </c>
      <c r="C7540" s="1">
        <v>31</v>
      </c>
      <c r="D7540" s="365">
        <f t="shared" si="589"/>
        <v>3204</v>
      </c>
      <c r="E7540" s="1">
        <v>0</v>
      </c>
      <c r="F7540" s="47">
        <f t="shared" si="590"/>
        <v>17</v>
      </c>
    </row>
    <row r="7541" spans="1:8" x14ac:dyDescent="0.25">
      <c r="A7541" s="34" t="s">
        <v>15</v>
      </c>
      <c r="B7541" s="37">
        <v>44207</v>
      </c>
      <c r="C7541" s="1">
        <v>154</v>
      </c>
      <c r="D7541" s="365">
        <f t="shared" si="589"/>
        <v>27083</v>
      </c>
      <c r="E7541" s="1">
        <v>3</v>
      </c>
      <c r="F7541" s="47">
        <f t="shared" si="590"/>
        <v>737</v>
      </c>
      <c r="G7541" s="17">
        <v>1</v>
      </c>
      <c r="H7541" s="17">
        <v>2</v>
      </c>
    </row>
    <row r="7542" spans="1:8" x14ac:dyDescent="0.25">
      <c r="A7542" s="34" t="s">
        <v>29</v>
      </c>
      <c r="B7542" s="37">
        <v>44207</v>
      </c>
      <c r="C7542" s="1">
        <v>505</v>
      </c>
      <c r="D7542" s="365">
        <f t="shared" si="589"/>
        <v>35825</v>
      </c>
      <c r="E7542" s="1">
        <v>7</v>
      </c>
      <c r="F7542" s="47">
        <f t="shared" si="590"/>
        <v>542</v>
      </c>
      <c r="G7542" s="17">
        <v>5</v>
      </c>
      <c r="H7542" s="17">
        <v>2</v>
      </c>
    </row>
    <row r="7543" spans="1:8" x14ac:dyDescent="0.25">
      <c r="A7543" s="34" t="s">
        <v>20</v>
      </c>
      <c r="B7543" s="37">
        <v>44207</v>
      </c>
      <c r="C7543" s="1">
        <v>297</v>
      </c>
      <c r="D7543" s="365">
        <f t="shared" si="589"/>
        <v>133841</v>
      </c>
      <c r="E7543" s="1">
        <v>5</v>
      </c>
      <c r="F7543" s="47">
        <f t="shared" si="590"/>
        <v>2514</v>
      </c>
      <c r="G7543" s="17">
        <v>2</v>
      </c>
      <c r="H7543" s="17">
        <v>3</v>
      </c>
    </row>
    <row r="7544" spans="1:8" x14ac:dyDescent="0.25">
      <c r="A7544" s="34" t="s">
        <v>30</v>
      </c>
      <c r="B7544" s="37">
        <v>44207</v>
      </c>
      <c r="C7544" s="1">
        <v>169</v>
      </c>
      <c r="D7544" s="365">
        <f t="shared" si="589"/>
        <v>13934</v>
      </c>
      <c r="E7544" s="1">
        <v>7</v>
      </c>
      <c r="F7544" s="47">
        <f t="shared" si="590"/>
        <v>181</v>
      </c>
      <c r="G7544" s="17">
        <v>2</v>
      </c>
      <c r="H7544" s="17">
        <v>5</v>
      </c>
    </row>
    <row r="7545" spans="1:8" x14ac:dyDescent="0.25">
      <c r="A7545" s="34" t="s">
        <v>31</v>
      </c>
      <c r="B7545" s="37">
        <v>44207</v>
      </c>
      <c r="C7545" s="1">
        <v>179</v>
      </c>
      <c r="D7545" s="365">
        <f t="shared" si="589"/>
        <v>33720</v>
      </c>
      <c r="E7545" s="1">
        <v>1</v>
      </c>
      <c r="F7545" s="47">
        <f t="shared" si="590"/>
        <v>614</v>
      </c>
      <c r="G7545" s="17">
        <v>1</v>
      </c>
    </row>
    <row r="7546" spans="1:8" x14ac:dyDescent="0.25">
      <c r="A7546" s="34" t="s">
        <v>41</v>
      </c>
      <c r="B7546" s="37">
        <v>44207</v>
      </c>
      <c r="C7546" s="1">
        <v>21</v>
      </c>
      <c r="D7546" s="365">
        <f t="shared" si="589"/>
        <v>312</v>
      </c>
      <c r="E7546" s="1">
        <v>0</v>
      </c>
      <c r="F7546" s="47">
        <f t="shared" si="590"/>
        <v>3</v>
      </c>
    </row>
    <row r="7547" spans="1:8" x14ac:dyDescent="0.25">
      <c r="A7547" s="34" t="s">
        <v>32</v>
      </c>
      <c r="B7547" s="37">
        <v>44207</v>
      </c>
      <c r="C7547" s="1">
        <v>17</v>
      </c>
      <c r="D7547" s="365">
        <f t="shared" si="589"/>
        <v>18703</v>
      </c>
      <c r="E7547" s="1">
        <v>0</v>
      </c>
      <c r="F7547" s="47">
        <f t="shared" si="590"/>
        <v>859</v>
      </c>
    </row>
    <row r="7548" spans="1:8" x14ac:dyDescent="0.25">
      <c r="A7548" s="34" t="s">
        <v>33</v>
      </c>
      <c r="B7548" s="37">
        <v>44207</v>
      </c>
      <c r="C7548" s="1">
        <v>203</v>
      </c>
      <c r="D7548" s="365">
        <f t="shared" si="589"/>
        <v>13703</v>
      </c>
      <c r="E7548" s="1">
        <v>1</v>
      </c>
      <c r="F7548" s="47">
        <f t="shared" si="590"/>
        <v>158</v>
      </c>
      <c r="H7548" s="17">
        <v>1</v>
      </c>
    </row>
    <row r="7549" spans="1:8" x14ac:dyDescent="0.25">
      <c r="A7549" s="34" t="s">
        <v>21</v>
      </c>
      <c r="B7549" s="37">
        <v>44207</v>
      </c>
      <c r="C7549" s="1">
        <v>13</v>
      </c>
      <c r="D7549" s="365">
        <f t="shared" si="589"/>
        <v>9227</v>
      </c>
      <c r="E7549" s="1">
        <v>0</v>
      </c>
      <c r="F7549" s="47">
        <f t="shared" si="590"/>
        <v>401</v>
      </c>
    </row>
    <row r="7550" spans="1:8" x14ac:dyDescent="0.25">
      <c r="A7550" s="34" t="s">
        <v>17</v>
      </c>
      <c r="B7550" s="37">
        <v>44207</v>
      </c>
      <c r="C7550" s="1">
        <v>105</v>
      </c>
      <c r="D7550" s="365">
        <f t="shared" si="589"/>
        <v>61395</v>
      </c>
      <c r="E7550" s="1">
        <v>3</v>
      </c>
      <c r="F7550" s="47">
        <f t="shared" si="590"/>
        <v>1248</v>
      </c>
      <c r="G7550" s="17">
        <v>2</v>
      </c>
      <c r="H7550" s="17">
        <v>1</v>
      </c>
    </row>
    <row r="7551" spans="1:8" x14ac:dyDescent="0.25">
      <c r="A7551" s="34" t="s">
        <v>23</v>
      </c>
      <c r="B7551" s="37">
        <v>44207</v>
      </c>
      <c r="C7551" s="1">
        <v>25</v>
      </c>
      <c r="D7551" s="365">
        <f t="shared" si="589"/>
        <v>1470</v>
      </c>
      <c r="E7551" s="1">
        <v>0</v>
      </c>
      <c r="F7551" s="47">
        <f t="shared" si="590"/>
        <v>16</v>
      </c>
    </row>
    <row r="7552" spans="1:8" x14ac:dyDescent="0.25">
      <c r="A7552" s="34" t="s">
        <v>19</v>
      </c>
      <c r="B7552" s="37">
        <v>44207</v>
      </c>
      <c r="C7552" s="1">
        <v>405</v>
      </c>
      <c r="D7552" s="365">
        <f t="shared" si="589"/>
        <v>45555</v>
      </c>
      <c r="E7552" s="1">
        <v>1</v>
      </c>
      <c r="F7552" s="47">
        <f t="shared" si="590"/>
        <v>754</v>
      </c>
      <c r="H7552" s="17">
        <v>1</v>
      </c>
    </row>
    <row r="7553" spans="1:8" x14ac:dyDescent="0.25">
      <c r="A7553" s="34" t="s">
        <v>18</v>
      </c>
      <c r="B7553" s="37">
        <v>44207</v>
      </c>
      <c r="C7553" s="1">
        <v>350</v>
      </c>
      <c r="D7553" s="365">
        <f t="shared" si="589"/>
        <v>41834</v>
      </c>
      <c r="E7553" s="1">
        <v>11</v>
      </c>
      <c r="F7553" s="47">
        <f t="shared" si="590"/>
        <v>971</v>
      </c>
      <c r="G7553" s="17">
        <v>6</v>
      </c>
      <c r="H7553" s="17">
        <v>5</v>
      </c>
    </row>
    <row r="7554" spans="1:8" x14ac:dyDescent="0.25">
      <c r="A7554" s="34" t="s">
        <v>34</v>
      </c>
      <c r="B7554" s="37">
        <v>44207</v>
      </c>
      <c r="C7554" s="1">
        <v>49</v>
      </c>
      <c r="D7554" s="365">
        <f t="shared" si="589"/>
        <v>22759</v>
      </c>
      <c r="E7554" s="1">
        <v>1</v>
      </c>
      <c r="F7554" s="47">
        <f t="shared" si="590"/>
        <v>1024</v>
      </c>
      <c r="G7554" s="17">
        <v>1</v>
      </c>
    </row>
    <row r="7555" spans="1:8" x14ac:dyDescent="0.25">
      <c r="A7555" s="34" t="s">
        <v>35</v>
      </c>
      <c r="B7555" s="37">
        <v>44207</v>
      </c>
      <c r="C7555" s="1">
        <v>86</v>
      </c>
      <c r="D7555" s="365">
        <f t="shared" si="589"/>
        <v>12468</v>
      </c>
      <c r="E7555" s="1">
        <v>2</v>
      </c>
      <c r="F7555" s="47">
        <f t="shared" si="590"/>
        <v>209</v>
      </c>
      <c r="G7555" s="17">
        <v>2</v>
      </c>
    </row>
    <row r="7556" spans="1:8" x14ac:dyDescent="0.25">
      <c r="A7556" s="34" t="s">
        <v>36</v>
      </c>
      <c r="B7556" s="37">
        <v>44207</v>
      </c>
      <c r="C7556" s="1">
        <v>69</v>
      </c>
      <c r="D7556" s="365">
        <f t="shared" si="589"/>
        <v>16613</v>
      </c>
      <c r="E7556" s="1">
        <v>4</v>
      </c>
      <c r="F7556" s="47">
        <f t="shared" si="590"/>
        <v>325</v>
      </c>
      <c r="G7556" s="17">
        <v>1</v>
      </c>
      <c r="H7556" s="17">
        <v>3</v>
      </c>
    </row>
    <row r="7557" spans="1:8" x14ac:dyDescent="0.25">
      <c r="A7557" s="34" t="s">
        <v>37</v>
      </c>
      <c r="B7557" s="37">
        <v>44207</v>
      </c>
      <c r="C7557" s="1">
        <v>342</v>
      </c>
      <c r="D7557" s="365">
        <f t="shared" si="589"/>
        <v>27536</v>
      </c>
      <c r="E7557" s="1">
        <v>4</v>
      </c>
      <c r="F7557" s="47">
        <f t="shared" si="590"/>
        <v>428</v>
      </c>
      <c r="G7557" s="17">
        <v>2</v>
      </c>
      <c r="H7557" s="17">
        <v>2</v>
      </c>
    </row>
    <row r="7558" spans="1:8" x14ac:dyDescent="0.25">
      <c r="A7558" s="34" t="s">
        <v>22</v>
      </c>
      <c r="B7558" s="37">
        <v>44207</v>
      </c>
      <c r="C7558" s="1">
        <v>1072</v>
      </c>
      <c r="D7558" s="365">
        <f t="shared" si="589"/>
        <v>187510</v>
      </c>
      <c r="E7558" s="1">
        <v>10</v>
      </c>
      <c r="F7558" s="47">
        <f t="shared" si="590"/>
        <v>3099</v>
      </c>
      <c r="G7558" s="17">
        <v>9</v>
      </c>
      <c r="H7558" s="17">
        <v>1</v>
      </c>
    </row>
    <row r="7559" spans="1:8" x14ac:dyDescent="0.25">
      <c r="A7559" s="34" t="s">
        <v>38</v>
      </c>
      <c r="B7559" s="37">
        <v>44207</v>
      </c>
      <c r="C7559" s="1">
        <v>171</v>
      </c>
      <c r="D7559" s="365">
        <f t="shared" si="589"/>
        <v>18788</v>
      </c>
      <c r="E7559" s="1">
        <v>0</v>
      </c>
      <c r="F7559" s="47">
        <f t="shared" si="590"/>
        <v>226</v>
      </c>
    </row>
    <row r="7560" spans="1:8" x14ac:dyDescent="0.25">
      <c r="A7560" s="34" t="s">
        <v>39</v>
      </c>
      <c r="B7560" s="37">
        <v>44207</v>
      </c>
      <c r="C7560" s="1">
        <v>85</v>
      </c>
      <c r="D7560" s="365">
        <f t="shared" si="589"/>
        <v>20256</v>
      </c>
      <c r="E7560" s="1">
        <v>3</v>
      </c>
      <c r="F7560" s="47">
        <f t="shared" si="590"/>
        <v>277</v>
      </c>
      <c r="G7560" s="17">
        <v>2</v>
      </c>
      <c r="H7560" s="17">
        <v>1</v>
      </c>
    </row>
    <row r="7561" spans="1:8" x14ac:dyDescent="0.25">
      <c r="A7561" s="34" t="s">
        <v>40</v>
      </c>
      <c r="B7561" s="37">
        <v>44207</v>
      </c>
      <c r="C7561" s="1">
        <v>261</v>
      </c>
      <c r="D7561" s="365">
        <f t="shared" si="589"/>
        <v>73099</v>
      </c>
      <c r="E7561" s="1">
        <v>0</v>
      </c>
      <c r="F7561" s="47">
        <f t="shared" si="590"/>
        <v>1384</v>
      </c>
    </row>
    <row r="7562" spans="1:8" x14ac:dyDescent="0.25">
      <c r="A7562" s="34" t="s">
        <v>16</v>
      </c>
      <c r="B7562" s="37">
        <v>44208</v>
      </c>
      <c r="C7562" s="1">
        <v>5409</v>
      </c>
      <c r="D7562" s="365">
        <f>C7562+D7538</f>
        <v>730543</v>
      </c>
      <c r="E7562" s="1">
        <v>76</v>
      </c>
      <c r="F7562" s="47">
        <f>E7562+F7538</f>
        <v>23077</v>
      </c>
      <c r="G7562" s="17">
        <v>41</v>
      </c>
      <c r="H7562" s="17">
        <v>34</v>
      </c>
    </row>
    <row r="7563" spans="1:8" x14ac:dyDescent="0.25">
      <c r="A7563" s="34" t="s">
        <v>43</v>
      </c>
      <c r="B7563" s="37">
        <v>44208</v>
      </c>
      <c r="C7563" s="1">
        <v>1558</v>
      </c>
      <c r="D7563" s="365">
        <f t="shared" si="589"/>
        <v>188510</v>
      </c>
      <c r="E7563" s="1">
        <v>23</v>
      </c>
      <c r="F7563" s="47">
        <f t="shared" si="590"/>
        <v>5627</v>
      </c>
      <c r="G7563" s="17">
        <v>10</v>
      </c>
      <c r="H7563" s="17">
        <v>12</v>
      </c>
    </row>
    <row r="7564" spans="1:8" x14ac:dyDescent="0.25">
      <c r="A7564" s="34" t="s">
        <v>28</v>
      </c>
      <c r="B7564" s="37">
        <v>44208</v>
      </c>
      <c r="C7564" s="1">
        <v>82</v>
      </c>
      <c r="D7564" s="365">
        <f t="shared" si="589"/>
        <v>3286</v>
      </c>
      <c r="E7564" s="1">
        <v>0</v>
      </c>
      <c r="F7564" s="47">
        <f t="shared" si="590"/>
        <v>17</v>
      </c>
    </row>
    <row r="7565" spans="1:8" x14ac:dyDescent="0.25">
      <c r="A7565" s="34" t="s">
        <v>15</v>
      </c>
      <c r="B7565" s="37">
        <v>44208</v>
      </c>
      <c r="C7565" s="1">
        <v>267</v>
      </c>
      <c r="D7565" s="365">
        <f t="shared" si="589"/>
        <v>27350</v>
      </c>
      <c r="E7565" s="1">
        <v>6</v>
      </c>
      <c r="F7565" s="47">
        <f t="shared" si="590"/>
        <v>743</v>
      </c>
      <c r="G7565" s="17">
        <v>3</v>
      </c>
      <c r="H7565" s="17">
        <v>3</v>
      </c>
    </row>
    <row r="7566" spans="1:8" x14ac:dyDescent="0.25">
      <c r="A7566" s="34" t="s">
        <v>29</v>
      </c>
      <c r="B7566" s="37">
        <v>44208</v>
      </c>
      <c r="C7566" s="1">
        <v>602</v>
      </c>
      <c r="D7566" s="365">
        <f t="shared" si="589"/>
        <v>36427</v>
      </c>
      <c r="E7566" s="1">
        <v>2</v>
      </c>
      <c r="F7566" s="47">
        <f t="shared" si="590"/>
        <v>544</v>
      </c>
      <c r="H7566" s="17">
        <v>2</v>
      </c>
    </row>
    <row r="7567" spans="1:8" x14ac:dyDescent="0.25">
      <c r="A7567" s="34" t="s">
        <v>20</v>
      </c>
      <c r="B7567" s="37">
        <v>44208</v>
      </c>
      <c r="C7567" s="1">
        <v>790</v>
      </c>
      <c r="D7567" s="365">
        <f t="shared" si="589"/>
        <v>134631</v>
      </c>
      <c r="E7567" s="1">
        <v>7</v>
      </c>
      <c r="F7567" s="47">
        <f t="shared" si="590"/>
        <v>2521</v>
      </c>
      <c r="G7567" s="17">
        <v>7</v>
      </c>
    </row>
    <row r="7568" spans="1:8" x14ac:dyDescent="0.25">
      <c r="A7568" s="34" t="s">
        <v>30</v>
      </c>
      <c r="B7568" s="37">
        <v>44208</v>
      </c>
      <c r="C7568" s="1">
        <v>248</v>
      </c>
      <c r="D7568" s="365">
        <f t="shared" si="589"/>
        <v>14182</v>
      </c>
      <c r="E7568" s="1">
        <v>0</v>
      </c>
      <c r="F7568" s="47">
        <f t="shared" si="590"/>
        <v>181</v>
      </c>
    </row>
    <row r="7569" spans="1:8" x14ac:dyDescent="0.25">
      <c r="A7569" s="34" t="s">
        <v>31</v>
      </c>
      <c r="B7569" s="37">
        <v>44208</v>
      </c>
      <c r="C7569" s="1">
        <v>485</v>
      </c>
      <c r="D7569" s="365">
        <f t="shared" si="589"/>
        <v>34205</v>
      </c>
      <c r="E7569" s="1">
        <v>4</v>
      </c>
      <c r="F7569" s="47">
        <f t="shared" si="590"/>
        <v>618</v>
      </c>
      <c r="H7569" s="17">
        <v>4</v>
      </c>
    </row>
    <row r="7570" spans="1:8" x14ac:dyDescent="0.25">
      <c r="A7570" s="34" t="s">
        <v>41</v>
      </c>
      <c r="B7570" s="37">
        <v>44208</v>
      </c>
      <c r="C7570" s="1">
        <v>59</v>
      </c>
      <c r="D7570" s="365">
        <f t="shared" si="589"/>
        <v>371</v>
      </c>
      <c r="E7570" s="1">
        <v>0</v>
      </c>
      <c r="F7570" s="47">
        <f t="shared" si="590"/>
        <v>3</v>
      </c>
    </row>
    <row r="7571" spans="1:8" x14ac:dyDescent="0.25">
      <c r="A7571" s="34" t="s">
        <v>32</v>
      </c>
      <c r="B7571" s="37">
        <v>44208</v>
      </c>
      <c r="C7571" s="1">
        <v>16</v>
      </c>
      <c r="D7571" s="365">
        <f t="shared" si="589"/>
        <v>18719</v>
      </c>
      <c r="E7571" s="1">
        <v>1</v>
      </c>
      <c r="F7571" s="47">
        <f t="shared" si="590"/>
        <v>860</v>
      </c>
      <c r="H7571" s="17">
        <v>1</v>
      </c>
    </row>
    <row r="7572" spans="1:8" x14ac:dyDescent="0.25">
      <c r="A7572" s="34" t="s">
        <v>33</v>
      </c>
      <c r="B7572" s="37">
        <v>44208</v>
      </c>
      <c r="C7572" s="1">
        <v>352</v>
      </c>
      <c r="D7572" s="365">
        <f t="shared" si="589"/>
        <v>14055</v>
      </c>
      <c r="E7572" s="1">
        <v>15</v>
      </c>
      <c r="F7572" s="47">
        <f t="shared" si="590"/>
        <v>173</v>
      </c>
      <c r="G7572" s="17">
        <v>8</v>
      </c>
      <c r="H7572" s="17">
        <v>7</v>
      </c>
    </row>
    <row r="7573" spans="1:8" x14ac:dyDescent="0.25">
      <c r="A7573" s="34" t="s">
        <v>21</v>
      </c>
      <c r="B7573" s="37">
        <v>44208</v>
      </c>
      <c r="C7573" s="1">
        <v>9</v>
      </c>
      <c r="D7573" s="365">
        <f t="shared" si="589"/>
        <v>9236</v>
      </c>
      <c r="E7573" s="1">
        <v>0</v>
      </c>
      <c r="F7573" s="47">
        <f t="shared" si="590"/>
        <v>401</v>
      </c>
    </row>
    <row r="7574" spans="1:8" x14ac:dyDescent="0.25">
      <c r="A7574" s="34" t="s">
        <v>17</v>
      </c>
      <c r="B7574" s="37">
        <v>44208</v>
      </c>
      <c r="C7574" s="1">
        <v>196</v>
      </c>
      <c r="D7574" s="365">
        <f t="shared" si="589"/>
        <v>61591</v>
      </c>
      <c r="E7574" s="1">
        <v>13</v>
      </c>
      <c r="F7574" s="47">
        <f t="shared" si="590"/>
        <v>1261</v>
      </c>
      <c r="G7574" s="17">
        <v>8</v>
      </c>
      <c r="H7574" s="17">
        <v>5</v>
      </c>
    </row>
    <row r="7575" spans="1:8" x14ac:dyDescent="0.25">
      <c r="A7575" s="34" t="s">
        <v>23</v>
      </c>
      <c r="B7575" s="37">
        <v>44208</v>
      </c>
      <c r="C7575" s="1">
        <v>50</v>
      </c>
      <c r="D7575" s="365">
        <f t="shared" si="589"/>
        <v>1520</v>
      </c>
      <c r="E7575" s="1">
        <v>4</v>
      </c>
      <c r="F7575" s="47">
        <f t="shared" si="590"/>
        <v>20</v>
      </c>
      <c r="G7575" s="17">
        <v>2</v>
      </c>
      <c r="H7575" s="17">
        <v>2</v>
      </c>
    </row>
    <row r="7576" spans="1:8" x14ac:dyDescent="0.25">
      <c r="A7576" s="34" t="s">
        <v>19</v>
      </c>
      <c r="B7576" s="37">
        <v>44208</v>
      </c>
      <c r="C7576" s="1">
        <v>647</v>
      </c>
      <c r="D7576" s="365">
        <f t="shared" si="589"/>
        <v>46202</v>
      </c>
      <c r="E7576" s="1">
        <v>0</v>
      </c>
      <c r="F7576" s="47">
        <f t="shared" si="590"/>
        <v>754</v>
      </c>
    </row>
    <row r="7577" spans="1:8" x14ac:dyDescent="0.25">
      <c r="A7577" s="34" t="s">
        <v>18</v>
      </c>
      <c r="B7577" s="37">
        <v>44208</v>
      </c>
      <c r="C7577" s="1">
        <v>413</v>
      </c>
      <c r="D7577" s="365">
        <f t="shared" si="589"/>
        <v>42247</v>
      </c>
      <c r="E7577" s="1">
        <v>7</v>
      </c>
      <c r="F7577" s="47">
        <f t="shared" si="590"/>
        <v>978</v>
      </c>
      <c r="G7577" s="17">
        <v>3</v>
      </c>
      <c r="H7577" s="17">
        <v>4</v>
      </c>
    </row>
    <row r="7578" spans="1:8" x14ac:dyDescent="0.25">
      <c r="A7578" s="34" t="s">
        <v>34</v>
      </c>
      <c r="B7578" s="37">
        <v>44208</v>
      </c>
      <c r="C7578" s="1">
        <v>37</v>
      </c>
      <c r="D7578" s="365">
        <f t="shared" si="589"/>
        <v>22796</v>
      </c>
      <c r="E7578" s="1">
        <v>1</v>
      </c>
      <c r="F7578" s="47">
        <f t="shared" si="590"/>
        <v>1025</v>
      </c>
      <c r="G7578" s="17">
        <v>1</v>
      </c>
    </row>
    <row r="7579" spans="1:8" x14ac:dyDescent="0.25">
      <c r="A7579" s="34" t="s">
        <v>35</v>
      </c>
      <c r="B7579" s="37">
        <v>44208</v>
      </c>
      <c r="C7579" s="1">
        <v>208</v>
      </c>
      <c r="D7579" s="365">
        <f t="shared" si="589"/>
        <v>12676</v>
      </c>
      <c r="E7579" s="1">
        <v>0</v>
      </c>
      <c r="F7579" s="47">
        <f t="shared" si="590"/>
        <v>209</v>
      </c>
    </row>
    <row r="7580" spans="1:8" x14ac:dyDescent="0.25">
      <c r="A7580" s="34" t="s">
        <v>36</v>
      </c>
      <c r="B7580" s="37">
        <v>44208</v>
      </c>
      <c r="C7580" s="1">
        <v>51</v>
      </c>
      <c r="D7580" s="365">
        <f t="shared" si="589"/>
        <v>16664</v>
      </c>
      <c r="E7580" s="1">
        <v>0</v>
      </c>
      <c r="F7580" s="47">
        <f t="shared" si="590"/>
        <v>325</v>
      </c>
    </row>
    <row r="7581" spans="1:8" x14ac:dyDescent="0.25">
      <c r="A7581" s="34" t="s">
        <v>37</v>
      </c>
      <c r="B7581" s="37">
        <v>44208</v>
      </c>
      <c r="C7581" s="1">
        <v>393</v>
      </c>
      <c r="D7581" s="365">
        <f t="shared" si="589"/>
        <v>27929</v>
      </c>
      <c r="E7581" s="1">
        <v>3</v>
      </c>
      <c r="F7581" s="47">
        <f t="shared" si="590"/>
        <v>431</v>
      </c>
      <c r="G7581" s="17">
        <v>1</v>
      </c>
      <c r="H7581" s="17">
        <v>2</v>
      </c>
    </row>
    <row r="7582" spans="1:8" x14ac:dyDescent="0.25">
      <c r="A7582" s="34" t="s">
        <v>22</v>
      </c>
      <c r="B7582" s="37">
        <v>44208</v>
      </c>
      <c r="C7582" s="1">
        <v>1434</v>
      </c>
      <c r="D7582" s="365">
        <f t="shared" si="589"/>
        <v>188944</v>
      </c>
      <c r="E7582" s="1">
        <v>12</v>
      </c>
      <c r="F7582" s="47">
        <f t="shared" si="590"/>
        <v>3111</v>
      </c>
      <c r="G7582" s="17">
        <v>12</v>
      </c>
      <c r="H7582" s="17">
        <v>1</v>
      </c>
    </row>
    <row r="7583" spans="1:8" x14ac:dyDescent="0.25">
      <c r="A7583" s="34" t="s">
        <v>38</v>
      </c>
      <c r="B7583" s="37">
        <v>44208</v>
      </c>
      <c r="C7583" s="1">
        <v>99</v>
      </c>
      <c r="D7583" s="365">
        <f t="shared" si="589"/>
        <v>18887</v>
      </c>
      <c r="E7583" s="1">
        <v>1</v>
      </c>
      <c r="F7583" s="47">
        <f t="shared" si="590"/>
        <v>227</v>
      </c>
      <c r="G7583" s="17">
        <v>1</v>
      </c>
    </row>
    <row r="7584" spans="1:8" x14ac:dyDescent="0.25">
      <c r="A7584" s="34" t="s">
        <v>39</v>
      </c>
      <c r="B7584" s="37">
        <v>44208</v>
      </c>
      <c r="C7584" s="1">
        <v>141</v>
      </c>
      <c r="D7584" s="365">
        <f t="shared" si="589"/>
        <v>20397</v>
      </c>
      <c r="E7584" s="1">
        <v>6</v>
      </c>
      <c r="F7584" s="47">
        <f t="shared" si="590"/>
        <v>283</v>
      </c>
      <c r="G7584" s="17">
        <v>4</v>
      </c>
      <c r="H7584" s="17">
        <v>2</v>
      </c>
    </row>
    <row r="7585" spans="1:8" x14ac:dyDescent="0.25">
      <c r="A7585" s="34" t="s">
        <v>40</v>
      </c>
      <c r="B7585" s="37">
        <v>44208</v>
      </c>
      <c r="C7585" s="1">
        <v>237</v>
      </c>
      <c r="D7585" s="365">
        <f t="shared" si="589"/>
        <v>73336</v>
      </c>
      <c r="E7585" s="1">
        <v>12</v>
      </c>
      <c r="F7585" s="47">
        <f t="shared" si="590"/>
        <v>1396</v>
      </c>
      <c r="G7585" s="17">
        <v>6</v>
      </c>
      <c r="H7585" s="17">
        <v>6</v>
      </c>
    </row>
    <row r="7586" spans="1:8" x14ac:dyDescent="0.25">
      <c r="A7586" s="34" t="s">
        <v>16</v>
      </c>
      <c r="B7586" s="37">
        <v>44209</v>
      </c>
      <c r="C7586" s="1">
        <v>4859</v>
      </c>
      <c r="D7586" s="365">
        <f>C7586+D7562</f>
        <v>735402</v>
      </c>
      <c r="E7586" s="1">
        <v>52</v>
      </c>
      <c r="F7586" s="47">
        <f>E7586+F7562</f>
        <v>23129</v>
      </c>
      <c r="G7586" s="17">
        <v>35</v>
      </c>
      <c r="H7586" s="17">
        <v>18</v>
      </c>
    </row>
    <row r="7587" spans="1:8" x14ac:dyDescent="0.25">
      <c r="A7587" s="34" t="s">
        <v>43</v>
      </c>
      <c r="B7587" s="37">
        <v>44209</v>
      </c>
      <c r="C7587" s="1">
        <v>1204</v>
      </c>
      <c r="D7587" s="365">
        <f t="shared" si="589"/>
        <v>189714</v>
      </c>
      <c r="E7587" s="1">
        <v>8</v>
      </c>
      <c r="F7587" s="47">
        <f t="shared" si="590"/>
        <v>5635</v>
      </c>
      <c r="G7587" s="17">
        <v>4</v>
      </c>
      <c r="H7587" s="17">
        <v>3</v>
      </c>
    </row>
    <row r="7588" spans="1:8" x14ac:dyDescent="0.25">
      <c r="A7588" s="34" t="s">
        <v>28</v>
      </c>
      <c r="B7588" s="37">
        <v>44209</v>
      </c>
      <c r="C7588" s="1">
        <v>70</v>
      </c>
      <c r="D7588" s="365">
        <f t="shared" si="589"/>
        <v>3356</v>
      </c>
      <c r="E7588" s="1">
        <v>0</v>
      </c>
      <c r="F7588" s="47">
        <f t="shared" si="590"/>
        <v>17</v>
      </c>
    </row>
    <row r="7589" spans="1:8" x14ac:dyDescent="0.25">
      <c r="A7589" s="34" t="s">
        <v>15</v>
      </c>
      <c r="B7589" s="37">
        <v>44209</v>
      </c>
      <c r="C7589" s="1">
        <v>288</v>
      </c>
      <c r="D7589" s="365">
        <f t="shared" si="589"/>
        <v>27638</v>
      </c>
      <c r="E7589" s="1">
        <v>6</v>
      </c>
      <c r="F7589" s="47">
        <f t="shared" si="590"/>
        <v>749</v>
      </c>
      <c r="G7589" s="17">
        <v>3</v>
      </c>
      <c r="H7589" s="17">
        <v>3</v>
      </c>
    </row>
    <row r="7590" spans="1:8" x14ac:dyDescent="0.25">
      <c r="A7590" s="34" t="s">
        <v>29</v>
      </c>
      <c r="B7590" s="37">
        <v>44209</v>
      </c>
      <c r="C7590" s="1">
        <v>528</v>
      </c>
      <c r="D7590" s="365">
        <f t="shared" si="589"/>
        <v>36955</v>
      </c>
      <c r="E7590" s="1">
        <v>3</v>
      </c>
      <c r="F7590" s="47">
        <f t="shared" si="590"/>
        <v>547</v>
      </c>
      <c r="G7590" s="17">
        <v>2</v>
      </c>
      <c r="H7590" s="17">
        <v>1</v>
      </c>
    </row>
    <row r="7591" spans="1:8" x14ac:dyDescent="0.25">
      <c r="A7591" s="34" t="s">
        <v>20</v>
      </c>
      <c r="B7591" s="37">
        <v>44209</v>
      </c>
      <c r="C7591" s="1">
        <v>818</v>
      </c>
      <c r="D7591" s="365">
        <f t="shared" si="589"/>
        <v>135449</v>
      </c>
      <c r="E7591" s="1">
        <v>10</v>
      </c>
      <c r="F7591" s="47">
        <f t="shared" si="590"/>
        <v>2531</v>
      </c>
      <c r="G7591" s="17">
        <v>5</v>
      </c>
      <c r="H7591" s="17">
        <v>5</v>
      </c>
    </row>
    <row r="7592" spans="1:8" x14ac:dyDescent="0.25">
      <c r="A7592" s="34" t="s">
        <v>30</v>
      </c>
      <c r="B7592" s="37">
        <v>44209</v>
      </c>
      <c r="C7592" s="1">
        <v>395</v>
      </c>
      <c r="D7592" s="365">
        <f t="shared" si="589"/>
        <v>14577</v>
      </c>
      <c r="E7592" s="1">
        <v>0</v>
      </c>
      <c r="F7592" s="47">
        <f t="shared" si="590"/>
        <v>181</v>
      </c>
    </row>
    <row r="7593" spans="1:8" x14ac:dyDescent="0.25">
      <c r="A7593" s="34" t="s">
        <v>31</v>
      </c>
      <c r="B7593" s="37">
        <v>44209</v>
      </c>
      <c r="C7593" s="1">
        <v>581</v>
      </c>
      <c r="D7593" s="365">
        <f t="shared" si="589"/>
        <v>34786</v>
      </c>
      <c r="E7593" s="1">
        <v>6</v>
      </c>
      <c r="F7593" s="47">
        <f t="shared" si="590"/>
        <v>624</v>
      </c>
      <c r="G7593" s="17">
        <v>1</v>
      </c>
      <c r="H7593" s="17">
        <v>6</v>
      </c>
    </row>
    <row r="7594" spans="1:8" x14ac:dyDescent="0.25">
      <c r="A7594" s="34" t="s">
        <v>41</v>
      </c>
      <c r="B7594" s="37">
        <v>44209</v>
      </c>
      <c r="C7594" s="1">
        <v>54</v>
      </c>
      <c r="D7594" s="365">
        <f t="shared" si="589"/>
        <v>425</v>
      </c>
      <c r="E7594" s="1">
        <v>0</v>
      </c>
      <c r="F7594" s="47">
        <f t="shared" si="590"/>
        <v>3</v>
      </c>
    </row>
    <row r="7595" spans="1:8" x14ac:dyDescent="0.25">
      <c r="A7595" s="34" t="s">
        <v>32</v>
      </c>
      <c r="B7595" s="37">
        <v>44209</v>
      </c>
      <c r="C7595" s="1">
        <v>17</v>
      </c>
      <c r="D7595" s="365">
        <f t="shared" si="589"/>
        <v>18736</v>
      </c>
      <c r="E7595" s="1">
        <v>0</v>
      </c>
      <c r="F7595" s="47">
        <f t="shared" si="590"/>
        <v>860</v>
      </c>
    </row>
    <row r="7596" spans="1:8" x14ac:dyDescent="0.25">
      <c r="A7596" s="34" t="s">
        <v>33</v>
      </c>
      <c r="B7596" s="37">
        <v>44209</v>
      </c>
      <c r="C7596" s="1">
        <v>229</v>
      </c>
      <c r="D7596" s="365">
        <f t="shared" si="589"/>
        <v>14284</v>
      </c>
      <c r="E7596" s="1">
        <v>0</v>
      </c>
      <c r="F7596" s="47">
        <f t="shared" si="590"/>
        <v>173</v>
      </c>
    </row>
    <row r="7597" spans="1:8" x14ac:dyDescent="0.25">
      <c r="A7597" s="34" t="s">
        <v>21</v>
      </c>
      <c r="B7597" s="37">
        <v>44209</v>
      </c>
      <c r="C7597" s="1">
        <v>11</v>
      </c>
      <c r="D7597" s="365">
        <f t="shared" si="589"/>
        <v>9247</v>
      </c>
      <c r="E7597" s="1">
        <v>0</v>
      </c>
      <c r="F7597" s="47">
        <f t="shared" si="590"/>
        <v>401</v>
      </c>
    </row>
    <row r="7598" spans="1:8" x14ac:dyDescent="0.25">
      <c r="A7598" s="34" t="s">
        <v>17</v>
      </c>
      <c r="B7598" s="37">
        <v>44209</v>
      </c>
      <c r="C7598" s="1">
        <v>150</v>
      </c>
      <c r="D7598" s="365">
        <f t="shared" si="589"/>
        <v>61741</v>
      </c>
      <c r="E7598" s="1">
        <v>6</v>
      </c>
      <c r="F7598" s="47">
        <f t="shared" si="590"/>
        <v>1267</v>
      </c>
      <c r="G7598" s="17">
        <v>3</v>
      </c>
      <c r="H7598" s="17">
        <v>3</v>
      </c>
    </row>
    <row r="7599" spans="1:8" x14ac:dyDescent="0.25">
      <c r="A7599" s="34" t="s">
        <v>23</v>
      </c>
      <c r="B7599" s="37">
        <v>44209</v>
      </c>
      <c r="C7599" s="1">
        <v>27</v>
      </c>
      <c r="D7599" s="365">
        <f t="shared" si="589"/>
        <v>1547</v>
      </c>
      <c r="E7599" s="1">
        <v>6</v>
      </c>
      <c r="F7599" s="47">
        <f t="shared" si="590"/>
        <v>26</v>
      </c>
      <c r="G7599" s="17">
        <v>4</v>
      </c>
      <c r="H7599" s="17">
        <v>2</v>
      </c>
    </row>
    <row r="7600" spans="1:8" x14ac:dyDescent="0.25">
      <c r="A7600" s="34" t="s">
        <v>19</v>
      </c>
      <c r="B7600" s="37">
        <v>44209</v>
      </c>
      <c r="C7600" s="1">
        <v>463</v>
      </c>
      <c r="D7600" s="365">
        <f t="shared" si="589"/>
        <v>46665</v>
      </c>
      <c r="E7600" s="1">
        <v>0</v>
      </c>
      <c r="F7600" s="47">
        <f t="shared" si="590"/>
        <v>754</v>
      </c>
    </row>
    <row r="7601" spans="1:8" x14ac:dyDescent="0.25">
      <c r="A7601" s="34" t="s">
        <v>18</v>
      </c>
      <c r="B7601" s="37">
        <v>44209</v>
      </c>
      <c r="C7601" s="1">
        <v>393</v>
      </c>
      <c r="D7601" s="365">
        <f t="shared" si="589"/>
        <v>42640</v>
      </c>
      <c r="E7601" s="1">
        <v>5</v>
      </c>
      <c r="F7601" s="47">
        <f t="shared" si="590"/>
        <v>983</v>
      </c>
      <c r="G7601" s="17">
        <v>4</v>
      </c>
      <c r="H7601" s="17">
        <v>1</v>
      </c>
    </row>
    <row r="7602" spans="1:8" x14ac:dyDescent="0.25">
      <c r="A7602" s="34" t="s">
        <v>34</v>
      </c>
      <c r="B7602" s="37">
        <v>44209</v>
      </c>
      <c r="C7602" s="1">
        <v>67</v>
      </c>
      <c r="D7602" s="365">
        <f t="shared" si="589"/>
        <v>22863</v>
      </c>
      <c r="E7602" s="1">
        <v>0</v>
      </c>
      <c r="F7602" s="47">
        <f t="shared" si="590"/>
        <v>1025</v>
      </c>
    </row>
    <row r="7603" spans="1:8" x14ac:dyDescent="0.25">
      <c r="A7603" s="34" t="s">
        <v>35</v>
      </c>
      <c r="B7603" s="37">
        <v>44209</v>
      </c>
      <c r="C7603" s="1">
        <v>163</v>
      </c>
      <c r="D7603" s="365">
        <f t="shared" ref="D7603:D7609" si="591">C7603+D7579</f>
        <v>12839</v>
      </c>
      <c r="E7603" s="1">
        <v>3</v>
      </c>
      <c r="F7603" s="47">
        <f t="shared" ref="F7603:F7609" si="592">E7603+F7579</f>
        <v>212</v>
      </c>
      <c r="H7603" s="17">
        <v>3</v>
      </c>
    </row>
    <row r="7604" spans="1:8" x14ac:dyDescent="0.25">
      <c r="A7604" s="34" t="s">
        <v>36</v>
      </c>
      <c r="B7604" s="37">
        <v>44209</v>
      </c>
      <c r="C7604" s="1">
        <v>38</v>
      </c>
      <c r="D7604" s="365">
        <f t="shared" si="591"/>
        <v>16702</v>
      </c>
      <c r="E7604" s="1">
        <v>1</v>
      </c>
      <c r="F7604" s="47">
        <f t="shared" si="592"/>
        <v>326</v>
      </c>
      <c r="H7604" s="17">
        <v>1</v>
      </c>
    </row>
    <row r="7605" spans="1:8" x14ac:dyDescent="0.25">
      <c r="A7605" s="34" t="s">
        <v>37</v>
      </c>
      <c r="B7605" s="37">
        <v>44209</v>
      </c>
      <c r="C7605" s="1">
        <v>323</v>
      </c>
      <c r="D7605" s="365">
        <f t="shared" si="591"/>
        <v>28252</v>
      </c>
      <c r="E7605" s="1">
        <v>4</v>
      </c>
      <c r="F7605" s="47">
        <f t="shared" si="592"/>
        <v>435</v>
      </c>
      <c r="G7605" s="17">
        <v>2</v>
      </c>
      <c r="H7605" s="17">
        <v>2</v>
      </c>
    </row>
    <row r="7606" spans="1:8" x14ac:dyDescent="0.25">
      <c r="A7606" s="34" t="s">
        <v>22</v>
      </c>
      <c r="B7606" s="37">
        <v>44209</v>
      </c>
      <c r="C7606" s="1">
        <v>1502</v>
      </c>
      <c r="D7606" s="365">
        <f t="shared" si="591"/>
        <v>190446</v>
      </c>
      <c r="E7606" s="1">
        <v>18</v>
      </c>
      <c r="F7606" s="47">
        <f t="shared" si="592"/>
        <v>3129</v>
      </c>
      <c r="G7606" s="17">
        <v>10</v>
      </c>
      <c r="H7606" s="17">
        <v>8</v>
      </c>
    </row>
    <row r="7607" spans="1:8" x14ac:dyDescent="0.25">
      <c r="A7607" s="34" t="s">
        <v>38</v>
      </c>
      <c r="B7607" s="37">
        <v>44209</v>
      </c>
      <c r="C7607" s="1">
        <v>165</v>
      </c>
      <c r="D7607" s="365">
        <f t="shared" si="591"/>
        <v>19052</v>
      </c>
      <c r="E7607" s="1">
        <v>2</v>
      </c>
      <c r="F7607" s="47">
        <f t="shared" si="592"/>
        <v>229</v>
      </c>
      <c r="G7607" s="17">
        <v>1</v>
      </c>
      <c r="H7607" s="17">
        <v>1</v>
      </c>
    </row>
    <row r="7608" spans="1:8" x14ac:dyDescent="0.25">
      <c r="A7608" s="34" t="s">
        <v>39</v>
      </c>
      <c r="B7608" s="37">
        <v>44209</v>
      </c>
      <c r="C7608" s="1">
        <v>101</v>
      </c>
      <c r="D7608" s="365">
        <f t="shared" si="591"/>
        <v>20498</v>
      </c>
      <c r="E7608" s="1">
        <v>1</v>
      </c>
      <c r="F7608" s="47">
        <f t="shared" si="592"/>
        <v>284</v>
      </c>
      <c r="G7608" s="17">
        <v>1</v>
      </c>
    </row>
    <row r="7609" spans="1:8" x14ac:dyDescent="0.25">
      <c r="A7609" s="34" t="s">
        <v>40</v>
      </c>
      <c r="B7609" s="37">
        <v>44209</v>
      </c>
      <c r="C7609" s="1">
        <v>279</v>
      </c>
      <c r="D7609" s="365">
        <f t="shared" si="591"/>
        <v>73615</v>
      </c>
      <c r="E7609" s="1">
        <v>3</v>
      </c>
      <c r="F7609" s="47">
        <f t="shared" si="592"/>
        <v>1399</v>
      </c>
      <c r="G7609" s="17">
        <v>1</v>
      </c>
      <c r="H7609" s="17">
        <v>2</v>
      </c>
    </row>
    <row r="7610" spans="1:8" x14ac:dyDescent="0.25">
      <c r="A7610" s="34" t="s">
        <v>16</v>
      </c>
      <c r="B7610" s="37">
        <v>44210</v>
      </c>
      <c r="C7610" s="1">
        <v>5185</v>
      </c>
      <c r="D7610" s="365">
        <f>C7610+D7586</f>
        <v>740587</v>
      </c>
      <c r="E7610" s="1">
        <v>53</v>
      </c>
      <c r="F7610" s="47">
        <f>E7610+F7586</f>
        <v>23182</v>
      </c>
      <c r="G7610" s="17">
        <v>32</v>
      </c>
      <c r="H7610" s="17">
        <v>20</v>
      </c>
    </row>
    <row r="7611" spans="1:8" x14ac:dyDescent="0.25">
      <c r="A7611" s="34" t="s">
        <v>43</v>
      </c>
      <c r="B7611" s="37">
        <v>44210</v>
      </c>
      <c r="C7611" s="1">
        <v>1367</v>
      </c>
      <c r="D7611" s="365">
        <f t="shared" ref="D7611:D7674" si="593">C7611+D7587</f>
        <v>191081</v>
      </c>
      <c r="E7611" s="1">
        <v>6</v>
      </c>
      <c r="F7611" s="47">
        <f t="shared" ref="F7611:F7674" si="594">E7611+F7587</f>
        <v>5641</v>
      </c>
      <c r="G7611" s="17">
        <v>4</v>
      </c>
      <c r="H7611" s="17">
        <v>2</v>
      </c>
    </row>
    <row r="7612" spans="1:8" x14ac:dyDescent="0.25">
      <c r="A7612" s="34" t="s">
        <v>28</v>
      </c>
      <c r="B7612" s="37">
        <v>44210</v>
      </c>
      <c r="C7612" s="1">
        <v>78</v>
      </c>
      <c r="D7612" s="365">
        <f t="shared" si="593"/>
        <v>3434</v>
      </c>
      <c r="E7612" s="1">
        <v>0</v>
      </c>
      <c r="F7612" s="47">
        <f t="shared" si="594"/>
        <v>17</v>
      </c>
    </row>
    <row r="7613" spans="1:8" x14ac:dyDescent="0.25">
      <c r="A7613" s="34" t="s">
        <v>15</v>
      </c>
      <c r="B7613" s="37">
        <v>44210</v>
      </c>
      <c r="C7613" s="1">
        <v>304</v>
      </c>
      <c r="D7613" s="365">
        <f t="shared" si="593"/>
        <v>27942</v>
      </c>
      <c r="E7613" s="1">
        <v>3</v>
      </c>
      <c r="F7613" s="47">
        <f t="shared" si="594"/>
        <v>752</v>
      </c>
      <c r="G7613" s="17">
        <v>1</v>
      </c>
      <c r="H7613" s="17">
        <v>2</v>
      </c>
    </row>
    <row r="7614" spans="1:8" x14ac:dyDescent="0.25">
      <c r="A7614" s="34" t="s">
        <v>29</v>
      </c>
      <c r="B7614" s="37">
        <v>44210</v>
      </c>
      <c r="C7614" s="1">
        <v>543</v>
      </c>
      <c r="D7614" s="365">
        <f t="shared" si="593"/>
        <v>37498</v>
      </c>
      <c r="E7614" s="1">
        <v>12</v>
      </c>
      <c r="F7614" s="47">
        <f t="shared" si="594"/>
        <v>559</v>
      </c>
      <c r="G7614" s="17">
        <v>9</v>
      </c>
      <c r="H7614" s="17">
        <v>3</v>
      </c>
    </row>
    <row r="7615" spans="1:8" x14ac:dyDescent="0.25">
      <c r="A7615" s="34" t="s">
        <v>20</v>
      </c>
      <c r="B7615" s="37">
        <v>44210</v>
      </c>
      <c r="C7615" s="1">
        <v>770</v>
      </c>
      <c r="D7615" s="365">
        <f t="shared" si="593"/>
        <v>136219</v>
      </c>
      <c r="E7615" s="1">
        <v>15</v>
      </c>
      <c r="F7615" s="47">
        <f t="shared" si="594"/>
        <v>2546</v>
      </c>
      <c r="G7615" s="17">
        <v>8</v>
      </c>
      <c r="H7615" s="17">
        <v>6</v>
      </c>
    </row>
    <row r="7616" spans="1:8" x14ac:dyDescent="0.25">
      <c r="A7616" s="34" t="s">
        <v>30</v>
      </c>
      <c r="B7616" s="37">
        <v>44210</v>
      </c>
      <c r="C7616" s="1">
        <v>415</v>
      </c>
      <c r="D7616" s="365">
        <f t="shared" si="593"/>
        <v>14992</v>
      </c>
      <c r="E7616" s="1">
        <v>0</v>
      </c>
      <c r="F7616" s="47">
        <f t="shared" si="594"/>
        <v>181</v>
      </c>
    </row>
    <row r="7617" spans="1:8" x14ac:dyDescent="0.25">
      <c r="A7617" s="34" t="s">
        <v>31</v>
      </c>
      <c r="B7617" s="37">
        <v>44210</v>
      </c>
      <c r="C7617" s="1">
        <v>539</v>
      </c>
      <c r="D7617" s="365">
        <f t="shared" si="593"/>
        <v>35325</v>
      </c>
      <c r="E7617" s="1">
        <v>2</v>
      </c>
      <c r="F7617" s="47">
        <f t="shared" si="594"/>
        <v>626</v>
      </c>
      <c r="H7617" s="17">
        <v>2</v>
      </c>
    </row>
    <row r="7618" spans="1:8" x14ac:dyDescent="0.25">
      <c r="A7618" s="34" t="s">
        <v>41</v>
      </c>
      <c r="B7618" s="37">
        <v>44210</v>
      </c>
      <c r="C7618" s="1">
        <v>75</v>
      </c>
      <c r="D7618" s="365">
        <f t="shared" si="593"/>
        <v>500</v>
      </c>
      <c r="E7618" s="1">
        <v>0</v>
      </c>
      <c r="F7618" s="47">
        <f t="shared" si="594"/>
        <v>3</v>
      </c>
    </row>
    <row r="7619" spans="1:8" x14ac:dyDescent="0.25">
      <c r="A7619" s="34" t="s">
        <v>32</v>
      </c>
      <c r="B7619" s="37">
        <v>44210</v>
      </c>
      <c r="C7619" s="1">
        <v>23</v>
      </c>
      <c r="D7619" s="365">
        <f t="shared" si="593"/>
        <v>18759</v>
      </c>
      <c r="E7619" s="1">
        <v>0</v>
      </c>
      <c r="F7619" s="47">
        <f t="shared" si="594"/>
        <v>860</v>
      </c>
    </row>
    <row r="7620" spans="1:8" x14ac:dyDescent="0.25">
      <c r="A7620" s="34" t="s">
        <v>33</v>
      </c>
      <c r="B7620" s="37">
        <v>44210</v>
      </c>
      <c r="C7620" s="1">
        <v>255</v>
      </c>
      <c r="D7620" s="365">
        <f t="shared" si="593"/>
        <v>14539</v>
      </c>
      <c r="E7620" s="1">
        <v>0</v>
      </c>
      <c r="F7620" s="47">
        <f t="shared" si="594"/>
        <v>173</v>
      </c>
    </row>
    <row r="7621" spans="1:8" x14ac:dyDescent="0.25">
      <c r="A7621" s="34" t="s">
        <v>21</v>
      </c>
      <c r="B7621" s="37">
        <v>44210</v>
      </c>
      <c r="C7621" s="1">
        <v>12</v>
      </c>
      <c r="D7621" s="365">
        <f t="shared" si="593"/>
        <v>9259</v>
      </c>
      <c r="E7621" s="1">
        <v>0</v>
      </c>
      <c r="F7621" s="47">
        <f t="shared" si="594"/>
        <v>401</v>
      </c>
    </row>
    <row r="7622" spans="1:8" x14ac:dyDescent="0.25">
      <c r="A7622" s="34" t="s">
        <v>17</v>
      </c>
      <c r="B7622" s="37">
        <v>44210</v>
      </c>
      <c r="C7622" s="1">
        <v>162</v>
      </c>
      <c r="D7622" s="365">
        <f t="shared" si="593"/>
        <v>61903</v>
      </c>
      <c r="E7622" s="1">
        <v>7</v>
      </c>
      <c r="F7622" s="47">
        <f t="shared" si="594"/>
        <v>1274</v>
      </c>
      <c r="G7622" s="17">
        <v>2</v>
      </c>
      <c r="H7622" s="17">
        <v>4</v>
      </c>
    </row>
    <row r="7623" spans="1:8" x14ac:dyDescent="0.25">
      <c r="A7623" s="34" t="s">
        <v>23</v>
      </c>
      <c r="B7623" s="37">
        <v>44210</v>
      </c>
      <c r="C7623" s="1">
        <v>215</v>
      </c>
      <c r="D7623" s="365">
        <f t="shared" si="593"/>
        <v>1762</v>
      </c>
      <c r="E7623" s="1">
        <v>7</v>
      </c>
      <c r="F7623" s="47">
        <f t="shared" si="594"/>
        <v>33</v>
      </c>
      <c r="G7623" s="17">
        <v>6</v>
      </c>
      <c r="H7623" s="17">
        <v>1</v>
      </c>
    </row>
    <row r="7624" spans="1:8" x14ac:dyDescent="0.25">
      <c r="A7624" s="34" t="s">
        <v>19</v>
      </c>
      <c r="B7624" s="37">
        <v>44210</v>
      </c>
      <c r="C7624" s="1">
        <v>532</v>
      </c>
      <c r="D7624" s="365">
        <f t="shared" si="593"/>
        <v>47197</v>
      </c>
      <c r="E7624" s="1">
        <v>0</v>
      </c>
      <c r="F7624" s="47">
        <f t="shared" si="594"/>
        <v>754</v>
      </c>
    </row>
    <row r="7625" spans="1:8" x14ac:dyDescent="0.25">
      <c r="A7625" s="34" t="s">
        <v>18</v>
      </c>
      <c r="B7625" s="37">
        <v>44210</v>
      </c>
      <c r="C7625" s="1">
        <v>437</v>
      </c>
      <c r="D7625" s="365">
        <f t="shared" si="593"/>
        <v>43077</v>
      </c>
      <c r="E7625" s="1">
        <v>10</v>
      </c>
      <c r="F7625" s="47">
        <f t="shared" si="594"/>
        <v>993</v>
      </c>
      <c r="G7625" s="17">
        <v>5</v>
      </c>
      <c r="H7625" s="17">
        <v>5</v>
      </c>
    </row>
    <row r="7626" spans="1:8" x14ac:dyDescent="0.25">
      <c r="A7626" s="34" t="s">
        <v>34</v>
      </c>
      <c r="B7626" s="37">
        <v>44210</v>
      </c>
      <c r="C7626" s="1">
        <v>57</v>
      </c>
      <c r="D7626" s="365">
        <f t="shared" si="593"/>
        <v>22920</v>
      </c>
      <c r="E7626" s="1">
        <v>0</v>
      </c>
      <c r="F7626" s="47">
        <f t="shared" si="594"/>
        <v>1025</v>
      </c>
    </row>
    <row r="7627" spans="1:8" x14ac:dyDescent="0.25">
      <c r="A7627" s="34" t="s">
        <v>35</v>
      </c>
      <c r="B7627" s="37">
        <v>44210</v>
      </c>
      <c r="C7627" s="1">
        <v>78</v>
      </c>
      <c r="D7627" s="365">
        <f t="shared" si="593"/>
        <v>12917</v>
      </c>
      <c r="E7627" s="1">
        <v>1</v>
      </c>
      <c r="F7627" s="47">
        <f t="shared" si="594"/>
        <v>213</v>
      </c>
      <c r="G7627" s="17">
        <v>1</v>
      </c>
    </row>
    <row r="7628" spans="1:8" x14ac:dyDescent="0.25">
      <c r="A7628" s="34" t="s">
        <v>36</v>
      </c>
      <c r="B7628" s="37">
        <v>44210</v>
      </c>
      <c r="C7628" s="1">
        <v>58</v>
      </c>
      <c r="D7628" s="365">
        <f t="shared" si="593"/>
        <v>16760</v>
      </c>
      <c r="E7628" s="1">
        <v>1</v>
      </c>
      <c r="F7628" s="47">
        <f t="shared" si="594"/>
        <v>327</v>
      </c>
      <c r="G7628" s="17">
        <v>1</v>
      </c>
    </row>
    <row r="7629" spans="1:8" x14ac:dyDescent="0.25">
      <c r="A7629" s="34" t="s">
        <v>37</v>
      </c>
      <c r="B7629" s="37">
        <v>44210</v>
      </c>
      <c r="C7629" s="1">
        <v>285</v>
      </c>
      <c r="D7629" s="365">
        <f t="shared" si="593"/>
        <v>28537</v>
      </c>
      <c r="E7629" s="1">
        <v>3</v>
      </c>
      <c r="F7629" s="47">
        <f t="shared" si="594"/>
        <v>438</v>
      </c>
      <c r="G7629" s="17">
        <v>1</v>
      </c>
      <c r="H7629" s="17">
        <v>2</v>
      </c>
    </row>
    <row r="7630" spans="1:8" x14ac:dyDescent="0.25">
      <c r="A7630" s="34" t="s">
        <v>22</v>
      </c>
      <c r="B7630" s="37">
        <v>44210</v>
      </c>
      <c r="C7630" s="1">
        <v>1395</v>
      </c>
      <c r="D7630" s="365">
        <f t="shared" si="593"/>
        <v>191841</v>
      </c>
      <c r="E7630" s="1">
        <v>19</v>
      </c>
      <c r="F7630" s="47">
        <f t="shared" si="594"/>
        <v>3148</v>
      </c>
      <c r="G7630" s="17">
        <v>13</v>
      </c>
      <c r="H7630" s="17">
        <v>6</v>
      </c>
    </row>
    <row r="7631" spans="1:8" x14ac:dyDescent="0.25">
      <c r="A7631" s="34" t="s">
        <v>38</v>
      </c>
      <c r="B7631" s="37">
        <v>44210</v>
      </c>
      <c r="C7631" s="1">
        <v>198</v>
      </c>
      <c r="D7631" s="365">
        <f t="shared" si="593"/>
        <v>19250</v>
      </c>
      <c r="E7631" s="1">
        <v>0</v>
      </c>
      <c r="F7631" s="47">
        <f t="shared" si="594"/>
        <v>229</v>
      </c>
    </row>
    <row r="7632" spans="1:8" x14ac:dyDescent="0.25">
      <c r="A7632" s="34" t="s">
        <v>39</v>
      </c>
      <c r="B7632" s="37">
        <v>44210</v>
      </c>
      <c r="C7632" s="1">
        <v>72</v>
      </c>
      <c r="D7632" s="365">
        <f t="shared" si="593"/>
        <v>20570</v>
      </c>
      <c r="E7632" s="1">
        <v>3</v>
      </c>
      <c r="F7632" s="47">
        <f t="shared" si="594"/>
        <v>287</v>
      </c>
      <c r="G7632" s="17">
        <v>3</v>
      </c>
    </row>
    <row r="7633" spans="1:8" x14ac:dyDescent="0.25">
      <c r="A7633" s="34" t="s">
        <v>40</v>
      </c>
      <c r="B7633" s="37">
        <v>44210</v>
      </c>
      <c r="C7633" s="1">
        <v>231</v>
      </c>
      <c r="D7633" s="365">
        <f t="shared" si="593"/>
        <v>73846</v>
      </c>
      <c r="E7633" s="1">
        <v>0</v>
      </c>
      <c r="F7633" s="47">
        <f t="shared" si="594"/>
        <v>1399</v>
      </c>
    </row>
    <row r="7634" spans="1:8" x14ac:dyDescent="0.25">
      <c r="A7634" s="34" t="s">
        <v>16</v>
      </c>
      <c r="B7634" s="37">
        <v>44211</v>
      </c>
      <c r="C7634" s="1">
        <v>4742</v>
      </c>
      <c r="D7634" s="365">
        <f>C7634+D7610</f>
        <v>745329</v>
      </c>
      <c r="E7634" s="1">
        <v>41</v>
      </c>
      <c r="F7634" s="47">
        <f>E7634+F7610</f>
        <v>23223</v>
      </c>
      <c r="G7634" s="17">
        <v>23</v>
      </c>
      <c r="H7634" s="17">
        <v>18</v>
      </c>
    </row>
    <row r="7635" spans="1:8" x14ac:dyDescent="0.25">
      <c r="A7635" s="34" t="s">
        <v>43</v>
      </c>
      <c r="B7635" s="37">
        <v>44211</v>
      </c>
      <c r="C7635" s="1">
        <v>1306</v>
      </c>
      <c r="D7635" s="365">
        <f t="shared" si="593"/>
        <v>192387</v>
      </c>
      <c r="E7635" s="1">
        <v>6</v>
      </c>
      <c r="F7635" s="47">
        <f t="shared" si="594"/>
        <v>5647</v>
      </c>
      <c r="G7635" s="17">
        <v>3</v>
      </c>
      <c r="H7635" s="17">
        <v>2</v>
      </c>
    </row>
    <row r="7636" spans="1:8" x14ac:dyDescent="0.25">
      <c r="A7636" s="34" t="s">
        <v>28</v>
      </c>
      <c r="B7636" s="37">
        <v>44211</v>
      </c>
      <c r="C7636" s="1">
        <v>395</v>
      </c>
      <c r="D7636" s="365">
        <f t="shared" si="593"/>
        <v>3829</v>
      </c>
      <c r="E7636" s="1">
        <v>0</v>
      </c>
      <c r="F7636" s="47">
        <f t="shared" si="594"/>
        <v>17</v>
      </c>
    </row>
    <row r="7637" spans="1:8" x14ac:dyDescent="0.25">
      <c r="A7637" s="34" t="s">
        <v>15</v>
      </c>
      <c r="B7637" s="37">
        <v>44211</v>
      </c>
      <c r="C7637" s="1">
        <v>226</v>
      </c>
      <c r="D7637" s="365">
        <f t="shared" si="593"/>
        <v>28168</v>
      </c>
      <c r="E7637" s="1">
        <v>3</v>
      </c>
      <c r="F7637" s="47">
        <f t="shared" si="594"/>
        <v>755</v>
      </c>
      <c r="G7637" s="17">
        <v>1</v>
      </c>
      <c r="H7637" s="17">
        <v>2</v>
      </c>
    </row>
    <row r="7638" spans="1:8" x14ac:dyDescent="0.25">
      <c r="A7638" s="34" t="s">
        <v>29</v>
      </c>
      <c r="B7638" s="37">
        <v>44211</v>
      </c>
      <c r="C7638" s="1">
        <v>408</v>
      </c>
      <c r="D7638" s="365">
        <f t="shared" si="593"/>
        <v>37906</v>
      </c>
      <c r="E7638" s="1">
        <v>0</v>
      </c>
      <c r="F7638" s="47">
        <f t="shared" si="594"/>
        <v>559</v>
      </c>
    </row>
    <row r="7639" spans="1:8" x14ac:dyDescent="0.25">
      <c r="A7639" s="34" t="s">
        <v>20</v>
      </c>
      <c r="B7639" s="37">
        <v>44211</v>
      </c>
      <c r="C7639" s="1">
        <v>649</v>
      </c>
      <c r="D7639" s="365">
        <f t="shared" si="593"/>
        <v>136868</v>
      </c>
      <c r="E7639" s="1">
        <v>0</v>
      </c>
      <c r="F7639" s="47">
        <f t="shared" si="594"/>
        <v>2546</v>
      </c>
    </row>
    <row r="7640" spans="1:8" x14ac:dyDescent="0.25">
      <c r="A7640" s="34" t="s">
        <v>30</v>
      </c>
      <c r="B7640" s="37">
        <v>44211</v>
      </c>
      <c r="C7640" s="1">
        <v>235</v>
      </c>
      <c r="D7640" s="365">
        <f t="shared" si="593"/>
        <v>15227</v>
      </c>
      <c r="E7640" s="1">
        <v>0</v>
      </c>
      <c r="F7640" s="47">
        <f t="shared" si="594"/>
        <v>181</v>
      </c>
    </row>
    <row r="7641" spans="1:8" x14ac:dyDescent="0.25">
      <c r="A7641" s="34" t="s">
        <v>31</v>
      </c>
      <c r="B7641" s="37">
        <v>44211</v>
      </c>
      <c r="C7641" s="1">
        <v>537</v>
      </c>
      <c r="D7641" s="365">
        <f t="shared" si="593"/>
        <v>35862</v>
      </c>
      <c r="E7641" s="1">
        <v>1</v>
      </c>
      <c r="F7641" s="47">
        <f t="shared" si="594"/>
        <v>627</v>
      </c>
      <c r="G7641" s="17">
        <v>1</v>
      </c>
    </row>
    <row r="7642" spans="1:8" x14ac:dyDescent="0.25">
      <c r="A7642" s="34" t="s">
        <v>41</v>
      </c>
      <c r="B7642" s="37">
        <v>44211</v>
      </c>
      <c r="C7642" s="1">
        <v>58</v>
      </c>
      <c r="D7642" s="365">
        <f t="shared" si="593"/>
        <v>558</v>
      </c>
      <c r="E7642" s="1">
        <v>1</v>
      </c>
      <c r="F7642" s="47">
        <f t="shared" si="594"/>
        <v>4</v>
      </c>
      <c r="G7642" s="17">
        <v>1</v>
      </c>
    </row>
    <row r="7643" spans="1:8" x14ac:dyDescent="0.25">
      <c r="A7643" s="34" t="s">
        <v>32</v>
      </c>
      <c r="B7643" s="37">
        <v>44211</v>
      </c>
      <c r="C7643" s="1">
        <v>21</v>
      </c>
      <c r="D7643" s="365">
        <f t="shared" si="593"/>
        <v>18780</v>
      </c>
      <c r="E7643" s="1">
        <v>1</v>
      </c>
      <c r="F7643" s="47">
        <f t="shared" si="594"/>
        <v>861</v>
      </c>
      <c r="G7643" s="17">
        <v>1</v>
      </c>
    </row>
    <row r="7644" spans="1:8" x14ac:dyDescent="0.25">
      <c r="A7644" s="34" t="s">
        <v>33</v>
      </c>
      <c r="B7644" s="37">
        <v>44211</v>
      </c>
      <c r="C7644" s="1">
        <v>195</v>
      </c>
      <c r="D7644" s="365">
        <f t="shared" si="593"/>
        <v>14734</v>
      </c>
      <c r="E7644" s="1">
        <v>10</v>
      </c>
      <c r="F7644" s="47">
        <f t="shared" si="594"/>
        <v>183</v>
      </c>
      <c r="G7644" s="17">
        <v>5</v>
      </c>
      <c r="H7644" s="17">
        <v>5</v>
      </c>
    </row>
    <row r="7645" spans="1:8" x14ac:dyDescent="0.25">
      <c r="A7645" s="34" t="s">
        <v>21</v>
      </c>
      <c r="B7645" s="37">
        <v>44211</v>
      </c>
      <c r="C7645" s="1">
        <v>13</v>
      </c>
      <c r="D7645" s="365">
        <f t="shared" si="593"/>
        <v>9272</v>
      </c>
      <c r="E7645" s="1">
        <v>0</v>
      </c>
      <c r="F7645" s="47">
        <f t="shared" si="594"/>
        <v>401</v>
      </c>
    </row>
    <row r="7646" spans="1:8" x14ac:dyDescent="0.25">
      <c r="A7646" s="34" t="s">
        <v>17</v>
      </c>
      <c r="B7646" s="37">
        <v>44211</v>
      </c>
      <c r="C7646" s="1">
        <v>135</v>
      </c>
      <c r="D7646" s="365">
        <f t="shared" si="593"/>
        <v>62038</v>
      </c>
      <c r="E7646" s="1">
        <v>4</v>
      </c>
      <c r="F7646" s="47">
        <f t="shared" si="594"/>
        <v>1278</v>
      </c>
      <c r="G7646" s="17">
        <v>2</v>
      </c>
      <c r="H7646" s="17">
        <v>2</v>
      </c>
    </row>
    <row r="7647" spans="1:8" x14ac:dyDescent="0.25">
      <c r="A7647" s="34" t="s">
        <v>23</v>
      </c>
      <c r="B7647" s="37">
        <v>44211</v>
      </c>
      <c r="C7647" s="1">
        <v>104</v>
      </c>
      <c r="D7647" s="365">
        <f t="shared" si="593"/>
        <v>1866</v>
      </c>
      <c r="E7647" s="1">
        <v>3</v>
      </c>
      <c r="F7647" s="47">
        <f t="shared" si="594"/>
        <v>36</v>
      </c>
      <c r="G7647" s="17">
        <v>2</v>
      </c>
      <c r="H7647" s="17">
        <v>1</v>
      </c>
    </row>
    <row r="7648" spans="1:8" x14ac:dyDescent="0.25">
      <c r="A7648" s="34" t="s">
        <v>19</v>
      </c>
      <c r="B7648" s="37">
        <v>44211</v>
      </c>
      <c r="C7648" s="1">
        <v>515</v>
      </c>
      <c r="D7648" s="365">
        <f t="shared" si="593"/>
        <v>47712</v>
      </c>
      <c r="E7648" s="1">
        <v>1</v>
      </c>
      <c r="F7648" s="47">
        <f t="shared" si="594"/>
        <v>755</v>
      </c>
      <c r="H7648" s="17">
        <v>1</v>
      </c>
    </row>
    <row r="7649" spans="1:8" x14ac:dyDescent="0.25">
      <c r="A7649" s="34" t="s">
        <v>18</v>
      </c>
      <c r="B7649" s="37">
        <v>44211</v>
      </c>
      <c r="C7649" s="1">
        <v>334</v>
      </c>
      <c r="D7649" s="365">
        <f t="shared" si="593"/>
        <v>43411</v>
      </c>
      <c r="E7649" s="1">
        <v>4</v>
      </c>
      <c r="F7649" s="47">
        <f t="shared" si="594"/>
        <v>997</v>
      </c>
      <c r="G7649" s="17">
        <v>3</v>
      </c>
      <c r="H7649" s="17">
        <v>1</v>
      </c>
    </row>
    <row r="7650" spans="1:8" x14ac:dyDescent="0.25">
      <c r="A7650" s="34" t="s">
        <v>34</v>
      </c>
      <c r="B7650" s="37">
        <v>44211</v>
      </c>
      <c r="C7650" s="1">
        <v>59</v>
      </c>
      <c r="D7650" s="365">
        <f t="shared" si="593"/>
        <v>22979</v>
      </c>
      <c r="E7650" s="1">
        <v>0</v>
      </c>
      <c r="F7650" s="47">
        <f t="shared" si="594"/>
        <v>1025</v>
      </c>
    </row>
    <row r="7651" spans="1:8" x14ac:dyDescent="0.25">
      <c r="A7651" s="34" t="s">
        <v>35</v>
      </c>
      <c r="B7651" s="37">
        <v>44211</v>
      </c>
      <c r="C7651" s="1">
        <v>111</v>
      </c>
      <c r="D7651" s="365">
        <f t="shared" si="593"/>
        <v>13028</v>
      </c>
      <c r="E7651" s="1">
        <v>1</v>
      </c>
      <c r="F7651" s="47">
        <f t="shared" si="594"/>
        <v>214</v>
      </c>
      <c r="G7651" s="17">
        <v>1</v>
      </c>
    </row>
    <row r="7652" spans="1:8" x14ac:dyDescent="0.25">
      <c r="A7652" s="34" t="s">
        <v>36</v>
      </c>
      <c r="B7652" s="37">
        <v>44211</v>
      </c>
      <c r="C7652" s="1">
        <v>33</v>
      </c>
      <c r="D7652" s="365">
        <f t="shared" si="593"/>
        <v>16793</v>
      </c>
      <c r="E7652" s="1">
        <v>1</v>
      </c>
      <c r="F7652" s="47">
        <f t="shared" si="594"/>
        <v>328</v>
      </c>
      <c r="G7652" s="17">
        <v>1</v>
      </c>
    </row>
    <row r="7653" spans="1:8" x14ac:dyDescent="0.25">
      <c r="A7653" s="34" t="s">
        <v>37</v>
      </c>
      <c r="B7653" s="37">
        <v>44211</v>
      </c>
      <c r="C7653" s="1">
        <v>332</v>
      </c>
      <c r="D7653" s="365">
        <f t="shared" si="593"/>
        <v>28869</v>
      </c>
      <c r="E7653" s="1">
        <v>10</v>
      </c>
      <c r="F7653" s="47">
        <f t="shared" si="594"/>
        <v>448</v>
      </c>
      <c r="G7653" s="17">
        <v>6</v>
      </c>
      <c r="H7653" s="17">
        <v>3</v>
      </c>
    </row>
    <row r="7654" spans="1:8" x14ac:dyDescent="0.25">
      <c r="A7654" s="34" t="s">
        <v>22</v>
      </c>
      <c r="B7654" s="37">
        <v>44211</v>
      </c>
      <c r="C7654" s="1">
        <v>1488</v>
      </c>
      <c r="D7654" s="365">
        <f t="shared" si="593"/>
        <v>193329</v>
      </c>
      <c r="E7654" s="1">
        <v>6</v>
      </c>
      <c r="F7654" s="47">
        <f t="shared" si="594"/>
        <v>3154</v>
      </c>
      <c r="H7654" s="17">
        <v>6</v>
      </c>
    </row>
    <row r="7655" spans="1:8" x14ac:dyDescent="0.25">
      <c r="A7655" s="34" t="s">
        <v>38</v>
      </c>
      <c r="B7655" s="37">
        <v>44211</v>
      </c>
      <c r="C7655" s="1">
        <v>92</v>
      </c>
      <c r="D7655" s="365">
        <f t="shared" si="593"/>
        <v>19342</v>
      </c>
      <c r="E7655" s="1">
        <v>0</v>
      </c>
      <c r="F7655" s="47">
        <f t="shared" si="594"/>
        <v>229</v>
      </c>
    </row>
    <row r="7656" spans="1:8" x14ac:dyDescent="0.25">
      <c r="A7656" s="34" t="s">
        <v>39</v>
      </c>
      <c r="B7656" s="37">
        <v>44211</v>
      </c>
      <c r="C7656" s="1">
        <v>91</v>
      </c>
      <c r="D7656" s="365">
        <f t="shared" si="593"/>
        <v>20661</v>
      </c>
      <c r="E7656" s="1">
        <v>9</v>
      </c>
      <c r="F7656" s="47">
        <f t="shared" si="594"/>
        <v>296</v>
      </c>
      <c r="G7656" s="17">
        <v>2</v>
      </c>
      <c r="H7656" s="17">
        <v>7</v>
      </c>
    </row>
    <row r="7657" spans="1:8" x14ac:dyDescent="0.25">
      <c r="A7657" s="34" t="s">
        <v>40</v>
      </c>
      <c r="B7657" s="37">
        <v>44211</v>
      </c>
      <c r="C7657" s="1">
        <v>253</v>
      </c>
      <c r="D7657" s="365">
        <f t="shared" si="593"/>
        <v>74099</v>
      </c>
      <c r="E7657" s="1">
        <v>1</v>
      </c>
      <c r="F7657" s="47">
        <f t="shared" si="594"/>
        <v>1400</v>
      </c>
      <c r="H7657" s="17">
        <v>1</v>
      </c>
    </row>
    <row r="7658" spans="1:8" x14ac:dyDescent="0.25">
      <c r="A7658" s="34" t="s">
        <v>16</v>
      </c>
      <c r="B7658" s="37">
        <v>44212</v>
      </c>
      <c r="C7658" s="1">
        <v>3531</v>
      </c>
      <c r="D7658" s="365">
        <f>C7658+D7634</f>
        <v>748860</v>
      </c>
      <c r="E7658" s="1">
        <v>21</v>
      </c>
      <c r="F7658" s="47">
        <f>E7658+F7634</f>
        <v>23244</v>
      </c>
      <c r="G7658" s="17">
        <v>12</v>
      </c>
      <c r="H7658" s="17">
        <v>9</v>
      </c>
    </row>
    <row r="7659" spans="1:8" x14ac:dyDescent="0.25">
      <c r="A7659" s="34" t="s">
        <v>43</v>
      </c>
      <c r="B7659" s="37">
        <v>44212</v>
      </c>
      <c r="C7659" s="1">
        <v>1144</v>
      </c>
      <c r="D7659" s="365">
        <f t="shared" si="593"/>
        <v>193531</v>
      </c>
      <c r="E7659" s="1">
        <v>6</v>
      </c>
      <c r="F7659" s="47">
        <f t="shared" si="594"/>
        <v>5653</v>
      </c>
      <c r="G7659" s="17">
        <v>2</v>
      </c>
      <c r="H7659" s="17">
        <v>4</v>
      </c>
    </row>
    <row r="7660" spans="1:8" x14ac:dyDescent="0.25">
      <c r="A7660" s="34" t="s">
        <v>28</v>
      </c>
      <c r="B7660" s="37">
        <v>44212</v>
      </c>
      <c r="C7660" s="1">
        <v>235</v>
      </c>
      <c r="D7660" s="365">
        <f t="shared" si="593"/>
        <v>4064</v>
      </c>
      <c r="E7660" s="1">
        <v>0</v>
      </c>
      <c r="F7660" s="47">
        <f t="shared" si="594"/>
        <v>17</v>
      </c>
    </row>
    <row r="7661" spans="1:8" x14ac:dyDescent="0.25">
      <c r="A7661" s="34" t="s">
        <v>15</v>
      </c>
      <c r="B7661" s="37">
        <v>44212</v>
      </c>
      <c r="C7661" s="1">
        <v>170</v>
      </c>
      <c r="D7661" s="365">
        <f t="shared" si="593"/>
        <v>28338</v>
      </c>
      <c r="E7661" s="1">
        <v>1</v>
      </c>
      <c r="F7661" s="47">
        <f t="shared" si="594"/>
        <v>756</v>
      </c>
      <c r="H7661" s="17">
        <v>1</v>
      </c>
    </row>
    <row r="7662" spans="1:8" x14ac:dyDescent="0.25">
      <c r="A7662" s="34" t="s">
        <v>29</v>
      </c>
      <c r="B7662" s="37">
        <v>44212</v>
      </c>
      <c r="C7662" s="1">
        <v>181</v>
      </c>
      <c r="D7662" s="365">
        <f t="shared" si="593"/>
        <v>38087</v>
      </c>
      <c r="E7662" s="1">
        <v>2</v>
      </c>
      <c r="F7662" s="47">
        <f t="shared" si="594"/>
        <v>561</v>
      </c>
      <c r="H7662" s="17">
        <v>2</v>
      </c>
    </row>
    <row r="7663" spans="1:8" x14ac:dyDescent="0.25">
      <c r="A7663" s="34" t="s">
        <v>20</v>
      </c>
      <c r="B7663" s="37">
        <v>44212</v>
      </c>
      <c r="C7663" s="1">
        <v>536</v>
      </c>
      <c r="D7663" s="365">
        <f t="shared" si="593"/>
        <v>137404</v>
      </c>
      <c r="E7663" s="1">
        <v>4</v>
      </c>
      <c r="F7663" s="47">
        <f t="shared" si="594"/>
        <v>2550</v>
      </c>
      <c r="G7663" s="17">
        <v>3</v>
      </c>
      <c r="H7663" s="17">
        <v>1</v>
      </c>
    </row>
    <row r="7664" spans="1:8" x14ac:dyDescent="0.25">
      <c r="A7664" s="34" t="s">
        <v>30</v>
      </c>
      <c r="B7664" s="37">
        <v>44212</v>
      </c>
      <c r="C7664" s="1">
        <v>78</v>
      </c>
      <c r="D7664" s="365">
        <f t="shared" si="593"/>
        <v>15305</v>
      </c>
      <c r="E7664" s="1">
        <v>0</v>
      </c>
      <c r="F7664" s="47">
        <f t="shared" si="594"/>
        <v>181</v>
      </c>
    </row>
    <row r="7665" spans="1:8" x14ac:dyDescent="0.25">
      <c r="A7665" s="34" t="s">
        <v>31</v>
      </c>
      <c r="B7665" s="37">
        <v>44212</v>
      </c>
      <c r="C7665" s="1">
        <v>314</v>
      </c>
      <c r="D7665" s="365">
        <f t="shared" si="593"/>
        <v>36176</v>
      </c>
      <c r="E7665" s="1">
        <v>5</v>
      </c>
      <c r="F7665" s="47">
        <f t="shared" si="594"/>
        <v>632</v>
      </c>
      <c r="G7665" s="17">
        <v>3</v>
      </c>
      <c r="H7665" s="17">
        <v>2</v>
      </c>
    </row>
    <row r="7666" spans="1:8" x14ac:dyDescent="0.25">
      <c r="A7666" s="34" t="s">
        <v>41</v>
      </c>
      <c r="B7666" s="37">
        <v>44212</v>
      </c>
      <c r="C7666" s="1">
        <v>29</v>
      </c>
      <c r="D7666" s="365">
        <f t="shared" si="593"/>
        <v>587</v>
      </c>
      <c r="E7666" s="1">
        <v>0</v>
      </c>
      <c r="F7666" s="47">
        <f t="shared" si="594"/>
        <v>4</v>
      </c>
    </row>
    <row r="7667" spans="1:8" x14ac:dyDescent="0.25">
      <c r="A7667" s="34" t="s">
        <v>32</v>
      </c>
      <c r="B7667" s="37">
        <v>44212</v>
      </c>
      <c r="C7667" s="1">
        <v>21</v>
      </c>
      <c r="D7667" s="365">
        <f t="shared" si="593"/>
        <v>18801</v>
      </c>
      <c r="E7667" s="1">
        <v>2</v>
      </c>
      <c r="F7667" s="47">
        <f t="shared" si="594"/>
        <v>863</v>
      </c>
      <c r="G7667" s="17">
        <v>1</v>
      </c>
      <c r="H7667" s="17">
        <v>1</v>
      </c>
    </row>
    <row r="7668" spans="1:8" x14ac:dyDescent="0.25">
      <c r="A7668" s="34" t="s">
        <v>33</v>
      </c>
      <c r="B7668" s="37">
        <v>44212</v>
      </c>
      <c r="C7668" s="1">
        <v>110</v>
      </c>
      <c r="D7668" s="365">
        <f t="shared" si="593"/>
        <v>14844</v>
      </c>
      <c r="E7668" s="1">
        <v>1</v>
      </c>
      <c r="F7668" s="47">
        <f t="shared" si="594"/>
        <v>184</v>
      </c>
      <c r="H7668" s="17">
        <v>1</v>
      </c>
    </row>
    <row r="7669" spans="1:8" x14ac:dyDescent="0.25">
      <c r="A7669" s="34" t="s">
        <v>21</v>
      </c>
      <c r="B7669" s="37">
        <v>44212</v>
      </c>
      <c r="C7669" s="1">
        <v>12</v>
      </c>
      <c r="D7669" s="365">
        <f t="shared" si="593"/>
        <v>9284</v>
      </c>
      <c r="E7669" s="1">
        <v>0</v>
      </c>
      <c r="F7669" s="47">
        <f t="shared" si="594"/>
        <v>401</v>
      </c>
    </row>
    <row r="7670" spans="1:8" x14ac:dyDescent="0.25">
      <c r="A7670" s="34" t="s">
        <v>17</v>
      </c>
      <c r="B7670" s="37">
        <v>44212</v>
      </c>
      <c r="C7670" s="1">
        <v>135</v>
      </c>
      <c r="D7670" s="365">
        <f t="shared" si="593"/>
        <v>62173</v>
      </c>
      <c r="E7670" s="1">
        <v>5</v>
      </c>
      <c r="F7670" s="47">
        <f t="shared" si="594"/>
        <v>1283</v>
      </c>
      <c r="G7670" s="17">
        <v>5</v>
      </c>
    </row>
    <row r="7671" spans="1:8" x14ac:dyDescent="0.25">
      <c r="A7671" s="34" t="s">
        <v>23</v>
      </c>
      <c r="B7671" s="37">
        <v>44212</v>
      </c>
      <c r="C7671" s="1">
        <v>144</v>
      </c>
      <c r="D7671" s="365">
        <f t="shared" si="593"/>
        <v>2010</v>
      </c>
      <c r="E7671" s="1">
        <v>3</v>
      </c>
      <c r="F7671" s="47">
        <f t="shared" si="594"/>
        <v>39</v>
      </c>
      <c r="G7671" s="17">
        <v>3</v>
      </c>
    </row>
    <row r="7672" spans="1:8" x14ac:dyDescent="0.25">
      <c r="A7672" s="34" t="s">
        <v>19</v>
      </c>
      <c r="B7672" s="37">
        <v>44212</v>
      </c>
      <c r="C7672" s="1">
        <v>280</v>
      </c>
      <c r="D7672" s="365">
        <f t="shared" si="593"/>
        <v>47992</v>
      </c>
      <c r="E7672" s="1">
        <v>0</v>
      </c>
      <c r="F7672" s="47">
        <f t="shared" si="594"/>
        <v>755</v>
      </c>
    </row>
    <row r="7673" spans="1:8" x14ac:dyDescent="0.25">
      <c r="A7673" s="34" t="s">
        <v>18</v>
      </c>
      <c r="B7673" s="37">
        <v>44212</v>
      </c>
      <c r="C7673" s="1">
        <v>296</v>
      </c>
      <c r="D7673" s="365">
        <f t="shared" si="593"/>
        <v>43707</v>
      </c>
      <c r="E7673" s="1">
        <v>1</v>
      </c>
      <c r="F7673" s="47">
        <f t="shared" si="594"/>
        <v>998</v>
      </c>
      <c r="G7673" s="17">
        <v>1</v>
      </c>
    </row>
    <row r="7674" spans="1:8" x14ac:dyDescent="0.25">
      <c r="A7674" s="34" t="s">
        <v>34</v>
      </c>
      <c r="B7674" s="37">
        <v>44212</v>
      </c>
      <c r="C7674" s="1">
        <v>64</v>
      </c>
      <c r="D7674" s="365">
        <f t="shared" si="593"/>
        <v>23043</v>
      </c>
      <c r="E7674" s="1">
        <v>0</v>
      </c>
      <c r="F7674" s="47">
        <f t="shared" si="594"/>
        <v>1025</v>
      </c>
    </row>
    <row r="7675" spans="1:8" x14ac:dyDescent="0.25">
      <c r="A7675" s="34" t="s">
        <v>35</v>
      </c>
      <c r="B7675" s="37">
        <v>44212</v>
      </c>
      <c r="C7675" s="1">
        <v>60</v>
      </c>
      <c r="D7675" s="365">
        <f t="shared" ref="D7675:D7681" si="595">C7675+D7651</f>
        <v>13088</v>
      </c>
      <c r="E7675" s="1">
        <v>0</v>
      </c>
      <c r="F7675" s="47">
        <f t="shared" ref="F7675:F7681" si="596">E7675+F7651</f>
        <v>214</v>
      </c>
    </row>
    <row r="7676" spans="1:8" x14ac:dyDescent="0.25">
      <c r="A7676" s="34" t="s">
        <v>36</v>
      </c>
      <c r="B7676" s="37">
        <v>44212</v>
      </c>
      <c r="C7676" s="1">
        <v>24</v>
      </c>
      <c r="D7676" s="365">
        <f t="shared" si="595"/>
        <v>16817</v>
      </c>
      <c r="E7676" s="1">
        <v>0</v>
      </c>
      <c r="F7676" s="47">
        <f t="shared" si="596"/>
        <v>328</v>
      </c>
    </row>
    <row r="7677" spans="1:8" x14ac:dyDescent="0.25">
      <c r="A7677" s="34" t="s">
        <v>37</v>
      </c>
      <c r="B7677" s="37">
        <v>44212</v>
      </c>
      <c r="C7677" s="1">
        <v>244</v>
      </c>
      <c r="D7677" s="365">
        <f t="shared" si="595"/>
        <v>29113</v>
      </c>
      <c r="E7677" s="1">
        <v>2</v>
      </c>
      <c r="F7677" s="47">
        <f t="shared" si="596"/>
        <v>450</v>
      </c>
      <c r="G7677" s="17">
        <v>1</v>
      </c>
      <c r="H7677" s="17">
        <v>1</v>
      </c>
    </row>
    <row r="7678" spans="1:8" x14ac:dyDescent="0.25">
      <c r="A7678" s="34" t="s">
        <v>22</v>
      </c>
      <c r="B7678" s="37">
        <v>44212</v>
      </c>
      <c r="C7678" s="1">
        <v>1078</v>
      </c>
      <c r="D7678" s="365">
        <f t="shared" si="595"/>
        <v>194407</v>
      </c>
      <c r="E7678" s="1">
        <v>12</v>
      </c>
      <c r="F7678" s="47">
        <f t="shared" si="596"/>
        <v>3166</v>
      </c>
      <c r="G7678" s="17">
        <v>6</v>
      </c>
      <c r="H7678" s="17">
        <v>6</v>
      </c>
    </row>
    <row r="7679" spans="1:8" x14ac:dyDescent="0.25">
      <c r="A7679" s="34" t="s">
        <v>38</v>
      </c>
      <c r="B7679" s="37">
        <v>44212</v>
      </c>
      <c r="C7679" s="1">
        <v>113</v>
      </c>
      <c r="D7679" s="365">
        <f t="shared" si="595"/>
        <v>19455</v>
      </c>
      <c r="E7679" s="1">
        <v>0</v>
      </c>
      <c r="F7679" s="47">
        <f t="shared" si="596"/>
        <v>229</v>
      </c>
    </row>
    <row r="7680" spans="1:8" x14ac:dyDescent="0.25">
      <c r="A7680" s="34" t="s">
        <v>39</v>
      </c>
      <c r="B7680" s="37">
        <v>44212</v>
      </c>
      <c r="C7680" s="1">
        <v>39</v>
      </c>
      <c r="D7680" s="365">
        <f t="shared" si="595"/>
        <v>20700</v>
      </c>
      <c r="E7680" s="1">
        <v>3</v>
      </c>
      <c r="F7680" s="47">
        <f t="shared" si="596"/>
        <v>299</v>
      </c>
      <c r="G7680" s="17">
        <v>2</v>
      </c>
      <c r="H7680" s="17">
        <v>1</v>
      </c>
    </row>
    <row r="7681" spans="1:8" x14ac:dyDescent="0.25">
      <c r="A7681" s="34" t="s">
        <v>40</v>
      </c>
      <c r="B7681" s="37">
        <v>44212</v>
      </c>
      <c r="C7681" s="1">
        <v>94</v>
      </c>
      <c r="D7681" s="365">
        <f t="shared" si="595"/>
        <v>74193</v>
      </c>
      <c r="E7681" s="1">
        <v>0</v>
      </c>
      <c r="F7681" s="47">
        <f t="shared" si="596"/>
        <v>1400</v>
      </c>
    </row>
    <row r="7682" spans="1:8" x14ac:dyDescent="0.25">
      <c r="A7682" s="34" t="s">
        <v>16</v>
      </c>
      <c r="B7682" s="37">
        <v>44213</v>
      </c>
      <c r="C7682" s="1">
        <v>2598</v>
      </c>
      <c r="D7682" s="365">
        <f>C7682+D7658</f>
        <v>751458</v>
      </c>
      <c r="E7682" s="1">
        <v>76</v>
      </c>
      <c r="F7682" s="47">
        <f>E7682+F7658</f>
        <v>23320</v>
      </c>
      <c r="G7682" s="17">
        <v>35</v>
      </c>
      <c r="H7682" s="17">
        <v>40</v>
      </c>
    </row>
    <row r="7683" spans="1:8" x14ac:dyDescent="0.25">
      <c r="A7683" s="34" t="s">
        <v>43</v>
      </c>
      <c r="B7683" s="37">
        <v>44213</v>
      </c>
      <c r="C7683" s="1">
        <v>1157</v>
      </c>
      <c r="D7683" s="365">
        <f t="shared" ref="D7683:D7746" si="597">C7683+D7659</f>
        <v>194688</v>
      </c>
      <c r="E7683" s="1">
        <v>8</v>
      </c>
      <c r="F7683" s="47">
        <f t="shared" ref="F7683:F7746" si="598">E7683+F7659</f>
        <v>5661</v>
      </c>
      <c r="G7683" s="17">
        <v>4</v>
      </c>
      <c r="H7683" s="17">
        <v>2</v>
      </c>
    </row>
    <row r="7684" spans="1:8" x14ac:dyDescent="0.25">
      <c r="A7684" s="34" t="s">
        <v>28</v>
      </c>
      <c r="B7684" s="37">
        <v>44213</v>
      </c>
      <c r="C7684" s="1">
        <v>117</v>
      </c>
      <c r="D7684" s="365">
        <f t="shared" si="597"/>
        <v>4181</v>
      </c>
      <c r="E7684" s="1">
        <v>0</v>
      </c>
      <c r="F7684" s="47">
        <f t="shared" si="598"/>
        <v>17</v>
      </c>
    </row>
    <row r="7685" spans="1:8" x14ac:dyDescent="0.25">
      <c r="A7685" s="34" t="s">
        <v>15</v>
      </c>
      <c r="B7685" s="37">
        <v>44213</v>
      </c>
      <c r="C7685" s="1">
        <v>173</v>
      </c>
      <c r="D7685" s="365">
        <f t="shared" si="597"/>
        <v>28511</v>
      </c>
      <c r="E7685" s="1">
        <v>1</v>
      </c>
      <c r="F7685" s="47">
        <f t="shared" si="598"/>
        <v>757</v>
      </c>
      <c r="G7685" s="17">
        <v>1</v>
      </c>
    </row>
    <row r="7686" spans="1:8" x14ac:dyDescent="0.25">
      <c r="A7686" s="34" t="s">
        <v>29</v>
      </c>
      <c r="B7686" s="37">
        <v>44213</v>
      </c>
      <c r="C7686" s="1">
        <v>151</v>
      </c>
      <c r="D7686" s="365">
        <f t="shared" si="597"/>
        <v>38238</v>
      </c>
      <c r="E7686" s="1">
        <v>1</v>
      </c>
      <c r="F7686" s="47">
        <f t="shared" si="598"/>
        <v>562</v>
      </c>
      <c r="G7686" s="17">
        <v>1</v>
      </c>
    </row>
    <row r="7687" spans="1:8" x14ac:dyDescent="0.25">
      <c r="A7687" s="34" t="s">
        <v>20</v>
      </c>
      <c r="B7687" s="37">
        <v>44213</v>
      </c>
      <c r="C7687" s="1">
        <v>336</v>
      </c>
      <c r="D7687" s="365">
        <f t="shared" si="597"/>
        <v>137740</v>
      </c>
      <c r="E7687" s="1">
        <v>1</v>
      </c>
      <c r="F7687" s="47">
        <f t="shared" si="598"/>
        <v>2551</v>
      </c>
      <c r="H7687" s="17">
        <v>1</v>
      </c>
    </row>
    <row r="7688" spans="1:8" x14ac:dyDescent="0.25">
      <c r="A7688" s="34" t="s">
        <v>30</v>
      </c>
      <c r="B7688" s="37">
        <v>44213</v>
      </c>
      <c r="C7688" s="1">
        <v>162</v>
      </c>
      <c r="D7688" s="365">
        <f t="shared" si="597"/>
        <v>15467</v>
      </c>
      <c r="E7688" s="1">
        <v>1</v>
      </c>
      <c r="F7688" s="47">
        <f t="shared" si="598"/>
        <v>182</v>
      </c>
      <c r="H7688" s="17">
        <v>1</v>
      </c>
    </row>
    <row r="7689" spans="1:8" x14ac:dyDescent="0.25">
      <c r="A7689" s="34" t="s">
        <v>31</v>
      </c>
      <c r="B7689" s="37">
        <v>44213</v>
      </c>
      <c r="C7689" s="1">
        <v>315</v>
      </c>
      <c r="D7689" s="365">
        <f t="shared" si="597"/>
        <v>36491</v>
      </c>
      <c r="E7689" s="1">
        <v>3</v>
      </c>
      <c r="F7689" s="47">
        <f t="shared" si="598"/>
        <v>635</v>
      </c>
      <c r="G7689" s="17">
        <v>2</v>
      </c>
    </row>
    <row r="7690" spans="1:8" x14ac:dyDescent="0.25">
      <c r="A7690" s="34" t="s">
        <v>41</v>
      </c>
      <c r="B7690" s="37">
        <v>44213</v>
      </c>
      <c r="C7690" s="1">
        <v>76</v>
      </c>
      <c r="D7690" s="365">
        <f t="shared" si="597"/>
        <v>663</v>
      </c>
      <c r="E7690" s="1">
        <v>2</v>
      </c>
      <c r="F7690" s="47">
        <f t="shared" si="598"/>
        <v>6</v>
      </c>
      <c r="G7690" s="17">
        <v>1</v>
      </c>
    </row>
    <row r="7691" spans="1:8" x14ac:dyDescent="0.25">
      <c r="A7691" s="34" t="s">
        <v>32</v>
      </c>
      <c r="B7691" s="37">
        <v>44213</v>
      </c>
      <c r="C7691" s="1">
        <v>60</v>
      </c>
      <c r="D7691" s="365">
        <f t="shared" si="597"/>
        <v>18861</v>
      </c>
      <c r="E7691" s="1">
        <v>0</v>
      </c>
      <c r="F7691" s="47">
        <f t="shared" si="598"/>
        <v>863</v>
      </c>
    </row>
    <row r="7692" spans="1:8" x14ac:dyDescent="0.25">
      <c r="A7692" s="34" t="s">
        <v>33</v>
      </c>
      <c r="B7692" s="37">
        <v>44213</v>
      </c>
      <c r="C7692" s="1">
        <v>151</v>
      </c>
      <c r="D7692" s="365">
        <f t="shared" si="597"/>
        <v>14995</v>
      </c>
      <c r="E7692" s="1">
        <v>3</v>
      </c>
      <c r="F7692" s="47">
        <f t="shared" si="598"/>
        <v>187</v>
      </c>
      <c r="G7692" s="17">
        <v>2</v>
      </c>
      <c r="H7692" s="17">
        <v>1</v>
      </c>
    </row>
    <row r="7693" spans="1:8" x14ac:dyDescent="0.25">
      <c r="A7693" s="34" t="s">
        <v>21</v>
      </c>
      <c r="B7693" s="37">
        <v>44213</v>
      </c>
      <c r="C7693" s="1">
        <v>24</v>
      </c>
      <c r="D7693" s="365">
        <f t="shared" si="597"/>
        <v>9308</v>
      </c>
      <c r="E7693" s="1">
        <v>0</v>
      </c>
      <c r="F7693" s="47">
        <f t="shared" si="598"/>
        <v>401</v>
      </c>
    </row>
    <row r="7694" spans="1:8" x14ac:dyDescent="0.25">
      <c r="A7694" s="34" t="s">
        <v>17</v>
      </c>
      <c r="B7694" s="37">
        <v>44213</v>
      </c>
      <c r="C7694" s="1">
        <v>47</v>
      </c>
      <c r="D7694" s="365">
        <f t="shared" si="597"/>
        <v>62220</v>
      </c>
      <c r="E7694" s="1">
        <v>3</v>
      </c>
      <c r="F7694" s="47">
        <f t="shared" si="598"/>
        <v>1286</v>
      </c>
      <c r="G7694" s="17">
        <v>2</v>
      </c>
      <c r="H7694" s="17">
        <v>1</v>
      </c>
    </row>
    <row r="7695" spans="1:8" x14ac:dyDescent="0.25">
      <c r="A7695" s="34" t="s">
        <v>23</v>
      </c>
      <c r="B7695" s="37">
        <v>44213</v>
      </c>
      <c r="C7695" s="1">
        <v>170</v>
      </c>
      <c r="D7695" s="365">
        <f t="shared" si="597"/>
        <v>2180</v>
      </c>
      <c r="E7695" s="1">
        <v>0</v>
      </c>
      <c r="F7695" s="47">
        <f t="shared" si="598"/>
        <v>39</v>
      </c>
    </row>
    <row r="7696" spans="1:8" x14ac:dyDescent="0.25">
      <c r="A7696" s="34" t="s">
        <v>19</v>
      </c>
      <c r="B7696" s="37">
        <v>44213</v>
      </c>
      <c r="C7696" s="1">
        <v>218</v>
      </c>
      <c r="D7696" s="365">
        <f t="shared" si="597"/>
        <v>48210</v>
      </c>
      <c r="E7696" s="1">
        <v>0</v>
      </c>
      <c r="F7696" s="47">
        <f t="shared" si="598"/>
        <v>755</v>
      </c>
    </row>
    <row r="7697" spans="1:12" x14ac:dyDescent="0.25">
      <c r="A7697" s="34" t="s">
        <v>18</v>
      </c>
      <c r="B7697" s="37">
        <v>44213</v>
      </c>
      <c r="C7697" s="1">
        <v>177</v>
      </c>
      <c r="D7697" s="365">
        <f t="shared" si="597"/>
        <v>43884</v>
      </c>
      <c r="E7697" s="1">
        <v>4</v>
      </c>
      <c r="F7697" s="47">
        <f t="shared" si="598"/>
        <v>1002</v>
      </c>
      <c r="G7697" s="17">
        <v>2</v>
      </c>
      <c r="H7697" s="17">
        <v>2</v>
      </c>
    </row>
    <row r="7698" spans="1:12" x14ac:dyDescent="0.25">
      <c r="A7698" s="34" t="s">
        <v>34</v>
      </c>
      <c r="B7698" s="37">
        <v>44213</v>
      </c>
      <c r="C7698" s="1">
        <v>42</v>
      </c>
      <c r="D7698" s="365">
        <f t="shared" si="597"/>
        <v>23085</v>
      </c>
      <c r="E7698" s="1">
        <v>0</v>
      </c>
      <c r="F7698" s="47">
        <f t="shared" si="598"/>
        <v>1025</v>
      </c>
    </row>
    <row r="7699" spans="1:12" x14ac:dyDescent="0.25">
      <c r="A7699" s="34" t="s">
        <v>35</v>
      </c>
      <c r="B7699" s="37">
        <v>44213</v>
      </c>
      <c r="C7699" s="1">
        <v>3</v>
      </c>
      <c r="D7699" s="365">
        <f t="shared" si="597"/>
        <v>13091</v>
      </c>
      <c r="E7699" s="1">
        <v>0</v>
      </c>
      <c r="F7699" s="47">
        <f t="shared" si="598"/>
        <v>214</v>
      </c>
    </row>
    <row r="7700" spans="1:12" x14ac:dyDescent="0.25">
      <c r="A7700" s="34" t="s">
        <v>36</v>
      </c>
      <c r="B7700" s="37">
        <v>44213</v>
      </c>
      <c r="C7700" s="1">
        <v>58</v>
      </c>
      <c r="D7700" s="365">
        <f t="shared" si="597"/>
        <v>16875</v>
      </c>
      <c r="E7700" s="1">
        <v>0</v>
      </c>
      <c r="F7700" s="47">
        <f t="shared" si="598"/>
        <v>328</v>
      </c>
    </row>
    <row r="7701" spans="1:12" x14ac:dyDescent="0.25">
      <c r="A7701" s="34" t="s">
        <v>37</v>
      </c>
      <c r="B7701" s="37">
        <v>44213</v>
      </c>
      <c r="C7701" s="1">
        <v>266</v>
      </c>
      <c r="D7701" s="365">
        <f t="shared" si="597"/>
        <v>29379</v>
      </c>
      <c r="E7701" s="1">
        <v>1</v>
      </c>
      <c r="F7701" s="47">
        <f t="shared" si="598"/>
        <v>451</v>
      </c>
      <c r="G7701" s="17">
        <v>1</v>
      </c>
    </row>
    <row r="7702" spans="1:12" x14ac:dyDescent="0.25">
      <c r="A7702" s="34" t="s">
        <v>22</v>
      </c>
      <c r="B7702" s="37">
        <v>44213</v>
      </c>
      <c r="C7702" s="1">
        <v>655</v>
      </c>
      <c r="D7702" s="365">
        <f t="shared" si="597"/>
        <v>195062</v>
      </c>
      <c r="E7702" s="1">
        <v>7</v>
      </c>
      <c r="F7702" s="47">
        <f t="shared" si="598"/>
        <v>3173</v>
      </c>
      <c r="H7702" s="17">
        <v>6</v>
      </c>
    </row>
    <row r="7703" spans="1:12" x14ac:dyDescent="0.25">
      <c r="A7703" s="34" t="s">
        <v>38</v>
      </c>
      <c r="B7703" s="37">
        <v>44213</v>
      </c>
      <c r="C7703" s="1">
        <v>144</v>
      </c>
      <c r="D7703" s="365">
        <f t="shared" si="597"/>
        <v>19599</v>
      </c>
      <c r="E7703" s="1">
        <v>0</v>
      </c>
      <c r="F7703" s="47">
        <f t="shared" si="598"/>
        <v>229</v>
      </c>
    </row>
    <row r="7704" spans="1:12" x14ac:dyDescent="0.25">
      <c r="A7704" s="34" t="s">
        <v>39</v>
      </c>
      <c r="B7704" s="37">
        <v>44213</v>
      </c>
      <c r="C7704" s="1">
        <v>60</v>
      </c>
      <c r="D7704" s="365">
        <f t="shared" si="597"/>
        <v>20760</v>
      </c>
      <c r="E7704" s="1">
        <v>0</v>
      </c>
      <c r="F7704" s="47">
        <f t="shared" si="598"/>
        <v>299</v>
      </c>
    </row>
    <row r="7705" spans="1:12" x14ac:dyDescent="0.25">
      <c r="A7705" s="34" t="s">
        <v>40</v>
      </c>
      <c r="B7705" s="37">
        <v>44213</v>
      </c>
      <c r="C7705" s="1">
        <v>104</v>
      </c>
      <c r="D7705" s="365">
        <f t="shared" si="597"/>
        <v>74297</v>
      </c>
      <c r="E7705" s="1">
        <v>1</v>
      </c>
      <c r="F7705" s="47">
        <f t="shared" si="598"/>
        <v>1401</v>
      </c>
      <c r="G7705" s="17">
        <v>1</v>
      </c>
    </row>
    <row r="7706" spans="1:12" x14ac:dyDescent="0.25">
      <c r="A7706" s="34" t="s">
        <v>16</v>
      </c>
      <c r="B7706" s="37">
        <v>44214</v>
      </c>
      <c r="C7706" s="1">
        <v>2987</v>
      </c>
      <c r="D7706" s="365">
        <f>C7706+D7682</f>
        <v>754445</v>
      </c>
      <c r="E7706" s="1">
        <v>250</v>
      </c>
      <c r="F7706" s="47">
        <f>E7706+F7682</f>
        <v>23570</v>
      </c>
      <c r="G7706" s="17">
        <v>10</v>
      </c>
      <c r="H7706" s="17">
        <v>98</v>
      </c>
    </row>
    <row r="7707" spans="1:12" x14ac:dyDescent="0.25">
      <c r="A7707" s="34" t="s">
        <v>43</v>
      </c>
      <c r="B7707" s="37">
        <v>44214</v>
      </c>
      <c r="C7707" s="1">
        <v>1210</v>
      </c>
      <c r="D7707" s="365">
        <f t="shared" si="597"/>
        <v>195898</v>
      </c>
      <c r="E7707" s="1">
        <v>40</v>
      </c>
      <c r="F7707" s="47">
        <f t="shared" si="598"/>
        <v>5701</v>
      </c>
      <c r="G7707" s="17">
        <v>4</v>
      </c>
      <c r="H7707" s="17">
        <v>13</v>
      </c>
    </row>
    <row r="7708" spans="1:12" x14ac:dyDescent="0.25">
      <c r="A7708" s="34" t="s">
        <v>28</v>
      </c>
      <c r="B7708" s="37">
        <v>44214</v>
      </c>
      <c r="C7708" s="1">
        <v>59</v>
      </c>
      <c r="D7708" s="365">
        <f t="shared" si="597"/>
        <v>4240</v>
      </c>
      <c r="E7708" s="1">
        <v>0</v>
      </c>
      <c r="F7708" s="47">
        <f t="shared" si="598"/>
        <v>17</v>
      </c>
      <c r="L7708" s="50"/>
    </row>
    <row r="7709" spans="1:12" x14ac:dyDescent="0.25">
      <c r="A7709" s="34" t="s">
        <v>15</v>
      </c>
      <c r="B7709" s="37">
        <v>44214</v>
      </c>
      <c r="C7709" s="1">
        <v>141</v>
      </c>
      <c r="D7709" s="365">
        <f t="shared" si="597"/>
        <v>28652</v>
      </c>
      <c r="E7709" s="1">
        <v>8</v>
      </c>
      <c r="F7709" s="47">
        <f t="shared" si="598"/>
        <v>765</v>
      </c>
      <c r="G7709" s="17">
        <v>2</v>
      </c>
      <c r="H7709" s="17">
        <v>6</v>
      </c>
      <c r="L7709" s="50"/>
    </row>
    <row r="7710" spans="1:12" x14ac:dyDescent="0.25">
      <c r="A7710" s="34" t="s">
        <v>29</v>
      </c>
      <c r="B7710" s="37">
        <v>44214</v>
      </c>
      <c r="C7710" s="1">
        <v>183</v>
      </c>
      <c r="D7710" s="365">
        <f t="shared" si="597"/>
        <v>38421</v>
      </c>
      <c r="E7710" s="1">
        <v>1</v>
      </c>
      <c r="F7710" s="47">
        <f t="shared" si="598"/>
        <v>563</v>
      </c>
      <c r="G7710" s="17">
        <v>1</v>
      </c>
      <c r="L7710" s="50"/>
    </row>
    <row r="7711" spans="1:12" x14ac:dyDescent="0.25">
      <c r="A7711" s="34" t="s">
        <v>30</v>
      </c>
      <c r="B7711" s="37">
        <v>44214</v>
      </c>
      <c r="C7711" s="1">
        <v>94</v>
      </c>
      <c r="D7711" s="365">
        <f>C7711+D7688</f>
        <v>15561</v>
      </c>
      <c r="E7711" s="1">
        <v>0</v>
      </c>
      <c r="F7711" s="47">
        <f t="shared" si="598"/>
        <v>2551</v>
      </c>
      <c r="L7711" s="50"/>
    </row>
    <row r="7712" spans="1:12" x14ac:dyDescent="0.25">
      <c r="A7712" s="34" t="s">
        <v>20</v>
      </c>
      <c r="B7712" s="37">
        <v>44214</v>
      </c>
      <c r="C7712" s="1">
        <v>343</v>
      </c>
      <c r="D7712" s="365">
        <f>C7712+D7687</f>
        <v>138083</v>
      </c>
      <c r="E7712" s="1">
        <v>11</v>
      </c>
      <c r="F7712" s="47">
        <f t="shared" si="598"/>
        <v>193</v>
      </c>
      <c r="G7712" s="17">
        <v>3</v>
      </c>
      <c r="H7712" s="17">
        <v>8</v>
      </c>
      <c r="L7712" s="50"/>
    </row>
    <row r="7713" spans="1:12" x14ac:dyDescent="0.25">
      <c r="A7713" s="34" t="s">
        <v>31</v>
      </c>
      <c r="B7713" s="37">
        <v>44214</v>
      </c>
      <c r="C7713" s="1">
        <v>241</v>
      </c>
      <c r="D7713" s="365">
        <f t="shared" si="597"/>
        <v>36732</v>
      </c>
      <c r="E7713" s="1">
        <v>5</v>
      </c>
      <c r="F7713" s="47">
        <f t="shared" si="598"/>
        <v>640</v>
      </c>
      <c r="G7713" s="17">
        <v>2</v>
      </c>
      <c r="H7713" s="17">
        <v>3</v>
      </c>
      <c r="L7713" s="50"/>
    </row>
    <row r="7714" spans="1:12" x14ac:dyDescent="0.25">
      <c r="A7714" s="34" t="s">
        <v>41</v>
      </c>
      <c r="B7714" s="37">
        <v>44214</v>
      </c>
      <c r="C7714" s="1">
        <v>13</v>
      </c>
      <c r="D7714" s="365">
        <f t="shared" si="597"/>
        <v>676</v>
      </c>
      <c r="E7714" s="1">
        <v>0</v>
      </c>
      <c r="F7714" s="47">
        <f t="shared" si="598"/>
        <v>6</v>
      </c>
      <c r="L7714" s="50"/>
    </row>
    <row r="7715" spans="1:12" x14ac:dyDescent="0.25">
      <c r="A7715" s="34" t="s">
        <v>32</v>
      </c>
      <c r="B7715" s="37">
        <v>44214</v>
      </c>
      <c r="C7715" s="1">
        <v>56</v>
      </c>
      <c r="D7715" s="365">
        <f t="shared" si="597"/>
        <v>18917</v>
      </c>
      <c r="E7715" s="1">
        <v>0</v>
      </c>
      <c r="F7715" s="47">
        <f t="shared" si="598"/>
        <v>863</v>
      </c>
      <c r="L7715" s="50"/>
    </row>
    <row r="7716" spans="1:12" x14ac:dyDescent="0.25">
      <c r="A7716" s="34" t="s">
        <v>33</v>
      </c>
      <c r="B7716" s="37">
        <v>44214</v>
      </c>
      <c r="C7716" s="1">
        <v>133</v>
      </c>
      <c r="D7716" s="365">
        <f t="shared" si="597"/>
        <v>15128</v>
      </c>
      <c r="E7716" s="1">
        <v>17</v>
      </c>
      <c r="F7716" s="47">
        <f t="shared" si="598"/>
        <v>204</v>
      </c>
      <c r="G7716" s="17">
        <v>2</v>
      </c>
      <c r="H7716" s="17">
        <v>8</v>
      </c>
      <c r="L7716" s="50"/>
    </row>
    <row r="7717" spans="1:12" x14ac:dyDescent="0.25">
      <c r="A7717" s="34" t="s">
        <v>21</v>
      </c>
      <c r="B7717" s="37">
        <v>44214</v>
      </c>
      <c r="C7717" s="1">
        <v>12</v>
      </c>
      <c r="D7717" s="365">
        <f t="shared" si="597"/>
        <v>9320</v>
      </c>
      <c r="E7717" s="1">
        <v>1</v>
      </c>
      <c r="F7717" s="47">
        <f t="shared" si="598"/>
        <v>402</v>
      </c>
      <c r="G7717" s="17">
        <v>1</v>
      </c>
      <c r="L7717" s="50"/>
    </row>
    <row r="7718" spans="1:12" x14ac:dyDescent="0.25">
      <c r="A7718" s="34" t="s">
        <v>17</v>
      </c>
      <c r="B7718" s="37">
        <v>44214</v>
      </c>
      <c r="C7718" s="1">
        <v>71</v>
      </c>
      <c r="D7718" s="365">
        <f t="shared" si="597"/>
        <v>62291</v>
      </c>
      <c r="E7718" s="1">
        <v>9</v>
      </c>
      <c r="F7718" s="47">
        <f t="shared" si="598"/>
        <v>1295</v>
      </c>
      <c r="G7718" s="17">
        <v>1</v>
      </c>
      <c r="H7718" s="17">
        <v>6</v>
      </c>
      <c r="L7718" s="50"/>
    </row>
    <row r="7719" spans="1:12" x14ac:dyDescent="0.25">
      <c r="A7719" s="34" t="s">
        <v>23</v>
      </c>
      <c r="B7719" s="37">
        <v>44214</v>
      </c>
      <c r="C7719" s="1">
        <v>148</v>
      </c>
      <c r="D7719" s="365">
        <f t="shared" si="597"/>
        <v>2328</v>
      </c>
      <c r="E7719" s="1">
        <v>6</v>
      </c>
      <c r="F7719" s="47">
        <f t="shared" si="598"/>
        <v>45</v>
      </c>
      <c r="G7719" s="17">
        <v>2</v>
      </c>
      <c r="H7719" s="17">
        <v>4</v>
      </c>
      <c r="L7719" s="50"/>
    </row>
    <row r="7720" spans="1:12" x14ac:dyDescent="0.25">
      <c r="A7720" s="34" t="s">
        <v>19</v>
      </c>
      <c r="B7720" s="37">
        <v>44214</v>
      </c>
      <c r="C7720" s="1">
        <v>469</v>
      </c>
      <c r="D7720" s="365">
        <f t="shared" si="597"/>
        <v>48679</v>
      </c>
      <c r="E7720" s="1">
        <v>1</v>
      </c>
      <c r="F7720" s="47">
        <f t="shared" si="598"/>
        <v>756</v>
      </c>
      <c r="G7720" s="17">
        <v>1</v>
      </c>
      <c r="L7720" s="50"/>
    </row>
    <row r="7721" spans="1:12" x14ac:dyDescent="0.25">
      <c r="A7721" s="34" t="s">
        <v>18</v>
      </c>
      <c r="B7721" s="37">
        <v>44214</v>
      </c>
      <c r="C7721" s="1">
        <v>276</v>
      </c>
      <c r="D7721" s="365">
        <f t="shared" si="597"/>
        <v>44160</v>
      </c>
      <c r="E7721" s="1">
        <v>2</v>
      </c>
      <c r="F7721" s="47">
        <f t="shared" si="598"/>
        <v>1004</v>
      </c>
      <c r="G7721" s="17">
        <v>1</v>
      </c>
      <c r="H7721" s="17">
        <v>1</v>
      </c>
      <c r="L7721" s="50"/>
    </row>
    <row r="7722" spans="1:12" x14ac:dyDescent="0.25">
      <c r="A7722" s="34" t="s">
        <v>34</v>
      </c>
      <c r="B7722" s="37">
        <v>44214</v>
      </c>
      <c r="C7722" s="1">
        <v>22</v>
      </c>
      <c r="D7722" s="365">
        <f t="shared" si="597"/>
        <v>23107</v>
      </c>
      <c r="E7722" s="1">
        <v>2</v>
      </c>
      <c r="F7722" s="47">
        <f t="shared" si="598"/>
        <v>1027</v>
      </c>
      <c r="G7722" s="17">
        <v>2</v>
      </c>
      <c r="L7722" s="50"/>
    </row>
    <row r="7723" spans="1:12" x14ac:dyDescent="0.25">
      <c r="A7723" s="34" t="s">
        <v>35</v>
      </c>
      <c r="B7723" s="37">
        <v>44214</v>
      </c>
      <c r="C7723" s="1">
        <v>78</v>
      </c>
      <c r="D7723" s="365">
        <f t="shared" si="597"/>
        <v>13169</v>
      </c>
      <c r="E7723" s="1">
        <v>2</v>
      </c>
      <c r="F7723" s="47">
        <f t="shared" si="598"/>
        <v>216</v>
      </c>
      <c r="G7723" s="17">
        <v>2</v>
      </c>
      <c r="L7723" s="50"/>
    </row>
    <row r="7724" spans="1:12" x14ac:dyDescent="0.25">
      <c r="A7724" s="34" t="s">
        <v>36</v>
      </c>
      <c r="B7724" s="37">
        <v>44214</v>
      </c>
      <c r="C7724" s="1">
        <v>89</v>
      </c>
      <c r="D7724" s="365">
        <f t="shared" si="597"/>
        <v>16964</v>
      </c>
      <c r="E7724" s="1">
        <v>0</v>
      </c>
      <c r="F7724" s="47">
        <f t="shared" si="598"/>
        <v>328</v>
      </c>
      <c r="L7724" s="50"/>
    </row>
    <row r="7725" spans="1:12" x14ac:dyDescent="0.25">
      <c r="A7725" s="34" t="s">
        <v>37</v>
      </c>
      <c r="B7725" s="37">
        <v>44214</v>
      </c>
      <c r="C7725" s="1">
        <v>299</v>
      </c>
      <c r="D7725" s="365">
        <f t="shared" si="597"/>
        <v>29678</v>
      </c>
      <c r="E7725" s="1">
        <v>13</v>
      </c>
      <c r="F7725" s="47">
        <f t="shared" si="598"/>
        <v>464</v>
      </c>
      <c r="G7725" s="17">
        <v>4</v>
      </c>
      <c r="H7725" s="17">
        <v>10</v>
      </c>
      <c r="L7725" s="50"/>
    </row>
    <row r="7726" spans="1:12" x14ac:dyDescent="0.25">
      <c r="A7726" s="34" t="s">
        <v>22</v>
      </c>
      <c r="B7726" s="37">
        <v>44214</v>
      </c>
      <c r="C7726" s="1">
        <v>855</v>
      </c>
      <c r="D7726" s="365">
        <f t="shared" si="597"/>
        <v>195917</v>
      </c>
      <c r="E7726" s="1">
        <v>37</v>
      </c>
      <c r="F7726" s="47">
        <f t="shared" si="598"/>
        <v>3210</v>
      </c>
      <c r="G7726" s="17">
        <v>19</v>
      </c>
      <c r="H7726" s="17">
        <v>18</v>
      </c>
      <c r="L7726" s="50"/>
    </row>
    <row r="7727" spans="1:12" x14ac:dyDescent="0.25">
      <c r="A7727" s="34" t="s">
        <v>38</v>
      </c>
      <c r="B7727" s="37">
        <v>44214</v>
      </c>
      <c r="C7727" s="1">
        <v>102</v>
      </c>
      <c r="D7727" s="365">
        <f t="shared" si="597"/>
        <v>19701</v>
      </c>
      <c r="E7727" s="1">
        <v>9</v>
      </c>
      <c r="F7727" s="47">
        <f t="shared" si="598"/>
        <v>238</v>
      </c>
      <c r="G7727" s="17">
        <v>4</v>
      </c>
      <c r="H7727" s="17">
        <v>5</v>
      </c>
      <c r="L7727" s="50"/>
    </row>
    <row r="7728" spans="1:12" x14ac:dyDescent="0.25">
      <c r="A7728" s="34" t="s">
        <v>39</v>
      </c>
      <c r="B7728" s="37">
        <v>44214</v>
      </c>
      <c r="C7728" s="1">
        <v>125</v>
      </c>
      <c r="D7728" s="365">
        <f t="shared" si="597"/>
        <v>20885</v>
      </c>
      <c r="E7728" s="1">
        <v>5</v>
      </c>
      <c r="F7728" s="47">
        <f t="shared" si="598"/>
        <v>304</v>
      </c>
      <c r="G7728" s="17">
        <v>1</v>
      </c>
      <c r="H7728" s="17">
        <v>4</v>
      </c>
      <c r="L7728" s="50"/>
    </row>
    <row r="7729" spans="1:12" x14ac:dyDescent="0.25">
      <c r="A7729" s="34" t="s">
        <v>40</v>
      </c>
      <c r="B7729" s="37">
        <v>44214</v>
      </c>
      <c r="C7729" s="1">
        <v>179</v>
      </c>
      <c r="D7729" s="365">
        <f t="shared" si="597"/>
        <v>74476</v>
      </c>
      <c r="E7729" s="1">
        <v>5</v>
      </c>
      <c r="F7729" s="47">
        <f t="shared" si="598"/>
        <v>1406</v>
      </c>
      <c r="G7729" s="17">
        <v>1</v>
      </c>
      <c r="H7729" s="17">
        <v>4</v>
      </c>
      <c r="L7729" s="50"/>
    </row>
    <row r="7730" spans="1:12" x14ac:dyDescent="0.25">
      <c r="A7730" s="34" t="s">
        <v>16</v>
      </c>
      <c r="B7730" s="37">
        <v>44215</v>
      </c>
      <c r="C7730" s="1">
        <v>5123</v>
      </c>
      <c r="D7730" s="365">
        <f>C7730+D7706</f>
        <v>759568</v>
      </c>
      <c r="E7730" s="1">
        <v>125</v>
      </c>
      <c r="F7730" s="47">
        <f>E7730+F7706</f>
        <v>23695</v>
      </c>
      <c r="G7730" s="17">
        <v>70</v>
      </c>
      <c r="H7730" s="17">
        <v>56</v>
      </c>
      <c r="L7730" s="50"/>
    </row>
    <row r="7731" spans="1:12" x14ac:dyDescent="0.25">
      <c r="A7731" s="34" t="s">
        <v>43</v>
      </c>
      <c r="B7731" s="37">
        <v>44215</v>
      </c>
      <c r="C7731" s="1">
        <v>1388</v>
      </c>
      <c r="D7731" s="365">
        <f t="shared" si="597"/>
        <v>197286</v>
      </c>
      <c r="E7731" s="1">
        <v>9</v>
      </c>
      <c r="F7731" s="47">
        <f t="shared" si="598"/>
        <v>5710</v>
      </c>
      <c r="G7731" s="17">
        <v>1</v>
      </c>
      <c r="H7731" s="17">
        <v>6</v>
      </c>
      <c r="I7731" s="50"/>
    </row>
    <row r="7732" spans="1:12" x14ac:dyDescent="0.25">
      <c r="A7732" s="34" t="s">
        <v>28</v>
      </c>
      <c r="B7732" s="37">
        <v>44215</v>
      </c>
      <c r="C7732" s="1">
        <v>154</v>
      </c>
      <c r="D7732" s="365">
        <f t="shared" si="597"/>
        <v>4394</v>
      </c>
      <c r="E7732" s="1">
        <v>0</v>
      </c>
      <c r="F7732" s="47">
        <f t="shared" si="598"/>
        <v>17</v>
      </c>
      <c r="I7732" s="50"/>
    </row>
    <row r="7733" spans="1:12" x14ac:dyDescent="0.25">
      <c r="A7733" s="34" t="s">
        <v>15</v>
      </c>
      <c r="B7733" s="37">
        <v>44215</v>
      </c>
      <c r="C7733" s="1">
        <v>212</v>
      </c>
      <c r="D7733" s="365">
        <f t="shared" si="597"/>
        <v>28864</v>
      </c>
      <c r="E7733" s="1">
        <v>2</v>
      </c>
      <c r="F7733" s="47">
        <f t="shared" si="598"/>
        <v>767</v>
      </c>
      <c r="G7733" s="17">
        <v>2</v>
      </c>
      <c r="I7733" s="50"/>
    </row>
    <row r="7734" spans="1:12" x14ac:dyDescent="0.25">
      <c r="A7734" s="34" t="s">
        <v>29</v>
      </c>
      <c r="B7734" s="37">
        <v>44215</v>
      </c>
      <c r="C7734" s="1">
        <v>349</v>
      </c>
      <c r="D7734" s="365">
        <f t="shared" si="597"/>
        <v>38770</v>
      </c>
      <c r="E7734" s="1">
        <v>5</v>
      </c>
      <c r="F7734" s="47">
        <f t="shared" si="598"/>
        <v>568</v>
      </c>
      <c r="G7734" s="17">
        <v>4</v>
      </c>
      <c r="H7734" s="17">
        <v>1</v>
      </c>
      <c r="I7734" s="50"/>
    </row>
    <row r="7735" spans="1:12" x14ac:dyDescent="0.25">
      <c r="A7735" s="34" t="s">
        <v>30</v>
      </c>
      <c r="B7735" s="37">
        <v>44215</v>
      </c>
      <c r="C7735" s="1">
        <v>90</v>
      </c>
      <c r="D7735" s="365">
        <f>C7735+D7711</f>
        <v>15651</v>
      </c>
      <c r="E7735" s="1">
        <v>2</v>
      </c>
      <c r="F7735" s="47">
        <f t="shared" si="598"/>
        <v>2553</v>
      </c>
      <c r="G7735" s="17">
        <v>2</v>
      </c>
      <c r="I7735" s="50"/>
    </row>
    <row r="7736" spans="1:12" x14ac:dyDescent="0.25">
      <c r="A7736" s="34" t="s">
        <v>20</v>
      </c>
      <c r="B7736" s="37">
        <v>44215</v>
      </c>
      <c r="C7736" s="1">
        <v>668</v>
      </c>
      <c r="D7736" s="365">
        <f>C7736+D7712</f>
        <v>138751</v>
      </c>
      <c r="E7736" s="1">
        <v>8</v>
      </c>
      <c r="F7736" s="47">
        <f t="shared" si="598"/>
        <v>201</v>
      </c>
      <c r="G7736" s="17">
        <v>7</v>
      </c>
      <c r="H7736" s="17">
        <v>1</v>
      </c>
      <c r="I7736" s="50"/>
    </row>
    <row r="7737" spans="1:12" x14ac:dyDescent="0.25">
      <c r="A7737" s="34" t="s">
        <v>31</v>
      </c>
      <c r="B7737" s="37">
        <v>44215</v>
      </c>
      <c r="C7737" s="1">
        <v>445</v>
      </c>
      <c r="D7737" s="365">
        <f t="shared" si="597"/>
        <v>37177</v>
      </c>
      <c r="E7737" s="1">
        <v>7</v>
      </c>
      <c r="F7737" s="47">
        <f t="shared" si="598"/>
        <v>647</v>
      </c>
      <c r="G7737" s="17">
        <v>6</v>
      </c>
      <c r="H7737" s="17">
        <v>1</v>
      </c>
      <c r="I7737" s="50"/>
    </row>
    <row r="7738" spans="1:12" x14ac:dyDescent="0.25">
      <c r="A7738" s="34" t="s">
        <v>41</v>
      </c>
      <c r="B7738" s="37">
        <v>44215</v>
      </c>
      <c r="C7738" s="1">
        <v>8</v>
      </c>
      <c r="D7738" s="365">
        <f t="shared" si="597"/>
        <v>684</v>
      </c>
      <c r="E7738" s="1">
        <v>0</v>
      </c>
      <c r="F7738" s="47">
        <f t="shared" si="598"/>
        <v>6</v>
      </c>
      <c r="I7738" s="50"/>
    </row>
    <row r="7739" spans="1:12" x14ac:dyDescent="0.25">
      <c r="A7739" s="34" t="s">
        <v>32</v>
      </c>
      <c r="B7739" s="37">
        <v>44215</v>
      </c>
      <c r="C7739" s="1">
        <v>25</v>
      </c>
      <c r="D7739" s="365">
        <f t="shared" si="597"/>
        <v>18942</v>
      </c>
      <c r="E7739" s="1">
        <v>1</v>
      </c>
      <c r="F7739" s="47">
        <f t="shared" si="598"/>
        <v>864</v>
      </c>
      <c r="H7739" s="17">
        <v>1</v>
      </c>
      <c r="I7739" s="50"/>
    </row>
    <row r="7740" spans="1:12" x14ac:dyDescent="0.25">
      <c r="A7740" s="34" t="s">
        <v>33</v>
      </c>
      <c r="B7740" s="37">
        <v>44215</v>
      </c>
      <c r="C7740" s="1">
        <v>157</v>
      </c>
      <c r="D7740" s="365">
        <f t="shared" si="597"/>
        <v>15285</v>
      </c>
      <c r="E7740" s="1">
        <v>1</v>
      </c>
      <c r="F7740" s="47">
        <f t="shared" si="598"/>
        <v>205</v>
      </c>
      <c r="G7740" s="17">
        <v>1</v>
      </c>
      <c r="I7740" s="50"/>
    </row>
    <row r="7741" spans="1:12" x14ac:dyDescent="0.25">
      <c r="A7741" s="34" t="s">
        <v>21</v>
      </c>
      <c r="B7741" s="37">
        <v>44215</v>
      </c>
      <c r="C7741" s="1">
        <v>9</v>
      </c>
      <c r="D7741" s="365">
        <f t="shared" si="597"/>
        <v>9329</v>
      </c>
      <c r="E7741" s="1">
        <v>0</v>
      </c>
      <c r="F7741" s="47">
        <f t="shared" si="598"/>
        <v>402</v>
      </c>
      <c r="I7741" s="50"/>
    </row>
    <row r="7742" spans="1:12" x14ac:dyDescent="0.25">
      <c r="A7742" s="34" t="s">
        <v>17</v>
      </c>
      <c r="B7742" s="37">
        <v>44215</v>
      </c>
      <c r="C7742" s="1">
        <v>148</v>
      </c>
      <c r="D7742" s="365">
        <f t="shared" si="597"/>
        <v>62439</v>
      </c>
      <c r="E7742" s="1">
        <v>3</v>
      </c>
      <c r="F7742" s="47">
        <f t="shared" si="598"/>
        <v>1298</v>
      </c>
      <c r="G7742" s="17">
        <v>1</v>
      </c>
      <c r="H7742" s="17">
        <v>2</v>
      </c>
      <c r="I7742" s="50"/>
    </row>
    <row r="7743" spans="1:12" x14ac:dyDescent="0.25">
      <c r="A7743" s="34" t="s">
        <v>23</v>
      </c>
      <c r="B7743" s="37">
        <v>44215</v>
      </c>
      <c r="C7743" s="1">
        <v>238</v>
      </c>
      <c r="D7743" s="365">
        <f t="shared" si="597"/>
        <v>2566</v>
      </c>
      <c r="E7743" s="1">
        <v>4</v>
      </c>
      <c r="F7743" s="47">
        <f t="shared" si="598"/>
        <v>49</v>
      </c>
      <c r="G7743" s="17">
        <v>4</v>
      </c>
      <c r="I7743" s="50"/>
    </row>
    <row r="7744" spans="1:12" x14ac:dyDescent="0.25">
      <c r="A7744" s="34" t="s">
        <v>19</v>
      </c>
      <c r="B7744" s="37">
        <v>44215</v>
      </c>
      <c r="C7744" s="1">
        <v>417</v>
      </c>
      <c r="D7744" s="365">
        <f t="shared" si="597"/>
        <v>49096</v>
      </c>
      <c r="E7744" s="1">
        <v>1</v>
      </c>
      <c r="F7744" s="47">
        <f t="shared" si="598"/>
        <v>757</v>
      </c>
      <c r="H7744" s="17">
        <v>1</v>
      </c>
      <c r="I7744" s="50"/>
    </row>
    <row r="7745" spans="1:9" x14ac:dyDescent="0.25">
      <c r="A7745" s="34" t="s">
        <v>18</v>
      </c>
      <c r="B7745" s="37">
        <v>44215</v>
      </c>
      <c r="C7745" s="1">
        <v>405</v>
      </c>
      <c r="D7745" s="365">
        <f t="shared" si="597"/>
        <v>44565</v>
      </c>
      <c r="E7745" s="1">
        <v>4</v>
      </c>
      <c r="F7745" s="47">
        <f t="shared" si="598"/>
        <v>1008</v>
      </c>
      <c r="G7745" s="17">
        <v>1</v>
      </c>
      <c r="H7745" s="17">
        <v>3</v>
      </c>
      <c r="I7745" s="50"/>
    </row>
    <row r="7746" spans="1:9" x14ac:dyDescent="0.25">
      <c r="A7746" s="34" t="s">
        <v>34</v>
      </c>
      <c r="B7746" s="37">
        <v>44215</v>
      </c>
      <c r="C7746" s="1">
        <v>45</v>
      </c>
      <c r="D7746" s="365">
        <f t="shared" si="597"/>
        <v>23152</v>
      </c>
      <c r="E7746" s="1">
        <v>3</v>
      </c>
      <c r="F7746" s="47">
        <f t="shared" si="598"/>
        <v>1030</v>
      </c>
      <c r="G7746" s="17">
        <v>1</v>
      </c>
      <c r="H7746" s="17">
        <v>2</v>
      </c>
      <c r="I7746" s="50"/>
    </row>
    <row r="7747" spans="1:9" x14ac:dyDescent="0.25">
      <c r="A7747" s="34" t="s">
        <v>35</v>
      </c>
      <c r="B7747" s="37">
        <v>44215</v>
      </c>
      <c r="C7747" s="1">
        <v>87</v>
      </c>
      <c r="D7747" s="365">
        <f t="shared" ref="D7747:D7753" si="599">C7747+D7723</f>
        <v>13256</v>
      </c>
      <c r="E7747" s="1">
        <v>0</v>
      </c>
      <c r="F7747" s="47">
        <f t="shared" ref="F7747:F7753" si="600">E7747+F7723</f>
        <v>216</v>
      </c>
      <c r="I7747" s="50"/>
    </row>
    <row r="7748" spans="1:9" x14ac:dyDescent="0.25">
      <c r="A7748" s="34" t="s">
        <v>36</v>
      </c>
      <c r="B7748" s="37">
        <v>44215</v>
      </c>
      <c r="C7748" s="1">
        <v>94</v>
      </c>
      <c r="D7748" s="365">
        <f t="shared" si="599"/>
        <v>17058</v>
      </c>
      <c r="E7748" s="1">
        <v>2</v>
      </c>
      <c r="F7748" s="47">
        <f t="shared" si="600"/>
        <v>330</v>
      </c>
      <c r="G7748" s="17">
        <v>2</v>
      </c>
      <c r="I7748" s="50"/>
    </row>
    <row r="7749" spans="1:9" x14ac:dyDescent="0.25">
      <c r="A7749" s="34" t="s">
        <v>37</v>
      </c>
      <c r="B7749" s="37">
        <v>44215</v>
      </c>
      <c r="C7749" s="1">
        <v>437</v>
      </c>
      <c r="D7749" s="365">
        <f t="shared" si="599"/>
        <v>30115</v>
      </c>
      <c r="E7749" s="1">
        <v>5</v>
      </c>
      <c r="F7749" s="47">
        <f t="shared" si="600"/>
        <v>469</v>
      </c>
      <c r="G7749" s="17">
        <v>4</v>
      </c>
      <c r="H7749" s="17">
        <v>1</v>
      </c>
      <c r="I7749" s="50"/>
    </row>
    <row r="7750" spans="1:9" x14ac:dyDescent="0.25">
      <c r="A7750" s="34" t="s">
        <v>22</v>
      </c>
      <c r="B7750" s="37">
        <v>44215</v>
      </c>
      <c r="C7750" s="1">
        <v>1206</v>
      </c>
      <c r="D7750" s="365">
        <f t="shared" si="599"/>
        <v>197123</v>
      </c>
      <c r="E7750" s="1">
        <v>46</v>
      </c>
      <c r="F7750" s="47">
        <f t="shared" si="600"/>
        <v>3256</v>
      </c>
      <c r="G7750" s="17">
        <v>25</v>
      </c>
      <c r="H7750" s="17">
        <v>21</v>
      </c>
      <c r="I7750" s="50"/>
    </row>
    <row r="7751" spans="1:9" x14ac:dyDescent="0.25">
      <c r="A7751" s="34" t="s">
        <v>38</v>
      </c>
      <c r="B7751" s="37">
        <v>44215</v>
      </c>
      <c r="C7751" s="1">
        <v>92</v>
      </c>
      <c r="D7751" s="365">
        <f t="shared" si="599"/>
        <v>19793</v>
      </c>
      <c r="E7751" s="1">
        <v>1</v>
      </c>
      <c r="F7751" s="47">
        <f t="shared" si="600"/>
        <v>239</v>
      </c>
      <c r="H7751" s="17">
        <v>1</v>
      </c>
      <c r="I7751" s="50"/>
    </row>
    <row r="7752" spans="1:9" x14ac:dyDescent="0.25">
      <c r="A7752" s="34" t="s">
        <v>39</v>
      </c>
      <c r="B7752" s="37">
        <v>44215</v>
      </c>
      <c r="C7752" s="1">
        <v>140</v>
      </c>
      <c r="D7752" s="365">
        <f t="shared" si="599"/>
        <v>21025</v>
      </c>
      <c r="E7752" s="1">
        <v>2</v>
      </c>
      <c r="F7752" s="47">
        <f t="shared" si="600"/>
        <v>306</v>
      </c>
      <c r="G7752" s="17">
        <v>2</v>
      </c>
      <c r="I7752" s="50"/>
    </row>
    <row r="7753" spans="1:9" x14ac:dyDescent="0.25">
      <c r="A7753" s="34" t="s">
        <v>40</v>
      </c>
      <c r="B7753" s="37">
        <v>44215</v>
      </c>
      <c r="C7753" s="1">
        <v>204</v>
      </c>
      <c r="D7753" s="365">
        <f t="shared" si="599"/>
        <v>74680</v>
      </c>
      <c r="E7753" s="1">
        <v>5</v>
      </c>
      <c r="F7753" s="47">
        <f t="shared" si="600"/>
        <v>1411</v>
      </c>
      <c r="G7753" s="17">
        <v>4</v>
      </c>
      <c r="H7753" s="17">
        <v>1</v>
      </c>
      <c r="I7753" s="50"/>
    </row>
    <row r="7754" spans="1:9" x14ac:dyDescent="0.25">
      <c r="A7754" s="34" t="s">
        <v>16</v>
      </c>
      <c r="B7754" s="37">
        <v>44216</v>
      </c>
      <c r="C7754" s="1">
        <v>4898</v>
      </c>
      <c r="D7754" s="365">
        <f>C7754+D7730</f>
        <v>764466</v>
      </c>
      <c r="E7754" s="1">
        <v>69</v>
      </c>
      <c r="F7754" s="47">
        <f>E7754+F7730</f>
        <v>23764</v>
      </c>
    </row>
    <row r="7755" spans="1:9" x14ac:dyDescent="0.25">
      <c r="A7755" s="34" t="s">
        <v>43</v>
      </c>
      <c r="B7755" s="37">
        <v>44216</v>
      </c>
      <c r="C7755" s="1">
        <v>1272</v>
      </c>
      <c r="D7755" s="365">
        <f t="shared" ref="D7755:D7818" si="601">C7755+D7731</f>
        <v>198558</v>
      </c>
      <c r="E7755" s="1">
        <v>22</v>
      </c>
      <c r="F7755" s="47">
        <f t="shared" ref="F7755:F7818" si="602">E7755+F7731</f>
        <v>5732</v>
      </c>
    </row>
    <row r="7756" spans="1:9" x14ac:dyDescent="0.25">
      <c r="A7756" s="34" t="s">
        <v>28</v>
      </c>
      <c r="B7756" s="37">
        <v>44216</v>
      </c>
      <c r="C7756" s="1">
        <v>88</v>
      </c>
      <c r="D7756" s="365">
        <f t="shared" si="601"/>
        <v>4482</v>
      </c>
      <c r="F7756" s="47">
        <f t="shared" si="602"/>
        <v>17</v>
      </c>
    </row>
    <row r="7757" spans="1:9" x14ac:dyDescent="0.25">
      <c r="A7757" s="34" t="s">
        <v>15</v>
      </c>
      <c r="B7757" s="37">
        <v>44216</v>
      </c>
      <c r="C7757" s="1">
        <v>178</v>
      </c>
      <c r="D7757" s="365">
        <f t="shared" si="601"/>
        <v>29042</v>
      </c>
      <c r="E7757" s="1">
        <v>4</v>
      </c>
      <c r="F7757" s="47">
        <f t="shared" si="602"/>
        <v>771</v>
      </c>
    </row>
    <row r="7758" spans="1:9" x14ac:dyDescent="0.25">
      <c r="A7758" s="34" t="s">
        <v>29</v>
      </c>
      <c r="B7758" s="37">
        <v>44216</v>
      </c>
      <c r="C7758" s="1">
        <v>341</v>
      </c>
      <c r="D7758" s="365">
        <f t="shared" si="601"/>
        <v>39111</v>
      </c>
      <c r="E7758" s="1">
        <v>2</v>
      </c>
      <c r="F7758" s="47">
        <f t="shared" si="602"/>
        <v>570</v>
      </c>
    </row>
    <row r="7759" spans="1:9" x14ac:dyDescent="0.25">
      <c r="A7759" s="34" t="s">
        <v>30</v>
      </c>
      <c r="B7759" s="37">
        <v>44216</v>
      </c>
      <c r="C7759" s="1">
        <v>123</v>
      </c>
      <c r="D7759" s="365">
        <f>C7759+D7735</f>
        <v>15774</v>
      </c>
      <c r="E7759" s="1">
        <v>1</v>
      </c>
      <c r="F7759" s="47">
        <f t="shared" si="602"/>
        <v>2554</v>
      </c>
    </row>
    <row r="7760" spans="1:9" x14ac:dyDescent="0.25">
      <c r="A7760" s="34" t="s">
        <v>20</v>
      </c>
      <c r="B7760" s="37">
        <v>44216</v>
      </c>
      <c r="C7760" s="1">
        <v>694</v>
      </c>
      <c r="D7760" s="365">
        <f>C7760+D7736</f>
        <v>139445</v>
      </c>
      <c r="E7760" s="1">
        <v>6</v>
      </c>
      <c r="F7760" s="47">
        <f t="shared" si="602"/>
        <v>207</v>
      </c>
    </row>
    <row r="7761" spans="1:6" x14ac:dyDescent="0.25">
      <c r="A7761" s="34" t="s">
        <v>31</v>
      </c>
      <c r="B7761" s="37">
        <v>44216</v>
      </c>
      <c r="C7761" s="1">
        <v>548</v>
      </c>
      <c r="D7761" s="365">
        <f t="shared" si="601"/>
        <v>37725</v>
      </c>
      <c r="E7761" s="1">
        <v>6</v>
      </c>
      <c r="F7761" s="47">
        <f t="shared" si="602"/>
        <v>653</v>
      </c>
    </row>
    <row r="7762" spans="1:6" x14ac:dyDescent="0.25">
      <c r="A7762" s="34" t="s">
        <v>41</v>
      </c>
      <c r="B7762" s="37">
        <v>44216</v>
      </c>
      <c r="C7762" s="1">
        <v>16</v>
      </c>
      <c r="D7762" s="365">
        <f t="shared" si="601"/>
        <v>700</v>
      </c>
      <c r="F7762" s="47">
        <f t="shared" si="602"/>
        <v>6</v>
      </c>
    </row>
    <row r="7763" spans="1:6" x14ac:dyDescent="0.25">
      <c r="A7763" s="34" t="s">
        <v>32</v>
      </c>
      <c r="B7763" s="37">
        <v>44216</v>
      </c>
      <c r="C7763" s="1">
        <v>39</v>
      </c>
      <c r="D7763" s="365">
        <f t="shared" si="601"/>
        <v>18981</v>
      </c>
      <c r="F7763" s="47">
        <f t="shared" si="602"/>
        <v>864</v>
      </c>
    </row>
    <row r="7764" spans="1:6" x14ac:dyDescent="0.25">
      <c r="A7764" s="34" t="s">
        <v>33</v>
      </c>
      <c r="B7764" s="37">
        <v>44216</v>
      </c>
      <c r="C7764" s="1">
        <v>121</v>
      </c>
      <c r="D7764" s="365">
        <f t="shared" si="601"/>
        <v>15406</v>
      </c>
      <c r="E7764" s="1">
        <v>4</v>
      </c>
      <c r="F7764" s="47">
        <f t="shared" si="602"/>
        <v>209</v>
      </c>
    </row>
    <row r="7765" spans="1:6" x14ac:dyDescent="0.25">
      <c r="A7765" s="34" t="s">
        <v>21</v>
      </c>
      <c r="B7765" s="37">
        <v>44216</v>
      </c>
      <c r="C7765" s="1">
        <v>30</v>
      </c>
      <c r="D7765" s="365">
        <f t="shared" si="601"/>
        <v>9359</v>
      </c>
      <c r="F7765" s="47">
        <f t="shared" si="602"/>
        <v>402</v>
      </c>
    </row>
    <row r="7766" spans="1:6" x14ac:dyDescent="0.25">
      <c r="A7766" s="34" t="s">
        <v>17</v>
      </c>
      <c r="B7766" s="37">
        <v>44216</v>
      </c>
      <c r="C7766" s="1">
        <v>198</v>
      </c>
      <c r="D7766" s="365">
        <f t="shared" si="601"/>
        <v>62637</v>
      </c>
      <c r="E7766" s="1">
        <v>4</v>
      </c>
      <c r="F7766" s="47">
        <f t="shared" si="602"/>
        <v>1302</v>
      </c>
    </row>
    <row r="7767" spans="1:6" x14ac:dyDescent="0.25">
      <c r="A7767" s="34" t="s">
        <v>23</v>
      </c>
      <c r="B7767" s="37">
        <v>44216</v>
      </c>
      <c r="C7767" s="1">
        <v>193</v>
      </c>
      <c r="D7767" s="365">
        <f t="shared" si="601"/>
        <v>2759</v>
      </c>
      <c r="E7767" s="1">
        <v>4</v>
      </c>
      <c r="F7767" s="47">
        <f t="shared" si="602"/>
        <v>53</v>
      </c>
    </row>
    <row r="7768" spans="1:6" x14ac:dyDescent="0.25">
      <c r="A7768" s="34" t="s">
        <v>19</v>
      </c>
      <c r="B7768" s="37">
        <v>44216</v>
      </c>
      <c r="C7768" s="1">
        <v>533</v>
      </c>
      <c r="D7768" s="365">
        <f t="shared" si="601"/>
        <v>49629</v>
      </c>
      <c r="F7768" s="47">
        <f t="shared" si="602"/>
        <v>757</v>
      </c>
    </row>
    <row r="7769" spans="1:6" x14ac:dyDescent="0.25">
      <c r="A7769" s="34" t="s">
        <v>18</v>
      </c>
      <c r="B7769" s="37">
        <v>44216</v>
      </c>
      <c r="C7769" s="1">
        <v>442</v>
      </c>
      <c r="D7769" s="365">
        <f t="shared" si="601"/>
        <v>45007</v>
      </c>
      <c r="E7769" s="1">
        <v>2</v>
      </c>
      <c r="F7769" s="47">
        <f t="shared" si="602"/>
        <v>1010</v>
      </c>
    </row>
    <row r="7770" spans="1:6" x14ac:dyDescent="0.25">
      <c r="A7770" s="34" t="s">
        <v>34</v>
      </c>
      <c r="B7770" s="37">
        <v>44216</v>
      </c>
      <c r="C7770" s="1">
        <v>77</v>
      </c>
      <c r="D7770" s="365">
        <f t="shared" si="601"/>
        <v>23229</v>
      </c>
      <c r="F7770" s="47">
        <f t="shared" si="602"/>
        <v>1030</v>
      </c>
    </row>
    <row r="7771" spans="1:6" x14ac:dyDescent="0.25">
      <c r="A7771" s="34" t="s">
        <v>35</v>
      </c>
      <c r="B7771" s="37">
        <v>44216</v>
      </c>
      <c r="C7771" s="1">
        <v>96</v>
      </c>
      <c r="D7771" s="365">
        <f t="shared" si="601"/>
        <v>13352</v>
      </c>
      <c r="F7771" s="47">
        <f t="shared" si="602"/>
        <v>216</v>
      </c>
    </row>
    <row r="7772" spans="1:6" x14ac:dyDescent="0.25">
      <c r="A7772" s="34" t="s">
        <v>36</v>
      </c>
      <c r="B7772" s="37">
        <v>44216</v>
      </c>
      <c r="C7772" s="1">
        <v>104</v>
      </c>
      <c r="D7772" s="365">
        <f t="shared" si="601"/>
        <v>17162</v>
      </c>
      <c r="E7772" s="1">
        <v>3</v>
      </c>
      <c r="F7772" s="47">
        <f t="shared" si="602"/>
        <v>333</v>
      </c>
    </row>
    <row r="7773" spans="1:6" x14ac:dyDescent="0.25">
      <c r="A7773" s="34" t="s">
        <v>37</v>
      </c>
      <c r="B7773" s="37">
        <v>44216</v>
      </c>
      <c r="C7773" s="1">
        <v>494</v>
      </c>
      <c r="D7773" s="365">
        <f t="shared" si="601"/>
        <v>30609</v>
      </c>
      <c r="E7773" s="1">
        <v>4</v>
      </c>
      <c r="F7773" s="47">
        <f t="shared" si="602"/>
        <v>473</v>
      </c>
    </row>
    <row r="7774" spans="1:6" x14ac:dyDescent="0.25">
      <c r="A7774" s="34" t="s">
        <v>22</v>
      </c>
      <c r="B7774" s="37">
        <v>44216</v>
      </c>
      <c r="C7774" s="1">
        <v>1222</v>
      </c>
      <c r="D7774" s="365">
        <f t="shared" si="601"/>
        <v>198345</v>
      </c>
      <c r="E7774" s="1">
        <v>13</v>
      </c>
      <c r="F7774" s="47">
        <f t="shared" si="602"/>
        <v>3269</v>
      </c>
    </row>
    <row r="7775" spans="1:6" x14ac:dyDescent="0.25">
      <c r="A7775" s="34" t="s">
        <v>38</v>
      </c>
      <c r="B7775" s="37">
        <v>44216</v>
      </c>
      <c r="C7775" s="1">
        <v>166</v>
      </c>
      <c r="D7775" s="365">
        <f t="shared" si="601"/>
        <v>19959</v>
      </c>
      <c r="F7775" s="47">
        <f t="shared" si="602"/>
        <v>239</v>
      </c>
    </row>
    <row r="7776" spans="1:6" x14ac:dyDescent="0.25">
      <c r="A7776" s="34" t="s">
        <v>39</v>
      </c>
      <c r="B7776" s="37">
        <v>44216</v>
      </c>
      <c r="C7776" s="1">
        <v>91</v>
      </c>
      <c r="D7776" s="365">
        <f t="shared" si="601"/>
        <v>21116</v>
      </c>
      <c r="E7776" s="1">
        <v>1</v>
      </c>
      <c r="F7776" s="47">
        <f t="shared" si="602"/>
        <v>307</v>
      </c>
    </row>
    <row r="7777" spans="1:6" x14ac:dyDescent="0.25">
      <c r="A7777" s="34" t="s">
        <v>40</v>
      </c>
      <c r="B7777" s="37">
        <v>44216</v>
      </c>
      <c r="C7777" s="1">
        <v>148</v>
      </c>
      <c r="D7777" s="365">
        <f t="shared" si="601"/>
        <v>74828</v>
      </c>
      <c r="E7777" s="1">
        <v>4</v>
      </c>
      <c r="F7777" s="47">
        <f t="shared" si="602"/>
        <v>1415</v>
      </c>
    </row>
    <row r="7778" spans="1:6" x14ac:dyDescent="0.25">
      <c r="A7778" s="34" t="s">
        <v>16</v>
      </c>
      <c r="B7778" s="37">
        <v>44217</v>
      </c>
      <c r="C7778" s="1">
        <v>4630</v>
      </c>
      <c r="D7778" s="365">
        <f>C7778+D7754</f>
        <v>769096</v>
      </c>
      <c r="E7778" s="1">
        <v>45</v>
      </c>
      <c r="F7778" s="47">
        <f>E7778+F7754</f>
        <v>23809</v>
      </c>
    </row>
    <row r="7779" spans="1:6" x14ac:dyDescent="0.25">
      <c r="A7779" s="34" t="s">
        <v>43</v>
      </c>
      <c r="B7779" s="37">
        <v>44217</v>
      </c>
      <c r="C7779" s="1">
        <v>1265</v>
      </c>
      <c r="D7779" s="365">
        <f t="shared" si="601"/>
        <v>199823</v>
      </c>
      <c r="E7779" s="1">
        <v>25</v>
      </c>
      <c r="F7779" s="47">
        <f t="shared" si="602"/>
        <v>5757</v>
      </c>
    </row>
    <row r="7780" spans="1:6" x14ac:dyDescent="0.25">
      <c r="A7780" s="34" t="s">
        <v>28</v>
      </c>
      <c r="B7780" s="37">
        <v>44217</v>
      </c>
      <c r="C7780" s="1">
        <v>95</v>
      </c>
      <c r="D7780" s="365">
        <f t="shared" si="601"/>
        <v>4577</v>
      </c>
      <c r="F7780" s="47">
        <f t="shared" si="602"/>
        <v>17</v>
      </c>
    </row>
    <row r="7781" spans="1:6" x14ac:dyDescent="0.25">
      <c r="A7781" s="34" t="s">
        <v>15</v>
      </c>
      <c r="B7781" s="37">
        <v>44217</v>
      </c>
      <c r="C7781" s="1">
        <v>281</v>
      </c>
      <c r="D7781" s="365">
        <f t="shared" si="601"/>
        <v>29323</v>
      </c>
      <c r="F7781" s="47">
        <f t="shared" si="602"/>
        <v>771</v>
      </c>
    </row>
    <row r="7782" spans="1:6" x14ac:dyDescent="0.25">
      <c r="A7782" s="34" t="s">
        <v>29</v>
      </c>
      <c r="B7782" s="37">
        <v>44217</v>
      </c>
      <c r="C7782" s="1">
        <v>381</v>
      </c>
      <c r="D7782" s="365">
        <f t="shared" si="601"/>
        <v>39492</v>
      </c>
      <c r="E7782" s="1">
        <v>8</v>
      </c>
      <c r="F7782" s="47">
        <f t="shared" si="602"/>
        <v>578</v>
      </c>
    </row>
    <row r="7783" spans="1:6" x14ac:dyDescent="0.25">
      <c r="A7783" s="34" t="s">
        <v>30</v>
      </c>
      <c r="B7783" s="37">
        <v>44217</v>
      </c>
      <c r="C7783" s="1">
        <v>135</v>
      </c>
      <c r="D7783" s="365">
        <f>C7783+D7759</f>
        <v>15909</v>
      </c>
      <c r="E7783" s="1">
        <v>4</v>
      </c>
      <c r="F7783" s="47">
        <f t="shared" si="602"/>
        <v>2558</v>
      </c>
    </row>
    <row r="7784" spans="1:6" x14ac:dyDescent="0.25">
      <c r="A7784" s="34" t="s">
        <v>20</v>
      </c>
      <c r="B7784" s="37">
        <v>44217</v>
      </c>
      <c r="C7784" s="1">
        <v>649</v>
      </c>
      <c r="D7784" s="365">
        <f>C7784+D7760</f>
        <v>140094</v>
      </c>
      <c r="E7784" s="1">
        <v>7</v>
      </c>
      <c r="F7784" s="47">
        <f t="shared" si="602"/>
        <v>214</v>
      </c>
    </row>
    <row r="7785" spans="1:6" x14ac:dyDescent="0.25">
      <c r="A7785" s="34" t="s">
        <v>31</v>
      </c>
      <c r="B7785" s="37">
        <v>44217</v>
      </c>
      <c r="C7785" s="1">
        <v>445</v>
      </c>
      <c r="D7785" s="365">
        <f t="shared" si="601"/>
        <v>38170</v>
      </c>
      <c r="E7785" s="1">
        <v>6</v>
      </c>
      <c r="F7785" s="47">
        <f t="shared" si="602"/>
        <v>659</v>
      </c>
    </row>
    <row r="7786" spans="1:6" x14ac:dyDescent="0.25">
      <c r="A7786" s="34" t="s">
        <v>41</v>
      </c>
      <c r="B7786" s="37">
        <v>44217</v>
      </c>
      <c r="C7786" s="1">
        <v>59</v>
      </c>
      <c r="D7786" s="365">
        <f t="shared" si="601"/>
        <v>759</v>
      </c>
      <c r="F7786" s="47">
        <f t="shared" si="602"/>
        <v>6</v>
      </c>
    </row>
    <row r="7787" spans="1:6" x14ac:dyDescent="0.25">
      <c r="A7787" s="34" t="s">
        <v>32</v>
      </c>
      <c r="B7787" s="37">
        <v>44217</v>
      </c>
      <c r="C7787" s="1">
        <v>45</v>
      </c>
      <c r="D7787" s="365">
        <f t="shared" si="601"/>
        <v>19026</v>
      </c>
      <c r="F7787" s="47">
        <f t="shared" si="602"/>
        <v>864</v>
      </c>
    </row>
    <row r="7788" spans="1:6" x14ac:dyDescent="0.25">
      <c r="A7788" s="34" t="s">
        <v>33</v>
      </c>
      <c r="B7788" s="37">
        <v>44217</v>
      </c>
      <c r="C7788" s="1">
        <v>139</v>
      </c>
      <c r="D7788" s="365">
        <f t="shared" si="601"/>
        <v>15545</v>
      </c>
      <c r="F7788" s="47">
        <f t="shared" si="602"/>
        <v>209</v>
      </c>
    </row>
    <row r="7789" spans="1:6" x14ac:dyDescent="0.25">
      <c r="A7789" s="34" t="s">
        <v>21</v>
      </c>
      <c r="B7789" s="37">
        <v>44217</v>
      </c>
      <c r="C7789" s="1">
        <v>19</v>
      </c>
      <c r="D7789" s="365">
        <f t="shared" si="601"/>
        <v>9378</v>
      </c>
      <c r="F7789" s="47">
        <f t="shared" si="602"/>
        <v>402</v>
      </c>
    </row>
    <row r="7790" spans="1:6" x14ac:dyDescent="0.25">
      <c r="A7790" s="34" t="s">
        <v>17</v>
      </c>
      <c r="B7790" s="37">
        <v>44217</v>
      </c>
      <c r="C7790" s="1">
        <v>172</v>
      </c>
      <c r="D7790" s="365">
        <f t="shared" si="601"/>
        <v>62809</v>
      </c>
      <c r="E7790" s="1">
        <v>9</v>
      </c>
      <c r="F7790" s="47">
        <f t="shared" si="602"/>
        <v>1311</v>
      </c>
    </row>
    <row r="7791" spans="1:6" x14ac:dyDescent="0.25">
      <c r="A7791" s="34" t="s">
        <v>23</v>
      </c>
      <c r="B7791" s="37">
        <v>44217</v>
      </c>
      <c r="C7791" s="1">
        <v>175</v>
      </c>
      <c r="D7791" s="365">
        <f t="shared" si="601"/>
        <v>2934</v>
      </c>
      <c r="E7791" s="1">
        <v>7</v>
      </c>
      <c r="F7791" s="47">
        <f t="shared" si="602"/>
        <v>60</v>
      </c>
    </row>
    <row r="7792" spans="1:6" x14ac:dyDescent="0.25">
      <c r="A7792" s="34" t="s">
        <v>19</v>
      </c>
      <c r="B7792" s="37">
        <v>44217</v>
      </c>
      <c r="C7792" s="1">
        <v>524</v>
      </c>
      <c r="D7792" s="365">
        <f t="shared" si="601"/>
        <v>50153</v>
      </c>
      <c r="E7792" s="1">
        <v>1</v>
      </c>
      <c r="F7792" s="47">
        <f t="shared" si="602"/>
        <v>758</v>
      </c>
    </row>
    <row r="7793" spans="1:8" x14ac:dyDescent="0.25">
      <c r="A7793" s="34" t="s">
        <v>18</v>
      </c>
      <c r="B7793" s="37">
        <v>44217</v>
      </c>
      <c r="C7793" s="1">
        <v>265</v>
      </c>
      <c r="D7793" s="365">
        <f t="shared" si="601"/>
        <v>45272</v>
      </c>
      <c r="E7793" s="1">
        <v>6</v>
      </c>
      <c r="F7793" s="47">
        <f t="shared" si="602"/>
        <v>1016</v>
      </c>
    </row>
    <row r="7794" spans="1:8" x14ac:dyDescent="0.25">
      <c r="A7794" s="34" t="s">
        <v>34</v>
      </c>
      <c r="B7794" s="37">
        <v>44217</v>
      </c>
      <c r="C7794" s="1">
        <v>75</v>
      </c>
      <c r="D7794" s="365">
        <f t="shared" si="601"/>
        <v>23304</v>
      </c>
      <c r="F7794" s="47">
        <f t="shared" si="602"/>
        <v>1030</v>
      </c>
    </row>
    <row r="7795" spans="1:8" x14ac:dyDescent="0.25">
      <c r="A7795" s="34" t="s">
        <v>35</v>
      </c>
      <c r="B7795" s="37">
        <v>44217</v>
      </c>
      <c r="C7795" s="1">
        <v>81</v>
      </c>
      <c r="D7795" s="365">
        <f t="shared" si="601"/>
        <v>13433</v>
      </c>
      <c r="F7795" s="47">
        <f t="shared" si="602"/>
        <v>216</v>
      </c>
    </row>
    <row r="7796" spans="1:8" x14ac:dyDescent="0.25">
      <c r="A7796" s="34" t="s">
        <v>36</v>
      </c>
      <c r="B7796" s="37">
        <v>44217</v>
      </c>
      <c r="C7796" s="1">
        <v>202</v>
      </c>
      <c r="D7796" s="365">
        <f t="shared" si="601"/>
        <v>17364</v>
      </c>
      <c r="E7796" s="1">
        <v>2</v>
      </c>
      <c r="F7796" s="47">
        <f t="shared" si="602"/>
        <v>335</v>
      </c>
    </row>
    <row r="7797" spans="1:8" x14ac:dyDescent="0.25">
      <c r="A7797" s="34" t="s">
        <v>37</v>
      </c>
      <c r="B7797" s="37">
        <v>44217</v>
      </c>
      <c r="C7797" s="1">
        <v>314</v>
      </c>
      <c r="D7797" s="365">
        <f t="shared" si="601"/>
        <v>30923</v>
      </c>
      <c r="E7797" s="1">
        <v>3</v>
      </c>
      <c r="F7797" s="47">
        <f t="shared" si="602"/>
        <v>476</v>
      </c>
    </row>
    <row r="7798" spans="1:8" x14ac:dyDescent="0.25">
      <c r="A7798" s="34" t="s">
        <v>22</v>
      </c>
      <c r="B7798" s="37">
        <v>44217</v>
      </c>
      <c r="C7798" s="1">
        <v>1101</v>
      </c>
      <c r="D7798" s="365">
        <f t="shared" si="601"/>
        <v>199446</v>
      </c>
      <c r="E7798" s="1">
        <v>13</v>
      </c>
      <c r="F7798" s="47">
        <f t="shared" si="602"/>
        <v>3282</v>
      </c>
    </row>
    <row r="7799" spans="1:8" x14ac:dyDescent="0.25">
      <c r="A7799" s="34" t="s">
        <v>38</v>
      </c>
      <c r="B7799" s="37">
        <v>44217</v>
      </c>
      <c r="C7799" s="1">
        <v>100</v>
      </c>
      <c r="D7799" s="365">
        <f t="shared" si="601"/>
        <v>20059</v>
      </c>
      <c r="E7799" s="1">
        <v>1</v>
      </c>
      <c r="F7799" s="47">
        <f t="shared" si="602"/>
        <v>240</v>
      </c>
    </row>
    <row r="7800" spans="1:8" x14ac:dyDescent="0.25">
      <c r="A7800" s="34" t="s">
        <v>39</v>
      </c>
      <c r="B7800" s="37">
        <v>44217</v>
      </c>
      <c r="C7800" s="1">
        <v>106</v>
      </c>
      <c r="D7800" s="365">
        <f t="shared" si="601"/>
        <v>21222</v>
      </c>
      <c r="E7800" s="1">
        <v>4</v>
      </c>
      <c r="F7800" s="47">
        <f t="shared" si="602"/>
        <v>311</v>
      </c>
    </row>
    <row r="7801" spans="1:8" ht="15.75" thickBot="1" x14ac:dyDescent="0.3">
      <c r="A7801" s="34" t="s">
        <v>40</v>
      </c>
      <c r="B7801" s="37">
        <v>44217</v>
      </c>
      <c r="C7801" s="1">
        <v>138</v>
      </c>
      <c r="D7801" s="365">
        <f t="shared" si="601"/>
        <v>74966</v>
      </c>
      <c r="E7801" s="1">
        <v>1</v>
      </c>
      <c r="F7801" s="47">
        <f t="shared" si="602"/>
        <v>1416</v>
      </c>
    </row>
    <row r="7802" spans="1:8" ht="15.75" thickBot="1" x14ac:dyDescent="0.3">
      <c r="A7802" s="34" t="s">
        <v>16</v>
      </c>
      <c r="B7802" s="37">
        <v>44218</v>
      </c>
      <c r="C7802" s="1">
        <v>4177</v>
      </c>
      <c r="D7802" s="365">
        <f>C7802+D7778</f>
        <v>773273</v>
      </c>
      <c r="E7802" s="1">
        <v>117</v>
      </c>
      <c r="F7802" s="47">
        <f>E7802+F7778</f>
        <v>23926</v>
      </c>
      <c r="G7802" s="212">
        <f>SUM(C7802,C7778,C7754,C7730,C7706,C7682,C7658,C7634,C7610,C7586,C7562,C7538,C7514,C7490)/POBLA!$B$1*100000</f>
        <v>336.36922478418023</v>
      </c>
      <c r="H7802" s="204">
        <f t="shared" ref="H7802:H7825" si="603">SUM(C7802,C7778,C7754,C7730,C7706,C7682,C7658,C7634,C7610,C7586,C7562,C7538,C7514,C7490)/SUM(C7466,C7442,C7418,C7394,C7370,C7346,C7322,C7298,C7274,C7250,C7226,C7202,C7178,C7154)</f>
        <v>1.1891211028033617</v>
      </c>
    </row>
    <row r="7803" spans="1:8" ht="15.75" thickBot="1" x14ac:dyDescent="0.3">
      <c r="A7803" s="34" t="s">
        <v>43</v>
      </c>
      <c r="B7803" s="37">
        <v>44218</v>
      </c>
      <c r="C7803" s="1">
        <v>1160</v>
      </c>
      <c r="D7803" s="365">
        <f t="shared" si="601"/>
        <v>200983</v>
      </c>
      <c r="E7803" s="1">
        <v>14</v>
      </c>
      <c r="F7803" s="47">
        <f t="shared" si="602"/>
        <v>5771</v>
      </c>
      <c r="G7803" s="212">
        <f>SUM(C7803,C7779,C7755,C7731,C7707,C7683,C7659,C7635,C7611,C7587,C7563,C7539,C7515,C7491)/POBLA!$B$2*100000</f>
        <v>570.3842379779727</v>
      </c>
      <c r="H7803" s="204">
        <f t="shared" si="603"/>
        <v>1.2340320765334833</v>
      </c>
    </row>
    <row r="7804" spans="1:8" ht="15.75" thickBot="1" x14ac:dyDescent="0.3">
      <c r="A7804" s="34" t="s">
        <v>28</v>
      </c>
      <c r="B7804" s="37">
        <v>44218</v>
      </c>
      <c r="C7804" s="1">
        <v>52</v>
      </c>
      <c r="D7804" s="365">
        <f t="shared" si="601"/>
        <v>4629</v>
      </c>
      <c r="F7804" s="47">
        <f t="shared" si="602"/>
        <v>17</v>
      </c>
      <c r="G7804" s="212">
        <f>SUM(C7804,C7780,C7756,C7732,C7708,C7684,C7660,C7636,C7612,C7588,C7564,C7540,C7516,C7492)/POBLA!$B$3*100000</f>
        <v>379.35865279536301</v>
      </c>
      <c r="H7804" s="204">
        <f t="shared" si="603"/>
        <v>2.8864468864468864</v>
      </c>
    </row>
    <row r="7805" spans="1:8" ht="15.75" thickBot="1" x14ac:dyDescent="0.3">
      <c r="A7805" s="34" t="s">
        <v>15</v>
      </c>
      <c r="B7805" s="37">
        <v>44218</v>
      </c>
      <c r="C7805" s="1">
        <v>182</v>
      </c>
      <c r="D7805" s="365">
        <f t="shared" si="601"/>
        <v>29505</v>
      </c>
      <c r="E7805" s="1">
        <v>5</v>
      </c>
      <c r="F7805" s="47">
        <f t="shared" si="602"/>
        <v>776</v>
      </c>
      <c r="G7805" s="212">
        <f>SUM(C7805,C7781,C7757,C7733,C7709,C7685,C7661,C7637,C7613,C7589,C7565,C7541,C7517,C7493)/POBLA!$B$4*100000</f>
        <v>248.39337141699616</v>
      </c>
      <c r="H7805" s="204">
        <f t="shared" si="603"/>
        <v>1.0689531975705608</v>
      </c>
    </row>
    <row r="7806" spans="1:8" ht="15.75" thickBot="1" x14ac:dyDescent="0.3">
      <c r="A7806" s="34" t="s">
        <v>29</v>
      </c>
      <c r="B7806" s="37">
        <v>44218</v>
      </c>
      <c r="C7806" s="1">
        <v>457</v>
      </c>
      <c r="D7806" s="365">
        <f t="shared" si="601"/>
        <v>39949</v>
      </c>
      <c r="E7806" s="1">
        <v>14</v>
      </c>
      <c r="F7806" s="47">
        <f t="shared" si="602"/>
        <v>592</v>
      </c>
      <c r="G7806" s="212">
        <f>SUM(C7806,C7782,C7758,C7734,C7710,C7686,C7662,C7638,C7614,C7590,C7566,C7542,C7518,C7494)/POBLA!$B$5*100000</f>
        <v>832.47979786556891</v>
      </c>
      <c r="H7806" s="204">
        <f t="shared" si="603"/>
        <v>0.97502365184484385</v>
      </c>
    </row>
    <row r="7807" spans="1:8" ht="15.75" thickBot="1" x14ac:dyDescent="0.3">
      <c r="A7807" s="34" t="s">
        <v>30</v>
      </c>
      <c r="B7807" s="37">
        <v>44218</v>
      </c>
      <c r="C7807" s="1">
        <v>168</v>
      </c>
      <c r="D7807" s="365">
        <f>C7807+D7783</f>
        <v>16077</v>
      </c>
      <c r="E7807" s="1">
        <v>6</v>
      </c>
      <c r="F7807" s="47">
        <f t="shared" si="602"/>
        <v>2564</v>
      </c>
      <c r="G7807" s="212">
        <f>SUM(C7807,C7783,C7759,C7735,C7711,C7687,C7663,C7639,C7615,C7591,C7567,C7543,C7519,C7495)/POBLA!$B$7*100000</f>
        <v>156.89611615631108</v>
      </c>
      <c r="H7807" s="204">
        <f t="shared" si="603"/>
        <v>0.76158512972763648</v>
      </c>
    </row>
    <row r="7808" spans="1:8" ht="15.75" thickBot="1" x14ac:dyDescent="0.3">
      <c r="A7808" s="34" t="s">
        <v>20</v>
      </c>
      <c r="B7808" s="37">
        <v>44218</v>
      </c>
      <c r="C7808" s="1">
        <v>582</v>
      </c>
      <c r="D7808" s="365">
        <f>C7808+D7784</f>
        <v>140676</v>
      </c>
      <c r="E7808" s="1">
        <v>8</v>
      </c>
      <c r="F7808" s="47">
        <f t="shared" si="602"/>
        <v>222</v>
      </c>
      <c r="G7808" s="212">
        <f>SUM(C7808,C7784,C7760,C7736,C7712,C7688,C7664,C7640,C7616,C7592,C7568,C7544,C7520,C7496)/POBLA!$B$6*100000</f>
        <v>451.01672821491059</v>
      </c>
      <c r="H7808" s="204">
        <f t="shared" si="603"/>
        <v>2.2729316546762588</v>
      </c>
    </row>
    <row r="7809" spans="1:8" ht="15.75" thickBot="1" x14ac:dyDescent="0.3">
      <c r="A7809" s="34" t="s">
        <v>31</v>
      </c>
      <c r="B7809" s="37">
        <v>44218</v>
      </c>
      <c r="C7809" s="1">
        <v>382</v>
      </c>
      <c r="D7809" s="365">
        <f t="shared" si="601"/>
        <v>38552</v>
      </c>
      <c r="E7809" s="1">
        <v>6</v>
      </c>
      <c r="F7809" s="47">
        <f t="shared" si="602"/>
        <v>665</v>
      </c>
      <c r="G7809" s="212">
        <f>SUM(C7809,C7785,C7761,C7737,C7713,C7689,C7665,C7641,C7617,C7593,C7569,C7545,C7521,C7497)/POBLA!$B$8*100000</f>
        <v>424.037905828519</v>
      </c>
      <c r="H7809" s="204">
        <f t="shared" si="603"/>
        <v>1.2150093032871614</v>
      </c>
    </row>
    <row r="7810" spans="1:8" ht="15.75" thickBot="1" x14ac:dyDescent="0.3">
      <c r="A7810" s="34" t="s">
        <v>41</v>
      </c>
      <c r="B7810" s="37">
        <v>44218</v>
      </c>
      <c r="C7810" s="1">
        <v>38</v>
      </c>
      <c r="D7810" s="365">
        <f t="shared" si="601"/>
        <v>797</v>
      </c>
      <c r="F7810" s="47">
        <f t="shared" si="602"/>
        <v>6</v>
      </c>
      <c r="G7810" s="212">
        <f>SUM(C7810,C7786,C7762,C7738,C7714,C7690,C7666,C7642,C7618,C7594,C7570,C7546,C7522,C7498)/POBLA!$B$9*100000</f>
        <v>91.871518672555695</v>
      </c>
      <c r="H7810" s="204">
        <f t="shared" si="603"/>
        <v>19.857142857142858</v>
      </c>
    </row>
    <row r="7811" spans="1:8" ht="15.75" thickBot="1" x14ac:dyDescent="0.3">
      <c r="A7811" s="34" t="s">
        <v>32</v>
      </c>
      <c r="B7811" s="37">
        <v>44218</v>
      </c>
      <c r="C7811" s="1">
        <v>30</v>
      </c>
      <c r="D7811" s="365">
        <f t="shared" si="601"/>
        <v>19056</v>
      </c>
      <c r="E7811" s="1">
        <v>1</v>
      </c>
      <c r="F7811" s="47">
        <f t="shared" si="602"/>
        <v>865</v>
      </c>
      <c r="G7811" s="212">
        <f>SUM(C7811,C7787,C7763,C7739,C7715,C7691,C7667,C7643,C7619,C7595,C7571,C7547,C7523,C7499)/POBLA!$B$10*100000</f>
        <v>51.629239791874497</v>
      </c>
      <c r="H7811" s="204">
        <f t="shared" si="603"/>
        <v>2.4874999999999998</v>
      </c>
    </row>
    <row r="7812" spans="1:8" ht="15.75" thickBot="1" x14ac:dyDescent="0.3">
      <c r="A7812" s="34" t="s">
        <v>33</v>
      </c>
      <c r="B7812" s="37">
        <v>44218</v>
      </c>
      <c r="C7812" s="1">
        <v>99</v>
      </c>
      <c r="D7812" s="365">
        <f t="shared" si="601"/>
        <v>15644</v>
      </c>
      <c r="F7812" s="47">
        <f t="shared" si="602"/>
        <v>209</v>
      </c>
      <c r="G7812" s="212">
        <f>SUM(C7812,C7788,C7764,C7740,C7716,C7692,C7668,C7644,C7620,C7596,C7572,C7548,C7524,C7500)/POBLA!$B$11*100000</f>
        <v>714.50891113417481</v>
      </c>
      <c r="H7812" s="204">
        <f t="shared" si="603"/>
        <v>0.68329775880469579</v>
      </c>
    </row>
    <row r="7813" spans="1:8" ht="15.75" thickBot="1" x14ac:dyDescent="0.3">
      <c r="A7813" s="34" t="s">
        <v>21</v>
      </c>
      <c r="B7813" s="37">
        <v>44218</v>
      </c>
      <c r="C7813" s="1">
        <v>11</v>
      </c>
      <c r="D7813" s="365">
        <f t="shared" si="601"/>
        <v>9389</v>
      </c>
      <c r="E7813" s="1">
        <v>2</v>
      </c>
      <c r="F7813" s="47">
        <f t="shared" si="602"/>
        <v>404</v>
      </c>
      <c r="G7813" s="212">
        <f>SUM(C7813,C7789,C7765,C7741,C7717,C7693,C7669,C7645,C7621,C7597,C7573,C7549,C7525,C7501)/POBLA!$B$12*100000</f>
        <v>52.092465396626949</v>
      </c>
      <c r="H7813" s="204">
        <f t="shared" si="603"/>
        <v>1.6141732283464567</v>
      </c>
    </row>
    <row r="7814" spans="1:8" ht="15.75" thickBot="1" x14ac:dyDescent="0.3">
      <c r="A7814" s="34" t="s">
        <v>17</v>
      </c>
      <c r="B7814" s="37">
        <v>44218</v>
      </c>
      <c r="C7814" s="1">
        <v>182</v>
      </c>
      <c r="D7814" s="365">
        <f t="shared" si="601"/>
        <v>62991</v>
      </c>
      <c r="E7814" s="1">
        <v>2</v>
      </c>
      <c r="F7814" s="47">
        <f t="shared" si="602"/>
        <v>1313</v>
      </c>
      <c r="G7814" s="212">
        <f>SUM(C7814,C7790,C7766,C7742,C7718,C7694,C7670,C7646,C7622,C7598,C7574,C7550,C7526,C7502)/POBLA!$B$13*100000</f>
        <v>96.566512823450097</v>
      </c>
      <c r="H7814" s="204">
        <f t="shared" si="603"/>
        <v>1.2289002557544757</v>
      </c>
    </row>
    <row r="7815" spans="1:8" ht="15.75" thickBot="1" x14ac:dyDescent="0.3">
      <c r="A7815" s="34" t="s">
        <v>23</v>
      </c>
      <c r="B7815" s="37">
        <v>44218</v>
      </c>
      <c r="C7815" s="1">
        <v>160</v>
      </c>
      <c r="D7815" s="365">
        <f t="shared" si="601"/>
        <v>3094</v>
      </c>
      <c r="E7815" s="1">
        <v>3</v>
      </c>
      <c r="F7815" s="47">
        <f t="shared" si="602"/>
        <v>63</v>
      </c>
      <c r="G7815" s="212">
        <f>SUM(C7815,C7791,C7767,C7743,C7719,C7695,C7671,C7647,C7623,C7599,C7575,C7551,C7527,C7503)/POBLA!$B$14*100000</f>
        <v>151.82820183081819</v>
      </c>
      <c r="H7815" s="204">
        <f t="shared" si="603"/>
        <v>8.1837606837606831</v>
      </c>
    </row>
    <row r="7816" spans="1:8" ht="15.75" thickBot="1" x14ac:dyDescent="0.3">
      <c r="A7816" s="34" t="s">
        <v>19</v>
      </c>
      <c r="B7816" s="37">
        <v>44218</v>
      </c>
      <c r="C7816" s="1">
        <v>442</v>
      </c>
      <c r="D7816" s="365">
        <f t="shared" si="601"/>
        <v>50595</v>
      </c>
      <c r="E7816" s="1">
        <v>2</v>
      </c>
      <c r="F7816" s="47">
        <f t="shared" si="602"/>
        <v>760</v>
      </c>
      <c r="G7816" s="212">
        <f>SUM(C7816,C7792,C7768,C7744,C7720,C7696,C7672,C7648,C7624,C7600,C7576,C7552,C7528,C7504)/POBLA!$B$15*100000</f>
        <v>907.3016322394011</v>
      </c>
      <c r="H7816" s="204">
        <f t="shared" si="603"/>
        <v>1.1180181851920579</v>
      </c>
    </row>
    <row r="7817" spans="1:8" ht="15.75" thickBot="1" x14ac:dyDescent="0.3">
      <c r="A7817" s="34" t="s">
        <v>18</v>
      </c>
      <c r="B7817" s="37">
        <v>44218</v>
      </c>
      <c r="C7817" s="1">
        <v>312</v>
      </c>
      <c r="D7817" s="365">
        <f t="shared" si="601"/>
        <v>45584</v>
      </c>
      <c r="E7817" s="1">
        <v>7</v>
      </c>
      <c r="F7817" s="47">
        <f t="shared" si="602"/>
        <v>1023</v>
      </c>
      <c r="G7817" s="212">
        <f>SUM(C7817,C7793,C7769,C7745,C7721,C7697,C7673,C7649,C7625,C7601,C7577,C7553,C7529,C7505)/POBLA!$B$16*100000</f>
        <v>607.00097644493781</v>
      </c>
      <c r="H7817" s="204">
        <f t="shared" si="603"/>
        <v>1.1081807081807082</v>
      </c>
    </row>
    <row r="7818" spans="1:8" ht="15.75" thickBot="1" x14ac:dyDescent="0.3">
      <c r="A7818" s="34" t="s">
        <v>34</v>
      </c>
      <c r="B7818" s="37">
        <v>44218</v>
      </c>
      <c r="C7818" s="1">
        <v>53</v>
      </c>
      <c r="D7818" s="365">
        <f t="shared" si="601"/>
        <v>23357</v>
      </c>
      <c r="E7818" s="1">
        <v>1</v>
      </c>
      <c r="F7818" s="47">
        <f t="shared" si="602"/>
        <v>1031</v>
      </c>
      <c r="G7818" s="212">
        <f>SUM(C7818,C7794,C7770,C7746,C7722,C7698,C7674,C7650,C7626,C7602,C7578,C7554,C7530,C7506)/POBLA!$B$17*100000</f>
        <v>52.022013525723516</v>
      </c>
      <c r="H7818" s="204">
        <f t="shared" si="603"/>
        <v>1.5765957446808512</v>
      </c>
    </row>
    <row r="7819" spans="1:8" ht="15.75" thickBot="1" x14ac:dyDescent="0.3">
      <c r="A7819" s="34" t="s">
        <v>35</v>
      </c>
      <c r="B7819" s="37">
        <v>44218</v>
      </c>
      <c r="C7819" s="1">
        <v>71</v>
      </c>
      <c r="D7819" s="365">
        <f t="shared" ref="D7819:D7825" si="604">C7819+D7795</f>
        <v>13504</v>
      </c>
      <c r="F7819" s="47">
        <f t="shared" ref="F7819:F7825" si="605">E7819+F7795</f>
        <v>216</v>
      </c>
      <c r="G7819" s="212">
        <f>SUM(C7819,C7795,C7771,C7747,C7723,C7699,C7675,C7651,C7627,C7603,C7579,C7555,C7531,C7507)/POBLA!$B$18*100000</f>
        <v>156.67861810482873</v>
      </c>
      <c r="H7819" s="204">
        <f t="shared" si="603"/>
        <v>0.87303851640513552</v>
      </c>
    </row>
    <row r="7820" spans="1:8" ht="15.75" thickBot="1" x14ac:dyDescent="0.3">
      <c r="A7820" s="34" t="s">
        <v>36</v>
      </c>
      <c r="B7820" s="37">
        <v>44218</v>
      </c>
      <c r="C7820" s="1">
        <v>562</v>
      </c>
      <c r="D7820" s="365">
        <f t="shared" si="604"/>
        <v>17926</v>
      </c>
      <c r="F7820" s="47">
        <f t="shared" si="605"/>
        <v>335</v>
      </c>
      <c r="G7820" s="212">
        <f>SUM(C7820,C7796,C7772,C7748,C7724,C7700,C7676,C7652,C7628,C7604,C7580,C7556,C7532,C7508)/POBLA!$B$19*100000</f>
        <v>276.5930658944618</v>
      </c>
      <c r="H7820" s="204">
        <f t="shared" si="603"/>
        <v>2.6428571428571428</v>
      </c>
    </row>
    <row r="7821" spans="1:8" ht="15.75" thickBot="1" x14ac:dyDescent="0.3">
      <c r="A7821" s="34" t="s">
        <v>37</v>
      </c>
      <c r="B7821" s="37">
        <v>44218</v>
      </c>
      <c r="C7821" s="1">
        <v>245</v>
      </c>
      <c r="D7821" s="365">
        <f t="shared" si="604"/>
        <v>31168</v>
      </c>
      <c r="E7821" s="1">
        <v>1</v>
      </c>
      <c r="F7821" s="47">
        <f t="shared" si="605"/>
        <v>477</v>
      </c>
      <c r="G7821" s="212">
        <f>SUM(C7821,C7797,C7773,C7749,C7725,C7701,C7677,C7653,C7629,C7605,C7581,C7557,C7533,C7509)/POBLA!$B$20*100000</f>
        <v>1256.2278163949488</v>
      </c>
      <c r="H7821" s="204">
        <f t="shared" si="603"/>
        <v>0.97001689189189189</v>
      </c>
    </row>
    <row r="7822" spans="1:8" ht="15.75" thickBot="1" x14ac:dyDescent="0.3">
      <c r="A7822" s="34" t="s">
        <v>22</v>
      </c>
      <c r="B7822" s="37">
        <v>44218</v>
      </c>
      <c r="C7822" s="1">
        <v>1043</v>
      </c>
      <c r="D7822" s="365">
        <f t="shared" si="604"/>
        <v>200489</v>
      </c>
      <c r="E7822" s="1">
        <v>17</v>
      </c>
      <c r="F7822" s="47">
        <f t="shared" si="605"/>
        <v>3299</v>
      </c>
      <c r="G7822" s="212">
        <f>SUM(C7822,C7798,C7774,C7750,C7726,C7702,C7678,C7654,C7630,C7606,C7582,C7558,C7534,C7510)/POBLA!$B$21*100000</f>
        <v>445.93144814894617</v>
      </c>
      <c r="H7822" s="204">
        <f t="shared" si="603"/>
        <v>1.1445783132530121</v>
      </c>
    </row>
    <row r="7823" spans="1:8" ht="15.75" thickBot="1" x14ac:dyDescent="0.3">
      <c r="A7823" s="34" t="s">
        <v>38</v>
      </c>
      <c r="B7823" s="37">
        <v>44218</v>
      </c>
      <c r="C7823" s="1">
        <v>99</v>
      </c>
      <c r="D7823" s="365">
        <f t="shared" si="604"/>
        <v>20158</v>
      </c>
      <c r="E7823" s="1">
        <v>3</v>
      </c>
      <c r="F7823" s="47">
        <f t="shared" si="605"/>
        <v>243</v>
      </c>
      <c r="G7823" s="212">
        <f>SUM(C7823,C7799,C7775,C7751,C7727,C7703,C7679,C7655,C7631,C7607,C7583,C7559,C7535,C7511)/POBLA!$B$22*100000</f>
        <v>176.93723787785709</v>
      </c>
      <c r="H7823" s="204">
        <f t="shared" si="603"/>
        <v>1.2130343377715487</v>
      </c>
    </row>
    <row r="7824" spans="1:8" ht="15.75" thickBot="1" x14ac:dyDescent="0.3">
      <c r="A7824" s="34" t="s">
        <v>39</v>
      </c>
      <c r="B7824" s="37">
        <v>44218</v>
      </c>
      <c r="C7824" s="1">
        <v>48</v>
      </c>
      <c r="D7824" s="365">
        <f t="shared" si="604"/>
        <v>21270</v>
      </c>
      <c r="E7824" s="1">
        <v>9</v>
      </c>
      <c r="F7824" s="47">
        <f t="shared" si="605"/>
        <v>320</v>
      </c>
      <c r="G7824" s="212">
        <f>SUM(C7824,C7800,C7776,C7752,C7728,C7704,C7680,C7656,C7632,C7608,C7584,C7560,C7536,C7512)/POBLA!$B$23*100000</f>
        <v>695.58332862070915</v>
      </c>
      <c r="H7824" s="204">
        <f t="shared" si="603"/>
        <v>0.81295439524124258</v>
      </c>
    </row>
    <row r="7825" spans="1:8" ht="15.75" thickBot="1" x14ac:dyDescent="0.3">
      <c r="A7825" s="34" t="s">
        <v>40</v>
      </c>
      <c r="B7825" s="37">
        <v>44218</v>
      </c>
      <c r="C7825" s="1">
        <v>198</v>
      </c>
      <c r="D7825" s="365">
        <f t="shared" si="604"/>
        <v>75164</v>
      </c>
      <c r="E7825" s="1">
        <v>2</v>
      </c>
      <c r="F7825" s="47">
        <f t="shared" si="605"/>
        <v>1418</v>
      </c>
      <c r="G7825" s="212">
        <f>SUM(C7825,C7801,C7777,C7753,C7729,C7705,C7681,C7657,C7633,C7609,C7585,C7561,C7537,C7513)/POBLA!$B$24*100000</f>
        <v>151.24013369084935</v>
      </c>
      <c r="H7825" s="204">
        <f t="shared" si="603"/>
        <v>1.1037898363479759</v>
      </c>
    </row>
    <row r="7826" spans="1:8" ht="15.75" thickBot="1" x14ac:dyDescent="0.3">
      <c r="A7826" s="34" t="s">
        <v>16</v>
      </c>
      <c r="B7826" s="37">
        <v>44219</v>
      </c>
      <c r="C7826" s="366">
        <v>3265</v>
      </c>
      <c r="D7826" s="365">
        <f>C7826+D7802</f>
        <v>776538</v>
      </c>
      <c r="E7826" s="1">
        <v>109</v>
      </c>
      <c r="F7826" s="47">
        <f>E7826+F7802</f>
        <v>24035</v>
      </c>
      <c r="G7826" s="212">
        <f>SUM(C7826,C7802,C7778,C7754,C7730,C7706,C7682,C7658,C7634,C7610,C7586,C7562,C7538,C7514)/POBLA!$B$1*100000</f>
        <v>329.9614318133581</v>
      </c>
      <c r="H7826" s="204">
        <f t="shared" ref="H7826:H7849" si="606">SUM(C7826,C7802,C7778,C7754,C7730,C7706,C7682,C7658,C7634,C7610,C7586,C7562,C7538,C7514)/SUM(C7490,C7466,C7442,C7418,C7394,C7370,C7346,C7322,C7298,C7274,C7250,C7226,C7202,C7178)</f>
        <v>1.0990031330105383</v>
      </c>
    </row>
    <row r="7827" spans="1:8" ht="15.75" thickBot="1" x14ac:dyDescent="0.3">
      <c r="A7827" s="34" t="s">
        <v>43</v>
      </c>
      <c r="B7827" s="37">
        <v>44219</v>
      </c>
      <c r="C7827" s="366">
        <v>924</v>
      </c>
      <c r="D7827" s="365">
        <f t="shared" ref="D7827:D7873" si="607">C7827+D7803</f>
        <v>201907</v>
      </c>
      <c r="E7827" s="1">
        <v>11</v>
      </c>
      <c r="F7827" s="47">
        <f t="shared" ref="F7827:F7873" si="608">E7827+F7803</f>
        <v>5782</v>
      </c>
      <c r="G7827" s="212">
        <f>SUM(C7827,C7803,C7779,C7755,C7731,C7707,C7683,C7659,C7635,C7611,C7587,C7563,C7539,C7515)/POBLA!$B$2*100000</f>
        <v>556.53348922470275</v>
      </c>
      <c r="H7827" s="204">
        <f t="shared" si="606"/>
        <v>1.1267855967349087</v>
      </c>
    </row>
    <row r="7828" spans="1:8" ht="15.75" thickBot="1" x14ac:dyDescent="0.3">
      <c r="A7828" s="34" t="s">
        <v>28</v>
      </c>
      <c r="B7828" s="37">
        <v>44219</v>
      </c>
      <c r="C7828" s="366">
        <v>53</v>
      </c>
      <c r="D7828" s="365">
        <f t="shared" si="607"/>
        <v>4682</v>
      </c>
      <c r="F7828" s="47">
        <f t="shared" si="608"/>
        <v>17</v>
      </c>
      <c r="G7828" s="212">
        <f>SUM(C7828,C7804,C7780,C7756,C7732,C7708,C7684,C7660,C7636,C7612,C7588,C7564,C7540,C7516)/POBLA!$B$3*100000</f>
        <v>375.50729591419179</v>
      </c>
      <c r="H7828" s="204">
        <f t="shared" si="606"/>
        <v>2.6351351351351351</v>
      </c>
    </row>
    <row r="7829" spans="1:8" ht="15.75" thickBot="1" x14ac:dyDescent="0.3">
      <c r="A7829" s="34" t="s">
        <v>15</v>
      </c>
      <c r="B7829" s="37">
        <v>44219</v>
      </c>
      <c r="C7829" s="366">
        <v>172</v>
      </c>
      <c r="D7829" s="365">
        <f t="shared" si="607"/>
        <v>29677</v>
      </c>
      <c r="F7829" s="47">
        <f t="shared" si="608"/>
        <v>776</v>
      </c>
      <c r="G7829" s="212">
        <f>SUM(C7829,C7805,C7781,C7757,C7733,C7709,C7685,C7661,C7637,C7613,C7589,C7565,C7541,C7517)/POBLA!$B$4*100000</f>
        <v>243.9933551452379</v>
      </c>
      <c r="H7829" s="204">
        <f t="shared" si="606"/>
        <v>0.99257007767646066</v>
      </c>
    </row>
    <row r="7830" spans="1:8" ht="15.75" thickBot="1" x14ac:dyDescent="0.3">
      <c r="A7830" s="34" t="s">
        <v>29</v>
      </c>
      <c r="B7830" s="37">
        <v>44219</v>
      </c>
      <c r="C7830" s="366">
        <v>199</v>
      </c>
      <c r="D7830" s="365">
        <f t="shared" si="607"/>
        <v>40148</v>
      </c>
      <c r="E7830" s="1">
        <v>2</v>
      </c>
      <c r="F7830" s="47">
        <f t="shared" si="608"/>
        <v>594</v>
      </c>
      <c r="G7830" s="212">
        <f>SUM(C7830,C7806,C7782,C7758,C7734,C7710,C7686,C7662,C7638,C7614,C7590,C7566,C7542,C7518)/POBLA!$B$5*100000</f>
        <v>811.31642633046533</v>
      </c>
      <c r="H7830" s="204">
        <f t="shared" si="606"/>
        <v>0.93</v>
      </c>
    </row>
    <row r="7831" spans="1:8" ht="15.75" thickBot="1" x14ac:dyDescent="0.3">
      <c r="A7831" s="34" t="s">
        <v>30</v>
      </c>
      <c r="B7831" s="37">
        <v>44219</v>
      </c>
      <c r="C7831" s="366">
        <v>162</v>
      </c>
      <c r="D7831" s="365">
        <f>C7831+D7807</f>
        <v>16239</v>
      </c>
      <c r="E7831" s="1">
        <v>1</v>
      </c>
      <c r="F7831" s="47">
        <f t="shared" si="608"/>
        <v>2565</v>
      </c>
      <c r="G7831" s="212">
        <f>SUM(C7831,C7807,C7783,C7759,C7735,C7711,C7687,C7663,C7639,C7615,C7591,C7567,C7543,C7519)/POBLA!$B$7*100000</f>
        <v>144.50398223616855</v>
      </c>
      <c r="H7831" s="204">
        <f t="shared" si="606"/>
        <v>0.66171456405260598</v>
      </c>
    </row>
    <row r="7832" spans="1:8" ht="15.75" thickBot="1" x14ac:dyDescent="0.3">
      <c r="A7832" s="34" t="s">
        <v>20</v>
      </c>
      <c r="B7832" s="37">
        <v>44219</v>
      </c>
      <c r="C7832" s="366">
        <v>544</v>
      </c>
      <c r="D7832" s="365">
        <f>C7832+D7808</f>
        <v>141220</v>
      </c>
      <c r="E7832" s="1">
        <v>17</v>
      </c>
      <c r="F7832" s="47">
        <f t="shared" si="608"/>
        <v>239</v>
      </c>
      <c r="G7832" s="212">
        <f>SUM(C7832,C7808,C7784,C7760,C7736,C7712,C7688,C7664,C7640,C7616,C7592,C7568,C7544,C7520)/POBLA!$B$6*100000</f>
        <v>472.96531676898934</v>
      </c>
      <c r="H7832" s="204">
        <f t="shared" si="606"/>
        <v>2.1220976781425138</v>
      </c>
    </row>
    <row r="7833" spans="1:8" ht="15.75" thickBot="1" x14ac:dyDescent="0.3">
      <c r="A7833" s="34" t="s">
        <v>31</v>
      </c>
      <c r="B7833" s="37">
        <v>44219</v>
      </c>
      <c r="C7833" s="366">
        <v>302</v>
      </c>
      <c r="D7833" s="365">
        <f t="shared" si="607"/>
        <v>38854</v>
      </c>
      <c r="E7833" s="1">
        <v>1</v>
      </c>
      <c r="F7833" s="47">
        <f t="shared" si="608"/>
        <v>666</v>
      </c>
      <c r="G7833" s="212">
        <f>SUM(C7833,C7809,C7785,C7761,C7737,C7713,C7689,C7665,C7641,C7617,C7593,C7569,C7545,C7521)/POBLA!$B$8*100000</f>
        <v>408.5973559140553</v>
      </c>
      <c r="H7833" s="204">
        <f t="shared" si="606"/>
        <v>1.0749810174639332</v>
      </c>
    </row>
    <row r="7834" spans="1:8" ht="15.75" thickBot="1" x14ac:dyDescent="0.3">
      <c r="A7834" s="34" t="s">
        <v>41</v>
      </c>
      <c r="B7834" s="37">
        <v>44219</v>
      </c>
      <c r="C7834" s="366">
        <v>3</v>
      </c>
      <c r="D7834" s="365">
        <f t="shared" si="607"/>
        <v>800</v>
      </c>
      <c r="F7834" s="47">
        <f t="shared" si="608"/>
        <v>6</v>
      </c>
      <c r="G7834" s="212">
        <f>SUM(C7834,C7810,C7786,C7762,C7738,C7714,C7690,C7666,C7642,C7618,C7594,C7570,C7546,C7522)/POBLA!$B$9*100000</f>
        <v>89.392970506929188</v>
      </c>
      <c r="H7834" s="204">
        <f t="shared" si="606"/>
        <v>11.760869565217391</v>
      </c>
    </row>
    <row r="7835" spans="1:8" ht="15.75" thickBot="1" x14ac:dyDescent="0.3">
      <c r="A7835" s="34" t="s">
        <v>32</v>
      </c>
      <c r="B7835" s="37">
        <v>44219</v>
      </c>
      <c r="C7835" s="366">
        <v>8</v>
      </c>
      <c r="D7835" s="365">
        <f t="shared" si="607"/>
        <v>19064</v>
      </c>
      <c r="E7835" s="1">
        <v>1</v>
      </c>
      <c r="F7835" s="47">
        <f t="shared" si="608"/>
        <v>866</v>
      </c>
      <c r="G7835" s="212">
        <f>SUM(C7835,C7811,C7787,C7763,C7739,C7715,C7691,C7667,C7643,C7619,C7595,C7571,C7547,C7523)/POBLA!$B$10*100000</f>
        <v>51.629239791874497</v>
      </c>
      <c r="H7835" s="204">
        <f t="shared" si="606"/>
        <v>2.3975903614457832</v>
      </c>
    </row>
    <row r="7836" spans="1:8" ht="15.75" thickBot="1" x14ac:dyDescent="0.3">
      <c r="A7836" s="34" t="s">
        <v>33</v>
      </c>
      <c r="B7836" s="37">
        <v>44219</v>
      </c>
      <c r="C7836" s="366">
        <v>106</v>
      </c>
      <c r="D7836" s="365">
        <f t="shared" si="607"/>
        <v>15750</v>
      </c>
      <c r="F7836" s="47">
        <f t="shared" si="608"/>
        <v>209</v>
      </c>
      <c r="G7836" s="212">
        <f>SUM(C7836,C7812,C7788,C7764,C7740,C7716,C7692,C7668,C7644,C7620,C7596,C7572,C7548,C7524)/POBLA!$B$11*100000</f>
        <v>656.19873447386919</v>
      </c>
      <c r="H7836" s="204">
        <f t="shared" si="606"/>
        <v>0.60602937387271327</v>
      </c>
    </row>
    <row r="7837" spans="1:8" ht="15.75" thickBot="1" x14ac:dyDescent="0.3">
      <c r="A7837" s="34" t="s">
        <v>21</v>
      </c>
      <c r="B7837" s="37">
        <v>44219</v>
      </c>
      <c r="C7837" s="366">
        <v>13</v>
      </c>
      <c r="D7837" s="365">
        <f t="shared" si="607"/>
        <v>9402</v>
      </c>
      <c r="F7837" s="47">
        <f t="shared" si="608"/>
        <v>404</v>
      </c>
      <c r="G7837" s="212">
        <f>SUM(C7837,C7813,C7789,C7765,C7741,C7717,C7693,C7669,C7645,C7621,C7597,C7573,C7549,C7525)/POBLA!$B$12*100000</f>
        <v>51.584246222025719</v>
      </c>
      <c r="H7837" s="204">
        <f t="shared" si="606"/>
        <v>1.4710144927536233</v>
      </c>
    </row>
    <row r="7838" spans="1:8" ht="15.75" thickBot="1" x14ac:dyDescent="0.3">
      <c r="A7838" s="34" t="s">
        <v>17</v>
      </c>
      <c r="B7838" s="37">
        <v>44219</v>
      </c>
      <c r="C7838" s="366">
        <v>101</v>
      </c>
      <c r="D7838" s="365">
        <f t="shared" si="607"/>
        <v>63092</v>
      </c>
      <c r="E7838" s="1">
        <v>2</v>
      </c>
      <c r="F7838" s="47">
        <f t="shared" si="608"/>
        <v>1315</v>
      </c>
      <c r="G7838" s="212">
        <f>SUM(C7838,C7814,C7790,C7766,C7742,C7718,C7694,C7670,C7646,C7622,C7598,C7574,C7550,C7526)/POBLA!$B$13*100000</f>
        <v>94.355833029364859</v>
      </c>
      <c r="H7838" s="204">
        <f t="shared" si="606"/>
        <v>1.1340579710144927</v>
      </c>
    </row>
    <row r="7839" spans="1:8" ht="15.75" thickBot="1" x14ac:dyDescent="0.3">
      <c r="A7839" s="34" t="s">
        <v>23</v>
      </c>
      <c r="B7839" s="37">
        <v>44219</v>
      </c>
      <c r="C7839" s="366">
        <v>214</v>
      </c>
      <c r="D7839" s="365">
        <f t="shared" si="607"/>
        <v>3308</v>
      </c>
      <c r="F7839" s="47">
        <f t="shared" si="608"/>
        <v>63</v>
      </c>
      <c r="G7839" s="212">
        <f>SUM(C7839,C7815,C7791,C7767,C7743,C7719,C7695,C7671,C7647,C7623,C7599,C7575,C7551,C7527)/POBLA!$B$14*100000</f>
        <v>156.42665389671242</v>
      </c>
      <c r="H7839" s="204">
        <f t="shared" si="606"/>
        <v>5.6858789625360231</v>
      </c>
    </row>
    <row r="7840" spans="1:8" ht="15.75" thickBot="1" x14ac:dyDescent="0.3">
      <c r="A7840" s="34" t="s">
        <v>19</v>
      </c>
      <c r="B7840" s="37">
        <v>44219</v>
      </c>
      <c r="C7840" s="366">
        <v>241</v>
      </c>
      <c r="D7840" s="365">
        <f t="shared" si="607"/>
        <v>50836</v>
      </c>
      <c r="E7840" s="1">
        <v>1</v>
      </c>
      <c r="F7840" s="47">
        <f t="shared" si="608"/>
        <v>761</v>
      </c>
      <c r="G7840" s="212">
        <f>SUM(C7840,C7816,C7792,C7768,C7744,C7720,C7696,C7672,C7648,C7624,C7600,C7576,C7552,C7528)/POBLA!$B$15*100000</f>
        <v>890.73678916117149</v>
      </c>
      <c r="H7840" s="204">
        <f t="shared" si="606"/>
        <v>1.0491308974813764</v>
      </c>
    </row>
    <row r="7841" spans="1:8" ht="15.75" thickBot="1" x14ac:dyDescent="0.3">
      <c r="A7841" s="34" t="s">
        <v>18</v>
      </c>
      <c r="B7841" s="37">
        <v>44219</v>
      </c>
      <c r="C7841" s="366">
        <v>286</v>
      </c>
      <c r="D7841" s="365">
        <f t="shared" si="607"/>
        <v>45870</v>
      </c>
      <c r="E7841" s="1">
        <v>3</v>
      </c>
      <c r="F7841" s="47">
        <f t="shared" si="608"/>
        <v>1026</v>
      </c>
      <c r="G7841" s="212">
        <f>SUM(C7841,C7817,C7793,C7769,C7745,C7721,C7697,C7673,C7649,C7625,C7601,C7577,C7553,C7529)/POBLA!$B$16*100000</f>
        <v>613.55519589090568</v>
      </c>
      <c r="H7841" s="204">
        <f t="shared" si="606"/>
        <v>1.1002638522427441</v>
      </c>
    </row>
    <row r="7842" spans="1:8" ht="15.75" thickBot="1" x14ac:dyDescent="0.3">
      <c r="A7842" s="34" t="s">
        <v>34</v>
      </c>
      <c r="B7842" s="37">
        <v>44219</v>
      </c>
      <c r="C7842" s="366">
        <v>59</v>
      </c>
      <c r="D7842" s="365">
        <f t="shared" si="607"/>
        <v>23416</v>
      </c>
      <c r="E7842" s="1">
        <v>2</v>
      </c>
      <c r="F7842" s="47">
        <f t="shared" si="608"/>
        <v>1033</v>
      </c>
      <c r="G7842" s="212">
        <f>SUM(C7842,C7818,C7794,C7770,C7746,C7722,C7698,C7674,C7650,C7626,C7602,C7578,C7554,C7530)/POBLA!$B$17*100000</f>
        <v>51.039141475304987</v>
      </c>
      <c r="H7842" s="204">
        <f t="shared" si="606"/>
        <v>1.4034749034749034</v>
      </c>
    </row>
    <row r="7843" spans="1:8" ht="15.75" thickBot="1" x14ac:dyDescent="0.3">
      <c r="A7843" s="34" t="s">
        <v>35</v>
      </c>
      <c r="B7843" s="37">
        <v>44219</v>
      </c>
      <c r="C7843" s="366">
        <v>32</v>
      </c>
      <c r="D7843" s="365">
        <f t="shared" si="607"/>
        <v>13536</v>
      </c>
      <c r="F7843" s="47">
        <f t="shared" si="608"/>
        <v>216</v>
      </c>
      <c r="G7843" s="212">
        <f>SUM(C7843,C7819,C7795,C7771,C7747,C7723,C7699,C7675,C7651,C7627,C7603,C7579,C7555,C7531)/POBLA!$B$18*100000</f>
        <v>150.66236397825443</v>
      </c>
      <c r="H7843" s="204">
        <f t="shared" si="606"/>
        <v>0.80122532334921714</v>
      </c>
    </row>
    <row r="7844" spans="1:8" ht="15.75" thickBot="1" x14ac:dyDescent="0.3">
      <c r="A7844" s="34" t="s">
        <v>36</v>
      </c>
      <c r="B7844" s="37">
        <v>44219</v>
      </c>
      <c r="C7844" s="366">
        <v>475</v>
      </c>
      <c r="D7844" s="365">
        <f t="shared" si="607"/>
        <v>18401</v>
      </c>
      <c r="E7844" s="1">
        <v>1</v>
      </c>
      <c r="F7844" s="47">
        <f t="shared" si="608"/>
        <v>336</v>
      </c>
      <c r="G7844" s="212">
        <f>SUM(C7844,C7820,C7796,C7772,C7748,C7724,C7700,C7676,C7652,C7628,C7604,C7580,C7556,C7532)/POBLA!$B$19*100000</f>
        <v>366.88909522985159</v>
      </c>
      <c r="H7844" s="204">
        <f t="shared" si="606"/>
        <v>3.4409594095940959</v>
      </c>
    </row>
    <row r="7845" spans="1:8" ht="15.75" thickBot="1" x14ac:dyDescent="0.3">
      <c r="A7845" s="34" t="s">
        <v>37</v>
      </c>
      <c r="B7845" s="37">
        <v>44219</v>
      </c>
      <c r="C7845" s="366">
        <v>179</v>
      </c>
      <c r="D7845" s="365">
        <f t="shared" si="607"/>
        <v>31347</v>
      </c>
      <c r="E7845" s="1">
        <v>4</v>
      </c>
      <c r="F7845" s="47">
        <f t="shared" si="608"/>
        <v>481</v>
      </c>
      <c r="G7845" s="212">
        <f>SUM(C7845,C7821,C7797,C7773,C7749,C7725,C7701,C7677,C7653,C7629,C7605,C7581,C7557,C7533)/POBLA!$B$20*100000</f>
        <v>1205.3661764625456</v>
      </c>
      <c r="H7845" s="204">
        <f t="shared" si="606"/>
        <v>0.89194658033184948</v>
      </c>
    </row>
    <row r="7846" spans="1:8" ht="15.75" thickBot="1" x14ac:dyDescent="0.3">
      <c r="A7846" s="34" t="s">
        <v>22</v>
      </c>
      <c r="B7846" s="37">
        <v>44219</v>
      </c>
      <c r="C7846" s="366">
        <v>698</v>
      </c>
      <c r="D7846" s="365">
        <f t="shared" si="607"/>
        <v>201187</v>
      </c>
      <c r="E7846" s="1">
        <v>5</v>
      </c>
      <c r="F7846" s="47">
        <f t="shared" si="608"/>
        <v>3304</v>
      </c>
      <c r="G7846" s="212">
        <f>SUM(C7846,C7822,C7798,C7774,C7750,C7726,C7702,C7678,C7654,C7630,C7606,C7582,C7558,C7534)/POBLA!$B$21*100000</f>
        <v>432.55633242450415</v>
      </c>
      <c r="H7846" s="204">
        <f t="shared" si="606"/>
        <v>1.0530772408095828</v>
      </c>
    </row>
    <row r="7847" spans="1:8" ht="15.75" thickBot="1" x14ac:dyDescent="0.3">
      <c r="A7847" s="34" t="s">
        <v>38</v>
      </c>
      <c r="B7847" s="37">
        <v>44219</v>
      </c>
      <c r="C7847" s="366">
        <v>170</v>
      </c>
      <c r="D7847" s="365">
        <f t="shared" si="607"/>
        <v>20328</v>
      </c>
      <c r="E7847" s="1">
        <v>1</v>
      </c>
      <c r="F7847" s="47">
        <f t="shared" si="608"/>
        <v>244</v>
      </c>
      <c r="G7847" s="212">
        <f>SUM(C7847,C7823,C7799,C7775,C7751,C7727,C7703,C7679,C7655,C7631,C7607,C7583,C7559,C7535)/POBLA!$B$22*100000</f>
        <v>181.53699276203014</v>
      </c>
      <c r="H7847" s="204">
        <f t="shared" si="606"/>
        <v>1.1800664451827243</v>
      </c>
    </row>
    <row r="7848" spans="1:8" ht="15.75" thickBot="1" x14ac:dyDescent="0.3">
      <c r="A7848" s="34" t="s">
        <v>39</v>
      </c>
      <c r="B7848" s="37">
        <v>44219</v>
      </c>
      <c r="C7848" s="366">
        <v>74</v>
      </c>
      <c r="D7848" s="365">
        <f t="shared" si="607"/>
        <v>21344</v>
      </c>
      <c r="E7848" s="1">
        <v>1</v>
      </c>
      <c r="F7848" s="47">
        <f t="shared" si="608"/>
        <v>321</v>
      </c>
      <c r="G7848" s="212">
        <f>SUM(C7848,C7824,C7800,C7776,C7752,C7728,C7704,C7680,C7656,C7632,C7608,C7584,C7560,C7536)/POBLA!$B$23*100000</f>
        <v>705.1970819431092</v>
      </c>
      <c r="H7848" s="204">
        <f t="shared" si="606"/>
        <v>0.86237897648686035</v>
      </c>
    </row>
    <row r="7849" spans="1:8" ht="15.75" thickBot="1" x14ac:dyDescent="0.3">
      <c r="A7849" s="34" t="s">
        <v>40</v>
      </c>
      <c r="B7849" s="37">
        <v>44219</v>
      </c>
      <c r="C7849" s="366">
        <v>82</v>
      </c>
      <c r="D7849" s="365">
        <f t="shared" si="607"/>
        <v>75246</v>
      </c>
      <c r="F7849" s="81">
        <f t="shared" si="608"/>
        <v>1418</v>
      </c>
      <c r="G7849" s="212">
        <f>SUM(C7849,C7825,C7801,C7777,C7753,C7729,C7705,C7681,C7657,C7633,C7609,C7585,C7561,C7537)/POBLA!$B$24*100000</f>
        <v>148.93878167604515</v>
      </c>
      <c r="H7849" s="204">
        <f t="shared" si="606"/>
        <v>1.0667793744716823</v>
      </c>
    </row>
    <row r="7850" spans="1:8" ht="15.75" thickBot="1" x14ac:dyDescent="0.3">
      <c r="A7850" s="34" t="s">
        <v>16</v>
      </c>
      <c r="B7850" s="37">
        <v>44220</v>
      </c>
      <c r="C7850" s="1">
        <v>2091</v>
      </c>
      <c r="D7850" s="365">
        <f>C7850+D7826</f>
        <v>778629</v>
      </c>
      <c r="E7850" s="1">
        <v>44</v>
      </c>
      <c r="F7850" s="47">
        <f>E7850+F7826</f>
        <v>24079</v>
      </c>
      <c r="G7850" s="212">
        <f>SUM(C7850,C7826,C7802,C7778,C7754,C7730,C7706,C7682,C7658,C7634,C7610,C7586,C7562,C7538)/POBLA!$B$1*100000</f>
        <v>323.09756816845606</v>
      </c>
      <c r="H7850" s="204">
        <f t="shared" ref="H7850:H7872" si="609">SUM(C7850,C7826,C7802,C7778,C7754,C7730,C7706,C7682,C7658,C7634,C7610,C7586,C7562,C7538)/SUM(C7514,C7490,C7466,C7442,C7418,C7394,C7370,C7346,C7322,C7298,C7274,C7250,C7226,C7202)</f>
        <v>1.0502371951671485</v>
      </c>
    </row>
    <row r="7851" spans="1:8" ht="15.75" thickBot="1" x14ac:dyDescent="0.3">
      <c r="A7851" s="34" t="s">
        <v>43</v>
      </c>
      <c r="B7851" s="37">
        <v>44220</v>
      </c>
      <c r="C7851" s="1">
        <v>706</v>
      </c>
      <c r="D7851" s="365">
        <f t="shared" si="607"/>
        <v>202613</v>
      </c>
      <c r="E7851" s="1">
        <v>21</v>
      </c>
      <c r="F7851" s="47">
        <f t="shared" si="608"/>
        <v>5803</v>
      </c>
      <c r="G7851" s="212">
        <f>SUM(C7851,C7827,C7803,C7779,C7755,C7731,C7707,C7683,C7659,C7635,C7611,C7587,C7563,C7539)/POBLA!$B$2*100000</f>
        <v>538.94368857794427</v>
      </c>
      <c r="H7851" s="204">
        <f t="shared" si="609"/>
        <v>1.0551241247612986</v>
      </c>
    </row>
    <row r="7852" spans="1:8" ht="15.75" thickBot="1" x14ac:dyDescent="0.3">
      <c r="A7852" s="34" t="s">
        <v>28</v>
      </c>
      <c r="B7852" s="37">
        <v>44220</v>
      </c>
      <c r="C7852" s="1">
        <v>49</v>
      </c>
      <c r="D7852" s="365">
        <f t="shared" si="607"/>
        <v>4731</v>
      </c>
      <c r="F7852" s="47">
        <f t="shared" si="608"/>
        <v>17</v>
      </c>
      <c r="G7852" s="212">
        <f>SUM(C7852,C7828,C7804,C7780,C7756,C7732,C7708,C7684,C7660,C7636,C7612,C7588,C7564,C7540)/POBLA!$B$3*100000</f>
        <v>375.02587630404537</v>
      </c>
      <c r="H7852" s="204">
        <f t="shared" si="609"/>
        <v>2.6097152428810722</v>
      </c>
    </row>
    <row r="7853" spans="1:8" ht="15.75" thickBot="1" x14ac:dyDescent="0.3">
      <c r="A7853" s="34" t="s">
        <v>15</v>
      </c>
      <c r="B7853" s="37">
        <v>44220</v>
      </c>
      <c r="C7853" s="1">
        <v>137</v>
      </c>
      <c r="D7853" s="365">
        <f t="shared" si="607"/>
        <v>29814</v>
      </c>
      <c r="F7853" s="47">
        <f t="shared" si="608"/>
        <v>776</v>
      </c>
      <c r="G7853" s="212">
        <f>SUM(C7853,C7829,C7805,C7781,C7757,C7733,C7709,C7685,C7661,C7637,C7613,C7589,C7565,C7541)/POBLA!$B$4*100000</f>
        <v>239.51031969854077</v>
      </c>
      <c r="H7853" s="204">
        <f t="shared" si="609"/>
        <v>0.93608046722907201</v>
      </c>
    </row>
    <row r="7854" spans="1:8" ht="15.75" thickBot="1" x14ac:dyDescent="0.3">
      <c r="A7854" s="34" t="s">
        <v>29</v>
      </c>
      <c r="B7854" s="37">
        <v>44220</v>
      </c>
      <c r="C7854" s="1">
        <v>108</v>
      </c>
      <c r="D7854" s="365">
        <f t="shared" si="607"/>
        <v>40256</v>
      </c>
      <c r="F7854" s="47">
        <f t="shared" si="608"/>
        <v>594</v>
      </c>
      <c r="G7854" s="212">
        <f>SUM(C7854,C7830,C7806,C7782,C7758,C7734,C7710,C7686,C7662,C7638,C7614,C7590,C7566,C7542)/POBLA!$B$5*100000</f>
        <v>797.42291524635129</v>
      </c>
      <c r="H7854" s="204">
        <f t="shared" si="609"/>
        <v>0.90751976466262185</v>
      </c>
    </row>
    <row r="7855" spans="1:8" ht="15.75" thickBot="1" x14ac:dyDescent="0.3">
      <c r="A7855" s="34" t="s">
        <v>30</v>
      </c>
      <c r="B7855" s="37">
        <v>44220</v>
      </c>
      <c r="C7855" s="1">
        <v>64</v>
      </c>
      <c r="D7855" s="365">
        <f>C7855+D7831</f>
        <v>16303</v>
      </c>
      <c r="F7855" s="47">
        <f t="shared" si="608"/>
        <v>2565</v>
      </c>
      <c r="G7855" s="212">
        <f>SUM(C7855,C7831,C7807,C7783,C7759,C7735,C7711,C7687,C7663,C7639,C7615,C7591,C7567,C7543)/POBLA!$B$7*100000</f>
        <v>133.81377228789106</v>
      </c>
      <c r="H7855" s="204">
        <f t="shared" si="609"/>
        <v>0.5954324931960715</v>
      </c>
    </row>
    <row r="7856" spans="1:8" ht="15.75" thickBot="1" x14ac:dyDescent="0.3">
      <c r="A7856" s="34" t="s">
        <v>20</v>
      </c>
      <c r="B7856" s="37">
        <v>44220</v>
      </c>
      <c r="C7856" s="1">
        <v>264</v>
      </c>
      <c r="D7856" s="365">
        <f>C7856+D7832</f>
        <v>141484</v>
      </c>
      <c r="E7856" s="1">
        <v>4</v>
      </c>
      <c r="F7856" s="47">
        <f t="shared" si="608"/>
        <v>243</v>
      </c>
      <c r="G7856" s="212">
        <f>SUM(C7856,C7832,C7808,C7784,C7760,C7736,C7712,C7688,C7664,C7640,C7616,C7592,C7568,C7544)/POBLA!$B$6*100000</f>
        <v>485.90249294923899</v>
      </c>
      <c r="H7856" s="204">
        <f t="shared" si="609"/>
        <v>2.2863140218303948</v>
      </c>
    </row>
    <row r="7857" spans="1:8" ht="15.75" thickBot="1" x14ac:dyDescent="0.3">
      <c r="A7857" s="34" t="s">
        <v>31</v>
      </c>
      <c r="B7857" s="37">
        <v>44220</v>
      </c>
      <c r="C7857" s="1">
        <v>219</v>
      </c>
      <c r="D7857" s="365">
        <f t="shared" si="607"/>
        <v>39073</v>
      </c>
      <c r="E7857" s="1">
        <v>4</v>
      </c>
      <c r="F7857" s="47">
        <f t="shared" si="608"/>
        <v>670</v>
      </c>
      <c r="G7857" s="212">
        <f>SUM(C7857,C7833,C7809,C7785,C7761,C7737,C7713,C7689,C7665,C7641,C7617,C7593,C7569,C7545)/POBLA!$B$8*100000</f>
        <v>399.14543049912658</v>
      </c>
      <c r="H7857" s="204">
        <f t="shared" si="609"/>
        <v>1.0126304228445908</v>
      </c>
    </row>
    <row r="7858" spans="1:8" ht="15.75" thickBot="1" x14ac:dyDescent="0.3">
      <c r="A7858" s="34" t="s">
        <v>41</v>
      </c>
      <c r="B7858" s="37">
        <v>44220</v>
      </c>
      <c r="C7858" s="1">
        <v>6</v>
      </c>
      <c r="D7858" s="365">
        <f t="shared" si="607"/>
        <v>806</v>
      </c>
      <c r="F7858" s="47">
        <f t="shared" si="608"/>
        <v>6</v>
      </c>
      <c r="G7858" s="212">
        <f>SUM(C7858,C7834,C7810,C7786,C7762,C7738,C7714,C7690,C7666,C7642,C7618,C7594,C7570,C7546)/POBLA!$B$9*100000</f>
        <v>85.096820353176582</v>
      </c>
      <c r="H7858" s="204">
        <f t="shared" si="609"/>
        <v>6.6883116883116882</v>
      </c>
    </row>
    <row r="7859" spans="1:8" ht="15.75" thickBot="1" x14ac:dyDescent="0.3">
      <c r="A7859" s="34" t="s">
        <v>32</v>
      </c>
      <c r="B7859" s="37">
        <v>44220</v>
      </c>
      <c r="C7859" s="1">
        <v>29</v>
      </c>
      <c r="D7859" s="365">
        <f t="shared" si="607"/>
        <v>19093</v>
      </c>
      <c r="F7859" s="47">
        <f t="shared" si="608"/>
        <v>866</v>
      </c>
      <c r="G7859" s="212">
        <f>SUM(C7859,C7835,C7811,C7787,C7763,C7739,C7715,C7691,C7667,C7643,C7619,C7595,C7571,C7547)/POBLA!$B$10*100000</f>
        <v>52.796735164052556</v>
      </c>
      <c r="H7859" s="204">
        <f t="shared" si="609"/>
        <v>2.2611111111111111</v>
      </c>
    </row>
    <row r="7860" spans="1:8" ht="15.75" thickBot="1" x14ac:dyDescent="0.3">
      <c r="A7860" s="34" t="s">
        <v>33</v>
      </c>
      <c r="B7860" s="37">
        <v>44220</v>
      </c>
      <c r="C7860" s="1">
        <v>43</v>
      </c>
      <c r="D7860" s="365">
        <f t="shared" si="607"/>
        <v>15793</v>
      </c>
      <c r="E7860" s="1">
        <v>1</v>
      </c>
      <c r="F7860" s="47">
        <f t="shared" si="608"/>
        <v>210</v>
      </c>
      <c r="G7860" s="212">
        <f>SUM(C7860,C7836,C7812,C7788,C7764,C7740,C7716,C7692,C7668,C7644,C7620,C7596,C7572,C7548)/POBLA!$B$11*100000</f>
        <v>639.73796689990741</v>
      </c>
      <c r="H7860" s="204">
        <f t="shared" si="609"/>
        <v>0.60437532946758044</v>
      </c>
    </row>
    <row r="7861" spans="1:8" ht="15.75" thickBot="1" x14ac:dyDescent="0.3">
      <c r="A7861" s="34" t="s">
        <v>21</v>
      </c>
      <c r="B7861" s="37">
        <v>44220</v>
      </c>
      <c r="C7861" s="1">
        <v>36</v>
      </c>
      <c r="D7861" s="365">
        <f t="shared" si="607"/>
        <v>9438</v>
      </c>
      <c r="F7861" s="47">
        <f t="shared" si="608"/>
        <v>404</v>
      </c>
      <c r="G7861" s="212">
        <f>SUM(C7861,C7837,C7813,C7789,C7765,C7741,C7717,C7693,C7669,C7645,C7621,C7597,C7573,C7549)/POBLA!$B$12*100000</f>
        <v>56.920547555338715</v>
      </c>
      <c r="H7861" s="204">
        <f t="shared" si="609"/>
        <v>1.5342465753424657</v>
      </c>
    </row>
    <row r="7862" spans="1:8" ht="15.75" thickBot="1" x14ac:dyDescent="0.3">
      <c r="A7862" s="34" t="s">
        <v>17</v>
      </c>
      <c r="B7862" s="37">
        <v>44220</v>
      </c>
      <c r="C7862" s="1">
        <v>63</v>
      </c>
      <c r="D7862" s="365">
        <f t="shared" si="607"/>
        <v>63155</v>
      </c>
      <c r="E7862" s="1">
        <v>2</v>
      </c>
      <c r="F7862" s="47">
        <f t="shared" si="608"/>
        <v>1317</v>
      </c>
      <c r="G7862" s="212">
        <f>SUM(C7862,C7838,C7814,C7790,C7766,C7742,C7718,C7694,C7670,C7646,C7622,C7598,C7574,C7550)/POBLA!$B$13*100000</f>
        <v>93.702677635657864</v>
      </c>
      <c r="H7862" s="204">
        <f t="shared" si="609"/>
        <v>1.1094586555621653</v>
      </c>
    </row>
    <row r="7863" spans="1:8" ht="15.75" thickBot="1" x14ac:dyDescent="0.3">
      <c r="A7863" s="34" t="s">
        <v>23</v>
      </c>
      <c r="B7863" s="37">
        <v>44220</v>
      </c>
      <c r="C7863" s="1">
        <v>159</v>
      </c>
      <c r="D7863" s="365">
        <f t="shared" si="607"/>
        <v>3467</v>
      </c>
      <c r="E7863" s="1">
        <v>1</v>
      </c>
      <c r="F7863" s="47">
        <f t="shared" si="608"/>
        <v>64</v>
      </c>
      <c r="G7863" s="212">
        <f>SUM(C7863,C7839,C7815,C7791,C7767,C7743,C7719,C7695,C7671,C7647,C7623,C7599,C7575,C7551)/POBLA!$B$14*100000</f>
        <v>160.31155305582996</v>
      </c>
      <c r="H7863" s="204">
        <f t="shared" si="609"/>
        <v>4.6589861751152073</v>
      </c>
    </row>
    <row r="7864" spans="1:8" ht="15.75" thickBot="1" x14ac:dyDescent="0.3">
      <c r="A7864" s="34" t="s">
        <v>19</v>
      </c>
      <c r="B7864" s="37">
        <v>44220</v>
      </c>
      <c r="C7864" s="1">
        <v>149</v>
      </c>
      <c r="D7864" s="365">
        <f t="shared" si="607"/>
        <v>50985</v>
      </c>
      <c r="F7864" s="47">
        <f t="shared" si="608"/>
        <v>761</v>
      </c>
      <c r="G7864" s="212">
        <f>SUM(C7864,C7840,C7816,C7792,C7768,C7744,C7720,C7696,C7672,C7648,C7624,C7600,C7576,C7552)/POBLA!$B$15*100000</f>
        <v>878.6896305588225</v>
      </c>
      <c r="H7864" s="204">
        <f t="shared" si="609"/>
        <v>1.0086430423509076</v>
      </c>
    </row>
    <row r="7865" spans="1:8" ht="15.75" thickBot="1" x14ac:dyDescent="0.3">
      <c r="A7865" s="34" t="s">
        <v>18</v>
      </c>
      <c r="B7865" s="37">
        <v>44220</v>
      </c>
      <c r="C7865" s="1">
        <v>108</v>
      </c>
      <c r="D7865" s="365">
        <f t="shared" si="607"/>
        <v>45978</v>
      </c>
      <c r="E7865" s="1">
        <v>7</v>
      </c>
      <c r="F7865" s="47">
        <f t="shared" si="608"/>
        <v>1033</v>
      </c>
      <c r="G7865" s="212">
        <f>SUM(C7865,C7841,C7817,C7793,C7769,C7745,C7721,C7697,C7673,C7649,C7625,C7601,C7577,C7553)/POBLA!$B$16*100000</f>
        <v>601.11555490161982</v>
      </c>
      <c r="H7865" s="204">
        <f t="shared" si="609"/>
        <v>1.0682196339434276</v>
      </c>
    </row>
    <row r="7866" spans="1:8" ht="15.75" thickBot="1" x14ac:dyDescent="0.3">
      <c r="A7866" s="34" t="s">
        <v>34</v>
      </c>
      <c r="B7866" s="37">
        <v>44220</v>
      </c>
      <c r="C7866" s="1">
        <v>26</v>
      </c>
      <c r="D7866" s="365">
        <f t="shared" si="607"/>
        <v>23442</v>
      </c>
      <c r="F7866" s="47">
        <f t="shared" si="608"/>
        <v>1033</v>
      </c>
      <c r="G7866" s="212">
        <f>SUM(C7866,C7842,C7818,C7794,C7770,C7746,C7722,C7698,C7674,C7650,C7626,C7602,C7578,C7554)/POBLA!$B$17*100000</f>
        <v>51.390167207597322</v>
      </c>
      <c r="H7866" s="204">
        <f t="shared" si="609"/>
        <v>1.4581673306772909</v>
      </c>
    </row>
    <row r="7867" spans="1:8" ht="15.75" thickBot="1" x14ac:dyDescent="0.3">
      <c r="A7867" s="34" t="s">
        <v>35</v>
      </c>
      <c r="B7867" s="37">
        <v>44220</v>
      </c>
      <c r="C7867" s="1">
        <v>9</v>
      </c>
      <c r="D7867" s="365">
        <f t="shared" si="607"/>
        <v>13545</v>
      </c>
      <c r="E7867" s="1">
        <v>1</v>
      </c>
      <c r="F7867" s="47">
        <f t="shared" si="608"/>
        <v>217</v>
      </c>
      <c r="G7867" s="212">
        <f>SUM(C7867,C7843,C7819,C7795,C7771,C7747,C7723,C7699,C7675,C7651,C7627,C7603,C7579,C7555)/POBLA!$B$18*100000</f>
        <v>148.87028828097698</v>
      </c>
      <c r="H7867" s="204">
        <f t="shared" si="609"/>
        <v>0.78475033738191635</v>
      </c>
    </row>
    <row r="7868" spans="1:8" ht="15.75" thickBot="1" x14ac:dyDescent="0.3">
      <c r="A7868" s="34" t="s">
        <v>36</v>
      </c>
      <c r="B7868" s="37">
        <v>44220</v>
      </c>
      <c r="C7868" s="1">
        <v>52</v>
      </c>
      <c r="D7868" s="365">
        <f t="shared" si="607"/>
        <v>18453</v>
      </c>
      <c r="F7868" s="47">
        <f t="shared" si="608"/>
        <v>336</v>
      </c>
      <c r="G7868" s="212">
        <f>SUM(C7868,C7844,C7820,C7796,C7772,C7748,C7724,C7700,C7676,C7652,C7628,C7604,C7580,C7556)/POBLA!$B$19*100000</f>
        <v>375.54492375001968</v>
      </c>
      <c r="H7868" s="204">
        <f t="shared" si="609"/>
        <v>3.728515625</v>
      </c>
    </row>
    <row r="7869" spans="1:8" ht="15.75" thickBot="1" x14ac:dyDescent="0.3">
      <c r="A7869" s="34" t="s">
        <v>37</v>
      </c>
      <c r="B7869" s="37">
        <v>44220</v>
      </c>
      <c r="C7869" s="1">
        <v>131</v>
      </c>
      <c r="D7869" s="365">
        <f t="shared" si="607"/>
        <v>31478</v>
      </c>
      <c r="F7869" s="47">
        <f t="shared" si="608"/>
        <v>481</v>
      </c>
      <c r="G7869" s="212">
        <f>SUM(C7869,C7845,C7821,C7797,C7773,C7749,C7725,C7701,C7677,C7653,C7629,C7605,C7581,C7557)/POBLA!$B$20*100000</f>
        <v>1171.4584165076101</v>
      </c>
      <c r="H7869" s="204">
        <f t="shared" si="609"/>
        <v>0.8645812310797174</v>
      </c>
    </row>
    <row r="7870" spans="1:8" ht="15.75" thickBot="1" x14ac:dyDescent="0.3">
      <c r="A7870" s="34" t="s">
        <v>22</v>
      </c>
      <c r="B7870" s="37">
        <v>44220</v>
      </c>
      <c r="C7870" s="1">
        <v>438</v>
      </c>
      <c r="D7870" s="365">
        <f t="shared" si="607"/>
        <v>201625</v>
      </c>
      <c r="E7870" s="1">
        <v>2</v>
      </c>
      <c r="F7870" s="47">
        <f t="shared" si="608"/>
        <v>3306</v>
      </c>
      <c r="G7870" s="212">
        <f>SUM(C7870,C7846,C7822,C7798,C7774,C7750,C7726,C7702,C7678,C7654,C7630,C7606,C7582,C7558)/POBLA!$B$21*100000</f>
        <v>429.44584039556406</v>
      </c>
      <c r="H7870" s="204">
        <f t="shared" si="609"/>
        <v>1.0353831469866375</v>
      </c>
    </row>
    <row r="7871" spans="1:8" ht="15.75" thickBot="1" x14ac:dyDescent="0.3">
      <c r="A7871" s="34" t="s">
        <v>38</v>
      </c>
      <c r="B7871" s="37">
        <v>44220</v>
      </c>
      <c r="C7871" s="1">
        <v>60</v>
      </c>
      <c r="D7871" s="365">
        <f t="shared" si="607"/>
        <v>20388</v>
      </c>
      <c r="E7871" s="1">
        <v>2</v>
      </c>
      <c r="F7871" s="47">
        <f t="shared" si="608"/>
        <v>246</v>
      </c>
      <c r="G7871" s="212">
        <f>SUM(C7871,C7847,C7823,C7799,C7775,C7751,C7727,C7703,C7679,C7655,C7631,C7607,C7583,C7559)/POBLA!$B$22*100000</f>
        <v>181.02590888601091</v>
      </c>
      <c r="H7871" s="204">
        <f t="shared" si="609"/>
        <v>1.1455368693402328</v>
      </c>
    </row>
    <row r="7872" spans="1:8" ht="15.75" thickBot="1" x14ac:dyDescent="0.3">
      <c r="A7872" s="34" t="s">
        <v>39</v>
      </c>
      <c r="B7872" s="37">
        <v>44220</v>
      </c>
      <c r="C7872" s="1">
        <v>46</v>
      </c>
      <c r="D7872" s="365">
        <f t="shared" si="607"/>
        <v>21390</v>
      </c>
      <c r="E7872" s="1">
        <v>1</v>
      </c>
      <c r="F7872" s="47">
        <f t="shared" si="608"/>
        <v>322</v>
      </c>
      <c r="G7872" s="212">
        <f>SUM(C7872,C7848,C7824,C7800,C7776,C7752,C7728,C7704,C7680,C7656,C7632,C7608,C7584,C7560)/POBLA!$B$23*100000</f>
        <v>689.36266470621501</v>
      </c>
      <c r="H7872" s="204">
        <f t="shared" si="609"/>
        <v>0.85125698324022347</v>
      </c>
    </row>
    <row r="7873" spans="1:9" ht="15.75" thickBot="1" x14ac:dyDescent="0.3">
      <c r="A7873" s="34" t="s">
        <v>40</v>
      </c>
      <c r="B7873" s="37">
        <v>44220</v>
      </c>
      <c r="C7873" s="1">
        <v>38</v>
      </c>
      <c r="D7873" s="365">
        <f t="shared" si="607"/>
        <v>75284</v>
      </c>
      <c r="F7873" s="47">
        <f t="shared" si="608"/>
        <v>1418</v>
      </c>
      <c r="G7873" s="212">
        <f>SUM(C7873,C7849,C7825,C7801,C7777,C7753,C7729,C7705,C7681,C7657,C7633,C7609,C7585,C7561)/POBLA!$B$24*100000</f>
        <v>144.33607764643679</v>
      </c>
      <c r="H7873" s="204">
        <f t="shared" ref="H7873:H7902" si="610">SUM(C7873,C7849,C7825,C7801,C7777,C7753,C7729,C7705,C7681,C7657,C7633,C7609,C7585,C7561)/SUM(C7537,C7513,C7489,C7465,C7441,C7417,C7393,C7369,C7345,C7321,C7297,C7273,C7249,C7225)</f>
        <v>1.0061703002879474</v>
      </c>
    </row>
    <row r="7874" spans="1:9" ht="15.75" thickBot="1" x14ac:dyDescent="0.3">
      <c r="A7874" s="34" t="s">
        <v>16</v>
      </c>
      <c r="B7874" s="37">
        <v>44221</v>
      </c>
      <c r="C7874" s="1">
        <v>2749</v>
      </c>
      <c r="D7874" s="365">
        <f t="shared" ref="D7874:D7905" si="611">C7874+D7850</f>
        <v>781378</v>
      </c>
      <c r="E7874" s="1">
        <v>81</v>
      </c>
      <c r="F7874" s="47">
        <f>E7874+F7850</f>
        <v>24160</v>
      </c>
      <c r="G7874" s="212">
        <f>SUM(C7874,C7850,C7826,C7802,C7778,C7754,C7730,C7706,C7682,C7658,C7634,C7610,C7586,C7562)/POBLA!$B$1*100000</f>
        <v>320.64048741185081</v>
      </c>
      <c r="H7874" s="204">
        <f t="shared" si="610"/>
        <v>1.036354590849625</v>
      </c>
      <c r="I7874" s="200"/>
    </row>
    <row r="7875" spans="1:9" ht="16.5" thickTop="1" thickBot="1" x14ac:dyDescent="0.3">
      <c r="A7875" s="34" t="s">
        <v>43</v>
      </c>
      <c r="B7875" s="37">
        <v>44221</v>
      </c>
      <c r="C7875" s="1">
        <v>1094</v>
      </c>
      <c r="D7875" s="365">
        <f t="shared" si="611"/>
        <v>203707</v>
      </c>
      <c r="E7875" s="1">
        <v>26</v>
      </c>
      <c r="F7875" s="47">
        <f t="shared" ref="F7875:F7897" si="612">E7875+F7851</f>
        <v>5829</v>
      </c>
      <c r="G7875" s="212">
        <f>SUM(C7875,C7851,C7827,C7803,C7779,C7755,C7731,C7707,C7683,C7659,C7635,C7611,C7587,C7563)/POBLA!$B$2*100000</f>
        <v>544.7636041338958</v>
      </c>
      <c r="H7875" s="204">
        <f t="shared" si="610"/>
        <v>1.0629996193376474</v>
      </c>
      <c r="I7875" s="200"/>
    </row>
    <row r="7876" spans="1:9" ht="16.5" thickTop="1" thickBot="1" x14ac:dyDescent="0.3">
      <c r="A7876" s="34" t="s">
        <v>28</v>
      </c>
      <c r="B7876" s="37">
        <v>44221</v>
      </c>
      <c r="C7876" s="1">
        <v>30</v>
      </c>
      <c r="D7876" s="365">
        <f t="shared" si="611"/>
        <v>4761</v>
      </c>
      <c r="F7876" s="47">
        <f t="shared" si="612"/>
        <v>17</v>
      </c>
      <c r="G7876" s="212">
        <f>SUM(C7876,C7852,C7828,C7804,C7780,C7756,C7732,C7708,C7684,C7660,C7636,C7612,C7588,C7564)/POBLA!$B$3*100000</f>
        <v>374.78516649897216</v>
      </c>
      <c r="H7876" s="204">
        <f t="shared" si="610"/>
        <v>2.608040201005025</v>
      </c>
      <c r="I7876" s="201"/>
    </row>
    <row r="7877" spans="1:9" ht="16.5" thickTop="1" thickBot="1" x14ac:dyDescent="0.3">
      <c r="A7877" s="34" t="s">
        <v>15</v>
      </c>
      <c r="B7877" s="37">
        <v>44221</v>
      </c>
      <c r="C7877" s="1">
        <v>76</v>
      </c>
      <c r="D7877" s="365">
        <f t="shared" si="611"/>
        <v>29890</v>
      </c>
      <c r="E7877" s="1">
        <v>5</v>
      </c>
      <c r="F7877" s="47">
        <f t="shared" si="612"/>
        <v>781</v>
      </c>
      <c r="G7877" s="212">
        <f>SUM(C7877,C7853,C7829,C7805,C7781,C7757,C7733,C7709,C7685,C7661,C7637,C7613,C7589,C7565)/POBLA!$B$4*100000</f>
        <v>233.03482405331158</v>
      </c>
      <c r="H7877" s="204">
        <f t="shared" si="610"/>
        <v>0.90112359550561794</v>
      </c>
      <c r="I7877" s="202"/>
    </row>
    <row r="7878" spans="1:9" ht="16.5" thickTop="1" thickBot="1" x14ac:dyDescent="0.3">
      <c r="A7878" s="34" t="s">
        <v>29</v>
      </c>
      <c r="B7878" s="37">
        <v>44221</v>
      </c>
      <c r="C7878" s="1">
        <v>304</v>
      </c>
      <c r="D7878" s="365">
        <f t="shared" si="611"/>
        <v>40560</v>
      </c>
      <c r="E7878" s="1">
        <v>11</v>
      </c>
      <c r="F7878" s="47">
        <f t="shared" si="612"/>
        <v>605</v>
      </c>
      <c r="G7878" s="212">
        <f>SUM(C7878,C7854,C7830,C7806,C7782,C7758,C7734,C7710,C7686,C7662,C7638,C7614,C7590,C7566)/POBLA!$B$5*100000</f>
        <v>764.95087189859669</v>
      </c>
      <c r="H7878" s="204">
        <f t="shared" si="610"/>
        <v>0.86200618969597664</v>
      </c>
      <c r="I7878" s="202"/>
    </row>
    <row r="7879" spans="1:9" ht="16.5" thickTop="1" thickBot="1" x14ac:dyDescent="0.3">
      <c r="A7879" s="34" t="s">
        <v>30</v>
      </c>
      <c r="B7879" s="37">
        <v>44221</v>
      </c>
      <c r="C7879" s="1">
        <v>160</v>
      </c>
      <c r="D7879" s="365">
        <f t="shared" si="611"/>
        <v>16463</v>
      </c>
      <c r="E7879" s="1">
        <v>1</v>
      </c>
      <c r="F7879" s="47">
        <f t="shared" si="612"/>
        <v>2566</v>
      </c>
      <c r="G7879" s="212">
        <f>SUM(C7879,C7855,C7831,C7807,C7783,C7759,C7735,C7711,C7687,C7663,C7639,C7615,C7591,C7567)/POBLA!$B$7*100000</f>
        <v>130.17059128561741</v>
      </c>
      <c r="H7879" s="204">
        <f t="shared" si="610"/>
        <v>0.57846844717560864</v>
      </c>
      <c r="I7879" s="202"/>
    </row>
    <row r="7880" spans="1:9" ht="16.5" thickTop="1" thickBot="1" x14ac:dyDescent="0.3">
      <c r="A7880" s="34" t="s">
        <v>20</v>
      </c>
      <c r="B7880" s="37">
        <v>44221</v>
      </c>
      <c r="C7880" s="1">
        <v>340</v>
      </c>
      <c r="D7880" s="365">
        <f t="shared" si="611"/>
        <v>141824</v>
      </c>
      <c r="E7880" s="1">
        <v>9</v>
      </c>
      <c r="F7880" s="47">
        <f t="shared" si="612"/>
        <v>252</v>
      </c>
      <c r="G7880" s="212">
        <f>SUM(C7880,C7856,C7832,C7808,C7784,C7760,C7736,C7712,C7688,C7664,C7640,C7616,C7592,C7568)/POBLA!$B$6*100000</f>
        <v>501.15943865146443</v>
      </c>
      <c r="H7880" s="204">
        <f t="shared" si="610"/>
        <v>2.3720439189189189</v>
      </c>
      <c r="I7880" s="200"/>
    </row>
    <row r="7881" spans="1:9" ht="16.5" thickTop="1" thickBot="1" x14ac:dyDescent="0.3">
      <c r="A7881" s="34" t="s">
        <v>31</v>
      </c>
      <c r="B7881" s="37">
        <v>44221</v>
      </c>
      <c r="C7881" s="1">
        <v>302</v>
      </c>
      <c r="D7881" s="365">
        <f t="shared" si="611"/>
        <v>39375</v>
      </c>
      <c r="E7881" s="1">
        <v>10</v>
      </c>
      <c r="F7881" s="47">
        <f t="shared" si="612"/>
        <v>680</v>
      </c>
      <c r="G7881" s="212">
        <f>SUM(C7881,C7857,C7833,C7809,C7785,C7761,C7737,C7713,C7689,C7665,C7641,C7617,C7593,C7569)/POBLA!$B$8*100000</f>
        <v>408.02013909482298</v>
      </c>
      <c r="H7881" s="204">
        <f t="shared" si="610"/>
        <v>1.0349560761346999</v>
      </c>
      <c r="I7881" s="202"/>
    </row>
    <row r="7882" spans="1:9" ht="16.5" thickTop="1" thickBot="1" x14ac:dyDescent="0.3">
      <c r="A7882" s="34" t="s">
        <v>41</v>
      </c>
      <c r="B7882" s="37">
        <v>44221</v>
      </c>
      <c r="C7882" s="1">
        <v>1</v>
      </c>
      <c r="D7882" s="365">
        <f t="shared" si="611"/>
        <v>807</v>
      </c>
      <c r="F7882" s="47">
        <f t="shared" si="612"/>
        <v>6</v>
      </c>
      <c r="G7882" s="212">
        <f>SUM(C7882,C7858,C7834,C7810,C7786,C7762,C7738,C7714,C7690,C7666,C7642,C7618,C7594,C7570)/POBLA!$B$9*100000</f>
        <v>81.792089465674593</v>
      </c>
      <c r="H7882" s="204">
        <f t="shared" si="610"/>
        <v>5.4395604395604398</v>
      </c>
      <c r="I7882" s="201"/>
    </row>
    <row r="7883" spans="1:9" ht="16.5" thickTop="1" thickBot="1" x14ac:dyDescent="0.3">
      <c r="A7883" s="34" t="s">
        <v>32</v>
      </c>
      <c r="B7883" s="37">
        <v>44221</v>
      </c>
      <c r="C7883" s="1">
        <v>7</v>
      </c>
      <c r="D7883" s="365">
        <f t="shared" si="611"/>
        <v>19100</v>
      </c>
      <c r="F7883" s="47">
        <f t="shared" si="612"/>
        <v>866</v>
      </c>
      <c r="G7883" s="212">
        <f>SUM(C7883,C7859,C7835,C7811,C7787,C7763,C7739,C7715,C7691,C7667,C7643,C7619,C7595,C7571)/POBLA!$B$10*100000</f>
        <v>51.499518083854703</v>
      </c>
      <c r="H7883" s="204">
        <f t="shared" si="610"/>
        <v>2.0463917525773194</v>
      </c>
      <c r="I7883" s="202"/>
    </row>
    <row r="7884" spans="1:9" ht="16.5" thickTop="1" thickBot="1" x14ac:dyDescent="0.3">
      <c r="A7884" s="34" t="s">
        <v>33</v>
      </c>
      <c r="B7884" s="37">
        <v>44221</v>
      </c>
      <c r="C7884" s="1">
        <v>101</v>
      </c>
      <c r="D7884" s="365">
        <f t="shared" si="611"/>
        <v>15894</v>
      </c>
      <c r="E7884" s="1">
        <v>12</v>
      </c>
      <c r="F7884" s="47">
        <f t="shared" si="612"/>
        <v>222</v>
      </c>
      <c r="G7884" s="212">
        <f>SUM(C7884,C7860,C7836,C7812,C7788,C7764,C7740,C7716,C7692,C7668,C7644,C7620,C7596,C7572)/POBLA!$B$11*100000</f>
        <v>611.28036872119367</v>
      </c>
      <c r="H7884" s="204">
        <f t="shared" si="610"/>
        <v>0.57825283716020059</v>
      </c>
      <c r="I7884" s="202"/>
    </row>
    <row r="7885" spans="1:9" ht="16.5" thickTop="1" thickBot="1" x14ac:dyDescent="0.3">
      <c r="A7885" s="34" t="s">
        <v>21</v>
      </c>
      <c r="B7885" s="37">
        <v>44221</v>
      </c>
      <c r="C7885" s="1">
        <v>3</v>
      </c>
      <c r="D7885" s="365">
        <f t="shared" si="611"/>
        <v>9441</v>
      </c>
      <c r="E7885" s="1">
        <v>1</v>
      </c>
      <c r="F7885" s="47">
        <f t="shared" si="612"/>
        <v>405</v>
      </c>
      <c r="G7885" s="212">
        <f>SUM(C7885,C7861,C7837,C7813,C7789,C7765,C7741,C7717,C7693,C7669,C7645,C7621,C7597,C7573)/POBLA!$B$12*100000</f>
        <v>54.379451682332522</v>
      </c>
      <c r="H7885" s="204">
        <f t="shared" si="610"/>
        <v>1.3806451612903226</v>
      </c>
      <c r="I7885" s="201"/>
    </row>
    <row r="7886" spans="1:9" ht="16.5" thickTop="1" thickBot="1" x14ac:dyDescent="0.3">
      <c r="A7886" s="34" t="s">
        <v>17</v>
      </c>
      <c r="B7886" s="37">
        <v>44221</v>
      </c>
      <c r="C7886" s="1">
        <v>55</v>
      </c>
      <c r="D7886" s="365">
        <f t="shared" si="611"/>
        <v>63210</v>
      </c>
      <c r="E7886" s="1">
        <v>3</v>
      </c>
      <c r="F7886" s="47">
        <f t="shared" si="612"/>
        <v>1320</v>
      </c>
      <c r="G7886" s="212">
        <f>SUM(C7886,C7862,C7838,C7814,C7790,C7766,C7742,C7718,C7694,C7670,C7646,C7622,C7598,C7574)/POBLA!$B$13*100000</f>
        <v>91.190541506015563</v>
      </c>
      <c r="H7886" s="204">
        <f t="shared" si="610"/>
        <v>1.0620245757753073</v>
      </c>
      <c r="I7886" s="200"/>
    </row>
    <row r="7887" spans="1:9" ht="16.5" thickTop="1" thickBot="1" x14ac:dyDescent="0.3">
      <c r="A7887" s="34" t="s">
        <v>23</v>
      </c>
      <c r="B7887" s="37">
        <v>44221</v>
      </c>
      <c r="C7887" s="1">
        <v>145</v>
      </c>
      <c r="D7887" s="365">
        <f t="shared" si="611"/>
        <v>3612</v>
      </c>
      <c r="F7887" s="47">
        <f t="shared" si="612"/>
        <v>64</v>
      </c>
      <c r="G7887" s="212">
        <f>SUM(C7887,C7863,C7839,C7815,C7791,C7767,C7743,C7719,C7695,C7671,C7647,C7623,C7599,C7575)/POBLA!$B$14*100000</f>
        <v>169.82559181285251</v>
      </c>
      <c r="H7887" s="204">
        <f t="shared" si="610"/>
        <v>4.6973684210526319</v>
      </c>
      <c r="I7887" s="201"/>
    </row>
    <row r="7888" spans="1:9" ht="16.5" thickTop="1" thickBot="1" x14ac:dyDescent="0.3">
      <c r="A7888" s="34" t="s">
        <v>19</v>
      </c>
      <c r="B7888" s="37">
        <v>44221</v>
      </c>
      <c r="C7888" s="1">
        <v>552</v>
      </c>
      <c r="D7888" s="365">
        <f t="shared" si="611"/>
        <v>51537</v>
      </c>
      <c r="E7888" s="1">
        <v>2</v>
      </c>
      <c r="F7888" s="47">
        <f t="shared" si="612"/>
        <v>763</v>
      </c>
      <c r="G7888" s="212">
        <f>SUM(C7888,C7864,C7840,C7816,C7792,C7768,C7744,C7720,C7696,C7672,C7648,C7624,C7600,C7576)/POBLA!$B$15*100000</f>
        <v>900.82628449063861</v>
      </c>
      <c r="H7888" s="204">
        <f t="shared" si="610"/>
        <v>0.99966577540106949</v>
      </c>
      <c r="I7888" s="200"/>
    </row>
    <row r="7889" spans="1:12" ht="16.5" thickTop="1" thickBot="1" x14ac:dyDescent="0.3">
      <c r="A7889" s="34" t="s">
        <v>18</v>
      </c>
      <c r="B7889" s="37">
        <v>44221</v>
      </c>
      <c r="C7889" s="1">
        <v>255</v>
      </c>
      <c r="D7889" s="365">
        <f t="shared" si="611"/>
        <v>46233</v>
      </c>
      <c r="E7889" s="1">
        <v>4</v>
      </c>
      <c r="F7889" s="47">
        <f t="shared" si="612"/>
        <v>1037</v>
      </c>
      <c r="G7889" s="212">
        <f>SUM(C7889,C7865,C7841,C7817,C7793,C7769,C7745,C7721,C7697,C7673,C7649,C7625,C7601,C7577)/POBLA!$B$16*100000</f>
        <v>588.40839475127416</v>
      </c>
      <c r="H7889" s="204">
        <f t="shared" si="610"/>
        <v>1.0244527247321844</v>
      </c>
      <c r="I7889" s="202"/>
    </row>
    <row r="7890" spans="1:12" ht="16.5" thickTop="1" thickBot="1" x14ac:dyDescent="0.3">
      <c r="A7890" s="34" t="s">
        <v>34</v>
      </c>
      <c r="B7890" s="37">
        <v>44221</v>
      </c>
      <c r="C7890" s="1">
        <v>22</v>
      </c>
      <c r="D7890" s="365">
        <f t="shared" si="611"/>
        <v>23464</v>
      </c>
      <c r="E7890" s="1">
        <v>1</v>
      </c>
      <c r="F7890" s="47">
        <f t="shared" si="612"/>
        <v>1034</v>
      </c>
      <c r="G7890" s="212">
        <f>SUM(C7890,C7866,C7842,C7818,C7794,C7770,C7746,C7722,C7698,C7674,C7650,C7626,C7602,C7578)/POBLA!$B$17*100000</f>
        <v>49.494628253218735</v>
      </c>
      <c r="H7890" s="204">
        <f t="shared" si="610"/>
        <v>1.298342541436464</v>
      </c>
      <c r="I7890" s="202"/>
    </row>
    <row r="7891" spans="1:12" ht="16.5" thickTop="1" thickBot="1" x14ac:dyDescent="0.3">
      <c r="A7891" s="34" t="s">
        <v>35</v>
      </c>
      <c r="B7891" s="37">
        <v>44221</v>
      </c>
      <c r="C7891" s="1">
        <v>80</v>
      </c>
      <c r="D7891" s="365">
        <f t="shared" si="611"/>
        <v>13625</v>
      </c>
      <c r="F7891" s="47">
        <f t="shared" si="612"/>
        <v>217</v>
      </c>
      <c r="G7891" s="212">
        <f>SUM(C7891,C7867,C7843,C7819,C7795,C7771,C7747,C7723,C7699,C7675,C7651,C7627,C7603,C7579)/POBLA!$B$18*100000</f>
        <v>148.10225583928664</v>
      </c>
      <c r="H7891" s="204">
        <f t="shared" si="610"/>
        <v>0.81593794076163606</v>
      </c>
      <c r="I7891" s="202"/>
    </row>
    <row r="7892" spans="1:12" ht="16.5" thickTop="1" thickBot="1" x14ac:dyDescent="0.3">
      <c r="A7892" s="34" t="s">
        <v>36</v>
      </c>
      <c r="B7892" s="37">
        <v>44221</v>
      </c>
      <c r="C7892" s="1">
        <v>300</v>
      </c>
      <c r="D7892" s="365">
        <f t="shared" si="611"/>
        <v>18753</v>
      </c>
      <c r="E7892" s="1">
        <v>7</v>
      </c>
      <c r="F7892" s="47">
        <f t="shared" si="612"/>
        <v>343</v>
      </c>
      <c r="G7892" s="212">
        <f>SUM(C7892,C7868,C7844,C7820,C7796,C7772,C7748,C7724,C7700,C7676,C7652,C7628,C7604,C7580)/POBLA!$B$19*100000</f>
        <v>420.98802348090214</v>
      </c>
      <c r="H7892" s="204">
        <f t="shared" si="610"/>
        <v>3.9122486288848264</v>
      </c>
      <c r="I7892" s="202"/>
    </row>
    <row r="7893" spans="1:12" ht="16.5" thickTop="1" thickBot="1" x14ac:dyDescent="0.3">
      <c r="A7893" s="34" t="s">
        <v>37</v>
      </c>
      <c r="B7893" s="37">
        <v>44221</v>
      </c>
      <c r="C7893" s="1">
        <v>167</v>
      </c>
      <c r="D7893" s="365">
        <f t="shared" si="611"/>
        <v>31645</v>
      </c>
      <c r="E7893" s="1">
        <v>1</v>
      </c>
      <c r="F7893" s="47">
        <f t="shared" si="612"/>
        <v>482</v>
      </c>
      <c r="G7893" s="212">
        <f>SUM(C7893,C7869,C7845,C7821,C7797,C7773,C7749,C7725,C7701,C7677,C7653,C7629,C7605,C7581)/POBLA!$B$20*100000</f>
        <v>1123.6047230228221</v>
      </c>
      <c r="H7893" s="204">
        <f t="shared" si="610"/>
        <v>0.81657392686804453</v>
      </c>
      <c r="I7893" s="202"/>
    </row>
    <row r="7894" spans="1:12" ht="16.5" thickTop="1" thickBot="1" x14ac:dyDescent="0.3">
      <c r="A7894" s="34" t="s">
        <v>22</v>
      </c>
      <c r="B7894" s="37">
        <v>44221</v>
      </c>
      <c r="C7894" s="1">
        <v>482</v>
      </c>
      <c r="D7894" s="365">
        <f t="shared" si="611"/>
        <v>202107</v>
      </c>
      <c r="E7894" s="1">
        <v>32</v>
      </c>
      <c r="F7894" s="47">
        <f t="shared" si="612"/>
        <v>3338</v>
      </c>
      <c r="G7894" s="212">
        <f>SUM(C7894,C7870,C7846,C7822,C7798,C7774,C7750,C7726,C7702,C7678,C7654,C7630,C7606,C7582)/POBLA!$B$21*100000</f>
        <v>412.76229224034034</v>
      </c>
      <c r="H7894" s="204">
        <f t="shared" si="610"/>
        <v>0.97170816136333382</v>
      </c>
      <c r="I7894" s="200"/>
    </row>
    <row r="7895" spans="1:12" ht="16.5" thickTop="1" thickBot="1" x14ac:dyDescent="0.3">
      <c r="A7895" s="34" t="s">
        <v>38</v>
      </c>
      <c r="B7895" s="37">
        <v>44221</v>
      </c>
      <c r="C7895" s="1">
        <v>84</v>
      </c>
      <c r="D7895" s="365">
        <f t="shared" si="611"/>
        <v>20472</v>
      </c>
      <c r="F7895" s="47">
        <f t="shared" si="612"/>
        <v>246</v>
      </c>
      <c r="G7895" s="212">
        <f>SUM(C7895,C7871,C7847,C7823,C7799,C7775,C7751,C7727,C7703,C7679,C7655,C7631,C7607,C7583)/POBLA!$B$22*100000</f>
        <v>172.13304944327632</v>
      </c>
      <c r="H7895" s="204">
        <f t="shared" si="610"/>
        <v>1.0169082125603865</v>
      </c>
      <c r="I7895" s="202"/>
    </row>
    <row r="7896" spans="1:12" ht="16.5" thickTop="1" thickBot="1" x14ac:dyDescent="0.3">
      <c r="A7896" s="34" t="s">
        <v>39</v>
      </c>
      <c r="B7896" s="37">
        <v>44221</v>
      </c>
      <c r="C7896" s="1">
        <v>130</v>
      </c>
      <c r="D7896" s="365">
        <f t="shared" si="611"/>
        <v>21520</v>
      </c>
      <c r="E7896" s="1">
        <v>2</v>
      </c>
      <c r="F7896" s="47">
        <f t="shared" si="612"/>
        <v>324</v>
      </c>
      <c r="G7896" s="212">
        <f>SUM(C7896,C7872,C7848,C7824,C7800,C7776,C7752,C7728,C7704,C7680,C7656,C7632,C7608,C7584)/POBLA!$B$23*100000</f>
        <v>714.81083526550924</v>
      </c>
      <c r="H7896" s="204">
        <f t="shared" si="610"/>
        <v>0.86932599724896842</v>
      </c>
      <c r="I7896" s="202"/>
    </row>
    <row r="7897" spans="1:12" ht="16.5" thickTop="1" thickBot="1" x14ac:dyDescent="0.3">
      <c r="A7897" s="48" t="s">
        <v>40</v>
      </c>
      <c r="B7897" s="367">
        <v>44221</v>
      </c>
      <c r="C7897" s="300">
        <v>139</v>
      </c>
      <c r="D7897" s="368">
        <f t="shared" si="611"/>
        <v>75423</v>
      </c>
      <c r="E7897" s="300"/>
      <c r="F7897" s="81">
        <f t="shared" si="612"/>
        <v>1418</v>
      </c>
      <c r="G7897" s="212">
        <f>SUM(C7897,C7873,C7849,C7825,C7801,C7777,C7753,C7729,C7705,C7681,C7657,C7633,C7609,C7585)/POBLA!$B$24*100000</f>
        <v>137.13697647192114</v>
      </c>
      <c r="H7897" s="210">
        <f t="shared" si="610"/>
        <v>0.91785150078988942</v>
      </c>
      <c r="I7897" s="200"/>
    </row>
    <row r="7898" spans="1:12" ht="16.5" thickTop="1" thickBot="1" x14ac:dyDescent="0.3">
      <c r="A7898" s="36" t="s">
        <v>16</v>
      </c>
      <c r="B7898" s="369">
        <v>44222</v>
      </c>
      <c r="C7898" s="53">
        <v>4574</v>
      </c>
      <c r="D7898" s="370">
        <f t="shared" si="611"/>
        <v>785952</v>
      </c>
      <c r="E7898" s="53">
        <v>74</v>
      </c>
      <c r="F7898" s="211">
        <f>E7898+F7874</f>
        <v>24234</v>
      </c>
      <c r="G7898" s="212">
        <f>SUM(C7898,C7874,C7850,C7826,C7802,C7778,C7754,C7730,C7706,C7682,C7658,C7634,C7610,C7586)/POBLA!$B$1*100000</f>
        <v>315.88024975114217</v>
      </c>
      <c r="H7898" s="196">
        <f t="shared" si="610"/>
        <v>1.0026419123102257</v>
      </c>
      <c r="I7898" s="199"/>
      <c r="J7898" s="200"/>
    </row>
    <row r="7899" spans="1:12" ht="16.5" thickTop="1" thickBot="1" x14ac:dyDescent="0.3">
      <c r="A7899" s="84" t="s">
        <v>43</v>
      </c>
      <c r="B7899" s="37">
        <v>44222</v>
      </c>
      <c r="C7899" s="1">
        <v>1290</v>
      </c>
      <c r="D7899" s="365">
        <f t="shared" si="611"/>
        <v>204997</v>
      </c>
      <c r="E7899" s="1">
        <v>16</v>
      </c>
      <c r="F7899" s="47">
        <f t="shared" ref="F7899:F7921" si="613">E7899+F7875</f>
        <v>5845</v>
      </c>
      <c r="G7899" s="212">
        <f>SUM(C7899,C7875,C7851,C7827,C7803,C7779,C7755,C7731,C7707,C7683,C7659,C7635,C7611,C7587)/POBLA!$B$2*100000</f>
        <v>536.04998754733151</v>
      </c>
      <c r="H7899" s="213">
        <f t="shared" si="610"/>
        <v>1.0099852977211468</v>
      </c>
      <c r="I7899" s="199"/>
      <c r="J7899" s="200"/>
    </row>
    <row r="7900" spans="1:12" ht="16.5" thickTop="1" thickBot="1" x14ac:dyDescent="0.3">
      <c r="A7900" s="84" t="s">
        <v>28</v>
      </c>
      <c r="B7900" s="37">
        <v>44222</v>
      </c>
      <c r="C7900" s="1">
        <v>77</v>
      </c>
      <c r="D7900" s="365">
        <f t="shared" si="611"/>
        <v>4838</v>
      </c>
      <c r="F7900" s="47">
        <f t="shared" si="613"/>
        <v>17</v>
      </c>
      <c r="G7900" s="212">
        <f>SUM(C7900,C7876,C7852,C7828,C7804,C7780,C7756,C7732,C7708,C7684,C7660,C7636,C7612,C7588)/POBLA!$B$3*100000</f>
        <v>373.58161747360617</v>
      </c>
      <c r="H7900" s="213">
        <f t="shared" si="610"/>
        <v>2.3408748114630469</v>
      </c>
    </row>
    <row r="7901" spans="1:12" ht="15.75" thickBot="1" x14ac:dyDescent="0.3">
      <c r="A7901" s="84" t="s">
        <v>15</v>
      </c>
      <c r="B7901" s="37">
        <v>44222</v>
      </c>
      <c r="C7901" s="1">
        <v>177</v>
      </c>
      <c r="D7901" s="365">
        <f t="shared" si="611"/>
        <v>30067</v>
      </c>
      <c r="E7901" s="1">
        <v>6</v>
      </c>
      <c r="F7901" s="47">
        <f t="shared" si="613"/>
        <v>787</v>
      </c>
      <c r="G7901" s="212">
        <f>SUM(C7901,C7877,C7853,C7829,C7805,C7781,C7757,C7733,C7709,C7685,C7661,C7637,C7613,C7589)/POBLA!$B$4*100000</f>
        <v>225.56309830881639</v>
      </c>
      <c r="H7901" s="213">
        <f t="shared" si="610"/>
        <v>0.88328998699609884</v>
      </c>
      <c r="I7901" s="199"/>
      <c r="J7901" s="201"/>
    </row>
    <row r="7902" spans="1:12" ht="16.5" thickTop="1" thickBot="1" x14ac:dyDescent="0.3">
      <c r="A7902" s="84" t="s">
        <v>29</v>
      </c>
      <c r="B7902" s="37">
        <v>44222</v>
      </c>
      <c r="C7902" s="1">
        <v>320</v>
      </c>
      <c r="D7902" s="365">
        <f t="shared" si="611"/>
        <v>40880</v>
      </c>
      <c r="E7902" s="1">
        <v>11</v>
      </c>
      <c r="F7902" s="47">
        <f t="shared" si="613"/>
        <v>616</v>
      </c>
      <c r="G7902" s="212">
        <f>SUM(C7902,C7878,C7854,C7830,C7806,C7782,C7758,C7734,C7710,C7686,C7662,C7638,C7614,C7590)/POBLA!$B$5*100000</f>
        <v>719.39307973906045</v>
      </c>
      <c r="H7902" s="213">
        <f t="shared" si="610"/>
        <v>0.81125888139916191</v>
      </c>
      <c r="I7902" s="199"/>
      <c r="J7902" s="202"/>
      <c r="L7902" s="50"/>
    </row>
    <row r="7903" spans="1:12" ht="16.5" thickTop="1" thickBot="1" x14ac:dyDescent="0.3">
      <c r="A7903" s="84" t="s">
        <v>30</v>
      </c>
      <c r="B7903" s="37">
        <v>44222</v>
      </c>
      <c r="C7903" s="1">
        <v>167</v>
      </c>
      <c r="D7903" s="365">
        <f t="shared" si="611"/>
        <v>16630</v>
      </c>
      <c r="E7903" s="1">
        <v>3</v>
      </c>
      <c r="F7903" s="47">
        <f t="shared" si="613"/>
        <v>2569</v>
      </c>
      <c r="G7903" s="212">
        <f>SUM(C7903,C7879,C7855,C7831,C7807,C7783,C7759,C7735,C7711,C7687,C7663,C7639,C7615,C7591)/POBLA!$B$7*100000</f>
        <v>113.60342512199337</v>
      </c>
      <c r="H7903" s="213">
        <f>SUM(C7903,C7879,C7855,C7831,C7807,C7783,C7759,C7735,C7711,C7687,C7663,C7639,C7615,C7591)/SUM(C7567,C7543,C7519,C7495,C7472,C7448,C7424,C7400,C7376,C7352,C7328,C7304,C7280,C7256)</f>
        <v>1.1401120896717374</v>
      </c>
      <c r="I7903" s="199"/>
      <c r="J7903" s="202"/>
      <c r="L7903" s="50"/>
    </row>
    <row r="7904" spans="1:12" ht="16.5" thickTop="1" thickBot="1" x14ac:dyDescent="0.3">
      <c r="A7904" s="84" t="s">
        <v>20</v>
      </c>
      <c r="B7904" s="37">
        <v>44222</v>
      </c>
      <c r="C7904" s="1">
        <v>662</v>
      </c>
      <c r="D7904" s="365">
        <f t="shared" si="611"/>
        <v>142486</v>
      </c>
      <c r="E7904" s="1">
        <v>7</v>
      </c>
      <c r="F7904" s="47">
        <f t="shared" si="613"/>
        <v>259</v>
      </c>
      <c r="G7904" s="212">
        <f>SUM(C7904,C7880,C7856,C7832,C7808,C7784,C7760,C7736,C7712,C7688,C7664,C7640,C7616,C7592)/POBLA!$B$6*100000</f>
        <v>538.09730719369452</v>
      </c>
      <c r="H7904" s="213">
        <f>SUM(C7904,C7880,C7856,C7832,C7808,C7784,C7760,C7736,C7712,C7688,C7664,C7640,C7616,C7592)/SUM(C7568,C7544,C7520,C7496,C7471,C7447,C7423,C7399,C7375,C7351,C7327,C7303,C7279,C7255)</f>
        <v>0.84586255259467036</v>
      </c>
      <c r="I7904" s="199"/>
      <c r="J7904" s="202"/>
      <c r="L7904" s="50"/>
    </row>
    <row r="7905" spans="1:12" ht="16.5" thickTop="1" thickBot="1" x14ac:dyDescent="0.3">
      <c r="A7905" s="84" t="s">
        <v>31</v>
      </c>
      <c r="B7905" s="37">
        <v>44222</v>
      </c>
      <c r="C7905" s="1">
        <v>332</v>
      </c>
      <c r="D7905" s="365">
        <f t="shared" si="611"/>
        <v>39707</v>
      </c>
      <c r="E7905" s="1">
        <v>14</v>
      </c>
      <c r="F7905" s="47">
        <f t="shared" si="613"/>
        <v>694</v>
      </c>
      <c r="G7905" s="212">
        <f>SUM(C7905,C7881,C7857,C7833,C7809,C7785,C7761,C7737,C7713,C7689,C7665,C7641,C7617,C7593)/POBLA!$B$8*100000</f>
        <v>396.98086742700553</v>
      </c>
      <c r="H7905" s="213">
        <f t="shared" ref="H7905:H7926" si="614">SUM(C7905,C7881,C7857,C7833,C7809,C7785,C7761,C7737,C7713,C7689,C7665,C7641,C7617,C7593)/SUM(C7569,C7545,C7521,C7497,C7473,C7449,C7425,C7401,C7377,C7353,C7329,C7305,C7281,C7257)</f>
        <v>0.97865528281750269</v>
      </c>
      <c r="I7905" s="199"/>
      <c r="J7905" s="200"/>
      <c r="L7905" s="50"/>
    </row>
    <row r="7906" spans="1:12" ht="16.5" thickTop="1" thickBot="1" x14ac:dyDescent="0.3">
      <c r="A7906" s="84" t="s">
        <v>41</v>
      </c>
      <c r="B7906" s="37">
        <v>44222</v>
      </c>
      <c r="C7906" s="1">
        <v>7</v>
      </c>
      <c r="D7906" s="365">
        <f t="shared" ref="D7906:D7937" si="615">C7906+D7882</f>
        <v>814</v>
      </c>
      <c r="F7906" s="47">
        <f t="shared" si="613"/>
        <v>6</v>
      </c>
      <c r="G7906" s="212">
        <f>SUM(C7906,C7882,C7858,C7834,C7810,C7786,C7762,C7738,C7714,C7690,C7666,C7642,C7618,C7594)/POBLA!$B$9*100000</f>
        <v>73.199789158169381</v>
      </c>
      <c r="H7906" s="213">
        <f t="shared" si="614"/>
        <v>2.7861635220125787</v>
      </c>
      <c r="L7906" s="50"/>
    </row>
    <row r="7907" spans="1:12" ht="15.75" thickBot="1" x14ac:dyDescent="0.3">
      <c r="A7907" s="84" t="s">
        <v>32</v>
      </c>
      <c r="B7907" s="37">
        <v>44222</v>
      </c>
      <c r="C7907" s="1">
        <v>57</v>
      </c>
      <c r="D7907" s="365">
        <f t="shared" si="615"/>
        <v>19157</v>
      </c>
      <c r="F7907" s="47">
        <f t="shared" si="613"/>
        <v>866</v>
      </c>
      <c r="G7907" s="212">
        <f>SUM(C7907,C7883,C7859,C7835,C7811,C7787,C7763,C7739,C7715,C7691,C7667,C7643,C7619,C7595)/POBLA!$B$10*100000</f>
        <v>56.818108112665897</v>
      </c>
      <c r="H7907" s="213">
        <f t="shared" si="614"/>
        <v>2.2346938775510203</v>
      </c>
      <c r="L7907" s="50"/>
    </row>
    <row r="7908" spans="1:12" ht="15.75" thickBot="1" x14ac:dyDescent="0.3">
      <c r="A7908" s="84" t="s">
        <v>33</v>
      </c>
      <c r="B7908" s="37">
        <v>44222</v>
      </c>
      <c r="C7908" s="1">
        <v>96</v>
      </c>
      <c r="D7908" s="365">
        <f t="shared" si="615"/>
        <v>15990</v>
      </c>
      <c r="E7908" s="1">
        <v>15</v>
      </c>
      <c r="F7908" s="47">
        <f t="shared" si="613"/>
        <v>237</v>
      </c>
      <c r="G7908" s="212">
        <f>SUM(C7908,C7884,C7860,C7836,C7812,C7788,C7764,C7740,C7716,C7692,C7668,C7644,C7620,C7596)/POBLA!$B$11*100000</f>
        <v>539.85737721383373</v>
      </c>
      <c r="H7908" s="213">
        <f t="shared" si="614"/>
        <v>0.5056179775280899</v>
      </c>
      <c r="I7908" s="199"/>
      <c r="J7908" s="202"/>
      <c r="L7908" s="50"/>
    </row>
    <row r="7909" spans="1:12" ht="16.5" thickTop="1" thickBot="1" x14ac:dyDescent="0.3">
      <c r="A7909" s="84" t="s">
        <v>21</v>
      </c>
      <c r="B7909" s="37">
        <v>44222</v>
      </c>
      <c r="C7909" s="1">
        <v>11</v>
      </c>
      <c r="D7909" s="365">
        <f t="shared" si="615"/>
        <v>9452</v>
      </c>
      <c r="F7909" s="47">
        <f t="shared" si="613"/>
        <v>405</v>
      </c>
      <c r="G7909" s="212">
        <f>SUM(C7909,C7885,C7861,C7837,C7813,C7789,C7765,C7741,C7717,C7693,C7669,C7645,C7621,C7597)/POBLA!$B$12*100000</f>
        <v>54.887670856933767</v>
      </c>
      <c r="H7909" s="213">
        <f t="shared" si="614"/>
        <v>1.3416149068322982</v>
      </c>
      <c r="L7909" s="50"/>
    </row>
    <row r="7910" spans="1:12" ht="15.75" thickBot="1" x14ac:dyDescent="0.3">
      <c r="A7910" s="84" t="s">
        <v>17</v>
      </c>
      <c r="B7910" s="37">
        <v>44222</v>
      </c>
      <c r="C7910" s="1">
        <v>112</v>
      </c>
      <c r="D7910" s="365">
        <f t="shared" si="615"/>
        <v>63322</v>
      </c>
      <c r="E7910" s="1">
        <v>5</v>
      </c>
      <c r="F7910" s="47">
        <f t="shared" si="613"/>
        <v>1325</v>
      </c>
      <c r="G7910" s="212">
        <f>SUM(C7910,C7886,C7862,C7838,C7814,C7790,C7766,C7742,C7718,C7694,C7670,C7646,C7622,C7598)/POBLA!$B$13*100000</f>
        <v>86.970152808216497</v>
      </c>
      <c r="H7910" s="213">
        <f t="shared" si="614"/>
        <v>0.99254587155963303</v>
      </c>
      <c r="I7910" s="199"/>
      <c r="J7910" s="201"/>
      <c r="L7910" s="50"/>
    </row>
    <row r="7911" spans="1:12" ht="16.5" thickTop="1" thickBot="1" x14ac:dyDescent="0.3">
      <c r="A7911" s="84" t="s">
        <v>23</v>
      </c>
      <c r="B7911" s="37">
        <v>44222</v>
      </c>
      <c r="C7911" s="1">
        <v>169</v>
      </c>
      <c r="D7911" s="365">
        <f t="shared" si="615"/>
        <v>3781</v>
      </c>
      <c r="E7911" s="1">
        <v>5</v>
      </c>
      <c r="F7911" s="47">
        <f t="shared" si="613"/>
        <v>69</v>
      </c>
      <c r="G7911" s="212">
        <f>SUM(C7911,C7887,C7863,C7839,C7815,C7791,C7767,C7743,C7719,C7695,C7671,C7647,C7623,C7599)/POBLA!$B$14*100000</f>
        <v>179.26034691356654</v>
      </c>
      <c r="H7911" s="213">
        <f t="shared" si="614"/>
        <v>4.75</v>
      </c>
      <c r="I7911" s="199"/>
      <c r="J7911" s="202"/>
      <c r="L7911" s="50"/>
    </row>
    <row r="7912" spans="1:12" ht="16.5" thickTop="1" thickBot="1" x14ac:dyDescent="0.3">
      <c r="A7912" s="84" t="s">
        <v>19</v>
      </c>
      <c r="B7912" s="37">
        <v>44222</v>
      </c>
      <c r="C7912" s="1">
        <v>506</v>
      </c>
      <c r="D7912" s="365">
        <f t="shared" si="615"/>
        <v>52043</v>
      </c>
      <c r="E7912" s="1">
        <v>3</v>
      </c>
      <c r="F7912" s="47">
        <f t="shared" si="613"/>
        <v>766</v>
      </c>
      <c r="G7912" s="212">
        <f>SUM(C7912,C7888,C7864,C7840,C7816,C7792,C7768,C7744,C7720,C7696,C7672,C7648,C7624,C7600)/POBLA!$B$15*100000</f>
        <v>879.5931674539986</v>
      </c>
      <c r="H7912" s="213">
        <f t="shared" si="614"/>
        <v>0.96179812283879462</v>
      </c>
      <c r="I7912" s="199"/>
      <c r="J7912" s="202"/>
      <c r="L7912" s="50"/>
    </row>
    <row r="7913" spans="1:12" ht="16.5" thickTop="1" thickBot="1" x14ac:dyDescent="0.3">
      <c r="A7913" s="84" t="s">
        <v>18</v>
      </c>
      <c r="B7913" s="37">
        <v>44222</v>
      </c>
      <c r="C7913" s="1">
        <v>393</v>
      </c>
      <c r="D7913" s="365">
        <f t="shared" si="615"/>
        <v>46626</v>
      </c>
      <c r="E7913" s="1">
        <v>4</v>
      </c>
      <c r="F7913" s="47">
        <f t="shared" si="613"/>
        <v>1041</v>
      </c>
      <c r="G7913" s="212">
        <f>SUM(C7913,C7889,C7865,C7841,C7817,C7793,C7769,C7745,C7721,C7697,C7673,C7649,C7625,C7601)/POBLA!$B$16*100000</f>
        <v>585.73320314067496</v>
      </c>
      <c r="H7913" s="213">
        <f t="shared" si="614"/>
        <v>1.0136574074074074</v>
      </c>
      <c r="I7913" s="199"/>
      <c r="J7913" s="201"/>
      <c r="L7913" s="50"/>
    </row>
    <row r="7914" spans="1:12" ht="16.5" thickTop="1" thickBot="1" x14ac:dyDescent="0.3">
      <c r="A7914" s="84" t="s">
        <v>34</v>
      </c>
      <c r="B7914" s="37">
        <v>44222</v>
      </c>
      <c r="C7914" s="1">
        <v>66</v>
      </c>
      <c r="D7914" s="365">
        <f t="shared" si="615"/>
        <v>23530</v>
      </c>
      <c r="E7914" s="1">
        <v>2</v>
      </c>
      <c r="F7914" s="47">
        <f t="shared" si="613"/>
        <v>1036</v>
      </c>
      <c r="G7914" s="212">
        <f>SUM(C7914,C7890,C7866,C7842,C7818,C7794,C7770,C7746,C7722,C7698,C7674,C7650,C7626,C7602)/POBLA!$B$17*100000</f>
        <v>51.530577500514248</v>
      </c>
      <c r="H7914" s="213">
        <f t="shared" si="614"/>
        <v>1.3592592592592592</v>
      </c>
      <c r="I7914" s="199"/>
      <c r="J7914" s="200"/>
      <c r="L7914" s="50"/>
    </row>
    <row r="7915" spans="1:12" ht="16.5" thickTop="1" thickBot="1" x14ac:dyDescent="0.3">
      <c r="A7915" s="84" t="s">
        <v>35</v>
      </c>
      <c r="B7915" s="37">
        <v>44222</v>
      </c>
      <c r="C7915" s="1">
        <v>78</v>
      </c>
      <c r="D7915" s="365">
        <f t="shared" si="615"/>
        <v>13703</v>
      </c>
      <c r="F7915" s="47">
        <f t="shared" si="613"/>
        <v>217</v>
      </c>
      <c r="G7915" s="212">
        <f>SUM(C7915,C7891,C7867,C7843,C7819,C7795,C7771,C7747,C7723,C7699,C7675,C7651,C7627,C7603)/POBLA!$B$18*100000</f>
        <v>131.46155293599602</v>
      </c>
      <c r="H7915" s="213">
        <f t="shared" si="614"/>
        <v>0.77744133232399693</v>
      </c>
      <c r="L7915" s="50"/>
    </row>
    <row r="7916" spans="1:12" ht="15.75" thickBot="1" x14ac:dyDescent="0.3">
      <c r="A7916" s="84" t="s">
        <v>36</v>
      </c>
      <c r="B7916" s="37">
        <v>44222</v>
      </c>
      <c r="C7916" s="1">
        <v>45</v>
      </c>
      <c r="D7916" s="365">
        <f t="shared" si="615"/>
        <v>18798</v>
      </c>
      <c r="E7916" s="1">
        <v>1</v>
      </c>
      <c r="F7916" s="47">
        <f t="shared" si="613"/>
        <v>344</v>
      </c>
      <c r="G7916" s="212">
        <f>SUM(C7916,C7892,C7868,C7844,C7820,C7796,C7772,C7748,C7724,C7700,C7676,C7652,C7628,C7604)/POBLA!$B$19*100000</f>
        <v>419.80768322815192</v>
      </c>
      <c r="H7916" s="213">
        <f t="shared" si="614"/>
        <v>3.9300184162062615</v>
      </c>
      <c r="I7916" s="199"/>
      <c r="J7916" s="201"/>
      <c r="L7916" s="50"/>
    </row>
    <row r="7917" spans="1:12" ht="16.5" thickTop="1" thickBot="1" x14ac:dyDescent="0.3">
      <c r="A7917" s="84" t="s">
        <v>37</v>
      </c>
      <c r="B7917" s="37">
        <v>44222</v>
      </c>
      <c r="C7917" s="1">
        <v>181</v>
      </c>
      <c r="D7917" s="365">
        <f t="shared" si="615"/>
        <v>31826</v>
      </c>
      <c r="E7917" s="1">
        <v>6</v>
      </c>
      <c r="F7917" s="47">
        <f t="shared" si="613"/>
        <v>488</v>
      </c>
      <c r="G7917" s="212">
        <f>SUM(C7917,C7893,C7869,C7845,C7821,C7797,C7773,C7749,C7725,C7701,C7677,C7653,C7629,C7605)/POBLA!$B$20*100000</f>
        <v>1065.6333914869647</v>
      </c>
      <c r="H7917" s="213">
        <f t="shared" si="614"/>
        <v>0.77505966587112174</v>
      </c>
      <c r="I7917" s="199"/>
      <c r="J7917" s="200"/>
      <c r="L7917" s="50"/>
    </row>
    <row r="7918" spans="1:12" ht="16.5" thickTop="1" thickBot="1" x14ac:dyDescent="0.3">
      <c r="A7918" s="84" t="s">
        <v>22</v>
      </c>
      <c r="B7918" s="37">
        <v>44222</v>
      </c>
      <c r="C7918" s="1">
        <v>770</v>
      </c>
      <c r="D7918" s="365">
        <f t="shared" si="615"/>
        <v>202877</v>
      </c>
      <c r="E7918" s="1">
        <v>43</v>
      </c>
      <c r="F7918" s="47">
        <f t="shared" si="613"/>
        <v>3381</v>
      </c>
      <c r="G7918" s="212">
        <f>SUM(C7918,C7894,C7870,C7846,C7822,C7798,C7774,C7750,C7726,C7702,C7678,C7654,C7630,C7606)/POBLA!$B$21*100000</f>
        <v>393.98623126564786</v>
      </c>
      <c r="H7918" s="213">
        <f t="shared" si="614"/>
        <v>0.91483913328956012</v>
      </c>
      <c r="I7918" s="199"/>
      <c r="J7918" s="202"/>
      <c r="L7918" s="50"/>
    </row>
    <row r="7919" spans="1:12" ht="16.5" thickTop="1" thickBot="1" x14ac:dyDescent="0.3">
      <c r="A7919" s="84" t="s">
        <v>38</v>
      </c>
      <c r="B7919" s="37">
        <v>44222</v>
      </c>
      <c r="C7919" s="1">
        <v>79</v>
      </c>
      <c r="D7919" s="365">
        <f t="shared" si="615"/>
        <v>20551</v>
      </c>
      <c r="E7919" s="1">
        <v>1</v>
      </c>
      <c r="F7919" s="47">
        <f t="shared" si="613"/>
        <v>247</v>
      </c>
      <c r="G7919" s="212">
        <f>SUM(C7919,C7895,C7871,C7847,C7823,C7799,C7775,C7751,C7727,C7703,C7679,C7655,C7631,C7607)/POBLA!$B$22*100000</f>
        <v>170.08871393919941</v>
      </c>
      <c r="H7919" s="213">
        <f t="shared" si="614"/>
        <v>0.99047619047619051</v>
      </c>
      <c r="I7919" s="199"/>
      <c r="J7919" s="202"/>
      <c r="L7919" s="50"/>
    </row>
    <row r="7920" spans="1:12" ht="16.5" thickTop="1" thickBot="1" x14ac:dyDescent="0.3">
      <c r="A7920" s="84" t="s">
        <v>39</v>
      </c>
      <c r="B7920" s="37">
        <v>44222</v>
      </c>
      <c r="C7920" s="1">
        <v>52</v>
      </c>
      <c r="D7920" s="365">
        <f t="shared" si="615"/>
        <v>21572</v>
      </c>
      <c r="F7920" s="47">
        <f t="shared" si="613"/>
        <v>324</v>
      </c>
      <c r="G7920" s="212">
        <f>SUM(C7920,C7896,C7872,C7848,C7824,C7800,C7776,C7752,C7728,C7704,C7680,C7656,C7632,C7608)/POBLA!$B$23*100000</f>
        <v>664.48000904823834</v>
      </c>
      <c r="H7920" s="213">
        <f t="shared" si="614"/>
        <v>0.81824512534818938</v>
      </c>
      <c r="L7920" s="50"/>
    </row>
    <row r="7921" spans="1:12" ht="15.75" thickBot="1" x14ac:dyDescent="0.3">
      <c r="A7921" s="85" t="s">
        <v>40</v>
      </c>
      <c r="B7921" s="371">
        <v>44222</v>
      </c>
      <c r="C7921" s="54">
        <v>188</v>
      </c>
      <c r="D7921" s="372">
        <f t="shared" si="615"/>
        <v>75611</v>
      </c>
      <c r="E7921" s="54">
        <v>3</v>
      </c>
      <c r="F7921" s="214">
        <f t="shared" si="613"/>
        <v>1421</v>
      </c>
      <c r="G7921" s="212">
        <f>SUM(C7921,C7897,C7873,C7849,C7825,C7801,C7777,C7753,C7729,C7705,C7681,C7657,C7633,C7609)/POBLA!$B$24*100000</f>
        <v>134.24553419691077</v>
      </c>
      <c r="H7921" s="216">
        <f t="shared" si="614"/>
        <v>0.91255515443241075</v>
      </c>
      <c r="I7921" s="199"/>
      <c r="J7921" s="202"/>
      <c r="L7921" s="50"/>
    </row>
    <row r="7922" spans="1:12" ht="15.75" thickBot="1" x14ac:dyDescent="0.3">
      <c r="A7922" s="36" t="s">
        <v>16</v>
      </c>
      <c r="B7922" s="371">
        <v>44223</v>
      </c>
      <c r="C7922" s="293">
        <v>4445</v>
      </c>
      <c r="D7922" s="370">
        <f t="shared" si="615"/>
        <v>790397</v>
      </c>
      <c r="E7922" s="293">
        <v>44</v>
      </c>
      <c r="F7922" s="211">
        <f>E7922+F7898</f>
        <v>24278</v>
      </c>
      <c r="G7922" s="212">
        <f>SUM(C7922,C7898,C7874,C7850,C7826,C7802,C7778,C7754,C7730,C7706,C7682,C7658,C7634,C7610)/POBLA!$B$1*100000</f>
        <v>313.52008401277891</v>
      </c>
      <c r="H7922" s="196">
        <f t="shared" si="614"/>
        <v>0.99338884774480229</v>
      </c>
    </row>
    <row r="7923" spans="1:12" ht="15.75" thickBot="1" x14ac:dyDescent="0.3">
      <c r="A7923" s="84" t="s">
        <v>43</v>
      </c>
      <c r="B7923" s="371">
        <v>44223</v>
      </c>
      <c r="C7923" s="1">
        <v>1247</v>
      </c>
      <c r="D7923" s="365">
        <f t="shared" si="615"/>
        <v>206244</v>
      </c>
      <c r="E7923" s="1">
        <v>25</v>
      </c>
      <c r="F7923" s="47">
        <f t="shared" ref="F7923:F7945" si="616">E7923+F7899</f>
        <v>5870</v>
      </c>
      <c r="G7923" s="212">
        <f>SUM(C7923,C7899,C7875,C7851,C7827,C7803,C7779,C7755,C7731,C7707,C7683,C7659,C7635,C7611)/POBLA!$B$2*100000</f>
        <v>537.44806782054889</v>
      </c>
      <c r="H7923" s="213">
        <f t="shared" si="614"/>
        <v>1.0047410649161197</v>
      </c>
    </row>
    <row r="7924" spans="1:12" ht="15.75" thickBot="1" x14ac:dyDescent="0.3">
      <c r="A7924" s="84" t="s">
        <v>28</v>
      </c>
      <c r="B7924" s="371">
        <v>44223</v>
      </c>
      <c r="C7924" s="1">
        <v>116</v>
      </c>
      <c r="D7924" s="365">
        <f t="shared" si="615"/>
        <v>4954</v>
      </c>
      <c r="F7924" s="47">
        <f t="shared" si="616"/>
        <v>17</v>
      </c>
      <c r="G7924" s="212">
        <f>SUM(C7924,C7900,C7876,C7852,C7828,C7804,C7780,C7756,C7732,C7708,C7684,C7660,C7636,C7612)/POBLA!$B$3*100000</f>
        <v>384.65426850697338</v>
      </c>
      <c r="H7924" s="213">
        <f t="shared" si="614"/>
        <v>2.3815201192250375</v>
      </c>
    </row>
    <row r="7925" spans="1:12" ht="15.75" thickBot="1" x14ac:dyDescent="0.3">
      <c r="A7925" s="84" t="s">
        <v>15</v>
      </c>
      <c r="B7925" s="371">
        <v>44223</v>
      </c>
      <c r="C7925" s="1">
        <v>146</v>
      </c>
      <c r="D7925" s="365">
        <f t="shared" si="615"/>
        <v>30213</v>
      </c>
      <c r="E7925" s="1">
        <v>3</v>
      </c>
      <c r="F7925" s="47">
        <f t="shared" si="616"/>
        <v>790</v>
      </c>
      <c r="G7925" s="212">
        <f>SUM(C7925,C7901,C7877,C7853,C7829,C7805,C7781,C7757,C7733,C7709,C7685,C7661,C7637,C7613)/POBLA!$B$4*100000</f>
        <v>213.77437546750176</v>
      </c>
      <c r="H7925" s="213">
        <f t="shared" si="614"/>
        <v>0.826645264847512</v>
      </c>
    </row>
    <row r="7926" spans="1:12" ht="15.75" thickBot="1" x14ac:dyDescent="0.3">
      <c r="A7926" s="84" t="s">
        <v>29</v>
      </c>
      <c r="B7926" s="371">
        <v>44223</v>
      </c>
      <c r="C7926" s="1">
        <v>395</v>
      </c>
      <c r="D7926" s="365">
        <f t="shared" si="615"/>
        <v>41275</v>
      </c>
      <c r="E7926" s="1">
        <v>28</v>
      </c>
      <c r="F7926" s="47">
        <f t="shared" si="616"/>
        <v>644</v>
      </c>
      <c r="G7926" s="212">
        <f>SUM(C7926,C7902,C7878,C7854,C7830,C7806,C7782,C7758,C7734,C7710,C7686,C7662,C7638,C7614)/POBLA!$B$5*100000</f>
        <v>697.90660329502384</v>
      </c>
      <c r="H7926" s="213">
        <f t="shared" si="614"/>
        <v>0.78846504836649023</v>
      </c>
    </row>
    <row r="7927" spans="1:12" ht="15.75" thickBot="1" x14ac:dyDescent="0.3">
      <c r="A7927" s="84" t="s">
        <v>30</v>
      </c>
      <c r="B7927" s="371">
        <v>44223</v>
      </c>
      <c r="C7927" s="1">
        <v>224</v>
      </c>
      <c r="D7927" s="365">
        <f t="shared" si="615"/>
        <v>16854</v>
      </c>
      <c r="E7927" s="1">
        <v>3</v>
      </c>
      <c r="F7927" s="47">
        <f t="shared" si="616"/>
        <v>2572</v>
      </c>
      <c r="G7927" s="212">
        <f>SUM(C7927,C7903,C7879,C7855,C7831,C7807,C7783,C7759,C7735,C7711,C7687,C7663,C7639,C7615)/POBLA!$B$7*100000</f>
        <v>97.807443258120699</v>
      </c>
      <c r="H7927" s="213">
        <f>SUM(C7927,C7903,C7879,C7855,C7831,C7807,C7783,C7759,C7735,C7711,C7687,C7663,C7639,C7615)/SUM(C7591,C7567,C7543,C7519,C7495,C7471,C7447,C7423,C7399,C7375,C7351,C7327,C7303,C7279)</f>
        <v>0.4310829817158931</v>
      </c>
    </row>
    <row r="7928" spans="1:12" ht="15.75" thickBot="1" x14ac:dyDescent="0.3">
      <c r="A7928" s="84" t="s">
        <v>20</v>
      </c>
      <c r="B7928" s="371">
        <v>44223</v>
      </c>
      <c r="C7928" s="1">
        <v>687</v>
      </c>
      <c r="D7928" s="365">
        <f t="shared" si="615"/>
        <v>143173</v>
      </c>
      <c r="E7928" s="1">
        <v>11</v>
      </c>
      <c r="F7928" s="47">
        <f t="shared" si="616"/>
        <v>270</v>
      </c>
      <c r="G7928" s="212">
        <f>SUM(C7928,C7904,C7880,C7856,C7832,C7808,C7784,C7760,C7736,C7712,C7688,C7664,C7640,C7616)/POBLA!$B$6*100000</f>
        <v>564.15010336357659</v>
      </c>
      <c r="H7928" s="213">
        <f>SUM(C7928,C7904,C7880,C7856,C7832,C7808,C7784,C7760,C7736,C7712,C7688,C7664,C7640,C7616)/SUM(C7592,C7568,C7544,C7520,C7496,C7472,C7448,C7424,C7400,C7376,C7352,C7328,C7304,C7280)</f>
        <v>2.361972357116175</v>
      </c>
    </row>
    <row r="7929" spans="1:12" ht="15.75" thickBot="1" x14ac:dyDescent="0.3">
      <c r="A7929" s="84" t="s">
        <v>31</v>
      </c>
      <c r="B7929" s="371">
        <v>44223</v>
      </c>
      <c r="C7929" s="1">
        <v>293</v>
      </c>
      <c r="D7929" s="365">
        <f t="shared" si="615"/>
        <v>40000</v>
      </c>
      <c r="E7929" s="1">
        <v>8</v>
      </c>
      <c r="F7929" s="47">
        <f t="shared" si="616"/>
        <v>702</v>
      </c>
      <c r="G7929" s="212">
        <f>SUM(C7929,C7905,C7881,C7857,C7833,C7809,C7785,C7761,C7737,C7713,C7689,C7665,C7641,C7617)/POBLA!$B$8*100000</f>
        <v>376.20106193464318</v>
      </c>
      <c r="H7929" s="213">
        <f t="shared" ref="H7929:H7945" si="617">SUM(C7929,C7905,C7881,C7857,C7833,C7809,C7785,C7761,C7737,C7713,C7689,C7665,C7641,C7617)/SUM(C7593,C7569,C7545,C7521,C7497,C7473,C7449,C7425,C7401,C7377,C7353,C7329,C7305,C7281)</f>
        <v>0.90145228215767637</v>
      </c>
    </row>
    <row r="7930" spans="1:12" ht="15.75" thickBot="1" x14ac:dyDescent="0.3">
      <c r="A7930" s="84" t="s">
        <v>41</v>
      </c>
      <c r="B7930" s="371">
        <v>44223</v>
      </c>
      <c r="C7930" s="1">
        <v>14</v>
      </c>
      <c r="D7930" s="365">
        <f t="shared" si="615"/>
        <v>828</v>
      </c>
      <c r="F7930" s="47">
        <f t="shared" si="616"/>
        <v>6</v>
      </c>
      <c r="G7930" s="212">
        <f>SUM(C7930,C7906,C7882,C7858,C7834,C7810,C7786,C7762,C7738,C7714,C7690,C7666,C7642,C7618)/POBLA!$B$9*100000</f>
        <v>66.590327383165373</v>
      </c>
      <c r="H7930" s="213">
        <f t="shared" si="617"/>
        <v>1.892018779342723</v>
      </c>
    </row>
    <row r="7931" spans="1:12" ht="15.75" thickBot="1" x14ac:dyDescent="0.3">
      <c r="A7931" s="84" t="s">
        <v>32</v>
      </c>
      <c r="B7931" s="371">
        <v>44223</v>
      </c>
      <c r="C7931" s="1">
        <v>49</v>
      </c>
      <c r="D7931" s="365">
        <f t="shared" si="615"/>
        <v>19206</v>
      </c>
      <c r="F7931" s="47">
        <f t="shared" si="616"/>
        <v>866</v>
      </c>
      <c r="G7931" s="212">
        <f>SUM(C7931,C7907,C7883,C7859,C7835,C7811,C7787,C7763,C7739,C7715,C7691,C7667,C7643,C7619)/POBLA!$B$10*100000</f>
        <v>60.969202769299024</v>
      </c>
      <c r="H7931" s="213">
        <f t="shared" si="617"/>
        <v>2.4607329842931938</v>
      </c>
    </row>
    <row r="7932" spans="1:12" ht="15.75" thickBot="1" x14ac:dyDescent="0.3">
      <c r="A7932" s="84" t="s">
        <v>33</v>
      </c>
      <c r="B7932" s="371">
        <v>44223</v>
      </c>
      <c r="C7932" s="1">
        <v>130</v>
      </c>
      <c r="D7932" s="365">
        <f t="shared" si="615"/>
        <v>16120</v>
      </c>
      <c r="F7932" s="47">
        <f t="shared" si="616"/>
        <v>237</v>
      </c>
      <c r="G7932" s="212">
        <f>SUM(C7932,C7908,C7884,C7860,C7836,C7812,C7788,C7764,C7740,C7716,C7692,C7668,C7644,C7620)/POBLA!$B$11*100000</f>
        <v>512.23676721684694</v>
      </c>
      <c r="H7932" s="213">
        <f t="shared" si="617"/>
        <v>0.49156626506024098</v>
      </c>
    </row>
    <row r="7933" spans="1:12" ht="15.75" thickBot="1" x14ac:dyDescent="0.3">
      <c r="A7933" s="84" t="s">
        <v>21</v>
      </c>
      <c r="B7933" s="371">
        <v>44223</v>
      </c>
      <c r="C7933" s="1">
        <v>36</v>
      </c>
      <c r="D7933" s="365">
        <f t="shared" si="615"/>
        <v>9488</v>
      </c>
      <c r="F7933" s="47">
        <f t="shared" si="616"/>
        <v>405</v>
      </c>
      <c r="G7933" s="212">
        <f>SUM(C7933,C7909,C7885,C7861,C7837,C7813,C7789,C7765,C7741,C7717,C7693,C7669,C7645,C7621)/POBLA!$B$12*100000</f>
        <v>61.240410539449236</v>
      </c>
      <c r="H7933" s="213">
        <f t="shared" si="617"/>
        <v>1.4876543209876543</v>
      </c>
    </row>
    <row r="7934" spans="1:12" ht="15.75" thickBot="1" x14ac:dyDescent="0.3">
      <c r="A7934" s="84" t="s">
        <v>17</v>
      </c>
      <c r="B7934" s="371">
        <v>44223</v>
      </c>
      <c r="C7934" s="1">
        <v>149</v>
      </c>
      <c r="D7934" s="365">
        <f t="shared" si="615"/>
        <v>63471</v>
      </c>
      <c r="E7934" s="1">
        <v>11</v>
      </c>
      <c r="F7934" s="47">
        <f t="shared" si="616"/>
        <v>1336</v>
      </c>
      <c r="G7934" s="212">
        <f>SUM(C7934,C7910,C7886,C7862,C7838,C7814,C7790,C7766,C7742,C7718,C7694,C7670,C7646,C7622)/POBLA!$B$13*100000</f>
        <v>86.919910085623656</v>
      </c>
      <c r="H7934" s="213">
        <f t="shared" si="617"/>
        <v>1.0028985507246377</v>
      </c>
    </row>
    <row r="7935" spans="1:12" ht="15.75" thickBot="1" x14ac:dyDescent="0.3">
      <c r="A7935" s="84" t="s">
        <v>23</v>
      </c>
      <c r="B7935" s="371">
        <v>44223</v>
      </c>
      <c r="C7935" s="1">
        <v>241</v>
      </c>
      <c r="D7935" s="365">
        <f t="shared" si="615"/>
        <v>4022</v>
      </c>
      <c r="E7935" s="1">
        <v>5</v>
      </c>
      <c r="F7935" s="47">
        <f t="shared" si="616"/>
        <v>74</v>
      </c>
      <c r="G7935" s="212">
        <f>SUM(C7935,C7911,C7887,C7863,C7839,C7815,C7791,C7767,C7743,C7719,C7695,C7671,C7647,C7623)/POBLA!$B$14*100000</f>
        <v>196.22704936359008</v>
      </c>
      <c r="H7935" s="213">
        <f>SUM(C7935,C7911,C7887,C7863,C7839,C7815,C7791,C7767,C7743,C7719,C7695,C7671,C7647,C7623)/SUM(C7599,C7575,C7551,C7527,C7503,C7479,C7455,C7431,C7407,C7383,C7359,C7335,C7311,C7287)</f>
        <v>5.2547770700636942</v>
      </c>
    </row>
    <row r="7936" spans="1:12" ht="15.75" thickBot="1" x14ac:dyDescent="0.3">
      <c r="A7936" s="84" t="s">
        <v>19</v>
      </c>
      <c r="B7936" s="371">
        <v>44223</v>
      </c>
      <c r="C7936" s="1">
        <v>538</v>
      </c>
      <c r="D7936" s="365">
        <f t="shared" si="615"/>
        <v>52581</v>
      </c>
      <c r="F7936" s="47">
        <f t="shared" si="616"/>
        <v>766</v>
      </c>
      <c r="G7936" s="212">
        <f>SUM(C7936,C7912,C7888,C7864,C7840,C7816,C7792,C7768,C7744,C7720,C7696,C7672,C7648,C7624)/POBLA!$B$15*100000</f>
        <v>890.88737864370069</v>
      </c>
      <c r="H7936" s="213">
        <f t="shared" si="617"/>
        <v>0.98305084745762716</v>
      </c>
    </row>
    <row r="7937" spans="1:8" ht="15.75" thickBot="1" x14ac:dyDescent="0.3">
      <c r="A7937" s="84" t="s">
        <v>18</v>
      </c>
      <c r="B7937" s="371">
        <v>44223</v>
      </c>
      <c r="C7937" s="1">
        <v>365</v>
      </c>
      <c r="D7937" s="365">
        <f t="shared" si="615"/>
        <v>46991</v>
      </c>
      <c r="E7937" s="1">
        <v>10</v>
      </c>
      <c r="F7937" s="47">
        <f t="shared" si="616"/>
        <v>1051</v>
      </c>
      <c r="G7937" s="212">
        <f>SUM(C7937,C7913,C7889,C7865,C7841,C7817,C7793,C7769,C7745,C7721,C7697,C7673,C7649,C7625)/POBLA!$B$16*100000</f>
        <v>581.98793488583624</v>
      </c>
      <c r="H7937" s="213">
        <f t="shared" si="617"/>
        <v>1.0057790106333795</v>
      </c>
    </row>
    <row r="7938" spans="1:8" ht="15.75" thickBot="1" x14ac:dyDescent="0.3">
      <c r="A7938" s="84" t="s">
        <v>34</v>
      </c>
      <c r="B7938" s="371">
        <v>44223</v>
      </c>
      <c r="C7938" s="1">
        <v>65</v>
      </c>
      <c r="D7938" s="365">
        <f t="shared" ref="D7938:D7969" si="618">C7938+D7914</f>
        <v>23595</v>
      </c>
      <c r="F7938" s="47">
        <f t="shared" si="616"/>
        <v>1036</v>
      </c>
      <c r="G7938" s="212">
        <f>SUM(C7938,C7914,C7890,C7866,C7842,C7818,C7794,C7770,C7746,C7722,C7698,C7674,C7650,C7626)/POBLA!$B$17*100000</f>
        <v>51.390167207597322</v>
      </c>
      <c r="H7938" s="213">
        <f t="shared" si="617"/>
        <v>1.318918918918919</v>
      </c>
    </row>
    <row r="7939" spans="1:8" ht="15.75" thickBot="1" x14ac:dyDescent="0.3">
      <c r="A7939" s="84" t="s">
        <v>35</v>
      </c>
      <c r="B7939" s="371">
        <v>44223</v>
      </c>
      <c r="C7939" s="1">
        <v>58</v>
      </c>
      <c r="D7939" s="365">
        <f t="shared" si="618"/>
        <v>13761</v>
      </c>
      <c r="F7939" s="47">
        <f t="shared" si="616"/>
        <v>217</v>
      </c>
      <c r="G7939" s="212">
        <f>SUM(C7939,C7915,C7891,C7867,C7843,C7819,C7795,C7771,C7747,C7723,C7699,C7675,C7651,C7627)/POBLA!$B$18*100000</f>
        <v>118.02098520641512</v>
      </c>
      <c r="H7939" s="213">
        <f t="shared" si="617"/>
        <v>0.69011976047904189</v>
      </c>
    </row>
    <row r="7940" spans="1:8" ht="15.75" thickBot="1" x14ac:dyDescent="0.3">
      <c r="A7940" s="84" t="s">
        <v>36</v>
      </c>
      <c r="B7940" s="371">
        <v>44223</v>
      </c>
      <c r="C7940" s="1">
        <v>81</v>
      </c>
      <c r="D7940" s="365">
        <f t="shared" si="618"/>
        <v>18879</v>
      </c>
      <c r="F7940" s="47">
        <f t="shared" si="616"/>
        <v>344</v>
      </c>
      <c r="G7940" s="212">
        <f>SUM(C7940,C7916,C7892,C7868,C7844,C7820,C7796,C7772,C7748,C7724,C7700,C7676,C7652,C7628)/POBLA!$B$19*100000</f>
        <v>428.26678837286158</v>
      </c>
      <c r="H7940" s="213">
        <f t="shared" si="617"/>
        <v>4.0092081031307547</v>
      </c>
    </row>
    <row r="7941" spans="1:8" ht="15.75" thickBot="1" x14ac:dyDescent="0.3">
      <c r="A7941" s="84" t="s">
        <v>37</v>
      </c>
      <c r="B7941" s="371">
        <v>44223</v>
      </c>
      <c r="C7941" s="1">
        <v>167</v>
      </c>
      <c r="D7941" s="365">
        <f t="shared" si="618"/>
        <v>31993</v>
      </c>
      <c r="E7941" s="1">
        <v>2</v>
      </c>
      <c r="F7941" s="47">
        <f t="shared" si="616"/>
        <v>490</v>
      </c>
      <c r="G7941" s="212">
        <f>SUM(C7941,C7917,C7893,C7869,C7845,C7821,C7797,C7773,C7749,C7725,C7701,C7677,C7653,C7629)/POBLA!$B$20*100000</f>
        <v>1022.9752418662393</v>
      </c>
      <c r="H7941" s="213">
        <f t="shared" si="617"/>
        <v>0.76082977425259302</v>
      </c>
    </row>
    <row r="7942" spans="1:8" ht="15.75" thickBot="1" x14ac:dyDescent="0.3">
      <c r="A7942" s="84" t="s">
        <v>22</v>
      </c>
      <c r="B7942" s="371">
        <v>44223</v>
      </c>
      <c r="C7942" s="1">
        <v>924</v>
      </c>
      <c r="D7942" s="365">
        <f t="shared" si="618"/>
        <v>203801</v>
      </c>
      <c r="E7942" s="1">
        <v>29</v>
      </c>
      <c r="F7942" s="47">
        <f t="shared" si="616"/>
        <v>3410</v>
      </c>
      <c r="G7942" s="212">
        <f>SUM(C7942,C7918,C7894,C7870,C7846,C7822,C7798,C7774,C7750,C7726,C7702,C7678,C7654,C7630)/POBLA!$B$21*100000</f>
        <v>377.64200951358123</v>
      </c>
      <c r="H7942" s="213">
        <f t="shared" si="617"/>
        <v>0.86580226904376012</v>
      </c>
    </row>
    <row r="7943" spans="1:8" ht="15.75" thickBot="1" x14ac:dyDescent="0.3">
      <c r="A7943" s="84" t="s">
        <v>38</v>
      </c>
      <c r="B7943" s="371">
        <v>44223</v>
      </c>
      <c r="C7943" s="1">
        <v>101</v>
      </c>
      <c r="D7943" s="365">
        <f t="shared" si="618"/>
        <v>20652</v>
      </c>
      <c r="E7943" s="1">
        <v>2</v>
      </c>
      <c r="F7943" s="47">
        <f t="shared" si="616"/>
        <v>249</v>
      </c>
      <c r="G7943" s="212">
        <f>SUM(C7943,C7919,C7895,C7871,C7847,C7823,C7799,C7775,C7751,C7727,C7703,C7679,C7655,C7631)/POBLA!$B$22*100000</f>
        <v>163.54684032615327</v>
      </c>
      <c r="H7943" s="213">
        <f t="shared" si="617"/>
        <v>0.92915214866434381</v>
      </c>
    </row>
    <row r="7944" spans="1:8" ht="15.75" thickBot="1" x14ac:dyDescent="0.3">
      <c r="A7944" s="84" t="s">
        <v>39</v>
      </c>
      <c r="B7944" s="371">
        <v>44223</v>
      </c>
      <c r="C7944" s="1">
        <v>85</v>
      </c>
      <c r="D7944" s="365">
        <f t="shared" si="618"/>
        <v>21657</v>
      </c>
      <c r="E7944" s="1">
        <v>1</v>
      </c>
      <c r="F7944" s="47">
        <f t="shared" si="616"/>
        <v>325</v>
      </c>
      <c r="G7944" s="212">
        <f>SUM(C7944,C7920,C7896,C7872,C7848,C7824,C7800,C7776,C7752,C7728,C7704,C7680,C7656,C7632)/POBLA!$B$23*100000</f>
        <v>655.43177062715597</v>
      </c>
      <c r="H7944" s="213">
        <f t="shared" si="617"/>
        <v>0.78843537414965992</v>
      </c>
    </row>
    <row r="7945" spans="1:8" ht="15.75" thickBot="1" x14ac:dyDescent="0.3">
      <c r="A7945" s="85" t="s">
        <v>40</v>
      </c>
      <c r="B7945" s="371">
        <v>44223</v>
      </c>
      <c r="C7945" s="1">
        <v>287</v>
      </c>
      <c r="D7945" s="372">
        <f t="shared" si="618"/>
        <v>75898</v>
      </c>
      <c r="F7945" s="214">
        <f t="shared" si="616"/>
        <v>1421</v>
      </c>
      <c r="G7945" s="212">
        <f>SUM(C7945,C7921,C7897,C7873,C7849,C7825,C7801,C7777,C7753,C7729,C7705,C7681,C7657,C7633)/POBLA!$B$24*100000</f>
        <v>134.71760640507571</v>
      </c>
      <c r="H7945" s="216">
        <f t="shared" si="617"/>
        <v>0.87104158718046543</v>
      </c>
    </row>
    <row r="7946" spans="1:8" ht="15.75" thickBot="1" x14ac:dyDescent="0.3">
      <c r="A7946" s="36" t="s">
        <v>16</v>
      </c>
      <c r="B7946" s="371">
        <v>44224</v>
      </c>
      <c r="C7946" s="1">
        <v>4175</v>
      </c>
      <c r="D7946" s="370">
        <f t="shared" si="618"/>
        <v>794572</v>
      </c>
      <c r="E7946" s="1">
        <v>91</v>
      </c>
      <c r="F7946" s="211">
        <f>E7946+F7922</f>
        <v>24369</v>
      </c>
      <c r="G7946" s="212">
        <f>SUM(C7946,C7922,C7898,C7874,C7850,C7826,C7802,C7778,C7754,C7730,C7706,C7682,C7658,C7634)/POBLA!$B$1*100000</f>
        <v>307.76219175252055</v>
      </c>
      <c r="H7946" s="196">
        <f t="shared" ref="H7946:H7952" si="619">SUM(C7946,C7922,C7898,C7874,C7850,C7826,C7802,C7778,C7754,C7730,C7706,C7682,C7658,C7634)/SUM(C7610,C7586,C7562,C7538,C7514,C7490,C7466,C7442,C7418,C7394,C7370,C7346,C7322,C7298)</f>
        <v>0.96709182759485512</v>
      </c>
    </row>
    <row r="7947" spans="1:8" ht="15.75" thickBot="1" x14ac:dyDescent="0.3">
      <c r="A7947" s="84" t="s">
        <v>43</v>
      </c>
      <c r="B7947" s="371">
        <v>44224</v>
      </c>
      <c r="C7947" s="1">
        <v>1101</v>
      </c>
      <c r="D7947" s="365">
        <f t="shared" si="618"/>
        <v>207345</v>
      </c>
      <c r="E7947" s="1">
        <v>9</v>
      </c>
      <c r="F7947" s="47">
        <f t="shared" ref="F7947:F7969" si="620">E7947+F7923</f>
        <v>5879</v>
      </c>
      <c r="G7947" s="212">
        <f>SUM(C7947,C7923,C7899,C7875,C7851,C7827,C7803,C7779,C7755,C7731,C7707,C7683,C7659,C7635)/POBLA!$B$2*100000</f>
        <v>528.79947822343661</v>
      </c>
      <c r="H7947" s="213">
        <f t="shared" si="619"/>
        <v>0.98677344982405046</v>
      </c>
    </row>
    <row r="7948" spans="1:8" ht="15.75" thickBot="1" x14ac:dyDescent="0.3">
      <c r="A7948" s="84" t="s">
        <v>28</v>
      </c>
      <c r="B7948" s="371">
        <v>44224</v>
      </c>
      <c r="C7948" s="1">
        <v>86</v>
      </c>
      <c r="D7948" s="365">
        <f t="shared" si="618"/>
        <v>5040</v>
      </c>
      <c r="F7948" s="47">
        <f t="shared" si="620"/>
        <v>17</v>
      </c>
      <c r="G7948" s="212">
        <f>SUM(C7948,C7924,C7900,C7876,C7852,C7828,C7804,C7780,C7756,C7732,C7708,C7684,C7660,C7636)/POBLA!$B$3*100000</f>
        <v>386.57994694755894</v>
      </c>
      <c r="H7948" s="213">
        <f t="shared" si="619"/>
        <v>2.4077961019490255</v>
      </c>
    </row>
    <row r="7949" spans="1:8" ht="15.75" thickBot="1" x14ac:dyDescent="0.3">
      <c r="A7949" s="84" t="s">
        <v>15</v>
      </c>
      <c r="B7949" s="371">
        <v>44224</v>
      </c>
      <c r="C7949" s="1">
        <v>137</v>
      </c>
      <c r="D7949" s="365">
        <f t="shared" si="618"/>
        <v>30350</v>
      </c>
      <c r="E7949" s="1">
        <v>3</v>
      </c>
      <c r="F7949" s="47">
        <f t="shared" si="620"/>
        <v>793</v>
      </c>
      <c r="G7949" s="212">
        <f>SUM(C7949,C7925,C7901,C7877,C7853,C7829,C7805,C7781,C7757,C7733,C7709,C7685,C7661,C7637)/POBLA!$B$4*100000</f>
        <v>199.91017325271619</v>
      </c>
      <c r="H7949" s="213">
        <f t="shared" si="619"/>
        <v>0.76202531645569616</v>
      </c>
    </row>
    <row r="7950" spans="1:8" ht="15.75" thickBot="1" x14ac:dyDescent="0.3">
      <c r="A7950" s="84" t="s">
        <v>29</v>
      </c>
      <c r="B7950" s="371">
        <v>44224</v>
      </c>
      <c r="C7950" s="1">
        <v>316</v>
      </c>
      <c r="D7950" s="365">
        <f t="shared" si="618"/>
        <v>41591</v>
      </c>
      <c r="E7950" s="1">
        <v>8</v>
      </c>
      <c r="F7950" s="47">
        <f t="shared" si="620"/>
        <v>652</v>
      </c>
      <c r="G7950" s="212">
        <f>SUM(C7950,C7926,C7902,C7878,C7854,C7830,C7806,C7782,C7758,C7734,C7710,C7686,C7662,C7638)/POBLA!$B$5*100000</f>
        <v>661.23419613114186</v>
      </c>
      <c r="H7950" s="213">
        <f t="shared" si="619"/>
        <v>0.73522543560265852</v>
      </c>
    </row>
    <row r="7951" spans="1:8" ht="15.75" thickBot="1" x14ac:dyDescent="0.3">
      <c r="A7951" s="84" t="s">
        <v>30</v>
      </c>
      <c r="B7951" s="371">
        <v>44224</v>
      </c>
      <c r="C7951" s="1">
        <v>108</v>
      </c>
      <c r="D7951" s="365">
        <f t="shared" si="618"/>
        <v>16962</v>
      </c>
      <c r="E7951" s="1">
        <v>2</v>
      </c>
      <c r="F7951" s="47">
        <f t="shared" si="620"/>
        <v>2574</v>
      </c>
      <c r="G7951" s="212">
        <f>SUM(C7951,C7927,C7903,C7879,C7855,C7831,C7807,C7783,C7759,C7735,C7711,C7687,C7663,C7639)/POBLA!$B$7*100000</f>
        <v>80.203167174141399</v>
      </c>
      <c r="H7951" s="213">
        <f t="shared" si="619"/>
        <v>0.35390753344285381</v>
      </c>
    </row>
    <row r="7952" spans="1:8" ht="15.75" thickBot="1" x14ac:dyDescent="0.3">
      <c r="A7952" s="84" t="s">
        <v>20</v>
      </c>
      <c r="B7952" s="371">
        <v>44224</v>
      </c>
      <c r="C7952" s="1">
        <v>678</v>
      </c>
      <c r="D7952" s="365">
        <f t="shared" si="618"/>
        <v>143851</v>
      </c>
      <c r="E7952" s="1">
        <v>6</v>
      </c>
      <c r="F7952" s="47">
        <f t="shared" si="620"/>
        <v>276</v>
      </c>
      <c r="G7952" s="212">
        <f>SUM(C7952,C7928,C7904,C7880,C7856,C7832,C7808,C7784,C7760,C7736,C7712,C7688,C7664,C7640)/POBLA!$B$6*100000</f>
        <v>587.61546429740872</v>
      </c>
      <c r="H7952" s="213">
        <f t="shared" si="619"/>
        <v>2.1829632084852504</v>
      </c>
    </row>
    <row r="7953" spans="1:8" ht="15.75" thickBot="1" x14ac:dyDescent="0.3">
      <c r="A7953" s="84" t="s">
        <v>31</v>
      </c>
      <c r="B7953" s="371">
        <v>44224</v>
      </c>
      <c r="C7953" s="1">
        <v>316</v>
      </c>
      <c r="D7953" s="365">
        <f t="shared" si="618"/>
        <v>40316</v>
      </c>
      <c r="E7953" s="1">
        <v>3</v>
      </c>
      <c r="F7953" s="47">
        <f t="shared" si="620"/>
        <v>705</v>
      </c>
      <c r="G7953" s="212">
        <f>SUM(C7953,C7929,C7905,C7881,C7857,C7833,C7809,C7785,C7761,C7737,C7713,C7689,C7665,C7641)/POBLA!$B$8*100000</f>
        <v>360.11114309854321</v>
      </c>
      <c r="H7953" s="213">
        <f t="shared" ref="H7953:H7969" si="621">SUM(C7953,C7929,C7905,C7881,C7857,C7833,C7809,C7785,C7761,C7737,C7713,C7689,C7665,C7641)/SUM(C7617,C7593,C7569,C7545,C7521,C7497,C7473,C7449,C7425,C7401,C7377,C7353,C7329,C7305)</f>
        <v>0.85579561042524011</v>
      </c>
    </row>
    <row r="7954" spans="1:8" ht="15.75" thickBot="1" x14ac:dyDescent="0.3">
      <c r="A7954" s="84" t="s">
        <v>41</v>
      </c>
      <c r="B7954" s="371">
        <v>44224</v>
      </c>
      <c r="C7954" s="1">
        <v>5</v>
      </c>
      <c r="D7954" s="365">
        <f t="shared" si="618"/>
        <v>833</v>
      </c>
      <c r="F7954" s="47">
        <f t="shared" si="620"/>
        <v>6</v>
      </c>
      <c r="G7954" s="212">
        <f>SUM(C7954,C7930,C7906,C7882,C7858,C7834,C7810,C7786,C7762,C7738,C7714,C7690,C7666,C7642)/POBLA!$B$9*100000</f>
        <v>55.023769276908361</v>
      </c>
      <c r="H7954" s="213">
        <f t="shared" si="621"/>
        <v>1.1808510638297873</v>
      </c>
    </row>
    <row r="7955" spans="1:8" ht="15.75" thickBot="1" x14ac:dyDescent="0.3">
      <c r="A7955" s="84" t="s">
        <v>32</v>
      </c>
      <c r="B7955" s="371">
        <v>44224</v>
      </c>
      <c r="C7955" s="1">
        <v>40</v>
      </c>
      <c r="D7955" s="365">
        <f t="shared" si="618"/>
        <v>19246</v>
      </c>
      <c r="F7955" s="47">
        <f t="shared" si="620"/>
        <v>866</v>
      </c>
      <c r="G7955" s="212">
        <f>SUM(C7955,C7931,C7907,C7883,C7859,C7835,C7811,C7787,C7763,C7739,C7715,C7691,C7667,C7643)/POBLA!$B$10*100000</f>
        <v>63.17447180563537</v>
      </c>
      <c r="H7955" s="213">
        <f t="shared" si="621"/>
        <v>2.3413461538461537</v>
      </c>
    </row>
    <row r="7956" spans="1:8" ht="15.75" thickBot="1" x14ac:dyDescent="0.3">
      <c r="A7956" s="84" t="s">
        <v>33</v>
      </c>
      <c r="B7956" s="371">
        <v>44224</v>
      </c>
      <c r="C7956" s="1">
        <v>118</v>
      </c>
      <c r="D7956" s="365">
        <f t="shared" si="618"/>
        <v>16238</v>
      </c>
      <c r="F7956" s="47">
        <f t="shared" si="620"/>
        <v>237</v>
      </c>
      <c r="G7956" s="212">
        <f>SUM(C7956,C7932,C7908,C7884,C7860,C7836,C7812,C7788,C7764,C7740,C7716,C7692,C7668,C7644)/POBLA!$B$11*100000</f>
        <v>474.01430691798629</v>
      </c>
      <c r="H7956" s="213">
        <f t="shared" si="621"/>
        <v>0.46068329718004336</v>
      </c>
    </row>
    <row r="7957" spans="1:8" ht="15.75" thickBot="1" x14ac:dyDescent="0.3">
      <c r="A7957" s="84" t="s">
        <v>21</v>
      </c>
      <c r="B7957" s="371">
        <v>44224</v>
      </c>
      <c r="C7957" s="1">
        <v>10</v>
      </c>
      <c r="D7957" s="365">
        <f t="shared" si="618"/>
        <v>9498</v>
      </c>
      <c r="E7957" s="1">
        <v>1</v>
      </c>
      <c r="F7957" s="47">
        <f t="shared" si="620"/>
        <v>406</v>
      </c>
      <c r="G7957" s="212">
        <f>SUM(C7957,C7933,C7909,C7885,C7861,C7837,C7813,C7789,C7765,C7741,C7717,C7693,C7669,C7645)/POBLA!$B$12*100000</f>
        <v>60.732191364848006</v>
      </c>
      <c r="H7957" s="213">
        <f t="shared" si="621"/>
        <v>1.4484848484848485</v>
      </c>
    </row>
    <row r="7958" spans="1:8" ht="15.75" thickBot="1" x14ac:dyDescent="0.3">
      <c r="A7958" s="84" t="s">
        <v>17</v>
      </c>
      <c r="B7958" s="371">
        <v>44224</v>
      </c>
      <c r="C7958" s="1">
        <v>101</v>
      </c>
      <c r="D7958" s="365">
        <f t="shared" si="618"/>
        <v>63572</v>
      </c>
      <c r="E7958" s="1">
        <v>3</v>
      </c>
      <c r="F7958" s="47">
        <f t="shared" si="620"/>
        <v>1339</v>
      </c>
      <c r="G7958" s="212">
        <f>SUM(C7958,C7934,C7910,C7886,C7862,C7838,C7814,C7790,C7766,C7742,C7718,C7694,C7670,C7646)/POBLA!$B$13*100000</f>
        <v>83.855104007460042</v>
      </c>
      <c r="H7958" s="213">
        <f t="shared" si="621"/>
        <v>0.95045558086560367</v>
      </c>
    </row>
    <row r="7959" spans="1:8" ht="15.75" thickBot="1" x14ac:dyDescent="0.3">
      <c r="A7959" s="84" t="s">
        <v>23</v>
      </c>
      <c r="B7959" s="371">
        <v>44224</v>
      </c>
      <c r="C7959" s="1">
        <v>130</v>
      </c>
      <c r="D7959" s="365">
        <f t="shared" si="618"/>
        <v>4152</v>
      </c>
      <c r="E7959" s="1">
        <v>5</v>
      </c>
      <c r="F7959" s="47">
        <f t="shared" si="620"/>
        <v>79</v>
      </c>
      <c r="G7959" s="212">
        <f>SUM(C7959,C7935,C7911,C7887,C7863,C7839,C7815,C7791,C7767,C7743,C7719,C7695,C7671,C7647)/POBLA!$B$14*100000</f>
        <v>189.48793857736578</v>
      </c>
      <c r="H7959" s="213">
        <f t="shared" si="621"/>
        <v>3.5147058823529411</v>
      </c>
    </row>
    <row r="7960" spans="1:8" ht="15.75" thickBot="1" x14ac:dyDescent="0.3">
      <c r="A7960" s="84" t="s">
        <v>19</v>
      </c>
      <c r="B7960" s="371">
        <v>44224</v>
      </c>
      <c r="C7960" s="1">
        <v>463</v>
      </c>
      <c r="D7960" s="365">
        <f t="shared" si="618"/>
        <v>53044</v>
      </c>
      <c r="F7960" s="47">
        <f t="shared" si="620"/>
        <v>766</v>
      </c>
      <c r="G7960" s="212">
        <f>SUM(C7960,C7936,C7912,C7888,C7864,C7840,C7816,C7792,C7768,C7744,C7720,C7696,C7672,C7648)/POBLA!$B$15*100000</f>
        <v>880.49670434917482</v>
      </c>
      <c r="H7960" s="213">
        <f t="shared" si="621"/>
        <v>0.95119570522205954</v>
      </c>
    </row>
    <row r="7961" spans="1:8" ht="15.75" thickBot="1" x14ac:dyDescent="0.3">
      <c r="A7961" s="84" t="s">
        <v>18</v>
      </c>
      <c r="B7961" s="371">
        <v>44224</v>
      </c>
      <c r="C7961" s="1">
        <v>311</v>
      </c>
      <c r="D7961" s="365">
        <f t="shared" si="618"/>
        <v>47302</v>
      </c>
      <c r="E7961" s="1">
        <v>5</v>
      </c>
      <c r="F7961" s="47">
        <f t="shared" si="620"/>
        <v>1056</v>
      </c>
      <c r="G7961" s="212">
        <f>SUM(C7961,C7937,C7913,C7889,C7865,C7841,C7817,C7793,C7769,C7745,C7721,C7697,C7673,C7649)/POBLA!$B$16*100000</f>
        <v>565.13422773906188</v>
      </c>
      <c r="H7961" s="213">
        <f t="shared" si="621"/>
        <v>0.94077042974838565</v>
      </c>
    </row>
    <row r="7962" spans="1:8" ht="15.75" thickBot="1" x14ac:dyDescent="0.3">
      <c r="A7962" s="84" t="s">
        <v>34</v>
      </c>
      <c r="B7962" s="371">
        <v>44224</v>
      </c>
      <c r="C7962" s="1">
        <v>85</v>
      </c>
      <c r="D7962" s="365">
        <f t="shared" si="618"/>
        <v>23680</v>
      </c>
      <c r="F7962" s="47">
        <f t="shared" si="620"/>
        <v>1036</v>
      </c>
      <c r="G7962" s="212">
        <f>SUM(C7962,C7938,C7914,C7890,C7866,C7842,C7818,C7794,C7770,C7746,C7722,C7698,C7674,C7650)/POBLA!$B$17*100000</f>
        <v>53.355911308434372</v>
      </c>
      <c r="H7962" s="213">
        <f t="shared" si="621"/>
        <v>1.4048059149722736</v>
      </c>
    </row>
    <row r="7963" spans="1:8" ht="15.75" thickBot="1" x14ac:dyDescent="0.3">
      <c r="A7963" s="84" t="s">
        <v>35</v>
      </c>
      <c r="B7963" s="371">
        <v>44224</v>
      </c>
      <c r="C7963" s="1">
        <v>74</v>
      </c>
      <c r="D7963" s="365">
        <f t="shared" si="618"/>
        <v>13835</v>
      </c>
      <c r="E7963" s="1">
        <v>2</v>
      </c>
      <c r="F7963" s="47">
        <f t="shared" si="620"/>
        <v>219</v>
      </c>
      <c r="G7963" s="212">
        <f>SUM(C7963,C7939,C7915,C7891,C7867,C7843,C7819,C7795,C7771,C7747,C7723,C7699,C7675,C7651)/POBLA!$B$18*100000</f>
        <v>117.50896357862156</v>
      </c>
      <c r="H7963" s="213">
        <f t="shared" si="621"/>
        <v>0.67056245434623818</v>
      </c>
    </row>
    <row r="7964" spans="1:8" ht="15.75" thickBot="1" x14ac:dyDescent="0.3">
      <c r="A7964" s="84" t="s">
        <v>36</v>
      </c>
      <c r="B7964" s="371">
        <v>44224</v>
      </c>
      <c r="C7964" s="1">
        <v>68</v>
      </c>
      <c r="D7964" s="365">
        <f t="shared" si="618"/>
        <v>18947</v>
      </c>
      <c r="E7964" s="1">
        <v>4</v>
      </c>
      <c r="F7964" s="47">
        <f t="shared" si="620"/>
        <v>348</v>
      </c>
      <c r="G7964" s="212">
        <f>SUM(C7964,C7940,C7916,C7892,C7868,C7844,C7820,C7796,C7772,C7748,C7724,C7700,C7676,C7652)/POBLA!$B$19*100000</f>
        <v>430.23402212744526</v>
      </c>
      <c r="H7964" s="213">
        <f t="shared" si="621"/>
        <v>3.8435852372583481</v>
      </c>
    </row>
    <row r="7965" spans="1:8" ht="15.75" thickBot="1" x14ac:dyDescent="0.3">
      <c r="A7965" s="84" t="s">
        <v>37</v>
      </c>
      <c r="B7965" s="371">
        <v>44224</v>
      </c>
      <c r="C7965" s="1">
        <v>147</v>
      </c>
      <c r="D7965" s="365">
        <f t="shared" si="618"/>
        <v>32140</v>
      </c>
      <c r="E7965" s="1">
        <v>1</v>
      </c>
      <c r="F7965" s="47">
        <f t="shared" si="620"/>
        <v>491</v>
      </c>
      <c r="G7965" s="212">
        <f>SUM(C7965,C7941,C7917,C7893,C7869,C7845,C7821,C7797,C7773,C7749,C7725,C7701,C7677,C7653)/POBLA!$B$20*100000</f>
        <v>985.23918643252091</v>
      </c>
      <c r="H7965" s="213">
        <f t="shared" si="621"/>
        <v>0.75345043914680054</v>
      </c>
    </row>
    <row r="7966" spans="1:8" ht="15.75" thickBot="1" x14ac:dyDescent="0.3">
      <c r="A7966" s="84" t="s">
        <v>22</v>
      </c>
      <c r="B7966" s="371">
        <v>44224</v>
      </c>
      <c r="C7966" s="1">
        <v>662</v>
      </c>
      <c r="D7966" s="365">
        <f t="shared" si="618"/>
        <v>204463</v>
      </c>
      <c r="E7966" s="1">
        <v>19</v>
      </c>
      <c r="F7966" s="47">
        <f t="shared" si="620"/>
        <v>3429</v>
      </c>
      <c r="G7966" s="212">
        <f>SUM(C7966,C7942,C7918,C7894,C7870,C7846,C7822,C7798,C7774,C7750,C7726,C7702,C7678,C7654)/POBLA!$B$21*100000</f>
        <v>356.91482172073546</v>
      </c>
      <c r="H7966" s="213">
        <f t="shared" si="621"/>
        <v>0.81611276348118456</v>
      </c>
    </row>
    <row r="7967" spans="1:8" ht="15.75" thickBot="1" x14ac:dyDescent="0.3">
      <c r="A7967" s="84" t="s">
        <v>38</v>
      </c>
      <c r="B7967" s="371">
        <v>44224</v>
      </c>
      <c r="C7967" s="1">
        <v>71</v>
      </c>
      <c r="D7967" s="365">
        <f t="shared" si="618"/>
        <v>20723</v>
      </c>
      <c r="F7967" s="47">
        <f t="shared" si="620"/>
        <v>249</v>
      </c>
      <c r="G7967" s="212">
        <f>SUM(C7967,C7943,C7919,C7895,C7871,C7847,C7823,C7799,C7775,C7751,C7727,C7703,C7679,C7655)/POBLA!$B$22*100000</f>
        <v>150.56530987526486</v>
      </c>
      <c r="H7967" s="213">
        <f t="shared" si="621"/>
        <v>0.80934065934065935</v>
      </c>
    </row>
    <row r="7968" spans="1:8" ht="15.75" thickBot="1" x14ac:dyDescent="0.3">
      <c r="A7968" s="84" t="s">
        <v>39</v>
      </c>
      <c r="B7968" s="371">
        <v>44224</v>
      </c>
      <c r="C7968" s="1">
        <v>37</v>
      </c>
      <c r="D7968" s="365">
        <f t="shared" si="618"/>
        <v>21694</v>
      </c>
      <c r="E7968" s="1">
        <v>4</v>
      </c>
      <c r="F7968" s="47">
        <f t="shared" si="620"/>
        <v>329</v>
      </c>
      <c r="G7968" s="212">
        <f>SUM(C7968,C7944,C7920,C7896,C7872,C7848,C7824,C7800,C7776,C7752,C7728,C7704,C7680,C7656)/POBLA!$B$23*100000</f>
        <v>635.63874908103821</v>
      </c>
      <c r="H7968" s="213">
        <f t="shared" si="621"/>
        <v>0.78546470999301188</v>
      </c>
    </row>
    <row r="7969" spans="1:8" ht="15.75" thickBot="1" x14ac:dyDescent="0.3">
      <c r="A7969" s="85" t="s">
        <v>40</v>
      </c>
      <c r="B7969" s="371">
        <v>44224</v>
      </c>
      <c r="C7969" s="1">
        <v>232</v>
      </c>
      <c r="D7969" s="372">
        <f t="shared" si="618"/>
        <v>76130</v>
      </c>
      <c r="F7969" s="214">
        <f t="shared" si="620"/>
        <v>1421</v>
      </c>
      <c r="G7969" s="212">
        <f>SUM(C7969,C7945,C7921,C7897,C7873,C7849,C7825,C7801,C7777,C7753,C7729,C7705,C7681,C7657)/POBLA!$B$24*100000</f>
        <v>134.77661543109633</v>
      </c>
      <c r="H7969" s="216">
        <f t="shared" si="621"/>
        <v>0.83479532163742687</v>
      </c>
    </row>
    <row r="7970" spans="1:8" ht="15.75" thickBot="1" x14ac:dyDescent="0.3">
      <c r="A7970" s="36" t="s">
        <v>16</v>
      </c>
      <c r="B7970" s="371">
        <v>44225</v>
      </c>
      <c r="C7970" s="1">
        <v>4483</v>
      </c>
      <c r="D7970" s="370">
        <f t="shared" ref="D7970:D8001" si="622">C7970+D7946</f>
        <v>799055</v>
      </c>
      <c r="E7970" s="1">
        <v>79</v>
      </c>
      <c r="F7970" s="211">
        <v>24353</v>
      </c>
      <c r="G7970" s="212">
        <f>SUM(C7970,C7946,C7922,C7898,C7874,C7850,C7826,C7802,C7778,C7754,C7730,C7706,C7682,C7658)/POBLA!$B$1*100000</f>
        <v>306.28566294518697</v>
      </c>
      <c r="H7970" s="196">
        <f t="shared" ref="H7970:H7976" si="623">SUM(C7970,C7946,C7922,C7898,C7874,C7850,C7826,C7802,C7778,C7754,C7730,C7706,C7682,C7658)/SUM(C7634,C7610,C7586,C7562,C7538,C7514,C7490,C7466,C7442,C7418,C7394,C7370,C7346,C7322)</f>
        <v>0.90940790141846373</v>
      </c>
    </row>
    <row r="7971" spans="1:8" ht="15.75" thickBot="1" x14ac:dyDescent="0.3">
      <c r="A7971" s="84" t="s">
        <v>43</v>
      </c>
      <c r="B7971" s="371">
        <v>44225</v>
      </c>
      <c r="C7971" s="1">
        <v>1195</v>
      </c>
      <c r="D7971" s="365">
        <f t="shared" si="622"/>
        <v>208540</v>
      </c>
      <c r="E7971" s="1">
        <v>9</v>
      </c>
      <c r="F7971" s="47">
        <v>6039</v>
      </c>
      <c r="G7971" s="212">
        <f>SUM(C7971,C7947,C7923,C7899,C7875,C7851,C7827,C7803,C7779,C7755,C7731,C7707,C7683,C7659)/POBLA!$B$2*100000</f>
        <v>525.19048030885222</v>
      </c>
      <c r="H7971" s="213">
        <f t="shared" si="623"/>
        <v>0.938364122226095</v>
      </c>
    </row>
    <row r="7972" spans="1:8" ht="15.75" thickBot="1" x14ac:dyDescent="0.3">
      <c r="A7972" s="84" t="s">
        <v>28</v>
      </c>
      <c r="B7972" s="371">
        <v>44225</v>
      </c>
      <c r="C7972" s="1">
        <v>115</v>
      </c>
      <c r="D7972" s="365">
        <f t="shared" si="622"/>
        <v>5155</v>
      </c>
      <c r="F7972" s="47">
        <v>17</v>
      </c>
      <c r="G7972" s="212">
        <f>SUM(C7972,C7948,C7924,C7900,C7876,C7852,C7828,C7804,C7780,C7756,C7732,C7708,C7684,C7660)/POBLA!$B$3*100000</f>
        <v>319.18120152706297</v>
      </c>
      <c r="H7972" s="213">
        <f t="shared" si="623"/>
        <v>1.2485875706214689</v>
      </c>
    </row>
    <row r="7973" spans="1:8" ht="15.75" thickBot="1" x14ac:dyDescent="0.3">
      <c r="A7973" s="84" t="s">
        <v>15</v>
      </c>
      <c r="B7973" s="371">
        <v>44225</v>
      </c>
      <c r="C7973" s="1">
        <v>202</v>
      </c>
      <c r="D7973" s="365">
        <f t="shared" si="622"/>
        <v>30552</v>
      </c>
      <c r="E7973" s="1">
        <v>2</v>
      </c>
      <c r="F7973" s="47">
        <v>788</v>
      </c>
      <c r="G7973" s="212">
        <f>SUM(C7973,C7949,C7925,C7901,C7877,C7853,C7829,C7805,C7781,C7757,C7733,C7709,C7685,C7661)/POBLA!$B$4*100000</f>
        <v>197.91771305418411</v>
      </c>
      <c r="H7973" s="213">
        <f t="shared" si="623"/>
        <v>0.72572298325722984</v>
      </c>
    </row>
    <row r="7974" spans="1:8" ht="15.75" thickBot="1" x14ac:dyDescent="0.3">
      <c r="A7974" s="84" t="s">
        <v>29</v>
      </c>
      <c r="B7974" s="371">
        <v>44225</v>
      </c>
      <c r="C7974" s="1">
        <v>392</v>
      </c>
      <c r="D7974" s="365">
        <f t="shared" si="622"/>
        <v>41983</v>
      </c>
      <c r="E7974" s="1">
        <v>6</v>
      </c>
      <c r="F7974" s="47">
        <v>610</v>
      </c>
      <c r="G7974" s="212">
        <f>SUM(C7974,C7950,C7926,C7902,C7878,C7854,C7830,C7806,C7782,C7758,C7734,C7710,C7686,C7662)/POBLA!$B$5*100000</f>
        <v>658.64935685967873</v>
      </c>
      <c r="H7974" s="213">
        <f t="shared" si="623"/>
        <v>0.69597132127005801</v>
      </c>
    </row>
    <row r="7975" spans="1:8" ht="15.75" thickBot="1" x14ac:dyDescent="0.3">
      <c r="A7975" s="84" t="s">
        <v>30</v>
      </c>
      <c r="B7975" s="371">
        <v>44225</v>
      </c>
      <c r="C7975" s="1">
        <v>178</v>
      </c>
      <c r="D7975" s="365">
        <f t="shared" si="622"/>
        <v>17140</v>
      </c>
      <c r="F7975" s="47">
        <v>2694</v>
      </c>
      <c r="G7975" s="212">
        <f>SUM(C7975,C7951,C7927,C7903,C7879,C7855,C7831,C7807,C7783,C7759,C7735,C7711,C7687,C7663)/POBLA!$B$7*100000</f>
        <v>67.678070443696896</v>
      </c>
      <c r="H7975" s="213">
        <f t="shared" si="623"/>
        <v>0.28509017587095331</v>
      </c>
    </row>
    <row r="7976" spans="1:8" ht="15.75" thickBot="1" x14ac:dyDescent="0.3">
      <c r="A7976" s="84" t="s">
        <v>20</v>
      </c>
      <c r="B7976" s="371">
        <v>44225</v>
      </c>
      <c r="C7976" s="1">
        <v>606</v>
      </c>
      <c r="D7976" s="365">
        <f t="shared" si="622"/>
        <v>144457</v>
      </c>
      <c r="E7976" s="1">
        <v>11</v>
      </c>
      <c r="F7976" s="47">
        <v>199</v>
      </c>
      <c r="G7976" s="212">
        <f>SUM(C7976,C7952,C7928,C7904,C7880,C7856,C7832,C7808,C7784,C7760,C7736,C7712,C7688,C7664)/POBLA!$B$6*100000</f>
        <v>620.71679093790954</v>
      </c>
      <c r="H7976" s="213">
        <f t="shared" si="623"/>
        <v>2.1659402241594021</v>
      </c>
    </row>
    <row r="7977" spans="1:8" ht="15.75" thickBot="1" x14ac:dyDescent="0.3">
      <c r="A7977" s="84" t="s">
        <v>31</v>
      </c>
      <c r="B7977" s="371">
        <v>44225</v>
      </c>
      <c r="C7977" s="1">
        <v>306</v>
      </c>
      <c r="D7977" s="365">
        <f t="shared" si="622"/>
        <v>40622</v>
      </c>
      <c r="E7977" s="1">
        <v>7</v>
      </c>
      <c r="F7977" s="47">
        <v>714</v>
      </c>
      <c r="G7977" s="212">
        <f>SUM(C7977,C7953,C7929,C7905,C7881,C7857,C7833,C7809,C7785,C7761,C7737,C7713,C7689,C7665)/POBLA!$B$8*100000</f>
        <v>343.44400744321086</v>
      </c>
      <c r="H7977" s="213">
        <f t="shared" ref="H7977:H7993" si="624">SUM(C7977,C7953,C7929,C7905,C7881,C7857,C7833,C7809,C7785,C7761,C7737,C7713,C7689,C7665)/SUM(C7641,C7617,C7593,C7569,C7545,C7521,C7497,C7473,C7449,C7425,C7401,C7377,C7353,C7329)</f>
        <v>0.77905073649754497</v>
      </c>
    </row>
    <row r="7978" spans="1:8" ht="15.75" thickBot="1" x14ac:dyDescent="0.3">
      <c r="A7978" s="84" t="s">
        <v>41</v>
      </c>
      <c r="B7978" s="371">
        <v>44225</v>
      </c>
      <c r="C7978" s="1">
        <v>8</v>
      </c>
      <c r="D7978" s="365">
        <f t="shared" si="622"/>
        <v>841</v>
      </c>
      <c r="F7978" s="47">
        <v>5</v>
      </c>
      <c r="G7978" s="212">
        <f>SUM(C7978,C7954,C7930,C7906,C7882,C7858,C7834,C7810,C7786,C7762,C7738,C7714,C7690,C7666)/POBLA!$B$9*100000</f>
        <v>46.761942058153345</v>
      </c>
      <c r="H7978" s="213">
        <f t="shared" si="624"/>
        <v>0.83480825958702065</v>
      </c>
    </row>
    <row r="7979" spans="1:8" ht="15.75" thickBot="1" x14ac:dyDescent="0.3">
      <c r="A7979" s="84" t="s">
        <v>32</v>
      </c>
      <c r="B7979" s="371">
        <v>44225</v>
      </c>
      <c r="C7979" s="1">
        <v>29</v>
      </c>
      <c r="D7979" s="365">
        <f t="shared" si="622"/>
        <v>19275</v>
      </c>
      <c r="E7979" s="1">
        <v>1</v>
      </c>
      <c r="F7979" s="47">
        <v>872</v>
      </c>
      <c r="G7979" s="212">
        <f>SUM(C7979,C7955,C7931,C7907,C7883,C7859,C7835,C7811,C7787,C7763,C7739,C7715,C7691,C7667)/POBLA!$B$10*100000</f>
        <v>64.212245469793643</v>
      </c>
      <c r="H7979" s="213">
        <f t="shared" si="624"/>
        <v>2.2811059907834101</v>
      </c>
    </row>
    <row r="7980" spans="1:8" ht="15.75" thickBot="1" x14ac:dyDescent="0.3">
      <c r="A7980" s="84" t="s">
        <v>33</v>
      </c>
      <c r="B7980" s="371">
        <v>44225</v>
      </c>
      <c r="C7980" s="1">
        <v>82</v>
      </c>
      <c r="D7980" s="365">
        <f t="shared" si="622"/>
        <v>16320</v>
      </c>
      <c r="F7980" s="47">
        <v>237</v>
      </c>
      <c r="G7980" s="212">
        <f>SUM(C7980,C7956,C7932,C7908,C7884,C7860,C7836,C7812,C7788,C7764,C7740,C7716,C7692,C7668)/POBLA!$B$11*100000</f>
        <v>442.48775207294074</v>
      </c>
      <c r="H7980" s="213">
        <f t="shared" si="624"/>
        <v>0.43368881596937381</v>
      </c>
    </row>
    <row r="7981" spans="1:8" ht="15.75" thickBot="1" x14ac:dyDescent="0.3">
      <c r="A7981" s="84" t="s">
        <v>21</v>
      </c>
      <c r="B7981" s="371">
        <v>44225</v>
      </c>
      <c r="C7981" s="1">
        <v>17</v>
      </c>
      <c r="D7981" s="365">
        <f t="shared" si="622"/>
        <v>9515</v>
      </c>
      <c r="F7981" s="47">
        <v>411</v>
      </c>
      <c r="G7981" s="212">
        <f>SUM(C7981,C7957,C7933,C7909,C7885,C7861,C7837,C7813,C7789,C7765,C7741,C7717,C7693,C7669)/POBLA!$B$12*100000</f>
        <v>61.74862971405048</v>
      </c>
      <c r="H7981" s="213">
        <f t="shared" si="624"/>
        <v>1.51875</v>
      </c>
    </row>
    <row r="7982" spans="1:8" ht="15.75" thickBot="1" x14ac:dyDescent="0.3">
      <c r="A7982" s="84" t="s">
        <v>17</v>
      </c>
      <c r="B7982" s="371">
        <v>44225</v>
      </c>
      <c r="C7982" s="1">
        <v>118</v>
      </c>
      <c r="D7982" s="365">
        <f t="shared" si="622"/>
        <v>63690</v>
      </c>
      <c r="E7982" s="1">
        <v>8</v>
      </c>
      <c r="F7982" s="47">
        <v>1359</v>
      </c>
      <c r="G7982" s="212">
        <f>SUM(C7982,C7958,C7934,C7910,C7886,C7862,C7838,C7814,C7790,C7766,C7742,C7718,C7694,C7670)/POBLA!$B$13*100000</f>
        <v>83.000977723381652</v>
      </c>
      <c r="H7982" s="213">
        <f t="shared" si="624"/>
        <v>0.89297297297297296</v>
      </c>
    </row>
    <row r="7983" spans="1:8" ht="15.75" thickBot="1" x14ac:dyDescent="0.3">
      <c r="A7983" s="84" t="s">
        <v>23</v>
      </c>
      <c r="B7983" s="371">
        <v>44225</v>
      </c>
      <c r="C7983" s="1">
        <v>217</v>
      </c>
      <c r="D7983" s="365">
        <f t="shared" si="622"/>
        <v>4369</v>
      </c>
      <c r="E7983" s="1">
        <v>3</v>
      </c>
      <c r="F7983" s="47">
        <v>82</v>
      </c>
      <c r="G7983" s="212">
        <f>SUM(C7983,C7959,C7935,C7911,C7887,C7863,C7839,C7815,C7791,C7767,C7743,C7719,C7695,C7671)/POBLA!$B$14*100000</f>
        <v>198.4469917402287</v>
      </c>
      <c r="H7983" s="213">
        <f t="shared" si="624"/>
        <v>3.1926020408163267</v>
      </c>
    </row>
    <row r="7984" spans="1:8" ht="15.75" thickBot="1" x14ac:dyDescent="0.3">
      <c r="A7984" s="84" t="s">
        <v>19</v>
      </c>
      <c r="B7984" s="371">
        <v>44225</v>
      </c>
      <c r="C7984" s="1">
        <v>485</v>
      </c>
      <c r="D7984" s="365">
        <f t="shared" si="622"/>
        <v>53529</v>
      </c>
      <c r="F7984" s="47">
        <v>768</v>
      </c>
      <c r="G7984" s="212">
        <f>SUM(C7984,C7960,C7936,C7912,C7888,C7864,C7840,C7816,C7792,C7768,C7744,C7720,C7696,C7672)/POBLA!$B$15*100000</f>
        <v>875.97901987329396</v>
      </c>
      <c r="H7984" s="213">
        <f t="shared" si="624"/>
        <v>0.90004641807210273</v>
      </c>
    </row>
    <row r="7985" spans="1:8" ht="15.75" thickBot="1" x14ac:dyDescent="0.3">
      <c r="A7985" s="84" t="s">
        <v>18</v>
      </c>
      <c r="B7985" s="371">
        <v>44225</v>
      </c>
      <c r="C7985" s="1">
        <v>330</v>
      </c>
      <c r="D7985" s="365">
        <f t="shared" si="622"/>
        <v>47632</v>
      </c>
      <c r="E7985" s="1">
        <v>9</v>
      </c>
      <c r="F7985" s="47">
        <v>1072</v>
      </c>
      <c r="G7985" s="212">
        <f>SUM(C7985,C7961,C7937,C7913,C7889,C7865,C7841,C7817,C7793,C7769,C7745,C7721,C7697,C7673)/POBLA!$B$16*100000</f>
        <v>564.59918941694207</v>
      </c>
      <c r="H7985" s="213">
        <f t="shared" si="624"/>
        <v>0.89598811292719172</v>
      </c>
    </row>
    <row r="7986" spans="1:8" ht="15.75" thickBot="1" x14ac:dyDescent="0.3">
      <c r="A7986" s="84" t="s">
        <v>34</v>
      </c>
      <c r="B7986" s="371">
        <v>44225</v>
      </c>
      <c r="C7986" s="1">
        <v>44</v>
      </c>
      <c r="D7986" s="365">
        <f t="shared" si="622"/>
        <v>23724</v>
      </c>
      <c r="E7986" s="1">
        <v>3</v>
      </c>
      <c r="F7986" s="47">
        <v>1043</v>
      </c>
      <c r="G7986" s="212">
        <f>SUM(C7986,C7962,C7938,C7914,C7890,C7866,C7842,C7818,C7794,C7770,C7746,C7722,C7698,C7674)/POBLA!$B$17*100000</f>
        <v>52.302834111557388</v>
      </c>
      <c r="H7986" s="213">
        <f t="shared" si="624"/>
        <v>1.2713310580204777</v>
      </c>
    </row>
    <row r="7987" spans="1:8" ht="15.75" thickBot="1" x14ac:dyDescent="0.3">
      <c r="A7987" s="84" t="s">
        <v>35</v>
      </c>
      <c r="B7987" s="371">
        <v>44225</v>
      </c>
      <c r="C7987" s="1">
        <v>71</v>
      </c>
      <c r="D7987" s="365">
        <f t="shared" si="622"/>
        <v>13906</v>
      </c>
      <c r="F7987" s="47">
        <v>198</v>
      </c>
      <c r="G7987" s="212">
        <f>SUM(C7987,C7963,C7939,C7915,C7891,C7867,C7843,C7819,C7795,C7771,C7747,C7723,C7699,C7675)/POBLA!$B$18*100000</f>
        <v>112.38874730068599</v>
      </c>
      <c r="H7987" s="213">
        <f t="shared" si="624"/>
        <v>0.59850034083162917</v>
      </c>
    </row>
    <row r="7988" spans="1:8" ht="15.75" thickBot="1" x14ac:dyDescent="0.3">
      <c r="A7988" s="84" t="s">
        <v>36</v>
      </c>
      <c r="B7988" s="371">
        <v>44225</v>
      </c>
      <c r="C7988" s="1">
        <v>14</v>
      </c>
      <c r="D7988" s="365">
        <f t="shared" si="622"/>
        <v>18961</v>
      </c>
      <c r="F7988" s="47">
        <v>330</v>
      </c>
      <c r="G7988" s="212">
        <f>SUM(C7988,C7964,C7940,C7916,C7892,C7868,C7844,C7820,C7796,C7772,C7748,C7724,C7700,C7676)/POBLA!$B$19*100000</f>
        <v>426.49627799373638</v>
      </c>
      <c r="H7988" s="213">
        <f t="shared" si="624"/>
        <v>3.6498316498316496</v>
      </c>
    </row>
    <row r="7989" spans="1:8" ht="15.75" thickBot="1" x14ac:dyDescent="0.3">
      <c r="A7989" s="84" t="s">
        <v>37</v>
      </c>
      <c r="B7989" s="371">
        <v>44225</v>
      </c>
      <c r="C7989" s="1">
        <v>164</v>
      </c>
      <c r="D7989" s="365">
        <f t="shared" si="622"/>
        <v>32304</v>
      </c>
      <c r="E7989" s="1">
        <v>2</v>
      </c>
      <c r="F7989" s="47">
        <v>489</v>
      </c>
      <c r="G7989" s="212">
        <f>SUM(C7989,C7965,C7941,C7917,C7893,C7869,C7845,C7821,C7797,C7773,C7749,C7725,C7701,C7677)/POBLA!$B$20*100000</f>
        <v>939.29964068712445</v>
      </c>
      <c r="H7989" s="213">
        <f t="shared" si="624"/>
        <v>0.68975903614457834</v>
      </c>
    </row>
    <row r="7990" spans="1:8" ht="15.75" thickBot="1" x14ac:dyDescent="0.3">
      <c r="A7990" s="84" t="s">
        <v>22</v>
      </c>
      <c r="B7990" s="371">
        <v>44225</v>
      </c>
      <c r="C7990" s="1">
        <v>631</v>
      </c>
      <c r="D7990" s="365">
        <f t="shared" si="622"/>
        <v>205094</v>
      </c>
      <c r="E7990" s="1">
        <v>27</v>
      </c>
      <c r="F7990" s="47">
        <v>3494</v>
      </c>
      <c r="G7990" s="212">
        <f>SUM(C7990,C7966,C7942,C7918,C7894,C7870,C7846,C7822,C7798,C7774,C7750,C7726,C7702,C7678)/POBLA!$B$21*100000</f>
        <v>332.68126109526645</v>
      </c>
      <c r="H7990" s="213">
        <f t="shared" si="624"/>
        <v>0.70864956029394044</v>
      </c>
    </row>
    <row r="7991" spans="1:8" ht="15.75" thickBot="1" x14ac:dyDescent="0.3">
      <c r="A7991" s="84" t="s">
        <v>38</v>
      </c>
      <c r="B7991" s="371">
        <v>44225</v>
      </c>
      <c r="C7991" s="1">
        <v>-53</v>
      </c>
      <c r="D7991" s="365">
        <f t="shared" si="622"/>
        <v>20670</v>
      </c>
      <c r="E7991" s="1">
        <v>1</v>
      </c>
      <c r="F7991" s="47">
        <v>242</v>
      </c>
      <c r="G7991" s="212">
        <f>SUM(C7991,C7967,C7943,C7919,C7895,C7871,C7847,C7823,C7799,C7775,C7751,C7727,C7703,C7679)/POBLA!$B$22*100000</f>
        <v>135.74387747070722</v>
      </c>
      <c r="H7991" s="213">
        <f t="shared" si="624"/>
        <v>0.69784550709406201</v>
      </c>
    </row>
    <row r="7992" spans="1:8" ht="15.75" thickBot="1" x14ac:dyDescent="0.3">
      <c r="A7992" s="84" t="s">
        <v>39</v>
      </c>
      <c r="B7992" s="371">
        <v>44225</v>
      </c>
      <c r="C7992" s="1">
        <v>66</v>
      </c>
      <c r="D7992" s="365">
        <f t="shared" si="622"/>
        <v>21760</v>
      </c>
      <c r="F7992" s="47">
        <v>332</v>
      </c>
      <c r="G7992" s="212">
        <f>SUM(C7992,C7968,C7944,C7920,C7896,C7872,C7848,C7824,C7800,C7776,C7752,C7728,C7704,C7680)/POBLA!$B$23*100000</f>
        <v>621.50087654809704</v>
      </c>
      <c r="H7992" s="213">
        <f t="shared" si="624"/>
        <v>0.7631944444444444</v>
      </c>
    </row>
    <row r="7993" spans="1:8" ht="15.75" thickBot="1" x14ac:dyDescent="0.3">
      <c r="A7993" s="86" t="s">
        <v>40</v>
      </c>
      <c r="B7993" s="367">
        <v>44225</v>
      </c>
      <c r="C7993" s="300">
        <v>138</v>
      </c>
      <c r="D7993" s="368">
        <f t="shared" si="622"/>
        <v>76268</v>
      </c>
      <c r="E7993" s="300">
        <v>6</v>
      </c>
      <c r="F7993" s="81">
        <v>1427</v>
      </c>
      <c r="G7993" s="212">
        <f>SUM(C7993,C7969,C7945,C7921,C7897,C7873,C7849,C7825,C7801,C7777,C7753,C7729,C7705,C7681)/POBLA!$B$24*100000</f>
        <v>127.99057743872503</v>
      </c>
      <c r="H7993" s="216">
        <f t="shared" si="624"/>
        <v>0.73425863236289779</v>
      </c>
    </row>
    <row r="7994" spans="1:8" ht="15.75" thickBot="1" x14ac:dyDescent="0.3">
      <c r="A7994" s="36" t="s">
        <v>16</v>
      </c>
      <c r="B7994" s="354">
        <v>44226</v>
      </c>
      <c r="C7994" s="53">
        <v>3066</v>
      </c>
      <c r="D7994" s="211">
        <f t="shared" si="622"/>
        <v>802121</v>
      </c>
      <c r="E7994" s="53">
        <v>120</v>
      </c>
      <c r="F7994" s="211">
        <f>E7994+F7970</f>
        <v>24473</v>
      </c>
      <c r="G7994" s="212">
        <f>SUM(C7994,C7970,C7946,C7922,C7898,C7874,C7850,C7826,C7802,C7778,C7754,C7730,C7706,C7682)/POBLA!$B$1*100000</f>
        <v>303.63475215209775</v>
      </c>
      <c r="H7994" s="196">
        <f t="shared" ref="H7994:H8000" si="625">SUM(C7994,C7970,C7946,C7922,C7898,C7874,C7850,C7826,C7802,C7778,C7754,C7730,C7706,C7682)/SUM(C7658,C7634,C7610,C7586,C7562,C7538,C7514,C7490,C7466,C7442,C7418,C7394,C7370,C7346)</f>
        <v>0.88018707342466662</v>
      </c>
    </row>
    <row r="7995" spans="1:8" ht="15.75" thickBot="1" x14ac:dyDescent="0.3">
      <c r="A7995" s="84" t="s">
        <v>43</v>
      </c>
      <c r="B7995" s="2">
        <v>44226</v>
      </c>
      <c r="C7995" s="1">
        <v>951</v>
      </c>
      <c r="D7995" s="47">
        <f t="shared" si="622"/>
        <v>209491</v>
      </c>
      <c r="E7995" s="1">
        <v>5</v>
      </c>
      <c r="F7995" s="47">
        <f>E7995+F7971</f>
        <v>6044</v>
      </c>
      <c r="G7995" s="212">
        <f>SUM(C7995,C7971,C7947,C7923,C7899,C7875,C7851,C7827,C7803,C7779,C7755,C7731,C7707,C7683)/POBLA!$B$2*100000</f>
        <v>518.91537582673698</v>
      </c>
      <c r="H7995" s="213">
        <f t="shared" si="625"/>
        <v>0.89346694284274752</v>
      </c>
    </row>
    <row r="7996" spans="1:8" ht="15.75" thickBot="1" x14ac:dyDescent="0.3">
      <c r="A7996" s="84" t="s">
        <v>28</v>
      </c>
      <c r="B7996" s="2">
        <v>44226</v>
      </c>
      <c r="C7996" s="1">
        <v>86</v>
      </c>
      <c r="D7996" s="47">
        <f t="shared" si="622"/>
        <v>5241</v>
      </c>
      <c r="F7996" s="47">
        <f>E7996+F7972</f>
        <v>17</v>
      </c>
      <c r="G7996" s="212">
        <f>SUM(C7996,C7972,C7948,C7924,C7900,C7876,C7852,C7828,C7804,C7780,C7756,C7732,C7708,C7684)/POBLA!$B$3*100000</f>
        <v>283.31544057115622</v>
      </c>
      <c r="H7996" s="213">
        <f t="shared" si="625"/>
        <v>0.9446227929373997</v>
      </c>
    </row>
    <row r="7997" spans="1:8" ht="15.75" thickBot="1" x14ac:dyDescent="0.3">
      <c r="A7997" s="84" t="s">
        <v>15</v>
      </c>
      <c r="B7997" s="2">
        <v>44226</v>
      </c>
      <c r="C7997" s="1">
        <v>116</v>
      </c>
      <c r="D7997" s="47">
        <f t="shared" si="622"/>
        <v>30668</v>
      </c>
      <c r="F7997" s="47">
        <f t="shared" ref="F7997:F8017" si="626">E7997+F7973</f>
        <v>788</v>
      </c>
      <c r="G7997" s="212">
        <f>SUM(C7997,C7973,C7949,C7925,C7901,C7877,C7853,C7829,C7805,C7781,C7757,C7733,C7709,C7685)/POBLA!$B$4*100000</f>
        <v>193.434677607487</v>
      </c>
      <c r="H7997" s="213">
        <f t="shared" si="625"/>
        <v>0.70541931577353922</v>
      </c>
    </row>
    <row r="7998" spans="1:8" ht="15.75" thickBot="1" x14ac:dyDescent="0.3">
      <c r="A7998" s="84" t="s">
        <v>29</v>
      </c>
      <c r="B7998" s="2">
        <v>44226</v>
      </c>
      <c r="C7998" s="1">
        <v>233</v>
      </c>
      <c r="D7998" s="47">
        <f t="shared" si="622"/>
        <v>42216</v>
      </c>
      <c r="E7998" s="1">
        <v>7</v>
      </c>
      <c r="F7998" s="47">
        <f t="shared" si="626"/>
        <v>617</v>
      </c>
      <c r="G7998" s="212">
        <f>SUM(C7998,C7974,C7950,C7926,C7902,C7878,C7854,C7830,C7806,C7782,C7758,C7734,C7710,C7686)/POBLA!$B$5*100000</f>
        <v>667.05008449193372</v>
      </c>
      <c r="H7998" s="213">
        <f t="shared" si="625"/>
        <v>0.70762639245929737</v>
      </c>
    </row>
    <row r="7999" spans="1:8" ht="15.75" thickBot="1" x14ac:dyDescent="0.3">
      <c r="A7999" s="84" t="s">
        <v>30</v>
      </c>
      <c r="B7999" s="2">
        <v>44226</v>
      </c>
      <c r="C7999" s="1">
        <v>192</v>
      </c>
      <c r="D7999" s="47">
        <f t="shared" si="622"/>
        <v>17332</v>
      </c>
      <c r="F7999" s="47">
        <f>E8000+F7976</f>
        <v>204</v>
      </c>
      <c r="G7999" s="212">
        <f>SUM(C7999,C7975,C7951,C7927,C7903,C7879,C7855,C7831,C7807,C7783,C7759,C7735,C7711,C7687)/POBLA!$B$7*100000</f>
        <v>58.530229094922156</v>
      </c>
      <c r="H7999" s="213">
        <f t="shared" si="625"/>
        <v>0.23464818763326226</v>
      </c>
    </row>
    <row r="8000" spans="1:8" ht="15.75" thickBot="1" x14ac:dyDescent="0.3">
      <c r="A8000" s="84" t="s">
        <v>20</v>
      </c>
      <c r="B8000" s="2">
        <v>44226</v>
      </c>
      <c r="C8000" s="1">
        <v>239</v>
      </c>
      <c r="D8000" s="47">
        <f t="shared" si="622"/>
        <v>144696</v>
      </c>
      <c r="E8000" s="1">
        <v>5</v>
      </c>
      <c r="F8000" s="47">
        <f>E7999+F7975</f>
        <v>2694</v>
      </c>
      <c r="G8000" s="212">
        <f>SUM(C8000,C7976,C7952,C7928,C7904,C7880,C7856,C7832,C7808,C7784,C7760,C7736,C7712,C7688)/POBLA!$B$6*100000</f>
        <v>635.08151759322129</v>
      </c>
      <c r="H8000" s="213">
        <f t="shared" si="625"/>
        <v>2.2334483840602446</v>
      </c>
    </row>
    <row r="8001" spans="1:8" ht="15.75" thickBot="1" x14ac:dyDescent="0.3">
      <c r="A8001" s="84" t="s">
        <v>31</v>
      </c>
      <c r="B8001" s="2">
        <v>44226</v>
      </c>
      <c r="C8001" s="1">
        <v>240</v>
      </c>
      <c r="D8001" s="47">
        <f t="shared" si="622"/>
        <v>40862</v>
      </c>
      <c r="E8001" s="1">
        <v>5</v>
      </c>
      <c r="F8001" s="47">
        <f t="shared" si="626"/>
        <v>719</v>
      </c>
      <c r="G8001" s="212">
        <f>SUM(C8001,C7977,C7953,C7929,C7905,C7881,C7857,C7833,C7809,C7785,C7761,C7737,C7713,C7689)/POBLA!$B$8*100000</f>
        <v>338.10475186531221</v>
      </c>
      <c r="H8001" s="213">
        <f t="shared" ref="H8001:H8017" si="627">SUM(C8001,C7977,C7953,C7929,C7905,C7881,C7857,C7833,C7809,C7785,C7761,C7737,C7713,C7689)/SUM(C7665,C7641,C7617,C7593,C7569,C7545,C7521,C7497,C7473,C7449,C7425,C7401,C7377,C7353)</f>
        <v>0.74605954465849389</v>
      </c>
    </row>
    <row r="8002" spans="1:8" ht="15.75" thickBot="1" x14ac:dyDescent="0.3">
      <c r="A8002" s="84" t="s">
        <v>41</v>
      </c>
      <c r="B8002" s="2">
        <v>44226</v>
      </c>
      <c r="C8002" s="1">
        <v>2</v>
      </c>
      <c r="D8002" s="47">
        <f t="shared" ref="D8002:D8066" si="628">C8002+D7978</f>
        <v>843</v>
      </c>
      <c r="F8002" s="47">
        <f t="shared" si="626"/>
        <v>5</v>
      </c>
      <c r="G8002" s="212">
        <f>SUM(C8002,C7978,C7954,C7930,C7906,C7882,C7858,C7834,C7810,C7786,C7762,C7738,C7714,C7690)/POBLA!$B$9*100000</f>
        <v>42.300555360025648</v>
      </c>
      <c r="H8002" s="213">
        <f t="shared" si="627"/>
        <v>0.6975476839237057</v>
      </c>
    </row>
    <row r="8003" spans="1:8" ht="15.75" thickBot="1" x14ac:dyDescent="0.3">
      <c r="A8003" s="84" t="s">
        <v>32</v>
      </c>
      <c r="B8003" s="2">
        <v>44226</v>
      </c>
      <c r="C8003" s="1">
        <v>17</v>
      </c>
      <c r="D8003" s="47">
        <f t="shared" si="628"/>
        <v>19292</v>
      </c>
      <c r="F8003" s="47">
        <f t="shared" si="626"/>
        <v>872</v>
      </c>
      <c r="G8003" s="212">
        <f>SUM(C8003,C7979,C7955,C7931,C7907,C7883,C7859,C7835,C7811,C7787,C7763,C7739,C7715,C7691)/POBLA!$B$10*100000</f>
        <v>63.69335863771451</v>
      </c>
      <c r="H8003" s="213">
        <f t="shared" si="627"/>
        <v>2.0543933054393304</v>
      </c>
    </row>
    <row r="8004" spans="1:8" ht="15.75" thickBot="1" x14ac:dyDescent="0.3">
      <c r="A8004" s="84" t="s">
        <v>33</v>
      </c>
      <c r="B8004" s="2">
        <v>44226</v>
      </c>
      <c r="C8004" s="1">
        <v>70</v>
      </c>
      <c r="D8004" s="47">
        <f t="shared" si="628"/>
        <v>16390</v>
      </c>
      <c r="F8004" s="47">
        <f t="shared" si="626"/>
        <v>237</v>
      </c>
      <c r="G8004" s="212">
        <f>SUM(C8004,C7980,C7956,C7932,C7908,C7884,C7860,C7836,C7812,C7788,C7764,C7740,C7716,C7692)/POBLA!$B$11*100000</f>
        <v>431.32790964991574</v>
      </c>
      <c r="H8004" s="213">
        <f t="shared" si="627"/>
        <v>0.43305322128851542</v>
      </c>
    </row>
    <row r="8005" spans="1:8" ht="15.75" thickBot="1" x14ac:dyDescent="0.3">
      <c r="A8005" s="84" t="s">
        <v>21</v>
      </c>
      <c r="B8005" s="2">
        <v>44226</v>
      </c>
      <c r="C8005" s="1">
        <v>17</v>
      </c>
      <c r="D8005" s="47">
        <f t="shared" si="628"/>
        <v>9532</v>
      </c>
      <c r="F8005" s="47">
        <f t="shared" si="626"/>
        <v>411</v>
      </c>
      <c r="G8005" s="212">
        <f>SUM(C8005,C7981,C7957,C7933,C7909,C7885,C7861,C7837,C7813,C7789,C7765,C7741,C7717,C7693)/POBLA!$B$12*100000</f>
        <v>63.019177650553573</v>
      </c>
      <c r="H8005" s="213">
        <f t="shared" si="627"/>
        <v>1.5214723926380369</v>
      </c>
    </row>
    <row r="8006" spans="1:8" ht="15.75" thickBot="1" x14ac:dyDescent="0.3">
      <c r="A8006" s="84" t="s">
        <v>17</v>
      </c>
      <c r="B8006" s="2">
        <v>44226</v>
      </c>
      <c r="C8006" s="1">
        <v>78</v>
      </c>
      <c r="D8006" s="47">
        <f t="shared" si="628"/>
        <v>63768</v>
      </c>
      <c r="F8006" s="47">
        <f t="shared" si="626"/>
        <v>1359</v>
      </c>
      <c r="G8006" s="212">
        <f>SUM(C8006,C7982,C7958,C7934,C7910,C7886,C7862,C7838,C7814,C7790,C7766,C7742,C7718,C7694)/POBLA!$B$13*100000</f>
        <v>80.137142535589433</v>
      </c>
      <c r="H8006" s="213">
        <f t="shared" si="627"/>
        <v>0.83072916666666663</v>
      </c>
    </row>
    <row r="8007" spans="1:8" ht="15.75" thickBot="1" x14ac:dyDescent="0.3">
      <c r="A8007" s="84" t="s">
        <v>23</v>
      </c>
      <c r="B8007" s="2">
        <v>44226</v>
      </c>
      <c r="C8007" s="1">
        <v>208</v>
      </c>
      <c r="D8007" s="47">
        <f t="shared" si="628"/>
        <v>4577</v>
      </c>
      <c r="E8007" s="1">
        <v>2</v>
      </c>
      <c r="F8007" s="47">
        <f t="shared" si="626"/>
        <v>84</v>
      </c>
      <c r="G8007" s="212">
        <f>SUM(C8007,C7983,C7959,C7935,C7911,C7887,C7863,C7839,C7815,C7791,C7767,C7743,C7719,C7695)/POBLA!$B$14*100000</f>
        <v>203.52114574397405</v>
      </c>
      <c r="H8007" s="213">
        <f t="shared" si="627"/>
        <v>2.7721382289416847</v>
      </c>
    </row>
    <row r="8008" spans="1:8" ht="15.75" thickBot="1" x14ac:dyDescent="0.3">
      <c r="A8008" s="84" t="s">
        <v>19</v>
      </c>
      <c r="B8008" s="2">
        <v>44226</v>
      </c>
      <c r="C8008" s="1">
        <v>275</v>
      </c>
      <c r="D8008" s="47">
        <f t="shared" si="628"/>
        <v>53804</v>
      </c>
      <c r="F8008" s="47">
        <f t="shared" si="626"/>
        <v>768</v>
      </c>
      <c r="G8008" s="212">
        <f>SUM(C8008,C7984,C7960,C7936,C7912,C7888,C7864,C7840,C7816,C7792,C7768,C7744,C7720,C7696)/POBLA!$B$15*100000</f>
        <v>875.22607246064717</v>
      </c>
      <c r="H8008" s="213">
        <f t="shared" si="627"/>
        <v>0.9027648337993166</v>
      </c>
    </row>
    <row r="8009" spans="1:8" ht="15.75" thickBot="1" x14ac:dyDescent="0.3">
      <c r="A8009" s="84" t="s">
        <v>18</v>
      </c>
      <c r="B8009" s="2">
        <v>44226</v>
      </c>
      <c r="C8009" s="1">
        <v>182</v>
      </c>
      <c r="D8009" s="47">
        <f t="shared" si="628"/>
        <v>47814</v>
      </c>
      <c r="E8009" s="1">
        <v>2</v>
      </c>
      <c r="F8009" s="47">
        <f t="shared" si="626"/>
        <v>1074</v>
      </c>
      <c r="G8009" s="212">
        <f>SUM(C8009,C7985,C7961,C7937,C7913,C7889,C7865,C7841,C7817,C7793,C7769,C7745,C7721,C7697)/POBLA!$B$16*100000</f>
        <v>549.35059723652705</v>
      </c>
      <c r="H8009" s="213">
        <f t="shared" si="627"/>
        <v>0.84732824427480913</v>
      </c>
    </row>
    <row r="8010" spans="1:8" ht="15.75" thickBot="1" x14ac:dyDescent="0.3">
      <c r="A8010" s="84" t="s">
        <v>34</v>
      </c>
      <c r="B8010" s="2">
        <v>44226</v>
      </c>
      <c r="C8010" s="1">
        <v>54</v>
      </c>
      <c r="D8010" s="47">
        <f t="shared" si="628"/>
        <v>23778</v>
      </c>
      <c r="F8010" s="47">
        <f t="shared" si="626"/>
        <v>1043</v>
      </c>
      <c r="G8010" s="212">
        <f>SUM(C8010,C7986,C7962,C7938,C7914,C7890,C7866,C7842,C7818,C7794,C7770,C7746,C7722,C7698)/POBLA!$B$17*100000</f>
        <v>51.600782646972718</v>
      </c>
      <c r="H8010" s="213">
        <f t="shared" si="627"/>
        <v>1.152037617554859</v>
      </c>
    </row>
    <row r="8011" spans="1:8" ht="15.75" thickBot="1" x14ac:dyDescent="0.3">
      <c r="A8011" s="84" t="s">
        <v>35</v>
      </c>
      <c r="B8011" s="2">
        <v>44226</v>
      </c>
      <c r="C8011" s="1">
        <v>33</v>
      </c>
      <c r="D8011" s="47">
        <f t="shared" si="628"/>
        <v>13939</v>
      </c>
      <c r="F8011" s="47">
        <f t="shared" si="626"/>
        <v>198</v>
      </c>
      <c r="G8011" s="212">
        <f>SUM(C8011,C7987,C7963,C7939,C7915,C7891,C7867,C7843,C7819,C7795,C7771,C7747,C7723,C7699)/POBLA!$B$18*100000</f>
        <v>108.93260131307947</v>
      </c>
      <c r="H8011" s="213">
        <f t="shared" si="627"/>
        <v>0.5587655942219304</v>
      </c>
    </row>
    <row r="8012" spans="1:8" ht="15.75" thickBot="1" x14ac:dyDescent="0.3">
      <c r="A8012" s="84" t="s">
        <v>36</v>
      </c>
      <c r="B8012" s="2">
        <v>44226</v>
      </c>
      <c r="C8012" s="1">
        <v>27</v>
      </c>
      <c r="D8012" s="47">
        <f t="shared" si="628"/>
        <v>18988</v>
      </c>
      <c r="F8012" s="47">
        <f t="shared" si="626"/>
        <v>330</v>
      </c>
      <c r="G8012" s="212">
        <f>SUM(C8012,C7988,C7964,C7940,C7916,C7892,C7868,C7844,C7820,C7796,C7772,C7748,C7724,C7700)/POBLA!$B$19*100000</f>
        <v>427.08644812011147</v>
      </c>
      <c r="H8012" s="213">
        <f t="shared" si="627"/>
        <v>3.5243506493506493</v>
      </c>
    </row>
    <row r="8013" spans="1:8" ht="15.75" thickBot="1" x14ac:dyDescent="0.3">
      <c r="A8013" s="84" t="s">
        <v>37</v>
      </c>
      <c r="B8013" s="2">
        <v>44226</v>
      </c>
      <c r="C8013" s="1">
        <v>137</v>
      </c>
      <c r="D8013" s="47">
        <f t="shared" si="628"/>
        <v>32441</v>
      </c>
      <c r="E8013" s="1">
        <v>4</v>
      </c>
      <c r="F8013" s="47">
        <f t="shared" si="626"/>
        <v>493</v>
      </c>
      <c r="G8013" s="212">
        <f>SUM(C8013,C7989,C7965,C7941,C7917,C7893,C7869,C7845,C7821,C7797,C7773,C7749,C7725,C7701)/POBLA!$B$20*100000</f>
        <v>910.04052524213967</v>
      </c>
      <c r="H8013" s="213">
        <f t="shared" si="627"/>
        <v>0.67656027647895911</v>
      </c>
    </row>
    <row r="8014" spans="1:8" ht="15.75" thickBot="1" x14ac:dyDescent="0.3">
      <c r="A8014" s="84" t="s">
        <v>22</v>
      </c>
      <c r="B8014" s="2">
        <v>44226</v>
      </c>
      <c r="C8014" s="1">
        <v>515</v>
      </c>
      <c r="D8014" s="47">
        <f t="shared" si="628"/>
        <v>205609</v>
      </c>
      <c r="E8014" s="1">
        <v>6</v>
      </c>
      <c r="F8014" s="47">
        <f t="shared" si="626"/>
        <v>3500</v>
      </c>
      <c r="G8014" s="212">
        <f>SUM(C8014,C7990,C7966,C7942,C7918,C7894,C7870,C7846,C7822,C7798,C7774,C7750,C7726,C7702)/POBLA!$B$21*100000</f>
        <v>316.76119734714615</v>
      </c>
      <c r="H8014" s="213">
        <f t="shared" si="627"/>
        <v>0.65462833099579243</v>
      </c>
    </row>
    <row r="8015" spans="1:8" ht="15.75" thickBot="1" x14ac:dyDescent="0.3">
      <c r="A8015" s="84" t="s">
        <v>38</v>
      </c>
      <c r="B8015" s="2">
        <v>44226</v>
      </c>
      <c r="C8015" s="1">
        <v>92</v>
      </c>
      <c r="D8015" s="47">
        <f t="shared" si="628"/>
        <v>20762</v>
      </c>
      <c r="F8015" s="47">
        <f t="shared" si="626"/>
        <v>242</v>
      </c>
      <c r="G8015" s="212">
        <f>SUM(C8015,C7991,C7967,C7943,C7919,C7895,C7871,C7847,C7823,C7799,C7775,C7751,C7727,C7703)/POBLA!$B$22*100000</f>
        <v>133.59732519142648</v>
      </c>
      <c r="H8015" s="213">
        <f t="shared" si="627"/>
        <v>0.69226694915254239</v>
      </c>
    </row>
    <row r="8016" spans="1:8" ht="15.75" thickBot="1" x14ac:dyDescent="0.3">
      <c r="A8016" s="84" t="s">
        <v>39</v>
      </c>
      <c r="B8016" s="2">
        <v>44226</v>
      </c>
      <c r="C8016" s="1">
        <v>15</v>
      </c>
      <c r="D8016" s="47">
        <f t="shared" si="628"/>
        <v>21775</v>
      </c>
      <c r="F8016" s="47">
        <f t="shared" si="626"/>
        <v>332</v>
      </c>
      <c r="G8016" s="212">
        <f>SUM(C8016,C7992,C7968,C7944,C7920,C7896,C7872,C7848,C7824,C7800,C7776,C7752,C7728,C7704)/POBLA!$B$23*100000</f>
        <v>607.92851891647342</v>
      </c>
      <c r="H8016" s="213">
        <f t="shared" si="627"/>
        <v>0.78409919766593728</v>
      </c>
    </row>
    <row r="8017" spans="1:8" ht="15.75" thickBot="1" x14ac:dyDescent="0.3">
      <c r="A8017" s="85" t="s">
        <v>40</v>
      </c>
      <c r="B8017" s="355">
        <v>44226</v>
      </c>
      <c r="C8017" s="54">
        <v>57</v>
      </c>
      <c r="D8017" s="214">
        <f t="shared" si="628"/>
        <v>76325</v>
      </c>
      <c r="E8017" s="54"/>
      <c r="F8017" s="214">
        <f t="shared" si="626"/>
        <v>1427</v>
      </c>
      <c r="G8017" s="212">
        <f>SUM(C8017,C7993,C7969,C7945,C7921,C7897,C7873,C7849,C7825,C7801,C7777,C7753,C7729,C7705)/POBLA!$B$24*100000</f>
        <v>125.8072434759621</v>
      </c>
      <c r="H8017" s="216">
        <f t="shared" si="627"/>
        <v>0.71019320453031309</v>
      </c>
    </row>
    <row r="8018" spans="1:8" ht="15.75" thickBot="1" x14ac:dyDescent="0.3">
      <c r="A8018" s="36" t="s">
        <v>16</v>
      </c>
      <c r="B8018" s="355">
        <v>44227</v>
      </c>
      <c r="C8018" s="293">
        <v>2227</v>
      </c>
      <c r="D8018" s="211">
        <f t="shared" si="628"/>
        <v>804348</v>
      </c>
      <c r="E8018" s="293">
        <v>13</v>
      </c>
      <c r="F8018" s="211">
        <f>E8018+F7994</f>
        <v>24486</v>
      </c>
      <c r="G8018" s="212">
        <f>SUM(C8018,C7994,C7970,C7946,C7922,C7898,C7874,C7850,C7826,C7802,C7778,C7754,C7730,C7706)/POBLA!$B$1*100000</f>
        <v>301.51972440105237</v>
      </c>
      <c r="H8018" s="196">
        <f t="shared" ref="H8018:H8024" si="629">SUM(C8018,C7994,C7970,C7946,C7922,C7898,C7874,C7850,C7826,C7802,C7778,C7754,C7730,C7706)/SUM(C7682,C7658,C7634,C7610,C7586,C7562,C7538,C7514,C7490,C7466,C7442,C7418,C7394,C7370)</f>
        <v>0.86598444535407282</v>
      </c>
    </row>
    <row r="8019" spans="1:8" ht="15.75" thickBot="1" x14ac:dyDescent="0.3">
      <c r="A8019" s="84" t="s">
        <v>43</v>
      </c>
      <c r="B8019" s="355">
        <v>44227</v>
      </c>
      <c r="C8019" s="1">
        <v>757</v>
      </c>
      <c r="D8019" s="47">
        <f t="shared" si="628"/>
        <v>210248</v>
      </c>
      <c r="E8019" s="1">
        <v>2</v>
      </c>
      <c r="F8019" s="47">
        <f t="shared" ref="F8019:F8041" si="630">E8019+F7995</f>
        <v>6046</v>
      </c>
      <c r="G8019" s="212">
        <f>SUM(C8019,C7995,C7971,C7947,C7923,C7899,C7875,C7851,C7827,C7803,C7779,C7755,C7731,C7707)/POBLA!$B$2*100000</f>
        <v>505.90997793634244</v>
      </c>
      <c r="H8019" s="213">
        <f t="shared" si="629"/>
        <v>0.85527400648601115</v>
      </c>
    </row>
    <row r="8020" spans="1:8" ht="15.75" thickBot="1" x14ac:dyDescent="0.3">
      <c r="A8020" s="84" t="s">
        <v>28</v>
      </c>
      <c r="B8020" s="355">
        <v>44227</v>
      </c>
      <c r="C8020" s="1">
        <v>142</v>
      </c>
      <c r="D8020" s="47">
        <f t="shared" si="628"/>
        <v>5383</v>
      </c>
      <c r="F8020" s="47">
        <f t="shared" si="630"/>
        <v>17</v>
      </c>
      <c r="G8020" s="212">
        <f>SUM(C8020,C7996,C7972,C7948,C7924,C7900,C7876,C7852,C7828,C7804,C7780,C7756,C7732,C7708)/POBLA!$B$3*100000</f>
        <v>289.33318569798621</v>
      </c>
      <c r="H8020" s="213">
        <f t="shared" si="629"/>
        <v>0.90375939849624065</v>
      </c>
    </row>
    <row r="8021" spans="1:8" ht="15.75" thickBot="1" x14ac:dyDescent="0.3">
      <c r="A8021" s="84" t="s">
        <v>15</v>
      </c>
      <c r="B8021" s="355">
        <v>44227</v>
      </c>
      <c r="C8021" s="1">
        <v>86</v>
      </c>
      <c r="D8021" s="47">
        <f t="shared" si="628"/>
        <v>30754</v>
      </c>
      <c r="F8021" s="47">
        <f t="shared" si="630"/>
        <v>788</v>
      </c>
      <c r="G8021" s="212">
        <f>SUM(C8021,C7997,C7973,C7949,C7925,C7901,C7877,C7853,C7829,C7805,C7781,C7757,C7733,C7709)/POBLA!$B$4*100000</f>
        <v>186.21200938780828</v>
      </c>
      <c r="H8021" s="213">
        <f t="shared" si="629"/>
        <v>0.66696402022004164</v>
      </c>
    </row>
    <row r="8022" spans="1:8" ht="15.75" thickBot="1" x14ac:dyDescent="0.3">
      <c r="A8022" s="84" t="s">
        <v>29</v>
      </c>
      <c r="B8022" s="355">
        <v>44227</v>
      </c>
      <c r="C8022" s="1">
        <v>90</v>
      </c>
      <c r="D8022" s="47">
        <f t="shared" si="628"/>
        <v>42306</v>
      </c>
      <c r="F8022" s="47">
        <f t="shared" si="630"/>
        <v>617</v>
      </c>
      <c r="G8022" s="212">
        <f>SUM(C8022,C7998,C7974,C7950,C7926,C7902,C7878,C7854,C7830,C7806,C7782,C7758,C7734,C7710)/POBLA!$B$5*100000</f>
        <v>657.19538476948082</v>
      </c>
      <c r="H8022" s="213">
        <f t="shared" si="629"/>
        <v>0.70331950207468885</v>
      </c>
    </row>
    <row r="8023" spans="1:8" ht="15.75" thickBot="1" x14ac:dyDescent="0.3">
      <c r="A8023" s="84" t="s">
        <v>30</v>
      </c>
      <c r="B8023" s="355">
        <v>44227</v>
      </c>
      <c r="C8023" s="1">
        <v>41</v>
      </c>
      <c r="D8023" s="47">
        <f t="shared" si="628"/>
        <v>17373</v>
      </c>
      <c r="F8023" s="47">
        <f t="shared" ref="F8023:F8028" si="631">E8023+F7999</f>
        <v>204</v>
      </c>
      <c r="G8023" s="212">
        <f>SUM(C8023,C7999,C7975,C7951,C7927,C7903,C7879,C7855,C7831,C7807,C7783,C7759,C7735,C7711)/POBLA!$B$7*100000</f>
        <v>50.685423287106602</v>
      </c>
      <c r="H8023" s="213">
        <f t="shared" si="629"/>
        <v>0.20363247863247863</v>
      </c>
    </row>
    <row r="8024" spans="1:8" ht="15.75" thickBot="1" x14ac:dyDescent="0.3">
      <c r="A8024" s="84" t="s">
        <v>20</v>
      </c>
      <c r="B8024" s="355">
        <v>44227</v>
      </c>
      <c r="C8024" s="1">
        <v>344</v>
      </c>
      <c r="D8024" s="47">
        <f t="shared" si="628"/>
        <v>145040</v>
      </c>
      <c r="E8024" s="1">
        <v>1</v>
      </c>
      <c r="F8024" s="47">
        <f t="shared" si="631"/>
        <v>2695</v>
      </c>
      <c r="G8024" s="212">
        <f>SUM(C8024,C8000,C7976,C7952,C7928,C7904,C7880,C7856,C7832,C7808,C7784,C7760,C7736,C7712)/POBLA!$B$6*100000</f>
        <v>651.31990424705191</v>
      </c>
      <c r="H8024" s="213">
        <f t="shared" si="629"/>
        <v>2.2496147919876734</v>
      </c>
    </row>
    <row r="8025" spans="1:8" ht="15.75" thickBot="1" x14ac:dyDescent="0.3">
      <c r="A8025" s="84" t="s">
        <v>31</v>
      </c>
      <c r="B8025" s="355">
        <v>44227</v>
      </c>
      <c r="C8025" s="1">
        <v>127</v>
      </c>
      <c r="D8025" s="47">
        <f t="shared" si="628"/>
        <v>40989</v>
      </c>
      <c r="E8025" s="1">
        <v>5</v>
      </c>
      <c r="F8025" s="47">
        <f t="shared" si="631"/>
        <v>724</v>
      </c>
      <c r="G8025" s="212">
        <f>SUM(C8025,C8001,C7977,C7953,C7929,C7905,C7881,C7857,C7833,C7809,C7785,C7761,C7737,C7713)/POBLA!$B$8*100000</f>
        <v>324.54015661335347</v>
      </c>
      <c r="H8025" s="213">
        <f t="shared" ref="H8025:H8041" si="632">SUM(C8025,C8001,C7977,C7953,C7929,C7905,C7881,C7857,C7833,C7809,C7785,C7761,C7737,C7713)/SUM(C7689,C7665,C7641,C7617,C7593,C7569,C7545,C7521,C7497,C7473,C7449,C7425,C7401,C7377)</f>
        <v>0.7103600758054327</v>
      </c>
    </row>
    <row r="8026" spans="1:8" ht="15.75" thickBot="1" x14ac:dyDescent="0.3">
      <c r="A8026" s="84" t="s">
        <v>41</v>
      </c>
      <c r="B8026" s="355">
        <v>44227</v>
      </c>
      <c r="C8026" s="1">
        <v>0</v>
      </c>
      <c r="D8026" s="47">
        <f t="shared" si="628"/>
        <v>843</v>
      </c>
      <c r="F8026" s="47">
        <f t="shared" si="631"/>
        <v>5</v>
      </c>
      <c r="G8026" s="212">
        <f>SUM(C8026,C8002,C7978,C7954,C7930,C7906,C7882,C7858,C7834,C7810,C7786,C7762,C7738,C7714)/POBLA!$B$9*100000</f>
        <v>29.742577987518033</v>
      </c>
      <c r="H8026" s="213">
        <f t="shared" si="632"/>
        <v>0.40723981900452488</v>
      </c>
    </row>
    <row r="8027" spans="1:8" ht="15.75" thickBot="1" x14ac:dyDescent="0.3">
      <c r="A8027" s="84" t="s">
        <v>32</v>
      </c>
      <c r="B8027" s="355">
        <v>44227</v>
      </c>
      <c r="C8027" s="1">
        <v>17</v>
      </c>
      <c r="D8027" s="47">
        <f t="shared" si="628"/>
        <v>19309</v>
      </c>
      <c r="E8027" s="1">
        <v>1</v>
      </c>
      <c r="F8027" s="47">
        <f t="shared" si="631"/>
        <v>873</v>
      </c>
      <c r="G8027" s="212">
        <f>SUM(C8027,C8003,C7979,C7955,C7931,C7907,C7883,C7859,C7835,C7811,C7787,C7763,C7739,C7715)/POBLA!$B$10*100000</f>
        <v>58.11532519286375</v>
      </c>
      <c r="H8027" s="213">
        <f t="shared" si="632"/>
        <v>1.5238095238095237</v>
      </c>
    </row>
    <row r="8028" spans="1:8" ht="15.75" thickBot="1" x14ac:dyDescent="0.3">
      <c r="A8028" s="84" t="s">
        <v>33</v>
      </c>
      <c r="B8028" s="355">
        <v>44227</v>
      </c>
      <c r="C8028" s="1">
        <v>49</v>
      </c>
      <c r="D8028" s="47">
        <f t="shared" si="628"/>
        <v>16439</v>
      </c>
      <c r="E8028" s="1">
        <v>1</v>
      </c>
      <c r="F8028" s="47">
        <f t="shared" si="631"/>
        <v>238</v>
      </c>
      <c r="G8028" s="212">
        <f>SUM(C8028,C8004,C7980,C7956,C7932,C7908,C7884,C7860,C7836,C7812,C7788,C7764,C7740,C7716)/POBLA!$B$11*100000</f>
        <v>402.870311471202</v>
      </c>
      <c r="H8028" s="213">
        <f t="shared" si="632"/>
        <v>0.40941309895094979</v>
      </c>
    </row>
    <row r="8029" spans="1:8" ht="15.75" thickBot="1" x14ac:dyDescent="0.3">
      <c r="A8029" s="84" t="s">
        <v>21</v>
      </c>
      <c r="B8029" s="355">
        <v>44227</v>
      </c>
      <c r="C8029" s="1">
        <v>16</v>
      </c>
      <c r="D8029" s="47">
        <f t="shared" si="628"/>
        <v>9548</v>
      </c>
      <c r="F8029" s="47">
        <f t="shared" si="630"/>
        <v>411</v>
      </c>
      <c r="G8029" s="212">
        <f>SUM(C8029,C8005,C7981,C7957,C7933,C7909,C7885,C7861,C7837,C7813,C7789,C7765,C7741,C7717)/POBLA!$B$12*100000</f>
        <v>60.986300952148625</v>
      </c>
      <c r="H8029" s="213">
        <f t="shared" si="632"/>
        <v>1.3043478260869565</v>
      </c>
    </row>
    <row r="8030" spans="1:8" ht="15.75" thickBot="1" x14ac:dyDescent="0.3">
      <c r="A8030" s="84" t="s">
        <v>17</v>
      </c>
      <c r="B8030" s="355">
        <v>44227</v>
      </c>
      <c r="C8030" s="1">
        <v>45</v>
      </c>
      <c r="D8030" s="47">
        <f t="shared" si="628"/>
        <v>63813</v>
      </c>
      <c r="E8030" s="1">
        <v>3</v>
      </c>
      <c r="F8030" s="47">
        <f t="shared" si="630"/>
        <v>1362</v>
      </c>
      <c r="G8030" s="212">
        <f>SUM(C8030,C8006,C7982,C7958,C7934,C7910,C7886,C7862,C7838,C7814,C7790,C7766,C7742,C7718)/POBLA!$B$13*100000</f>
        <v>80.036657090403736</v>
      </c>
      <c r="H8030" s="213">
        <f t="shared" si="632"/>
        <v>0.84285714285714286</v>
      </c>
    </row>
    <row r="8031" spans="1:8" ht="15.75" thickBot="1" x14ac:dyDescent="0.3">
      <c r="A8031" s="84" t="s">
        <v>23</v>
      </c>
      <c r="B8031" s="355">
        <v>44227</v>
      </c>
      <c r="C8031" s="1">
        <v>132</v>
      </c>
      <c r="D8031" s="47">
        <f t="shared" si="628"/>
        <v>4709</v>
      </c>
      <c r="E8031" s="1">
        <v>0</v>
      </c>
      <c r="F8031" s="47">
        <f t="shared" si="630"/>
        <v>84</v>
      </c>
      <c r="G8031" s="212">
        <f>SUM(C8031,C8007,C7983,C7959,C7935,C7911,C7887,C7863,C7839,C7815,C7791,C7767,C7743,C7719)/POBLA!$B$14*100000</f>
        <v>200.50836680425024</v>
      </c>
      <c r="H8031" s="213">
        <f t="shared" si="632"/>
        <v>2.3948863636363638</v>
      </c>
    </row>
    <row r="8032" spans="1:8" ht="15.75" thickBot="1" x14ac:dyDescent="0.3">
      <c r="A8032" s="84" t="s">
        <v>19</v>
      </c>
      <c r="B8032" s="355">
        <v>44227</v>
      </c>
      <c r="C8032" s="1">
        <v>253</v>
      </c>
      <c r="D8032" s="47">
        <f t="shared" si="628"/>
        <v>54057</v>
      </c>
      <c r="E8032" s="1">
        <v>2</v>
      </c>
      <c r="F8032" s="47">
        <f t="shared" si="630"/>
        <v>770</v>
      </c>
      <c r="G8032" s="212">
        <f>SUM(C8032,C8008,C7984,C7960,C7936,C7912,C7888,C7864,C7840,C7816,C7792,C7768,C7744,C7720)/POBLA!$B$15*100000</f>
        <v>880.49670434917482</v>
      </c>
      <c r="H8032" s="213">
        <f t="shared" si="632"/>
        <v>0.93045830681094843</v>
      </c>
    </row>
    <row r="8033" spans="1:8" ht="15.75" thickBot="1" x14ac:dyDescent="0.3">
      <c r="A8033" s="84" t="s">
        <v>18</v>
      </c>
      <c r="B8033" s="355">
        <v>44227</v>
      </c>
      <c r="C8033" s="1">
        <v>74</v>
      </c>
      <c r="D8033" s="47">
        <f t="shared" si="628"/>
        <v>47888</v>
      </c>
      <c r="E8033" s="1">
        <v>1</v>
      </c>
      <c r="F8033" s="47">
        <f t="shared" si="630"/>
        <v>1075</v>
      </c>
      <c r="G8033" s="212">
        <f>SUM(C8033,C8009,C7985,C7961,C7937,C7913,C7889,C7865,C7841,C7817,C7793,C7769,C7745,C7721)/POBLA!$B$16*100000</f>
        <v>535.57336044194165</v>
      </c>
      <c r="H8033" s="213">
        <f t="shared" si="632"/>
        <v>0.83208645054031583</v>
      </c>
    </row>
    <row r="8034" spans="1:8" ht="15.75" thickBot="1" x14ac:dyDescent="0.3">
      <c r="A8034" s="84" t="s">
        <v>34</v>
      </c>
      <c r="B8034" s="355">
        <v>44227</v>
      </c>
      <c r="C8034" s="1">
        <v>28</v>
      </c>
      <c r="D8034" s="47">
        <f t="shared" si="628"/>
        <v>23806</v>
      </c>
      <c r="E8034" s="1">
        <v>3</v>
      </c>
      <c r="F8034" s="47">
        <f t="shared" si="630"/>
        <v>1046</v>
      </c>
      <c r="G8034" s="212">
        <f>SUM(C8034,C8010,C7986,C7962,C7938,C7914,C7890,C7866,C7842,C7818,C7794,C7770,C7746,C7722)/POBLA!$B$17*100000</f>
        <v>50.617910596554196</v>
      </c>
      <c r="H8034" s="213">
        <f t="shared" si="632"/>
        <v>1.0729166666666667</v>
      </c>
    </row>
    <row r="8035" spans="1:8" ht="15.75" thickBot="1" x14ac:dyDescent="0.3">
      <c r="A8035" s="84" t="s">
        <v>35</v>
      </c>
      <c r="B8035" s="355">
        <v>44227</v>
      </c>
      <c r="C8035" s="1">
        <v>11</v>
      </c>
      <c r="D8035" s="47">
        <f t="shared" si="628"/>
        <v>13950</v>
      </c>
      <c r="F8035" s="47">
        <f t="shared" si="630"/>
        <v>198</v>
      </c>
      <c r="G8035" s="212">
        <f>SUM(C8035,C8011,C7987,C7963,C7939,C7915,C7891,C7867,C7843,C7819,C7795,C7771,C7747,C7723)/POBLA!$B$18*100000</f>
        <v>109.95664456866658</v>
      </c>
      <c r="H8035" s="213">
        <f t="shared" si="632"/>
        <v>0.57535164099129266</v>
      </c>
    </row>
    <row r="8036" spans="1:8" ht="15.75" thickBot="1" x14ac:dyDescent="0.3">
      <c r="A8036" s="84" t="s">
        <v>36</v>
      </c>
      <c r="B8036" s="355">
        <v>44227</v>
      </c>
      <c r="C8036" s="1">
        <v>22</v>
      </c>
      <c r="D8036" s="47">
        <f t="shared" si="628"/>
        <v>19010</v>
      </c>
      <c r="F8036" s="47">
        <f t="shared" si="630"/>
        <v>330</v>
      </c>
      <c r="G8036" s="212">
        <f>SUM(C8036,C8012,C7988,C7964,C7940,C7916,C7892,C7868,C7844,C7820,C7796,C7772,C7748,C7724)/POBLA!$B$19*100000</f>
        <v>420.00440660361028</v>
      </c>
      <c r="H8036" s="213">
        <f t="shared" si="632"/>
        <v>3.2846153846153845</v>
      </c>
    </row>
    <row r="8037" spans="1:8" ht="15.75" thickBot="1" x14ac:dyDescent="0.3">
      <c r="A8037" s="84" t="s">
        <v>37</v>
      </c>
      <c r="B8037" s="355">
        <v>44227</v>
      </c>
      <c r="C8037" s="1">
        <v>97</v>
      </c>
      <c r="D8037" s="47">
        <f t="shared" si="628"/>
        <v>32538</v>
      </c>
      <c r="F8037" s="47">
        <f t="shared" si="630"/>
        <v>493</v>
      </c>
      <c r="G8037" s="212">
        <f>SUM(C8037,C8013,C7989,C7965,C7941,C7917,C7893,C7869,C7845,C7821,C7797,C7773,C7749,C7725)/POBLA!$B$20*100000</f>
        <v>863.82752981968724</v>
      </c>
      <c r="H8037" s="213">
        <f t="shared" si="632"/>
        <v>0.63459220570510244</v>
      </c>
    </row>
    <row r="8038" spans="1:8" ht="15.75" thickBot="1" x14ac:dyDescent="0.3">
      <c r="A8038" s="84" t="s">
        <v>22</v>
      </c>
      <c r="B8038" s="355">
        <v>44227</v>
      </c>
      <c r="C8038" s="1">
        <v>217</v>
      </c>
      <c r="D8038" s="47">
        <f t="shared" si="628"/>
        <v>205826</v>
      </c>
      <c r="E8038" s="1">
        <v>8</v>
      </c>
      <c r="F8038" s="47">
        <f t="shared" si="630"/>
        <v>3508</v>
      </c>
      <c r="G8038" s="212">
        <f>SUM(C8038,C8014,C7990,C7966,C7942,C7918,C7894,C7870,C7846,C7822,C7798,C7774,C7750,C7726)/POBLA!$B$21*100000</f>
        <v>304.37578363191227</v>
      </c>
      <c r="H8038" s="213">
        <f t="shared" si="632"/>
        <v>0.62396382818387341</v>
      </c>
    </row>
    <row r="8039" spans="1:8" ht="15.75" thickBot="1" x14ac:dyDescent="0.3">
      <c r="A8039" s="84" t="s">
        <v>38</v>
      </c>
      <c r="B8039" s="355">
        <v>44227</v>
      </c>
      <c r="C8039" s="1">
        <v>88</v>
      </c>
      <c r="D8039" s="47">
        <f t="shared" si="628"/>
        <v>20850</v>
      </c>
      <c r="E8039" s="1">
        <v>1</v>
      </c>
      <c r="F8039" s="47">
        <f t="shared" si="630"/>
        <v>243</v>
      </c>
      <c r="G8039" s="212">
        <f>SUM(C8039,C8015,C7991,C7967,C7943,C7919,C7895,C7871,C7847,C7823,C7799,C7775,C7751,C7727)/POBLA!$B$22*100000</f>
        <v>127.87318578001111</v>
      </c>
      <c r="H8039" s="213">
        <f t="shared" si="632"/>
        <v>0.63118062563067612</v>
      </c>
    </row>
    <row r="8040" spans="1:8" ht="15.75" thickBot="1" x14ac:dyDescent="0.3">
      <c r="A8040" s="84" t="s">
        <v>39</v>
      </c>
      <c r="B8040" s="355">
        <v>44227</v>
      </c>
      <c r="C8040" s="1">
        <v>41</v>
      </c>
      <c r="D8040" s="47">
        <f t="shared" si="628"/>
        <v>21816</v>
      </c>
      <c r="E8040" s="1">
        <v>2</v>
      </c>
      <c r="F8040" s="47">
        <f t="shared" si="630"/>
        <v>334</v>
      </c>
      <c r="G8040" s="212">
        <f>SUM(C8040,C8016,C7992,C7968,C7944,C7920,C7896,C7872,C7848,C7824,C7800,C7776,C7752,C7728)/POBLA!$B$23*100000</f>
        <v>597.18373579143815</v>
      </c>
      <c r="H8040" s="213">
        <f t="shared" si="632"/>
        <v>0.79518072289156627</v>
      </c>
    </row>
    <row r="8041" spans="1:8" ht="15.75" thickBot="1" x14ac:dyDescent="0.3">
      <c r="A8041" s="86" t="s">
        <v>40</v>
      </c>
      <c r="B8041" s="42">
        <v>44227</v>
      </c>
      <c r="C8041" s="300">
        <v>71</v>
      </c>
      <c r="D8041" s="81">
        <f t="shared" si="628"/>
        <v>76396</v>
      </c>
      <c r="E8041" s="300"/>
      <c r="F8041" s="81">
        <f t="shared" si="630"/>
        <v>1427</v>
      </c>
      <c r="G8041" s="212">
        <f>SUM(C8041,C8017,C7993,C7969,C7945,C7921,C7897,C7873,C7849,C7825,C7801,C7777,C7753,C7729)/POBLA!$B$24*100000</f>
        <v>123.85994561728162</v>
      </c>
      <c r="H8041" s="216">
        <f t="shared" si="632"/>
        <v>0.69966666666666666</v>
      </c>
    </row>
    <row r="8042" spans="1:8" ht="15.75" thickBot="1" x14ac:dyDescent="0.3">
      <c r="A8042" s="34" t="s">
        <v>16</v>
      </c>
      <c r="B8042" s="2">
        <v>44228</v>
      </c>
      <c r="C8042" s="1">
        <v>2566</v>
      </c>
      <c r="D8042" s="47">
        <f t="shared" si="628"/>
        <v>806914</v>
      </c>
      <c r="E8042" s="1">
        <v>144</v>
      </c>
      <c r="F8042" s="47">
        <f>E8042+F8018</f>
        <v>24630</v>
      </c>
      <c r="G8042" s="212">
        <f>SUM(C8042,C8018,C7994,C7970,C7946,C7922,C7898,C7874,C7850,C7826,C7802,C7778,C7754,C7730)/POBLA!$B$1*100000</f>
        <v>299.11965247870705</v>
      </c>
      <c r="H8042" s="196">
        <f t="shared" ref="H8042:H8048" si="633">SUM(C8042,C8018,C7994,C7970,C7946,C7922,C7898,C7874,C7850,C7826,C7802,C7778,C7754,C7730)/SUM(C7706,C7682,C7658,C7634,C7610,C7586,C7562,C7538,C7514,C7490,C7466,C7442,C7418,C7394)</f>
        <v>0.85872571643671958</v>
      </c>
    </row>
    <row r="8043" spans="1:8" ht="15.75" thickBot="1" x14ac:dyDescent="0.3">
      <c r="A8043" s="34" t="s">
        <v>43</v>
      </c>
      <c r="B8043" s="2">
        <v>44228</v>
      </c>
      <c r="C8043" s="1">
        <v>868</v>
      </c>
      <c r="D8043" s="47">
        <f t="shared" si="628"/>
        <v>211116</v>
      </c>
      <c r="E8043" s="1">
        <v>28</v>
      </c>
      <c r="F8043" s="47">
        <f t="shared" ref="F8043:F8065" si="634">E8043+F8019</f>
        <v>6074</v>
      </c>
      <c r="G8043" s="212">
        <f>SUM(C8043,C8019,C7995,C7971,C7947,C7923,C7899,C7875,C7851,C7827,C7803,C7779,C7755,C7731)/POBLA!$B$2*100000</f>
        <v>494.79036274005523</v>
      </c>
      <c r="H8043" s="213">
        <f t="shared" si="633"/>
        <v>0.83031427324312523</v>
      </c>
    </row>
    <row r="8044" spans="1:8" ht="15.75" thickBot="1" x14ac:dyDescent="0.3">
      <c r="A8044" s="34" t="s">
        <v>28</v>
      </c>
      <c r="B8044" s="2">
        <v>44228</v>
      </c>
      <c r="C8044" s="1">
        <v>160</v>
      </c>
      <c r="D8044" s="47">
        <f t="shared" si="628"/>
        <v>5543</v>
      </c>
      <c r="F8044" s="47">
        <f t="shared" si="634"/>
        <v>17</v>
      </c>
      <c r="G8044" s="212">
        <f>SUM(C8044,C8020,C7996,C7972,C7948,C7924,C7900,C7876,C7852,C7828,C7804,C7780,C7756,C7732)/POBLA!$B$3*100000</f>
        <v>313.64487601037939</v>
      </c>
      <c r="H8044" s="213">
        <f t="shared" si="633"/>
        <v>0.95040116703136401</v>
      </c>
    </row>
    <row r="8045" spans="1:8" ht="15.75" thickBot="1" x14ac:dyDescent="0.3">
      <c r="A8045" s="34" t="s">
        <v>15</v>
      </c>
      <c r="B8045" s="2">
        <v>44228</v>
      </c>
      <c r="C8045" s="1">
        <v>93</v>
      </c>
      <c r="D8045" s="47">
        <f t="shared" si="628"/>
        <v>30847</v>
      </c>
      <c r="E8045" s="1">
        <v>8</v>
      </c>
      <c r="F8045" s="47">
        <f t="shared" si="634"/>
        <v>796</v>
      </c>
      <c r="G8045" s="212">
        <f>SUM(C8045,C8021,C7997,C7973,C7949,C7925,C7901,C7877,C7853,C7829,C7805,C7781,C7757,C7733)/POBLA!$B$4*100000</f>
        <v>182.22708899074419</v>
      </c>
      <c r="H8045" s="213">
        <f t="shared" si="633"/>
        <v>0.65935716431360769</v>
      </c>
    </row>
    <row r="8046" spans="1:8" ht="15.75" thickBot="1" x14ac:dyDescent="0.3">
      <c r="A8046" s="34" t="s">
        <v>29</v>
      </c>
      <c r="B8046" s="2">
        <v>44228</v>
      </c>
      <c r="C8046" s="1">
        <v>216</v>
      </c>
      <c r="D8046" s="47">
        <f t="shared" si="628"/>
        <v>42522</v>
      </c>
      <c r="E8046" s="1">
        <v>19</v>
      </c>
      <c r="F8046" s="47">
        <f t="shared" si="634"/>
        <v>636</v>
      </c>
      <c r="G8046" s="212">
        <f>SUM(C8046,C8022,C7998,C7974,C7950,C7926,C7902,C7878,C7854,C7830,C7806,C7782,C7758,C7734)/POBLA!$B$5*100000</f>
        <v>662.52661576687331</v>
      </c>
      <c r="H8046" s="213">
        <f t="shared" si="633"/>
        <v>0.72558386411889597</v>
      </c>
    </row>
    <row r="8047" spans="1:8" ht="15.75" thickBot="1" x14ac:dyDescent="0.3">
      <c r="A8047" s="34" t="s">
        <v>30</v>
      </c>
      <c r="B8047" s="2">
        <v>44228</v>
      </c>
      <c r="C8047" s="1">
        <v>190</v>
      </c>
      <c r="D8047" s="47">
        <f t="shared" si="628"/>
        <v>17563</v>
      </c>
      <c r="E8047" s="1">
        <v>2</v>
      </c>
      <c r="F8047" s="47">
        <f t="shared" si="634"/>
        <v>206</v>
      </c>
      <c r="G8047" s="212">
        <f>SUM(C8047,C8023,C7999,C7975,C7951,C7927,C7903,C7879,C7855,C7831,C7807,C7783,C7759,C7735)/POBLA!$B$7*100000</f>
        <v>53.238309244904201</v>
      </c>
      <c r="H8047" s="213">
        <f t="shared" si="633"/>
        <v>0.21875</v>
      </c>
    </row>
    <row r="8048" spans="1:8" ht="15.75" thickBot="1" x14ac:dyDescent="0.3">
      <c r="A8048" s="34" t="s">
        <v>20</v>
      </c>
      <c r="B8048" s="2">
        <v>44228</v>
      </c>
      <c r="C8048" s="1">
        <v>298</v>
      </c>
      <c r="D8048" s="47">
        <f t="shared" si="628"/>
        <v>145338</v>
      </c>
      <c r="E8048" s="1">
        <v>4</v>
      </c>
      <c r="F8048" s="47">
        <f t="shared" si="634"/>
        <v>2699</v>
      </c>
      <c r="G8048" s="212">
        <f>SUM(C8048,C8024,C8000,C7976,C7952,C7928,C7904,C7880,C7856,C7832,C7808,C7784,C7760,C7736)/POBLA!$B$6*100000</f>
        <v>647.30491853593992</v>
      </c>
      <c r="H8048" s="213">
        <f t="shared" si="633"/>
        <v>2.1650253655625185</v>
      </c>
    </row>
    <row r="8049" spans="1:8" ht="15.75" thickBot="1" x14ac:dyDescent="0.3">
      <c r="A8049" s="34" t="s">
        <v>31</v>
      </c>
      <c r="B8049" s="2">
        <v>44228</v>
      </c>
      <c r="C8049" s="1">
        <v>179</v>
      </c>
      <c r="D8049" s="47">
        <f t="shared" si="628"/>
        <v>41168</v>
      </c>
      <c r="E8049" s="1">
        <v>5</v>
      </c>
      <c r="F8049" s="47">
        <f t="shared" si="634"/>
        <v>729</v>
      </c>
      <c r="G8049" s="212">
        <f>SUM(C8049,C8025,C8001,C7977,C7953,C7929,C7905,C7881,C7857,C7833,C7809,C7785,C7761,C7737)/POBLA!$B$8*100000</f>
        <v>320.06672626430327</v>
      </c>
      <c r="H8049" s="213">
        <f t="shared" ref="H8049:H8065" si="635">SUM(C8049,C8025,C8001,C7977,C7953,C7929,C7905,C7881,C7857,C7833,C7809,C7785,C7761,C7737)/SUM(C7713,C7689,C7665,C7641,C7617,C7593,C7569,C7545,C7521,C7497,C7473,C7449,C7425,C7401)</f>
        <v>0.7024544734758511</v>
      </c>
    </row>
    <row r="8050" spans="1:8" ht="15.75" thickBot="1" x14ac:dyDescent="0.3">
      <c r="A8050" s="34" t="s">
        <v>41</v>
      </c>
      <c r="B8050" s="2">
        <v>44228</v>
      </c>
      <c r="C8050" s="1">
        <v>4</v>
      </c>
      <c r="D8050" s="47">
        <f t="shared" si="628"/>
        <v>847</v>
      </c>
      <c r="F8050" s="47">
        <f t="shared" si="634"/>
        <v>5</v>
      </c>
      <c r="G8050" s="212">
        <f>SUM(C8050,C8026,C8002,C7978,C7954,C7930,C7906,C7882,C7858,C7834,C7810,C7786,C7762,C7738)/POBLA!$B$9*100000</f>
        <v>28.255449088142129</v>
      </c>
      <c r="H8050" s="213">
        <f t="shared" si="635"/>
        <v>0.37582417582417582</v>
      </c>
    </row>
    <row r="8051" spans="1:8" ht="15.75" thickBot="1" x14ac:dyDescent="0.3">
      <c r="A8051" s="34" t="s">
        <v>32</v>
      </c>
      <c r="B8051" s="2">
        <v>44228</v>
      </c>
      <c r="C8051" s="1">
        <v>40</v>
      </c>
      <c r="D8051" s="47">
        <f t="shared" si="628"/>
        <v>19349</v>
      </c>
      <c r="F8051" s="47">
        <f t="shared" si="634"/>
        <v>873</v>
      </c>
      <c r="G8051" s="212">
        <f>SUM(C8051,C8027,C8003,C7979,C7955,C7931,C7907,C7883,C7859,C7835,C7811,C7787,C7763,C7739)/POBLA!$B$10*100000</f>
        <v>56.03977786454719</v>
      </c>
      <c r="H8051" s="213">
        <f t="shared" si="635"/>
        <v>1.2413793103448276</v>
      </c>
    </row>
    <row r="8052" spans="1:8" ht="15.75" thickBot="1" x14ac:dyDescent="0.3">
      <c r="A8052" s="34" t="s">
        <v>33</v>
      </c>
      <c r="B8052" s="2">
        <v>44228</v>
      </c>
      <c r="C8052" s="1">
        <v>74</v>
      </c>
      <c r="D8052" s="47">
        <f t="shared" si="628"/>
        <v>16513</v>
      </c>
      <c r="E8052" s="1">
        <v>1</v>
      </c>
      <c r="F8052" s="47">
        <f t="shared" si="634"/>
        <v>239</v>
      </c>
      <c r="G8052" s="212">
        <f>SUM(C8052,C8028,C8004,C7980,C7956,C7932,C7908,C7884,C7860,C7836,C7812,C7788,C7764,C7740)/POBLA!$B$11*100000</f>
        <v>386.40954389724016</v>
      </c>
      <c r="H8052" s="213">
        <f t="shared" si="635"/>
        <v>0.39696188019489825</v>
      </c>
    </row>
    <row r="8053" spans="1:8" ht="15.75" thickBot="1" x14ac:dyDescent="0.3">
      <c r="A8053" s="34" t="s">
        <v>21</v>
      </c>
      <c r="B8053" s="2">
        <v>44228</v>
      </c>
      <c r="C8053" s="1">
        <v>11</v>
      </c>
      <c r="D8053" s="47">
        <f t="shared" si="628"/>
        <v>9559</v>
      </c>
      <c r="E8053" s="1">
        <v>3</v>
      </c>
      <c r="F8053" s="47">
        <f t="shared" si="634"/>
        <v>414</v>
      </c>
      <c r="G8053" s="212">
        <f>SUM(C8053,C8029,C8005,C7981,C7957,C7933,C7909,C7885,C7861,C7837,C7813,C7789,C7765,C7741)/POBLA!$B$12*100000</f>
        <v>60.732191364848006</v>
      </c>
      <c r="H8053" s="213">
        <f t="shared" si="635"/>
        <v>1.2383419689119171</v>
      </c>
    </row>
    <row r="8054" spans="1:8" ht="15.75" thickBot="1" x14ac:dyDescent="0.3">
      <c r="A8054" s="34" t="s">
        <v>17</v>
      </c>
      <c r="B8054" s="2">
        <v>44228</v>
      </c>
      <c r="C8054" s="1">
        <v>82</v>
      </c>
      <c r="D8054" s="47">
        <f t="shared" si="628"/>
        <v>63895</v>
      </c>
      <c r="E8054" s="1">
        <v>6</v>
      </c>
      <c r="F8054" s="47">
        <f t="shared" si="634"/>
        <v>1368</v>
      </c>
      <c r="G8054" s="212">
        <f>SUM(C8054,C8030,C8006,C7982,C7958,C7934,C7910,C7886,C7862,C7838,C7814,C7790,C7766,C7742)/POBLA!$B$13*100000</f>
        <v>80.589327038925049</v>
      </c>
      <c r="H8054" s="213">
        <f t="shared" si="635"/>
        <v>0.84778012684989434</v>
      </c>
    </row>
    <row r="8055" spans="1:8" ht="15.75" thickBot="1" x14ac:dyDescent="0.3">
      <c r="A8055" s="34" t="s">
        <v>23</v>
      </c>
      <c r="B8055" s="2">
        <v>44228</v>
      </c>
      <c r="C8055" s="1">
        <v>150</v>
      </c>
      <c r="D8055" s="47">
        <f t="shared" si="628"/>
        <v>4859</v>
      </c>
      <c r="E8055" s="1">
        <v>5</v>
      </c>
      <c r="F8055" s="47">
        <f t="shared" si="634"/>
        <v>89</v>
      </c>
      <c r="G8055" s="212">
        <f>SUM(C8055,C8031,C8007,C7983,C7959,C7935,C7911,C7887,C7863,C7839,C7815,C7791,C7767,C7743)/POBLA!$B$14*100000</f>
        <v>200.66693411686728</v>
      </c>
      <c r="H8055" s="213">
        <f t="shared" si="635"/>
        <v>2.161400512382579</v>
      </c>
    </row>
    <row r="8056" spans="1:8" ht="15.75" thickBot="1" x14ac:dyDescent="0.3">
      <c r="A8056" s="34" t="s">
        <v>19</v>
      </c>
      <c r="B8056" s="2">
        <v>44228</v>
      </c>
      <c r="C8056" s="1">
        <v>373</v>
      </c>
      <c r="D8056" s="47">
        <f t="shared" si="628"/>
        <v>54430</v>
      </c>
      <c r="E8056" s="1">
        <v>4</v>
      </c>
      <c r="F8056" s="47">
        <f t="shared" si="634"/>
        <v>774</v>
      </c>
      <c r="G8056" s="212">
        <f>SUM(C8056,C8032,C8008,C7984,C7960,C7936,C7912,C7888,C7864,C7840,C7816,C7792,C7768,C7744)/POBLA!$B$15*100000</f>
        <v>866.04011402635615</v>
      </c>
      <c r="H8056" s="213">
        <f t="shared" si="635"/>
        <v>0.89190446650124067</v>
      </c>
    </row>
    <row r="8057" spans="1:8" ht="15.75" thickBot="1" x14ac:dyDescent="0.3">
      <c r="A8057" s="34" t="s">
        <v>18</v>
      </c>
      <c r="B8057" s="2">
        <v>44228</v>
      </c>
      <c r="C8057" s="1">
        <v>298</v>
      </c>
      <c r="D8057" s="47">
        <f t="shared" si="628"/>
        <v>48186</v>
      </c>
      <c r="E8057" s="1">
        <v>6</v>
      </c>
      <c r="F8057" s="47">
        <f t="shared" si="634"/>
        <v>1081</v>
      </c>
      <c r="G8057" s="212">
        <f>SUM(C8057,C8033,C8009,C7985,C7961,C7937,C7913,C7889,C7865,C7841,C7817,C7793,C7769,C7745)/POBLA!$B$16*100000</f>
        <v>538.51607121360064</v>
      </c>
      <c r="H8057" s="213">
        <f t="shared" si="635"/>
        <v>0.83909962484368483</v>
      </c>
    </row>
    <row r="8058" spans="1:8" ht="15.75" thickBot="1" x14ac:dyDescent="0.3">
      <c r="A8058" s="34" t="s">
        <v>34</v>
      </c>
      <c r="B8058" s="2">
        <v>44228</v>
      </c>
      <c r="C8058" s="1">
        <v>20</v>
      </c>
      <c r="D8058" s="47">
        <f t="shared" si="628"/>
        <v>23826</v>
      </c>
      <c r="F8058" s="47">
        <f t="shared" si="634"/>
        <v>1046</v>
      </c>
      <c r="G8058" s="212">
        <f>SUM(C8058,C8034,C8010,C7986,C7962,C7938,C7914,C7890,C7866,C7842,C7818,C7794,C7770,C7746)/POBLA!$B$17*100000</f>
        <v>50.477500303637257</v>
      </c>
      <c r="H8058" s="213">
        <f t="shared" si="635"/>
        <v>1.0683506686478454</v>
      </c>
    </row>
    <row r="8059" spans="1:8" ht="15.75" thickBot="1" x14ac:dyDescent="0.3">
      <c r="A8059" s="34" t="s">
        <v>35</v>
      </c>
      <c r="B8059" s="2">
        <v>44228</v>
      </c>
      <c r="C8059" s="1">
        <v>47</v>
      </c>
      <c r="D8059" s="47">
        <f t="shared" si="628"/>
        <v>13997</v>
      </c>
      <c r="E8059" s="1">
        <v>2</v>
      </c>
      <c r="F8059" s="47">
        <f t="shared" si="634"/>
        <v>200</v>
      </c>
      <c r="G8059" s="212">
        <f>SUM(C8059,C8035,C8011,C7987,C7963,C7939,C7915,C7891,C7867,C7843,C7819,C7795,C7771,C7747)/POBLA!$B$18*100000</f>
        <v>105.98847695326651</v>
      </c>
      <c r="H8059" s="213">
        <f t="shared" si="635"/>
        <v>0.55495978552278824</v>
      </c>
    </row>
    <row r="8060" spans="1:8" ht="15.75" thickBot="1" x14ac:dyDescent="0.3">
      <c r="A8060" s="34" t="s">
        <v>36</v>
      </c>
      <c r="B8060" s="2">
        <v>44228</v>
      </c>
      <c r="C8060" s="1">
        <v>6</v>
      </c>
      <c r="D8060" s="47">
        <f t="shared" si="628"/>
        <v>19016</v>
      </c>
      <c r="F8060" s="47">
        <f t="shared" si="634"/>
        <v>330</v>
      </c>
      <c r="G8060" s="212">
        <f>SUM(C8060,C8036,C8012,C7988,C7964,C7940,C7916,C7892,C7868,C7844,C7820,C7796,C7772,C7748)/POBLA!$B$19*100000</f>
        <v>403.67636644056597</v>
      </c>
      <c r="H8060" s="213">
        <f t="shared" si="635"/>
        <v>2.9696092619392185</v>
      </c>
    </row>
    <row r="8061" spans="1:8" ht="15.75" thickBot="1" x14ac:dyDescent="0.3">
      <c r="A8061" s="34" t="s">
        <v>37</v>
      </c>
      <c r="B8061" s="2">
        <v>44228</v>
      </c>
      <c r="C8061" s="1">
        <v>140</v>
      </c>
      <c r="D8061" s="47">
        <f t="shared" si="628"/>
        <v>32678</v>
      </c>
      <c r="E8061" s="1">
        <v>12</v>
      </c>
      <c r="F8061" s="47">
        <f t="shared" si="634"/>
        <v>505</v>
      </c>
      <c r="G8061" s="212">
        <f>SUM(C8061,C8037,C8013,C7989,C7965,C7941,C7917,C7893,C7869,C7845,C7821,C7797,C7773,C7749)/POBLA!$B$20*100000</f>
        <v>820.34903116779412</v>
      </c>
      <c r="H8061" s="213">
        <f t="shared" si="635"/>
        <v>0.60386473429951693</v>
      </c>
    </row>
    <row r="8062" spans="1:8" ht="15.75" thickBot="1" x14ac:dyDescent="0.3">
      <c r="A8062" s="34" t="s">
        <v>22</v>
      </c>
      <c r="B8062" s="2">
        <v>44228</v>
      </c>
      <c r="C8062" s="1">
        <v>523</v>
      </c>
      <c r="D8062" s="47">
        <f t="shared" si="628"/>
        <v>206349</v>
      </c>
      <c r="E8062" s="1">
        <v>22</v>
      </c>
      <c r="F8062" s="47">
        <f t="shared" si="634"/>
        <v>3530</v>
      </c>
      <c r="G8062" s="212">
        <f>SUM(C8062,C8038,C8014,C7990,C7966,C7942,C7918,C7894,C7870,C7846,C7822,C7798,C7774,C7750)/POBLA!$B$21*100000</f>
        <v>294.98775314456606</v>
      </c>
      <c r="H8062" s="213">
        <f t="shared" si="635"/>
        <v>0.61148886283704573</v>
      </c>
    </row>
    <row r="8063" spans="1:8" ht="15.75" thickBot="1" x14ac:dyDescent="0.3">
      <c r="A8063" s="34" t="s">
        <v>38</v>
      </c>
      <c r="B8063" s="2">
        <v>44228</v>
      </c>
      <c r="C8063" s="1">
        <v>104</v>
      </c>
      <c r="D8063" s="47">
        <f t="shared" si="628"/>
        <v>20954</v>
      </c>
      <c r="E8063" s="1">
        <v>1</v>
      </c>
      <c r="F8063" s="47">
        <f t="shared" si="634"/>
        <v>244</v>
      </c>
      <c r="G8063" s="212">
        <f>SUM(C8063,C8039,C8015,C7991,C7967,C7943,C7919,C7895,C7871,C7847,C7823,C7799,C7775,C7751)/POBLA!$B$22*100000</f>
        <v>128.0776193304188</v>
      </c>
      <c r="H8063" s="213">
        <f t="shared" si="635"/>
        <v>0.63668699186991873</v>
      </c>
    </row>
    <row r="8064" spans="1:8" ht="15.75" thickBot="1" x14ac:dyDescent="0.3">
      <c r="A8064" s="34" t="s">
        <v>39</v>
      </c>
      <c r="B8064" s="2">
        <v>44228</v>
      </c>
      <c r="C8064" s="1">
        <v>36</v>
      </c>
      <c r="D8064" s="47">
        <f t="shared" si="628"/>
        <v>21852</v>
      </c>
      <c r="F8064" s="47">
        <f t="shared" si="634"/>
        <v>334</v>
      </c>
      <c r="G8064" s="212">
        <f>SUM(C8064,C8040,C8016,C7992,C7968,C7944,C7920,C7896,C7872,C7848,C7824,C7800,C7776,C7752)/POBLA!$B$23*100000</f>
        <v>546.85290957416726</v>
      </c>
      <c r="H8064" s="213">
        <f t="shared" si="635"/>
        <v>0.71470805617147082</v>
      </c>
    </row>
    <row r="8065" spans="1:8" ht="15.75" thickBot="1" x14ac:dyDescent="0.3">
      <c r="A8065" s="48" t="s">
        <v>40</v>
      </c>
      <c r="B8065" s="42">
        <v>44228</v>
      </c>
      <c r="C8065" s="300">
        <v>136</v>
      </c>
      <c r="D8065" s="81">
        <f t="shared" si="628"/>
        <v>76532</v>
      </c>
      <c r="E8065" s="300">
        <v>2</v>
      </c>
      <c r="F8065" s="81">
        <f t="shared" si="634"/>
        <v>1429</v>
      </c>
      <c r="G8065" s="212">
        <f>SUM(C8065,C8041,C8017,C7993,C7969,C7945,C7921,C7897,C7873,C7849,C7825,C7801,C7777,C7753)/POBLA!$B$24*100000</f>
        <v>121.32255749839496</v>
      </c>
      <c r="H8065" s="216">
        <f t="shared" si="635"/>
        <v>0.71141868512110729</v>
      </c>
    </row>
    <row r="8066" spans="1:8" ht="15.75" thickBot="1" x14ac:dyDescent="0.3">
      <c r="A8066" s="36" t="s">
        <v>16</v>
      </c>
      <c r="B8066" s="354">
        <v>44229</v>
      </c>
      <c r="C8066" s="53">
        <v>4243</v>
      </c>
      <c r="D8066" s="211">
        <f t="shared" si="628"/>
        <v>811157</v>
      </c>
      <c r="E8066" s="53">
        <v>42</v>
      </c>
      <c r="F8066" s="211">
        <f>E8066+F8042</f>
        <v>24672</v>
      </c>
      <c r="G8066" s="212">
        <f>SUM(C8066,C8042,C8018,C7994,C7970,C7946,C7922,C7898,C7874,C7850,C7826,C7802,C7778,C7754)/POBLA!$B$1*100000</f>
        <v>294.10287506382849</v>
      </c>
      <c r="H8066" s="196">
        <f t="shared" ref="H8066:H8072" si="636">SUM(C8066,C8042,C8018,C7994,C7970,C7946,C7922,C7898,C7874,C7850,C7826,C7802,C7778,C7754)/SUM(C7730,C7706,C7682,C7658,C7634,C7610,C7586,C7562,C7538,C7514,C7490,C7466,C7442,C7418)</f>
        <v>0.8484335169805115</v>
      </c>
    </row>
    <row r="8067" spans="1:8" ht="15.75" thickBot="1" x14ac:dyDescent="0.3">
      <c r="A8067" s="84" t="s">
        <v>43</v>
      </c>
      <c r="B8067" s="2">
        <v>44229</v>
      </c>
      <c r="C8067" s="1">
        <v>1270</v>
      </c>
      <c r="D8067" s="47">
        <f t="shared" ref="D8067:D8130" si="637">C8067+D8043</f>
        <v>212386</v>
      </c>
      <c r="E8067" s="1">
        <v>15</v>
      </c>
      <c r="F8067" s="47">
        <f t="shared" ref="F8067:F8089" si="638">E8067+F8043</f>
        <v>6089</v>
      </c>
      <c r="G8067" s="212">
        <f>SUM(C8067,C8043,C8019,C7995,C7971,C7947,C7923,C7899,C7875,C7851,C7827,C7803,C7779,C7755)/POBLA!$B$2*100000</f>
        <v>490.95377036238892</v>
      </c>
      <c r="H8067" s="213">
        <f t="shared" si="636"/>
        <v>0.82644628099173556</v>
      </c>
    </row>
    <row r="8068" spans="1:8" ht="15.75" thickBot="1" x14ac:dyDescent="0.3">
      <c r="A8068" s="84" t="s">
        <v>28</v>
      </c>
      <c r="B8068" s="2">
        <v>44229</v>
      </c>
      <c r="C8068" s="1">
        <v>135</v>
      </c>
      <c r="D8068" s="47">
        <f t="shared" si="637"/>
        <v>5678</v>
      </c>
      <c r="F8068" s="47">
        <f t="shared" si="638"/>
        <v>17</v>
      </c>
      <c r="G8068" s="212">
        <f>SUM(C8068,C8044,C8020,C7996,C7972,C7948,C7924,C7900,C7876,C7852,C7828,C7804,C7780,C7756)/POBLA!$B$3*100000</f>
        <v>309.07138971398859</v>
      </c>
      <c r="H8068" s="213">
        <f t="shared" si="636"/>
        <v>0.87704918032786883</v>
      </c>
    </row>
    <row r="8069" spans="1:8" ht="15.75" thickBot="1" x14ac:dyDescent="0.3">
      <c r="A8069" s="84" t="s">
        <v>15</v>
      </c>
      <c r="B8069" s="2">
        <v>44229</v>
      </c>
      <c r="C8069" s="1">
        <v>161</v>
      </c>
      <c r="D8069" s="47">
        <f t="shared" si="637"/>
        <v>31008</v>
      </c>
      <c r="E8069" s="1">
        <v>2</v>
      </c>
      <c r="F8069" s="47">
        <f t="shared" si="638"/>
        <v>798</v>
      </c>
      <c r="G8069" s="212">
        <f>SUM(C8069,C8045,C8021,C7997,C7973,C7949,C7925,C7901,C7877,C7853,C7829,C7805,C7781,C7757)/POBLA!$B$4*100000</f>
        <v>177.99311106886358</v>
      </c>
      <c r="H8069" s="213">
        <f t="shared" si="636"/>
        <v>0.66152422091946927</v>
      </c>
    </row>
    <row r="8070" spans="1:8" ht="15.75" thickBot="1" x14ac:dyDescent="0.3">
      <c r="A8070" s="84" t="s">
        <v>29</v>
      </c>
      <c r="B8070" s="2">
        <v>44229</v>
      </c>
      <c r="C8070" s="1">
        <v>327</v>
      </c>
      <c r="D8070" s="47">
        <f t="shared" si="637"/>
        <v>42849</v>
      </c>
      <c r="E8070" s="1">
        <v>21</v>
      </c>
      <c r="F8070" s="47">
        <f t="shared" si="638"/>
        <v>657</v>
      </c>
      <c r="G8070" s="212">
        <f>SUM(C8070,C8046,C8022,C7998,C7974,C7950,C7926,C7902,C7878,C7854,C7830,C7806,C7782,C7758)/POBLA!$B$5*100000</f>
        <v>658.97246176861165</v>
      </c>
      <c r="H8070" s="213">
        <f t="shared" si="636"/>
        <v>0.75286083425618311</v>
      </c>
    </row>
    <row r="8071" spans="1:8" ht="15.75" thickBot="1" x14ac:dyDescent="0.3">
      <c r="A8071" s="84" t="s">
        <v>30</v>
      </c>
      <c r="B8071" s="2">
        <v>44229</v>
      </c>
      <c r="C8071" s="1">
        <v>175</v>
      </c>
      <c r="D8071" s="47">
        <f t="shared" si="637"/>
        <v>17738</v>
      </c>
      <c r="F8071" s="47">
        <f t="shared" si="638"/>
        <v>206</v>
      </c>
      <c r="G8071" s="212">
        <f>SUM(C8071,C8047,C8023,C7999,C7975,C7951,C7927,C7903,C7879,C7855,C7831,C7807,C7783,C7759)/POBLA!$B$7*100000</f>
        <v>55.498677020037498</v>
      </c>
      <c r="H8071" s="213">
        <f t="shared" si="636"/>
        <v>0.2503899220155969</v>
      </c>
    </row>
    <row r="8072" spans="1:8" ht="15.75" thickBot="1" x14ac:dyDescent="0.3">
      <c r="A8072" s="84" t="s">
        <v>20</v>
      </c>
      <c r="B8072" s="2">
        <v>44229</v>
      </c>
      <c r="C8072" s="1">
        <v>571</v>
      </c>
      <c r="D8072" s="47">
        <f t="shared" si="637"/>
        <v>145909</v>
      </c>
      <c r="E8072" s="1">
        <v>5</v>
      </c>
      <c r="F8072" s="47">
        <f t="shared" si="638"/>
        <v>2704</v>
      </c>
      <c r="G8072" s="212">
        <f>SUM(C8072,C8048,C8024,C8000,C7976,C7952,C7928,C7904,C7880,C7856,C7832,C7808,C7784,C7760)/POBLA!$B$6*100000</f>
        <v>638.65039378087636</v>
      </c>
      <c r="H8072" s="213">
        <f t="shared" si="636"/>
        <v>1.8626073380171742</v>
      </c>
    </row>
    <row r="8073" spans="1:8" ht="15.75" thickBot="1" x14ac:dyDescent="0.3">
      <c r="A8073" s="84" t="s">
        <v>31</v>
      </c>
      <c r="B8073" s="2">
        <v>44229</v>
      </c>
      <c r="C8073" s="1">
        <v>284</v>
      </c>
      <c r="D8073" s="47">
        <f t="shared" si="637"/>
        <v>41452</v>
      </c>
      <c r="E8073" s="1">
        <v>12</v>
      </c>
      <c r="F8073" s="47">
        <f t="shared" si="638"/>
        <v>741</v>
      </c>
      <c r="G8073" s="212">
        <f>SUM(C8073,C8049,C8025,C8001,C7977,C7953,C7929,C7905,C7881,C7857,C7833,C7809,C7785,C7761)/POBLA!$B$8*100000</f>
        <v>308.45023777725351</v>
      </c>
      <c r="H8073" s="213">
        <f t="shared" ref="H8073:H8089" si="639">SUM(C8073,C8049,C8025,C8001,C7977,C7953,C7929,C7905,C7881,C7857,C7833,C7809,C7785,C7761)/SUM(C7737,C7713,C7689,C7665,C7641,C7617,C7593,C7569,C7545,C7521,C7497,C7473,C7449,C7425)</f>
        <v>0.68840579710144922</v>
      </c>
    </row>
    <row r="8074" spans="1:8" ht="15.75" thickBot="1" x14ac:dyDescent="0.3">
      <c r="A8074" s="84" t="s">
        <v>41</v>
      </c>
      <c r="B8074" s="2">
        <v>44229</v>
      </c>
      <c r="C8074" s="1">
        <v>4</v>
      </c>
      <c r="D8074" s="47">
        <f t="shared" si="637"/>
        <v>851</v>
      </c>
      <c r="F8074" s="47">
        <f t="shared" si="638"/>
        <v>5</v>
      </c>
      <c r="G8074" s="212">
        <f>SUM(C8074,C8050,C8026,C8002,C7978,C7954,C7930,C7906,C7882,C7858,C7834,C7810,C7786,C7762)/POBLA!$B$9*100000</f>
        <v>27.594502910641729</v>
      </c>
      <c r="H8074" s="213">
        <f t="shared" si="639"/>
        <v>0.36462882096069871</v>
      </c>
    </row>
    <row r="8075" spans="1:8" ht="15.75" thickBot="1" x14ac:dyDescent="0.3">
      <c r="A8075" s="84" t="s">
        <v>32</v>
      </c>
      <c r="B8075" s="2">
        <v>44229</v>
      </c>
      <c r="C8075" s="1">
        <v>22</v>
      </c>
      <c r="D8075" s="47">
        <f t="shared" si="637"/>
        <v>19371</v>
      </c>
      <c r="F8075" s="47">
        <f t="shared" si="638"/>
        <v>873</v>
      </c>
      <c r="G8075" s="212">
        <f>SUM(C8075,C8051,C8027,C8003,C7979,C7955,C7931,C7907,C7883,C7859,C7835,C7811,C7787,C7763)/POBLA!$B$10*100000</f>
        <v>55.65061274048783</v>
      </c>
      <c r="H8075" s="213">
        <f t="shared" si="639"/>
        <v>1.2118644067796611</v>
      </c>
    </row>
    <row r="8076" spans="1:8" ht="15.75" thickBot="1" x14ac:dyDescent="0.3">
      <c r="A8076" s="84" t="s">
        <v>33</v>
      </c>
      <c r="B8076" s="2">
        <v>44229</v>
      </c>
      <c r="C8076" s="1">
        <v>88</v>
      </c>
      <c r="D8076" s="47">
        <f t="shared" si="637"/>
        <v>16601</v>
      </c>
      <c r="E8076" s="1">
        <v>11</v>
      </c>
      <c r="F8076" s="47">
        <f t="shared" si="638"/>
        <v>250</v>
      </c>
      <c r="G8076" s="212">
        <f>SUM(C8076,C8052,C8028,C8004,C7980,C7956,C7932,C7908,C7884,C7860,C7836,C7812,C7788,C7764)/POBLA!$B$11*100000</f>
        <v>367.15881571752209</v>
      </c>
      <c r="H8076" s="213">
        <f t="shared" si="639"/>
        <v>0.39330543933054396</v>
      </c>
    </row>
    <row r="8077" spans="1:8" ht="15.75" thickBot="1" x14ac:dyDescent="0.3">
      <c r="A8077" s="84" t="s">
        <v>21</v>
      </c>
      <c r="B8077" s="2">
        <v>44229</v>
      </c>
      <c r="C8077" s="1">
        <v>6</v>
      </c>
      <c r="D8077" s="47">
        <f t="shared" si="637"/>
        <v>9565</v>
      </c>
      <c r="F8077" s="47">
        <f t="shared" si="638"/>
        <v>414</v>
      </c>
      <c r="G8077" s="212">
        <f>SUM(C8077,C8053,C8029,C8005,C7981,C7957,C7933,C7909,C7885,C7861,C7837,C7813,C7789,C7765)/POBLA!$B$12*100000</f>
        <v>59.969862602946144</v>
      </c>
      <c r="H8077" s="213">
        <f t="shared" si="639"/>
        <v>1.2291666666666667</v>
      </c>
    </row>
    <row r="8078" spans="1:8" ht="15.75" thickBot="1" x14ac:dyDescent="0.3">
      <c r="A8078" s="84" t="s">
        <v>17</v>
      </c>
      <c r="B8078" s="2">
        <v>44229</v>
      </c>
      <c r="C8078" s="1">
        <v>146</v>
      </c>
      <c r="D8078" s="47">
        <f t="shared" si="637"/>
        <v>64041</v>
      </c>
      <c r="E8078" s="1">
        <v>3</v>
      </c>
      <c r="F8078" s="47">
        <f t="shared" si="638"/>
        <v>1371</v>
      </c>
      <c r="G8078" s="212">
        <f>SUM(C8078,C8054,C8030,C8006,C7982,C7958,C7934,C7910,C7886,C7862,C7838,C7814,C7790,C7766)/POBLA!$B$13*100000</f>
        <v>80.488841593739366</v>
      </c>
      <c r="H8078" s="213">
        <f t="shared" si="639"/>
        <v>0.84986737400530499</v>
      </c>
    </row>
    <row r="8079" spans="1:8" ht="15.75" thickBot="1" x14ac:dyDescent="0.3">
      <c r="A8079" s="84" t="s">
        <v>23</v>
      </c>
      <c r="B8079" s="2">
        <v>44229</v>
      </c>
      <c r="C8079" s="1">
        <v>284</v>
      </c>
      <c r="D8079" s="47">
        <f t="shared" si="637"/>
        <v>5143</v>
      </c>
      <c r="E8079" s="1">
        <v>3</v>
      </c>
      <c r="F8079" s="47">
        <f t="shared" si="638"/>
        <v>92</v>
      </c>
      <c r="G8079" s="212">
        <f>SUM(C8079,C8055,C8031,C8007,C7983,C7959,C7935,C7911,C7887,C7863,C7839,C7815,C7791,C7767)/POBLA!$B$14*100000</f>
        <v>204.31398230705923</v>
      </c>
      <c r="H8079" s="213">
        <f t="shared" si="639"/>
        <v>1.8354700854700854</v>
      </c>
    </row>
    <row r="8080" spans="1:8" ht="15.75" thickBot="1" x14ac:dyDescent="0.3">
      <c r="A8080" s="84" t="s">
        <v>19</v>
      </c>
      <c r="B8080" s="2">
        <v>44229</v>
      </c>
      <c r="C8080" s="1">
        <v>499</v>
      </c>
      <c r="D8080" s="47">
        <f t="shared" si="637"/>
        <v>54929</v>
      </c>
      <c r="E8080" s="1">
        <v>2</v>
      </c>
      <c r="F8080" s="47">
        <f t="shared" si="638"/>
        <v>776</v>
      </c>
      <c r="G8080" s="212">
        <f>SUM(C8080,C8056,C8032,C8008,C7984,C7960,C7936,C7912,C7888,C7864,C7840,C7816,C7792,C7768)/POBLA!$B$15*100000</f>
        <v>878.38845159376388</v>
      </c>
      <c r="H8080" s="213">
        <f t="shared" si="639"/>
        <v>0.94202196382428938</v>
      </c>
    </row>
    <row r="8081" spans="1:8" ht="15.75" thickBot="1" x14ac:dyDescent="0.3">
      <c r="A8081" s="84" t="s">
        <v>18</v>
      </c>
      <c r="B8081" s="2">
        <v>44229</v>
      </c>
      <c r="C8081" s="1">
        <v>294</v>
      </c>
      <c r="D8081" s="47">
        <f t="shared" si="637"/>
        <v>48480</v>
      </c>
      <c r="E8081" s="1">
        <v>4</v>
      </c>
      <c r="F8081" s="47">
        <f t="shared" si="638"/>
        <v>1085</v>
      </c>
      <c r="G8081" s="212">
        <f>SUM(C8081,C8057,C8033,C8009,C7985,C7961,C7937,C7913,C7889,C7865,C7841,C7817,C7793,C7769)/POBLA!$B$16*100000</f>
        <v>523.6687577747756</v>
      </c>
      <c r="H8081" s="213">
        <f t="shared" si="639"/>
        <v>0.81207218419415061</v>
      </c>
    </row>
    <row r="8082" spans="1:8" ht="15.75" thickBot="1" x14ac:dyDescent="0.3">
      <c r="A8082" s="84" t="s">
        <v>34</v>
      </c>
      <c r="B8082" s="2">
        <v>44229</v>
      </c>
      <c r="C8082" s="1">
        <v>57</v>
      </c>
      <c r="D8082" s="47">
        <f t="shared" si="637"/>
        <v>23883</v>
      </c>
      <c r="F8082" s="47">
        <f t="shared" si="638"/>
        <v>1046</v>
      </c>
      <c r="G8082" s="212">
        <f>SUM(C8082,C8058,C8034,C8010,C7986,C7962,C7938,C7914,C7890,C7866,C7842,C7818,C7794,C7770)/POBLA!$B$17*100000</f>
        <v>51.319962061138853</v>
      </c>
      <c r="H8082" s="213">
        <f t="shared" si="639"/>
        <v>1.0548340548340549</v>
      </c>
    </row>
    <row r="8083" spans="1:8" ht="15.75" thickBot="1" x14ac:dyDescent="0.3">
      <c r="A8083" s="84" t="s">
        <v>35</v>
      </c>
      <c r="B8083" s="2">
        <v>44229</v>
      </c>
      <c r="C8083" s="1">
        <v>83</v>
      </c>
      <c r="D8083" s="47">
        <f t="shared" si="637"/>
        <v>14080</v>
      </c>
      <c r="E8083" s="1">
        <v>1</v>
      </c>
      <c r="F8083" s="47">
        <f t="shared" si="638"/>
        <v>201</v>
      </c>
      <c r="G8083" s="212">
        <f>SUM(C8083,C8059,C8035,C8011,C7987,C7963,C7939,C7915,C7891,C7867,C7843,C7819,C7795,C7771)/POBLA!$B$18*100000</f>
        <v>105.47645532547295</v>
      </c>
      <c r="H8083" s="213">
        <f t="shared" si="639"/>
        <v>0.60189919649379109</v>
      </c>
    </row>
    <row r="8084" spans="1:8" ht="15.75" thickBot="1" x14ac:dyDescent="0.3">
      <c r="A8084" s="84" t="s">
        <v>36</v>
      </c>
      <c r="B8084" s="2">
        <v>44229</v>
      </c>
      <c r="C8084" s="1">
        <v>63</v>
      </c>
      <c r="D8084" s="47">
        <f t="shared" si="637"/>
        <v>19079</v>
      </c>
      <c r="E8084" s="1">
        <v>2</v>
      </c>
      <c r="F8084" s="47">
        <f t="shared" si="638"/>
        <v>332</v>
      </c>
      <c r="G8084" s="212">
        <f>SUM(C8084,C8060,C8036,C8012,C7988,C7964,C7940,C7916,C7892,C7868,C7844,C7820,C7796,C7772)/POBLA!$B$19*100000</f>
        <v>397.57794180135659</v>
      </c>
      <c r="H8084" s="213">
        <f t="shared" si="639"/>
        <v>2.7952973720608574</v>
      </c>
    </row>
    <row r="8085" spans="1:8" ht="15.75" thickBot="1" x14ac:dyDescent="0.3">
      <c r="A8085" s="84" t="s">
        <v>37</v>
      </c>
      <c r="B8085" s="2">
        <v>44229</v>
      </c>
      <c r="C8085" s="1">
        <v>158</v>
      </c>
      <c r="D8085" s="47">
        <f t="shared" si="637"/>
        <v>32836</v>
      </c>
      <c r="E8085" s="1">
        <v>2</v>
      </c>
      <c r="F8085" s="47">
        <f t="shared" si="638"/>
        <v>507</v>
      </c>
      <c r="G8085" s="212">
        <f>SUM(C8085,C8061,C8037,C8013,C7989,C7965,C7941,C7917,C7893,C7869,C7845,C7821,C7797,C7773)/POBLA!$B$20*100000</f>
        <v>744.05657126918925</v>
      </c>
      <c r="H8085" s="213">
        <f t="shared" si="639"/>
        <v>0.55792495386508101</v>
      </c>
    </row>
    <row r="8086" spans="1:8" ht="15.75" thickBot="1" x14ac:dyDescent="0.3">
      <c r="A8086" s="84" t="s">
        <v>22</v>
      </c>
      <c r="B8086" s="2">
        <v>44229</v>
      </c>
      <c r="C8086" s="1">
        <v>515</v>
      </c>
      <c r="D8086" s="47">
        <f t="shared" si="637"/>
        <v>206864</v>
      </c>
      <c r="E8086" s="1">
        <v>47</v>
      </c>
      <c r="F8086" s="47">
        <f t="shared" si="638"/>
        <v>3577</v>
      </c>
      <c r="G8086" s="212">
        <f>SUM(C8086,C8062,C8038,C8014,C7990,C7966,C7942,C7918,C7894,C7870,C7846,C7822,C7798,C7774)/POBLA!$B$21*100000</f>
        <v>275.4482077627701</v>
      </c>
      <c r="H8086" s="213">
        <f t="shared" si="639"/>
        <v>0.58020132229435939</v>
      </c>
    </row>
    <row r="8087" spans="1:8" ht="15.75" thickBot="1" x14ac:dyDescent="0.3">
      <c r="A8087" s="84" t="s">
        <v>38</v>
      </c>
      <c r="B8087" s="2">
        <v>44229</v>
      </c>
      <c r="C8087" s="1">
        <v>69</v>
      </c>
      <c r="D8087" s="47">
        <f t="shared" si="637"/>
        <v>21023</v>
      </c>
      <c r="E8087" s="1">
        <v>2</v>
      </c>
      <c r="F8087" s="47">
        <f t="shared" si="638"/>
        <v>246</v>
      </c>
      <c r="G8087" s="212">
        <f>SUM(C8087,C8063,C8039,C8015,C7991,C7967,C7943,C7919,C7895,C7871,C7847,C7823,C7799,C7775)/POBLA!$B$22*100000</f>
        <v>125.72663350073033</v>
      </c>
      <c r="H8087" s="213">
        <f t="shared" si="639"/>
        <v>0.6333676622039135</v>
      </c>
    </row>
    <row r="8088" spans="1:8" ht="15.75" thickBot="1" x14ac:dyDescent="0.3">
      <c r="A8088" s="84" t="s">
        <v>39</v>
      </c>
      <c r="B8088" s="2">
        <v>44229</v>
      </c>
      <c r="C8088" s="1">
        <v>58</v>
      </c>
      <c r="D8088" s="47">
        <f t="shared" si="637"/>
        <v>21910</v>
      </c>
      <c r="E8088" s="1">
        <v>2</v>
      </c>
      <c r="F8088" s="47">
        <f t="shared" si="638"/>
        <v>336</v>
      </c>
      <c r="G8088" s="212">
        <f>SUM(C8088,C8064,C8040,C8016,C7992,C7968,C7944,C7920,C7896,C7872,C7848,C7824,C7800,C7776)/POBLA!$B$23*100000</f>
        <v>500.48068766611999</v>
      </c>
      <c r="H8088" s="213">
        <f t="shared" si="639"/>
        <v>0.65217391304347827</v>
      </c>
    </row>
    <row r="8089" spans="1:8" ht="15.75" thickBot="1" x14ac:dyDescent="0.3">
      <c r="A8089" s="85" t="s">
        <v>40</v>
      </c>
      <c r="B8089" s="355">
        <v>44229</v>
      </c>
      <c r="C8089" s="54">
        <v>183</v>
      </c>
      <c r="D8089" s="214">
        <f t="shared" si="637"/>
        <v>76715</v>
      </c>
      <c r="E8089" s="54"/>
      <c r="F8089" s="214">
        <f t="shared" si="638"/>
        <v>1429</v>
      </c>
      <c r="G8089" s="212">
        <f>SUM(C8089,C8065,C8041,C8017,C7993,C7969,C7945,C7921,C7897,C7873,C7849,C7825,C7801,C7777)/POBLA!$B$24*100000</f>
        <v>120.08336795196193</v>
      </c>
      <c r="H8089" s="216">
        <f t="shared" si="639"/>
        <v>0.71403508771929824</v>
      </c>
    </row>
    <row r="8090" spans="1:8" ht="15.75" thickBot="1" x14ac:dyDescent="0.3">
      <c r="A8090" s="36" t="s">
        <v>16</v>
      </c>
      <c r="B8090" s="363">
        <v>44230</v>
      </c>
      <c r="C8090" s="17">
        <v>3688</v>
      </c>
      <c r="D8090" s="211">
        <f t="shared" si="637"/>
        <v>814845</v>
      </c>
      <c r="E8090" s="53">
        <v>35</v>
      </c>
      <c r="F8090" s="211">
        <f>E8090+F8066</f>
        <v>24707</v>
      </c>
      <c r="G8090" s="212">
        <f>SUM(C8090,C8066,C8042,C8018,C7994,C7970,C7946,C7922,C7898,C7874,C7850,C7826,C7802,C7778)/POBLA!$B$1*100000</f>
        <v>287.20480611837053</v>
      </c>
      <c r="H8090" s="196">
        <f t="shared" ref="H8090:H8096" si="640">SUM(C8090,C8066,C8042,C8018,C7994,C7970,C7946,C7922,C7898,C7874,C7850,C7826,C7802,C7778)/SUM(C7754,C7730,C7706,C7682,C7658,C7634,C7610,C7586,C7562,C7538,C7514,C7490,C7466,C7442)</f>
        <v>0.83337193144974531</v>
      </c>
    </row>
    <row r="8091" spans="1:8" ht="15.75" thickBot="1" x14ac:dyDescent="0.3">
      <c r="A8091" s="84" t="s">
        <v>43</v>
      </c>
      <c r="B8091" s="2">
        <v>44230</v>
      </c>
      <c r="C8091" s="17">
        <v>1071</v>
      </c>
      <c r="D8091" s="47">
        <f t="shared" si="637"/>
        <v>213457</v>
      </c>
      <c r="E8091" s="1">
        <v>7</v>
      </c>
      <c r="F8091" s="47">
        <f t="shared" ref="F8091:F8113" si="641">E8091+F8067</f>
        <v>6096</v>
      </c>
      <c r="G8091" s="212">
        <f>SUM(C8091,C8067,C8043,C8019,C7995,C7971,C7947,C7923,C7899,C7875,C7851,C7827,C7803,C7779)/POBLA!$B$2*100000</f>
        <v>484.41855792246571</v>
      </c>
      <c r="H8091" s="213">
        <f t="shared" si="640"/>
        <v>0.82201379310344824</v>
      </c>
    </row>
    <row r="8092" spans="1:8" ht="15.75" thickBot="1" x14ac:dyDescent="0.3">
      <c r="A8092" s="84" t="s">
        <v>28</v>
      </c>
      <c r="B8092" s="2">
        <v>44230</v>
      </c>
      <c r="C8092" s="17">
        <v>139</v>
      </c>
      <c r="D8092" s="47">
        <f t="shared" si="637"/>
        <v>5817</v>
      </c>
      <c r="F8092" s="47">
        <f t="shared" si="641"/>
        <v>17</v>
      </c>
      <c r="G8092" s="212">
        <f>SUM(C8092,C8068,C8044,C8020,C7996,C7972,C7948,C7924,C7900,C7876,C7852,C7828,C7804,C7780)/POBLA!$B$3*100000</f>
        <v>321.34758977272179</v>
      </c>
      <c r="H8092" s="213">
        <f t="shared" si="640"/>
        <v>0.88235294117647056</v>
      </c>
    </row>
    <row r="8093" spans="1:8" ht="15.75" thickBot="1" x14ac:dyDescent="0.3">
      <c r="A8093" s="84" t="s">
        <v>15</v>
      </c>
      <c r="B8093" s="2">
        <v>44230</v>
      </c>
      <c r="C8093" s="17">
        <v>117</v>
      </c>
      <c r="D8093" s="47">
        <f t="shared" si="637"/>
        <v>31125</v>
      </c>
      <c r="F8093" s="47">
        <f t="shared" si="641"/>
        <v>798</v>
      </c>
      <c r="G8093" s="212">
        <f>SUM(C8093,C8069,C8045,C8021,C7997,C7973,C7949,C7925,C7901,C7877,C7853,C7829,C7805,C7781)/POBLA!$B$4*100000</f>
        <v>172.9289413975946</v>
      </c>
      <c r="H8093" s="213">
        <f t="shared" si="640"/>
        <v>0.66232114467408587</v>
      </c>
    </row>
    <row r="8094" spans="1:8" ht="15.75" thickBot="1" x14ac:dyDescent="0.3">
      <c r="A8094" s="84" t="s">
        <v>29</v>
      </c>
      <c r="B8094" s="2">
        <v>44230</v>
      </c>
      <c r="C8094" s="17">
        <v>299</v>
      </c>
      <c r="D8094" s="47">
        <f t="shared" si="637"/>
        <v>43148</v>
      </c>
      <c r="E8094" s="1">
        <v>4</v>
      </c>
      <c r="F8094" s="47">
        <f t="shared" si="641"/>
        <v>661</v>
      </c>
      <c r="G8094" s="212">
        <f>SUM(C8094,C8070,C8046,C8022,C7998,C7974,C7950,C7926,C7902,C7878,C7854,C7830,C7806,C7782)/POBLA!$B$5*100000</f>
        <v>652.18725868102115</v>
      </c>
      <c r="H8094" s="213">
        <f t="shared" si="640"/>
        <v>0.76559833112080411</v>
      </c>
    </row>
    <row r="8095" spans="1:8" ht="15.75" thickBot="1" x14ac:dyDescent="0.3">
      <c r="A8095" s="84" t="s">
        <v>30</v>
      </c>
      <c r="B8095" s="2">
        <v>44230</v>
      </c>
      <c r="C8095" s="17">
        <v>232</v>
      </c>
      <c r="D8095" s="47">
        <f t="shared" si="637"/>
        <v>17970</v>
      </c>
      <c r="F8095" s="47">
        <f t="shared" si="641"/>
        <v>206</v>
      </c>
      <c r="G8095" s="212">
        <f>SUM(C8095,C8071,C8047,C8023,C7999,C7975,C7951,C7927,C7903,C7879,C7855,C7831,C7807,C7783)/POBLA!$B$7*100000</f>
        <v>58.397266284620194</v>
      </c>
      <c r="H8095" s="213">
        <f t="shared" si="640"/>
        <v>0.29109225874867445</v>
      </c>
    </row>
    <row r="8096" spans="1:8" ht="15.75" thickBot="1" x14ac:dyDescent="0.3">
      <c r="A8096" s="84" t="s">
        <v>20</v>
      </c>
      <c r="B8096" s="2">
        <v>44230</v>
      </c>
      <c r="C8096" s="17">
        <v>603</v>
      </c>
      <c r="D8096" s="47">
        <f t="shared" si="637"/>
        <v>146512</v>
      </c>
      <c r="E8096" s="1">
        <v>6</v>
      </c>
      <c r="F8096" s="47">
        <f t="shared" si="641"/>
        <v>2710</v>
      </c>
      <c r="G8096" s="212">
        <f>SUM(C8096,C8072,C8048,C8024,C8000,C7976,C7952,C7928,C7904,C7880,C7856,C7832,C7808,C7784)/POBLA!$B$6*100000</f>
        <v>630.53120045396099</v>
      </c>
      <c r="H8096" s="213">
        <f t="shared" si="640"/>
        <v>1.6313481071098799</v>
      </c>
    </row>
    <row r="8097" spans="1:8" ht="15.75" thickBot="1" x14ac:dyDescent="0.3">
      <c r="A8097" s="84" t="s">
        <v>31</v>
      </c>
      <c r="B8097" s="2">
        <v>44230</v>
      </c>
      <c r="C8097" s="17">
        <v>265</v>
      </c>
      <c r="D8097" s="47">
        <f t="shared" si="637"/>
        <v>41717</v>
      </c>
      <c r="E8097" s="1">
        <v>4</v>
      </c>
      <c r="F8097" s="47">
        <f t="shared" si="641"/>
        <v>745</v>
      </c>
      <c r="G8097" s="212">
        <f>SUM(C8097,C8073,C8049,C8025,C8001,C7977,C7953,C7929,C7905,C7881,C7857,C7833,C7809,C7785)/POBLA!$B$8*100000</f>
        <v>288.03119279691128</v>
      </c>
      <c r="H8097" s="213">
        <f t="shared" ref="H8097:H8113" si="642">SUM(C8097,C8073,C8049,C8025,C8001,C7977,C7953,C7929,C7905,C7881,C7857,C7833,C7809,C7785)/SUM(C7761,C7737,C7713,C7689,C7665,C7641,C7617,C7593,C7569,C7545,C7521,C7497,C7473,C7449)</f>
        <v>0.6413881748071979</v>
      </c>
    </row>
    <row r="8098" spans="1:8" ht="15.75" thickBot="1" x14ac:dyDescent="0.3">
      <c r="A8098" s="84" t="s">
        <v>41</v>
      </c>
      <c r="B8098" s="2">
        <v>44230</v>
      </c>
      <c r="C8098" s="17">
        <v>4</v>
      </c>
      <c r="D8098" s="47">
        <f t="shared" si="637"/>
        <v>855</v>
      </c>
      <c r="E8098" s="1">
        <v>2</v>
      </c>
      <c r="F8098" s="47">
        <f t="shared" si="641"/>
        <v>7</v>
      </c>
      <c r="G8098" s="212">
        <f>SUM(C8098,C8074,C8050,C8026,C8002,C7978,C7954,C7930,C7906,C7882,C7858,C7834,C7810,C7786)/POBLA!$B$9*100000</f>
        <v>25.611664378140528</v>
      </c>
      <c r="H8098" s="213">
        <f t="shared" si="642"/>
        <v>0.33190578158458245</v>
      </c>
    </row>
    <row r="8099" spans="1:8" ht="15.75" thickBot="1" x14ac:dyDescent="0.3">
      <c r="A8099" s="84" t="s">
        <v>32</v>
      </c>
      <c r="B8099" s="2">
        <v>44230</v>
      </c>
      <c r="C8099" s="17">
        <v>34</v>
      </c>
      <c r="D8099" s="47">
        <f t="shared" si="637"/>
        <v>19405</v>
      </c>
      <c r="E8099" s="1">
        <v>1</v>
      </c>
      <c r="F8099" s="47">
        <f t="shared" si="641"/>
        <v>874</v>
      </c>
      <c r="G8099" s="212">
        <f>SUM(C8099,C8075,C8051,C8027,C8003,C7979,C7955,C7931,C7907,C7883,C7859,C7835,C7811,C7787)/POBLA!$B$10*100000</f>
        <v>55.00200420038891</v>
      </c>
      <c r="H8099" s="213">
        <f t="shared" si="642"/>
        <v>1.1187335092348285</v>
      </c>
    </row>
    <row r="8100" spans="1:8" ht="15.75" thickBot="1" x14ac:dyDescent="0.3">
      <c r="A8100" s="84" t="s">
        <v>33</v>
      </c>
      <c r="B8100" s="2">
        <v>44230</v>
      </c>
      <c r="C8100" s="17">
        <v>100</v>
      </c>
      <c r="D8100" s="47">
        <f t="shared" si="637"/>
        <v>16701</v>
      </c>
      <c r="E8100" s="1">
        <v>2</v>
      </c>
      <c r="F8100" s="47">
        <f t="shared" si="641"/>
        <v>252</v>
      </c>
      <c r="G8100" s="212">
        <f>SUM(C8100,C8076,C8052,C8028,C8004,C7980,C7956,C7932,C7908,C7884,C7860,C7836,C7812,C7788)/POBLA!$B$11*100000</f>
        <v>361.29989844543394</v>
      </c>
      <c r="H8100" s="213">
        <f t="shared" si="642"/>
        <v>0.42251223491027734</v>
      </c>
    </row>
    <row r="8101" spans="1:8" ht="15.75" thickBot="1" x14ac:dyDescent="0.3">
      <c r="A8101" s="84" t="s">
        <v>21</v>
      </c>
      <c r="B8101" s="2">
        <v>44230</v>
      </c>
      <c r="C8101" s="17">
        <v>20</v>
      </c>
      <c r="D8101" s="47">
        <f t="shared" si="637"/>
        <v>9585</v>
      </c>
      <c r="F8101" s="47">
        <f t="shared" si="641"/>
        <v>414</v>
      </c>
      <c r="G8101" s="212">
        <f>SUM(C8101,C8077,C8053,C8029,C8005,C7981,C7957,C7933,C7909,C7885,C7861,C7837,C7813,C7789)/POBLA!$B$12*100000</f>
        <v>57.428766729939959</v>
      </c>
      <c r="H8101" s="213">
        <f t="shared" si="642"/>
        <v>1.0610328638497653</v>
      </c>
    </row>
    <row r="8102" spans="1:8" ht="15.75" thickBot="1" x14ac:dyDescent="0.3">
      <c r="A8102" s="84" t="s">
        <v>17</v>
      </c>
      <c r="B8102" s="2">
        <v>44230</v>
      </c>
      <c r="C8102" s="17">
        <v>158</v>
      </c>
      <c r="D8102" s="47">
        <f t="shared" si="637"/>
        <v>64199</v>
      </c>
      <c r="E8102" s="1">
        <v>4</v>
      </c>
      <c r="F8102" s="47">
        <f t="shared" si="641"/>
        <v>1375</v>
      </c>
      <c r="G8102" s="212">
        <f>SUM(C8102,C8078,C8054,C8030,C8006,C7982,C7958,C7934,C7910,C7886,C7862,C7838,C7814,C7790)/POBLA!$B$13*100000</f>
        <v>78.479132690025509</v>
      </c>
      <c r="H8102" s="213">
        <f t="shared" si="642"/>
        <v>0.81100726895119424</v>
      </c>
    </row>
    <row r="8103" spans="1:8" ht="15.75" thickBot="1" x14ac:dyDescent="0.3">
      <c r="A8103" s="84" t="s">
        <v>23</v>
      </c>
      <c r="B8103" s="2">
        <v>44230</v>
      </c>
      <c r="C8103" s="17">
        <v>190</v>
      </c>
      <c r="D8103" s="47">
        <f t="shared" si="637"/>
        <v>5333</v>
      </c>
      <c r="E8103" s="1">
        <v>5</v>
      </c>
      <c r="F8103" s="47">
        <f t="shared" si="641"/>
        <v>97</v>
      </c>
      <c r="G8103" s="212">
        <f>SUM(C8103,C8079,C8055,C8031,C8007,C7983,C7959,C7935,C7911,C7887,C7863,C7839,C7815,C7791)/POBLA!$B$14*100000</f>
        <v>204.07613133813368</v>
      </c>
      <c r="H8103" s="213">
        <f t="shared" si="642"/>
        <v>1.615819209039548</v>
      </c>
    </row>
    <row r="8104" spans="1:8" ht="15.75" thickBot="1" x14ac:dyDescent="0.3">
      <c r="A8104" s="84" t="s">
        <v>19</v>
      </c>
      <c r="B8104" s="2">
        <v>44230</v>
      </c>
      <c r="C8104" s="17">
        <v>456</v>
      </c>
      <c r="D8104" s="47">
        <f t="shared" si="637"/>
        <v>55385</v>
      </c>
      <c r="E8104" s="1">
        <v>8</v>
      </c>
      <c r="F8104" s="47">
        <f t="shared" si="641"/>
        <v>784</v>
      </c>
      <c r="G8104" s="212">
        <f>SUM(C8104,C8080,C8056,C8032,C8008,C7984,C7960,C7936,C7912,C7888,C7864,C7840,C7816,C7792)/POBLA!$B$15*100000</f>
        <v>866.79306143900294</v>
      </c>
      <c r="H8104" s="213">
        <f t="shared" si="642"/>
        <v>0.93487087867467922</v>
      </c>
    </row>
    <row r="8105" spans="1:8" ht="15.75" thickBot="1" x14ac:dyDescent="0.3">
      <c r="A8105" s="84" t="s">
        <v>18</v>
      </c>
      <c r="B8105" s="2">
        <v>44230</v>
      </c>
      <c r="C8105" s="17">
        <v>280</v>
      </c>
      <c r="D8105" s="47">
        <f t="shared" si="637"/>
        <v>48760</v>
      </c>
      <c r="E8105" s="1">
        <v>8</v>
      </c>
      <c r="F8105" s="47">
        <f t="shared" si="641"/>
        <v>1093</v>
      </c>
      <c r="G8105" s="212">
        <f>SUM(C8105,C8081,C8057,C8033,C8009,C7985,C7961,C7937,C7913,C7889,C7865,C7841,C7817,C7793)/POBLA!$B$16*100000</f>
        <v>501.99970572892278</v>
      </c>
      <c r="H8105" s="213">
        <f t="shared" si="642"/>
        <v>0.76874231872183529</v>
      </c>
    </row>
    <row r="8106" spans="1:8" ht="15.75" thickBot="1" x14ac:dyDescent="0.3">
      <c r="A8106" s="84" t="s">
        <v>34</v>
      </c>
      <c r="B8106" s="2">
        <v>44230</v>
      </c>
      <c r="C8106" s="17">
        <v>90</v>
      </c>
      <c r="D8106" s="47">
        <f t="shared" si="637"/>
        <v>23973</v>
      </c>
      <c r="E8106" s="1">
        <v>1</v>
      </c>
      <c r="F8106" s="47">
        <f t="shared" si="641"/>
        <v>1047</v>
      </c>
      <c r="G8106" s="212">
        <f>SUM(C8106,C8082,C8058,C8034,C8010,C7986,C7962,C7938,C7914,C7890,C7866,C7842,C7818,C7794)/POBLA!$B$17*100000</f>
        <v>52.232628965098911</v>
      </c>
      <c r="H8106" s="213">
        <f t="shared" si="642"/>
        <v>1.0333333333333334</v>
      </c>
    </row>
    <row r="8107" spans="1:8" ht="15.75" thickBot="1" x14ac:dyDescent="0.3">
      <c r="A8107" s="84" t="s">
        <v>35</v>
      </c>
      <c r="B8107" s="2">
        <v>44230</v>
      </c>
      <c r="C8107" s="17">
        <v>59</v>
      </c>
      <c r="D8107" s="47">
        <f t="shared" si="637"/>
        <v>14139</v>
      </c>
      <c r="E8107" s="1">
        <v>1</v>
      </c>
      <c r="F8107" s="47">
        <f t="shared" si="641"/>
        <v>202</v>
      </c>
      <c r="G8107" s="212">
        <f>SUM(C8107,C8083,C8059,C8035,C8011,C7987,C7963,C7939,C7915,C7891,C7867,C7843,C7819,C7795)/POBLA!$B$18*100000</f>
        <v>100.74025526838253</v>
      </c>
      <c r="H8107" s="213">
        <f t="shared" si="642"/>
        <v>0.58210059171597628</v>
      </c>
    </row>
    <row r="8108" spans="1:8" ht="15.75" thickBot="1" x14ac:dyDescent="0.3">
      <c r="A8108" s="84" t="s">
        <v>36</v>
      </c>
      <c r="B8108" s="2">
        <v>44230</v>
      </c>
      <c r="C8108" s="17">
        <v>9</v>
      </c>
      <c r="D8108" s="47">
        <f t="shared" si="637"/>
        <v>19088</v>
      </c>
      <c r="E8108" s="1">
        <v>2</v>
      </c>
      <c r="F8108" s="47">
        <f t="shared" si="641"/>
        <v>334</v>
      </c>
      <c r="G8108" s="212">
        <f>SUM(C8108,C8084,C8060,C8036,C8012,C7988,C7964,C7940,C7916,C7892,C7868,C7844,C7820,C7796)/POBLA!$B$19*100000</f>
        <v>378.88922113281188</v>
      </c>
      <c r="H8108" s="213">
        <f t="shared" si="642"/>
        <v>2.5176470588235293</v>
      </c>
    </row>
    <row r="8109" spans="1:8" ht="15.75" thickBot="1" x14ac:dyDescent="0.3">
      <c r="A8109" s="84" t="s">
        <v>37</v>
      </c>
      <c r="B8109" s="2">
        <v>44230</v>
      </c>
      <c r="C8109" s="17">
        <v>421</v>
      </c>
      <c r="D8109" s="47">
        <f t="shared" si="637"/>
        <v>33257</v>
      </c>
      <c r="E8109" s="1">
        <v>1</v>
      </c>
      <c r="F8109" s="47">
        <f t="shared" si="641"/>
        <v>508</v>
      </c>
      <c r="G8109" s="212">
        <f>SUM(C8109,C8085,C8061,C8037,C8013,C7989,C7965,C7941,C7917,C7893,C7869,C7845,C7821,C7797)/POBLA!$B$20*100000</f>
        <v>724.09474484410634</v>
      </c>
      <c r="H8109" s="213">
        <f t="shared" si="642"/>
        <v>0.53930753564154787</v>
      </c>
    </row>
    <row r="8110" spans="1:8" ht="15.75" thickBot="1" x14ac:dyDescent="0.3">
      <c r="A8110" s="84" t="s">
        <v>22</v>
      </c>
      <c r="B8110" s="2">
        <v>44230</v>
      </c>
      <c r="C8110" s="17">
        <v>688</v>
      </c>
      <c r="D8110" s="47">
        <f t="shared" si="637"/>
        <v>207552</v>
      </c>
      <c r="E8110" s="1">
        <v>16</v>
      </c>
      <c r="F8110" s="47">
        <f t="shared" si="641"/>
        <v>3593</v>
      </c>
      <c r="G8110" s="212">
        <f>SUM(C8110,C8086,C8062,C8038,C8014,C7990,C7966,C7942,C7918,C7894,C7870,C7846,C7822,C7798)/POBLA!$B$21*100000</f>
        <v>260.34818282227951</v>
      </c>
      <c r="H8110" s="213">
        <f t="shared" si="642"/>
        <v>0.55800000000000005</v>
      </c>
    </row>
    <row r="8111" spans="1:8" ht="15.75" thickBot="1" x14ac:dyDescent="0.3">
      <c r="A8111" s="84" t="s">
        <v>38</v>
      </c>
      <c r="B8111" s="2">
        <v>44230</v>
      </c>
      <c r="C8111" s="17">
        <v>91</v>
      </c>
      <c r="D8111" s="47">
        <f t="shared" si="637"/>
        <v>21114</v>
      </c>
      <c r="F8111" s="47">
        <f t="shared" si="641"/>
        <v>246</v>
      </c>
      <c r="G8111" s="212">
        <f>SUM(C8111,C8087,C8063,C8039,C8015,C7991,C7967,C7943,C7919,C7895,C7871,C7847,C7823,C7799)/POBLA!$B$22*100000</f>
        <v>118.0603753604419</v>
      </c>
      <c r="H8111" s="213">
        <f t="shared" si="642"/>
        <v>0.59937727036844834</v>
      </c>
    </row>
    <row r="8112" spans="1:8" ht="15.75" thickBot="1" x14ac:dyDescent="0.3">
      <c r="A8112" s="84" t="s">
        <v>39</v>
      </c>
      <c r="B8112" s="2">
        <v>44230</v>
      </c>
      <c r="C8112" s="17">
        <v>57</v>
      </c>
      <c r="D8112" s="47">
        <f t="shared" si="637"/>
        <v>21967</v>
      </c>
      <c r="F8112" s="47">
        <f t="shared" si="641"/>
        <v>336</v>
      </c>
      <c r="G8112" s="212">
        <f>SUM(C8112,C8088,C8064,C8040,C8016,C7992,C7968,C7944,C7920,C7896,C7872,C7848,C7824,C7800)/POBLA!$B$23*100000</f>
        <v>481.25318102131985</v>
      </c>
      <c r="H8112" s="213">
        <f t="shared" si="642"/>
        <v>0.66640563821456533</v>
      </c>
    </row>
    <row r="8113" spans="1:8" ht="15.75" thickBot="1" x14ac:dyDescent="0.3">
      <c r="A8113" s="85" t="s">
        <v>40</v>
      </c>
      <c r="B8113" s="2">
        <v>44230</v>
      </c>
      <c r="C8113" s="17">
        <v>125</v>
      </c>
      <c r="D8113" s="214">
        <f t="shared" si="637"/>
        <v>76840</v>
      </c>
      <c r="E8113" s="54">
        <v>6</v>
      </c>
      <c r="F8113" s="214">
        <f t="shared" si="641"/>
        <v>1435</v>
      </c>
      <c r="G8113" s="212">
        <f>SUM(C8113,C8089,C8065,C8041,C8017,C7993,C7969,C7945,C7921,C7897,C7873,C7849,C7825,C7801)/POBLA!$B$24*100000</f>
        <v>118.72616035348766</v>
      </c>
      <c r="H8113" s="216">
        <f t="shared" si="642"/>
        <v>0.72661610689779699</v>
      </c>
    </row>
    <row r="8114" spans="1:8" ht="15.75" thickBot="1" x14ac:dyDescent="0.3">
      <c r="A8114" s="36" t="s">
        <v>16</v>
      </c>
      <c r="B8114" s="2">
        <v>44231</v>
      </c>
      <c r="C8114" s="1">
        <v>3709</v>
      </c>
      <c r="D8114" s="211">
        <f t="shared" si="637"/>
        <v>818554</v>
      </c>
      <c r="E8114" s="1">
        <v>41</v>
      </c>
      <c r="F8114" s="211">
        <f>E8114+F8090</f>
        <v>24748</v>
      </c>
      <c r="G8114" s="212">
        <f>SUM(C8114,C8090,C8066,C8042,C8018,C7994,C7970,C7946,C7922,C7898,C7874,C7850,C7826,C7802)/POBLA!$B$1*100000</f>
        <v>281.95429248302605</v>
      </c>
      <c r="H8114" s="196">
        <f t="shared" ref="H8114:H8120" si="643">SUM(C8114,C8090,C8066,C8042,C8018,C7994,C7970,C7946,C7922,C7898,C7874,C7850,C7826,C7802)/SUM(C7778,C7754,C7730,C7706,C7682,C7658,C7634,C7610,C7586,C7562,C7538,C7514,C7490,C7466)</f>
        <v>0.82756889714371773</v>
      </c>
    </row>
    <row r="8115" spans="1:8" ht="15.75" thickBot="1" x14ac:dyDescent="0.3">
      <c r="A8115" s="84" t="s">
        <v>43</v>
      </c>
      <c r="B8115" s="2">
        <v>44231</v>
      </c>
      <c r="C8115" s="1">
        <v>1214</v>
      </c>
      <c r="D8115" s="47">
        <f t="shared" si="637"/>
        <v>214671</v>
      </c>
      <c r="E8115" s="1">
        <v>3</v>
      </c>
      <c r="F8115" s="47">
        <f t="shared" ref="F8115:F8137" si="644">E8115+F8091</f>
        <v>6099</v>
      </c>
      <c r="G8115" s="212">
        <f>SUM(C8115,C8091,C8067,C8043,C8019,C7995,C7971,C7947,C7923,C7899,C7875,C7851,C7827,C7803)/POBLA!$B$2*100000</f>
        <v>482.76036969144042</v>
      </c>
      <c r="H8115" s="213">
        <f t="shared" si="643"/>
        <v>0.83256700684086571</v>
      </c>
    </row>
    <row r="8116" spans="1:8" ht="15.75" thickBot="1" x14ac:dyDescent="0.3">
      <c r="A8116" s="84" t="s">
        <v>28</v>
      </c>
      <c r="B8116" s="2">
        <v>44231</v>
      </c>
      <c r="C8116" s="1">
        <v>124</v>
      </c>
      <c r="D8116" s="47">
        <f t="shared" si="637"/>
        <v>5941</v>
      </c>
      <c r="F8116" s="47">
        <f t="shared" si="644"/>
        <v>17</v>
      </c>
      <c r="G8116" s="212">
        <f>SUM(C8116,C8092,C8068,C8044,C8020,C7996,C7972,C7948,C7924,C7900,C7876,C7852,C7828,C7804)/POBLA!$B$3*100000</f>
        <v>328.32817411984456</v>
      </c>
      <c r="H8116" s="213">
        <f t="shared" si="643"/>
        <v>0.86383787207093099</v>
      </c>
    </row>
    <row r="8117" spans="1:8" ht="15.75" thickBot="1" x14ac:dyDescent="0.3">
      <c r="A8117" s="84" t="s">
        <v>15</v>
      </c>
      <c r="B8117" s="2">
        <v>44231</v>
      </c>
      <c r="C8117" s="1">
        <v>133</v>
      </c>
      <c r="D8117" s="47">
        <f t="shared" si="637"/>
        <v>31258</v>
      </c>
      <c r="E8117" s="1">
        <v>4</v>
      </c>
      <c r="F8117" s="47">
        <f t="shared" si="644"/>
        <v>802</v>
      </c>
      <c r="G8117" s="212">
        <f>SUM(C8117,C8093,C8069,C8045,C8021,C7997,C7973,C7949,C7925,C7901,C7877,C7853,C7829,C7805)/POBLA!$B$4*100000</f>
        <v>160.64210350664692</v>
      </c>
      <c r="H8117" s="213">
        <f t="shared" si="643"/>
        <v>0.62258687258687262</v>
      </c>
    </row>
    <row r="8118" spans="1:8" ht="15.75" thickBot="1" x14ac:dyDescent="0.3">
      <c r="A8118" s="84" t="s">
        <v>29</v>
      </c>
      <c r="B8118" s="2">
        <v>44231</v>
      </c>
      <c r="C8118" s="1">
        <v>274</v>
      </c>
      <c r="D8118" s="47">
        <f t="shared" si="637"/>
        <v>43422</v>
      </c>
      <c r="E8118" s="1">
        <v>4</v>
      </c>
      <c r="F8118" s="47">
        <f t="shared" si="644"/>
        <v>665</v>
      </c>
      <c r="G8118" s="212">
        <f>SUM(C8118,C8094,C8070,C8046,C8022,C7998,C7974,C7950,C7926,C7902,C7878,C7854,C7830,C7806)/POBLA!$B$5*100000</f>
        <v>634.90114605311203</v>
      </c>
      <c r="H8118" s="213">
        <f t="shared" si="643"/>
        <v>0.7610379550735864</v>
      </c>
    </row>
    <row r="8119" spans="1:8" ht="15.75" thickBot="1" x14ac:dyDescent="0.3">
      <c r="A8119" s="84" t="s">
        <v>30</v>
      </c>
      <c r="B8119" s="2">
        <v>44231</v>
      </c>
      <c r="C8119" s="1">
        <v>196</v>
      </c>
      <c r="D8119" s="47">
        <f t="shared" si="637"/>
        <v>18166</v>
      </c>
      <c r="F8119" s="47">
        <f t="shared" si="644"/>
        <v>206</v>
      </c>
      <c r="G8119" s="212">
        <f>SUM(C8119,C8095,C8071,C8047,C8023,C7999,C7975,C7951,C7927,C7903,C7879,C7855,C7831,C7807)/POBLA!$B$7*100000</f>
        <v>60.019412570304084</v>
      </c>
      <c r="H8119" s="213">
        <f t="shared" si="643"/>
        <v>0.33571322326342407</v>
      </c>
    </row>
    <row r="8120" spans="1:8" ht="15.75" thickBot="1" x14ac:dyDescent="0.3">
      <c r="A8120" s="84" t="s">
        <v>20</v>
      </c>
      <c r="B8120" s="2">
        <v>44231</v>
      </c>
      <c r="C8120" s="1">
        <v>532</v>
      </c>
      <c r="D8120" s="47">
        <f t="shared" si="637"/>
        <v>147044</v>
      </c>
      <c r="E8120" s="1">
        <v>7</v>
      </c>
      <c r="F8120" s="47">
        <f t="shared" si="644"/>
        <v>2717</v>
      </c>
      <c r="G8120" s="212">
        <f>SUM(C8120,C8096,C8072,C8048,C8024,C8000,C7976,C7952,C7928,C7904,C7880,C7856,C7832,C7808)/POBLA!$B$6*100000</f>
        <v>620.09223760506995</v>
      </c>
      <c r="H8120" s="213">
        <f t="shared" si="643"/>
        <v>1.4567176692517292</v>
      </c>
    </row>
    <row r="8121" spans="1:8" ht="15.75" thickBot="1" x14ac:dyDescent="0.3">
      <c r="A8121" s="84" t="s">
        <v>31</v>
      </c>
      <c r="B8121" s="2">
        <v>44231</v>
      </c>
      <c r="C8121" s="1">
        <v>218</v>
      </c>
      <c r="D8121" s="47">
        <f t="shared" si="637"/>
        <v>41935</v>
      </c>
      <c r="E8121" s="1">
        <v>11</v>
      </c>
      <c r="F8121" s="47">
        <f t="shared" si="644"/>
        <v>756</v>
      </c>
      <c r="G8121" s="212">
        <f>SUM(C8121,C8097,C8073,C8049,C8025,C8001,C7977,C7953,C7929,C7905,C7881,C7857,C7833,C7809)/POBLA!$B$8*100000</f>
        <v>271.65266555119513</v>
      </c>
      <c r="H8121" s="213">
        <f t="shared" ref="H8121:H8137" si="645">SUM(C8121,C8097,C8073,C8049,C8025,C8001,C7977,C7953,C7929,C7905,C7881,C7857,C7833,C7809)/SUM(C7785,C7761,C7737,C7713,C7689,C7665,C7641,C7617,C7593,C7569,C7545,C7521,C7497,C7473)</f>
        <v>0.6190397895429135</v>
      </c>
    </row>
    <row r="8122" spans="1:8" ht="15.75" thickBot="1" x14ac:dyDescent="0.3">
      <c r="A8122" s="84" t="s">
        <v>41</v>
      </c>
      <c r="B8122" s="2">
        <v>44231</v>
      </c>
      <c r="C8122" s="1">
        <v>3</v>
      </c>
      <c r="D8122" s="47">
        <f t="shared" si="637"/>
        <v>858</v>
      </c>
      <c r="F8122" s="47">
        <f t="shared" si="644"/>
        <v>7</v>
      </c>
      <c r="G8122" s="212">
        <f>SUM(C8122,C8098,C8074,C8050,C8026,C8002,C7978,C7954,C7930,C7906,C7882,C7858,C7834,C7810)/POBLA!$B$9*100000</f>
        <v>16.358417893134916</v>
      </c>
      <c r="H8122" s="213">
        <f t="shared" si="645"/>
        <v>0.19001919385796545</v>
      </c>
    </row>
    <row r="8123" spans="1:8" ht="15.75" thickBot="1" x14ac:dyDescent="0.3">
      <c r="A8123" s="84" t="s">
        <v>32</v>
      </c>
      <c r="B8123" s="2">
        <v>44231</v>
      </c>
      <c r="C8123" s="1">
        <v>28</v>
      </c>
      <c r="D8123" s="47">
        <f t="shared" si="637"/>
        <v>19433</v>
      </c>
      <c r="E8123" s="1">
        <v>2</v>
      </c>
      <c r="F8123" s="47">
        <f t="shared" si="644"/>
        <v>876</v>
      </c>
      <c r="G8123" s="212">
        <f>SUM(C8123,C8099,C8075,C8051,C8027,C8003,C7979,C7955,C7931,C7907,C7883,C7859,C7835,C7811)/POBLA!$B$10*100000</f>
        <v>52.796735164052556</v>
      </c>
      <c r="H8123" s="213">
        <f t="shared" si="645"/>
        <v>0.99511002444987773</v>
      </c>
    </row>
    <row r="8124" spans="1:8" ht="15.75" thickBot="1" x14ac:dyDescent="0.3">
      <c r="A8124" s="84" t="s">
        <v>33</v>
      </c>
      <c r="B8124" s="2">
        <v>44231</v>
      </c>
      <c r="C8124" s="1">
        <v>174</v>
      </c>
      <c r="D8124" s="47">
        <f t="shared" si="637"/>
        <v>16875</v>
      </c>
      <c r="E8124" s="1">
        <v>4</v>
      </c>
      <c r="F8124" s="47">
        <f t="shared" si="644"/>
        <v>256</v>
      </c>
      <c r="G8124" s="212">
        <f>SUM(C8124,C8100,C8076,C8052,C8028,C8004,C7980,C7956,C7932,C7908,C7884,C7860,C7836,C7812)/POBLA!$B$11*100000</f>
        <v>371.0647605655808</v>
      </c>
      <c r="H8124" s="213">
        <f t="shared" si="645"/>
        <v>0.47636103151862463</v>
      </c>
    </row>
    <row r="8125" spans="1:8" ht="15.75" thickBot="1" x14ac:dyDescent="0.3">
      <c r="A8125" s="84" t="s">
        <v>21</v>
      </c>
      <c r="B8125" s="2">
        <v>44231</v>
      </c>
      <c r="C8125" s="1">
        <v>13</v>
      </c>
      <c r="D8125" s="47">
        <f t="shared" si="637"/>
        <v>9598</v>
      </c>
      <c r="F8125" s="47">
        <f t="shared" si="644"/>
        <v>414</v>
      </c>
      <c r="G8125" s="212">
        <f>SUM(C8125,C8101,C8077,C8053,C8029,C8005,C7981,C7957,C7933,C7909,C7885,C7861,C7837,C7813)/POBLA!$B$12*100000</f>
        <v>55.904109206136233</v>
      </c>
      <c r="H8125" s="213">
        <f t="shared" si="645"/>
        <v>1.0426540284360191</v>
      </c>
    </row>
    <row r="8126" spans="1:8" ht="15.75" thickBot="1" x14ac:dyDescent="0.3">
      <c r="A8126" s="84" t="s">
        <v>17</v>
      </c>
      <c r="B8126" s="2">
        <v>44231</v>
      </c>
      <c r="C8126" s="1">
        <v>190</v>
      </c>
      <c r="D8126" s="47">
        <f t="shared" si="637"/>
        <v>64389</v>
      </c>
      <c r="E8126" s="1">
        <v>5</v>
      </c>
      <c r="F8126" s="47">
        <f t="shared" si="644"/>
        <v>1380</v>
      </c>
      <c r="G8126" s="212">
        <f>SUM(C8126,C8102,C8078,C8054,C8030,C8006,C7982,C7958,C7934,C7910,C7886,C7862,C7838,C7814)/POBLA!$B$13*100000</f>
        <v>79.38350169669674</v>
      </c>
      <c r="H8126" s="213">
        <f t="shared" si="645"/>
        <v>0.82291666666666663</v>
      </c>
    </row>
    <row r="8127" spans="1:8" ht="15.75" thickBot="1" x14ac:dyDescent="0.3">
      <c r="A8127" s="84" t="s">
        <v>23</v>
      </c>
      <c r="B8127" s="2">
        <v>44231</v>
      </c>
      <c r="C8127" s="1">
        <v>200</v>
      </c>
      <c r="D8127" s="47">
        <f t="shared" si="637"/>
        <v>5533</v>
      </c>
      <c r="E8127" s="1">
        <v>3</v>
      </c>
      <c r="F8127" s="47">
        <f t="shared" si="644"/>
        <v>100</v>
      </c>
      <c r="G8127" s="212">
        <f>SUM(C8127,C8103,C8079,C8055,C8031,C8007,C7983,C7959,C7935,C7911,C7887,C7863,C7839,C7815)/POBLA!$B$14*100000</f>
        <v>206.05822274584673</v>
      </c>
      <c r="H8127" s="213">
        <f t="shared" si="645"/>
        <v>1.4775440591245026</v>
      </c>
    </row>
    <row r="8128" spans="1:8" ht="15.75" thickBot="1" x14ac:dyDescent="0.3">
      <c r="A8128" s="84" t="s">
        <v>19</v>
      </c>
      <c r="B8128" s="2">
        <v>44231</v>
      </c>
      <c r="C8128" s="1">
        <v>489</v>
      </c>
      <c r="D8128" s="47">
        <f t="shared" si="637"/>
        <v>55874</v>
      </c>
      <c r="E8128" s="1">
        <v>4</v>
      </c>
      <c r="F8128" s="47">
        <f t="shared" si="644"/>
        <v>788</v>
      </c>
      <c r="G8128" s="212">
        <f>SUM(C8128,C8104,C8080,C8056,C8032,C8008,C7984,C7960,C7936,C7912,C7888,C7864,C7840,C7816)/POBLA!$B$15*100000</f>
        <v>861.52242955047541</v>
      </c>
      <c r="H8128" s="213">
        <f t="shared" si="645"/>
        <v>0.93956314665790774</v>
      </c>
    </row>
    <row r="8129" spans="1:10" ht="15.75" thickBot="1" x14ac:dyDescent="0.3">
      <c r="A8129" s="84" t="s">
        <v>18</v>
      </c>
      <c r="B8129" s="2">
        <v>44231</v>
      </c>
      <c r="C8129" s="1">
        <v>189</v>
      </c>
      <c r="D8129" s="47">
        <f t="shared" si="637"/>
        <v>48949</v>
      </c>
      <c r="E8129" s="1">
        <v>2</v>
      </c>
      <c r="F8129" s="47">
        <f t="shared" si="644"/>
        <v>1095</v>
      </c>
      <c r="G8129" s="212">
        <f>SUM(C8129,C8105,C8081,C8057,C8033,C8009,C7985,C7961,C7937,C7913,C7889,C7865,C7841,C7817)/POBLA!$B$16*100000</f>
        <v>491.83397760864625</v>
      </c>
      <c r="H8129" s="213">
        <f t="shared" si="645"/>
        <v>0.78400852878464822</v>
      </c>
    </row>
    <row r="8130" spans="1:10" ht="15.75" thickBot="1" x14ac:dyDescent="0.3">
      <c r="A8130" s="84" t="s">
        <v>34</v>
      </c>
      <c r="B8130" s="2">
        <v>44231</v>
      </c>
      <c r="C8130" s="1">
        <v>94</v>
      </c>
      <c r="D8130" s="47">
        <f t="shared" si="637"/>
        <v>24067</v>
      </c>
      <c r="E8130" s="1">
        <v>2</v>
      </c>
      <c r="F8130" s="47">
        <f t="shared" si="644"/>
        <v>1049</v>
      </c>
      <c r="G8130" s="212">
        <f>SUM(C8130,C8106,C8082,C8058,C8034,C8010,C7986,C7962,C7938,C7914,C7890,C7866,C7842,C7818)/POBLA!$B$17*100000</f>
        <v>53.566526747809775</v>
      </c>
      <c r="H8130" s="213">
        <f t="shared" si="645"/>
        <v>1.0509641873278237</v>
      </c>
    </row>
    <row r="8131" spans="1:10" ht="15.75" thickBot="1" x14ac:dyDescent="0.3">
      <c r="A8131" s="84" t="s">
        <v>35</v>
      </c>
      <c r="B8131" s="2">
        <v>44231</v>
      </c>
      <c r="C8131" s="1">
        <v>84</v>
      </c>
      <c r="D8131" s="47">
        <f t="shared" ref="D8131:D8194" si="646">C8131+D8107</f>
        <v>14223</v>
      </c>
      <c r="F8131" s="47">
        <f t="shared" si="644"/>
        <v>202</v>
      </c>
      <c r="G8131" s="212">
        <f>SUM(C8131,C8107,C8083,C8059,C8035,C8011,C7987,C7963,C7939,C7915,C7891,C7867,C7843,C7819)/POBLA!$B$18*100000</f>
        <v>101.1242714892277</v>
      </c>
      <c r="H8131" s="213">
        <f t="shared" si="645"/>
        <v>0.61192873741285825</v>
      </c>
    </row>
    <row r="8132" spans="1:10" ht="15.75" thickBot="1" x14ac:dyDescent="0.3">
      <c r="A8132" s="84" t="s">
        <v>36</v>
      </c>
      <c r="B8132" s="2">
        <v>44231</v>
      </c>
      <c r="C8132" s="1">
        <v>4</v>
      </c>
      <c r="D8132" s="47">
        <f t="shared" si="646"/>
        <v>19092</v>
      </c>
      <c r="E8132" s="1">
        <v>1</v>
      </c>
      <c r="F8132" s="47">
        <f t="shared" si="644"/>
        <v>335</v>
      </c>
      <c r="G8132" s="212">
        <f>SUM(C8132,C8108,C8084,C8060,C8036,C8012,C7988,C7964,C7940,C7916,C7892,C7868,C7844,C7820)/POBLA!$B$19*100000</f>
        <v>339.93799279205552</v>
      </c>
      <c r="H8132" s="213">
        <f t="shared" si="645"/>
        <v>1.8823529411764706</v>
      </c>
    </row>
    <row r="8133" spans="1:10" ht="15.75" thickBot="1" x14ac:dyDescent="0.3">
      <c r="A8133" s="84" t="s">
        <v>37</v>
      </c>
      <c r="B8133" s="2">
        <v>44231</v>
      </c>
      <c r="C8133" s="1">
        <v>181</v>
      </c>
      <c r="D8133" s="47">
        <f t="shared" si="646"/>
        <v>33438</v>
      </c>
      <c r="E8133" s="1">
        <v>5</v>
      </c>
      <c r="F8133" s="47">
        <f t="shared" si="644"/>
        <v>513</v>
      </c>
      <c r="G8133" s="212">
        <f>SUM(C8133,C8109,C8085,C8061,C8037,C8013,C7989,C7965,C7941,C7917,C7893,C7869,C7845,C7821)/POBLA!$B$20*100000</f>
        <v>687.72593779566751</v>
      </c>
      <c r="H8133" s="213">
        <f t="shared" si="645"/>
        <v>0.52802855343271049</v>
      </c>
    </row>
    <row r="8134" spans="1:10" ht="15.75" thickBot="1" x14ac:dyDescent="0.3">
      <c r="A8134" s="84" t="s">
        <v>22</v>
      </c>
      <c r="B8134" s="2">
        <v>44231</v>
      </c>
      <c r="C8134" s="1">
        <v>570</v>
      </c>
      <c r="D8134" s="47">
        <f t="shared" si="646"/>
        <v>208122</v>
      </c>
      <c r="E8134" s="1">
        <v>64</v>
      </c>
      <c r="F8134" s="47">
        <f t="shared" si="644"/>
        <v>3657</v>
      </c>
      <c r="G8134" s="212">
        <f>SUM(C8134,C8110,C8086,C8062,C8038,C8014,C7990,C7966,C7942,C7918,C7894,C7870,C7846,C7822)/POBLA!$B$21*100000</f>
        <v>245.33298948257814</v>
      </c>
      <c r="H8134" s="213">
        <f t="shared" si="645"/>
        <v>0.53704735376044566</v>
      </c>
    </row>
    <row r="8135" spans="1:10" ht="15.75" thickBot="1" x14ac:dyDescent="0.3">
      <c r="A8135" s="84" t="s">
        <v>38</v>
      </c>
      <c r="B8135" s="2">
        <v>44231</v>
      </c>
      <c r="C8135" s="1">
        <v>75</v>
      </c>
      <c r="D8135" s="47">
        <f t="shared" si="646"/>
        <v>21189</v>
      </c>
      <c r="F8135" s="47">
        <f t="shared" si="644"/>
        <v>246</v>
      </c>
      <c r="G8135" s="212">
        <f>SUM(C8135,C8111,C8087,C8063,C8039,C8015,C7991,C7967,C7943,C7919,C7895,C7871,C7847,C7823)/POBLA!$B$22*100000</f>
        <v>115.50495598034576</v>
      </c>
      <c r="H8135" s="213">
        <f t="shared" si="645"/>
        <v>0.60752688172043012</v>
      </c>
    </row>
    <row r="8136" spans="1:10" ht="15.75" thickBot="1" x14ac:dyDescent="0.3">
      <c r="A8136" s="84" t="s">
        <v>39</v>
      </c>
      <c r="B8136" s="2">
        <v>44231</v>
      </c>
      <c r="C8136" s="1">
        <v>29</v>
      </c>
      <c r="D8136" s="47">
        <f t="shared" si="646"/>
        <v>21996</v>
      </c>
      <c r="F8136" s="47">
        <f t="shared" si="644"/>
        <v>336</v>
      </c>
      <c r="G8136" s="212">
        <f>SUM(C8136,C8112,C8088,C8064,C8040,C8016,C7992,C7968,C7944,C7920,C7896,C7872,C7848,C7824)/POBLA!$B$23*100000</f>
        <v>437.70853361986093</v>
      </c>
      <c r="H8136" s="213">
        <f t="shared" si="645"/>
        <v>0.59129106187929714</v>
      </c>
    </row>
    <row r="8137" spans="1:10" ht="15.75" thickBot="1" x14ac:dyDescent="0.3">
      <c r="A8137" s="85" t="s">
        <v>40</v>
      </c>
      <c r="B8137" s="2">
        <v>44231</v>
      </c>
      <c r="C8137" s="1">
        <v>168</v>
      </c>
      <c r="D8137" s="214">
        <f t="shared" si="646"/>
        <v>77008</v>
      </c>
      <c r="F8137" s="214">
        <f t="shared" si="644"/>
        <v>1435</v>
      </c>
      <c r="G8137" s="212">
        <f>SUM(C8137,C8113,C8089,C8065,C8041,C8017,C7993,C7969,C7945,C7921,C7897,C7873,C7849,C7825)/POBLA!$B$24*100000</f>
        <v>120.49643113410627</v>
      </c>
      <c r="H8137" s="216">
        <f t="shared" si="645"/>
        <v>0.77524677296886868</v>
      </c>
    </row>
    <row r="8138" spans="1:10" ht="15.75" thickBot="1" x14ac:dyDescent="0.3">
      <c r="A8138" s="34" t="s">
        <v>16</v>
      </c>
      <c r="B8138" s="2">
        <v>44232</v>
      </c>
      <c r="C8138" s="1">
        <v>3483</v>
      </c>
      <c r="D8138" s="211">
        <f t="shared" si="646"/>
        <v>822037</v>
      </c>
      <c r="E8138" s="1">
        <v>158</v>
      </c>
      <c r="F8138" s="211">
        <f>E8138+F8114</f>
        <v>24906</v>
      </c>
      <c r="G8138" s="212">
        <f>SUM(C8138,C8114,C8090,C8066,C8042,C8018,C7994,C7970,C7946,C7922,C7898,C7874,C7850,C7826)/POBLA!$B$1*100000</f>
        <v>277.99787938538316</v>
      </c>
      <c r="H8138" s="196">
        <f t="shared" ref="H8138:H8144" si="647">SUM(C8138,C8114,C8090,C8066,C8042,C8018,C7994,C7970,C7946,C7922,C7898,C7874,C7850,C7826)/SUM(C7802,C7778,C7754,C7730,C7706,C7682,C7658,C7634,C7610,C7586,C7562,C7538,C7514,C7490)</f>
        <v>0.82646645085843096</v>
      </c>
    </row>
    <row r="8139" spans="1:10" ht="15.75" thickBot="1" x14ac:dyDescent="0.3">
      <c r="A8139" s="34" t="s">
        <v>43</v>
      </c>
      <c r="B8139" s="2">
        <v>44232</v>
      </c>
      <c r="C8139" s="1">
        <v>1086</v>
      </c>
      <c r="D8139" s="47">
        <f t="shared" si="646"/>
        <v>215757</v>
      </c>
      <c r="E8139" s="1">
        <v>27</v>
      </c>
      <c r="F8139" s="47">
        <f t="shared" ref="F8139:F8161" si="648">E8139+F8115</f>
        <v>6126</v>
      </c>
      <c r="G8139" s="212">
        <f>SUM(C8139,C8115,C8091,C8067,C8043,C8019,C7995,C7971,C7947,C7923,C7899,C7875,C7851,C7827)/POBLA!$B$2*100000</f>
        <v>480.35437108171749</v>
      </c>
      <c r="H8139" s="213">
        <f t="shared" si="647"/>
        <v>0.84215926580402445</v>
      </c>
      <c r="J8139" s="50"/>
    </row>
    <row r="8140" spans="1:10" ht="15.75" thickBot="1" x14ac:dyDescent="0.3">
      <c r="A8140" s="34" t="s">
        <v>28</v>
      </c>
      <c r="B8140" s="2">
        <v>44232</v>
      </c>
      <c r="C8140" s="1">
        <v>110</v>
      </c>
      <c r="D8140" s="47">
        <f t="shared" si="646"/>
        <v>6051</v>
      </c>
      <c r="E8140" s="1">
        <v>0</v>
      </c>
      <c r="F8140" s="47">
        <f t="shared" si="648"/>
        <v>17</v>
      </c>
      <c r="G8140" s="212">
        <f>SUM(C8140,C8116,C8092,C8068,C8044,C8020,C7996,C7972,C7948,C7924,C7900,C7876,C7852,C7828)/POBLA!$B$3*100000</f>
        <v>342.28934281409016</v>
      </c>
      <c r="H8140" s="213">
        <f t="shared" si="647"/>
        <v>0.90228426395939088</v>
      </c>
      <c r="J8140" s="50"/>
    </row>
    <row r="8141" spans="1:10" ht="15.75" thickBot="1" x14ac:dyDescent="0.3">
      <c r="A8141" s="34" t="s">
        <v>15</v>
      </c>
      <c r="B8141" s="2">
        <v>44232</v>
      </c>
      <c r="C8141" s="1">
        <v>159</v>
      </c>
      <c r="D8141" s="47">
        <f t="shared" si="646"/>
        <v>31417</v>
      </c>
      <c r="E8141" s="1">
        <v>5</v>
      </c>
      <c r="F8141" s="47">
        <f t="shared" si="648"/>
        <v>807</v>
      </c>
      <c r="G8141" s="212">
        <f>SUM(C8141,C8117,C8093,C8069,C8045,C8021,C7997,C7973,C7949,C7925,C7901,C7877,C7853,C7829)/POBLA!$B$4*100000</f>
        <v>158.7326624830537</v>
      </c>
      <c r="H8141" s="213">
        <f t="shared" si="647"/>
        <v>0.63903743315508021</v>
      </c>
      <c r="J8141" s="50"/>
    </row>
    <row r="8142" spans="1:10" ht="15.75" thickBot="1" x14ac:dyDescent="0.3">
      <c r="A8142" s="34" t="s">
        <v>29</v>
      </c>
      <c r="B8142" s="2">
        <v>44232</v>
      </c>
      <c r="C8142" s="1">
        <v>273</v>
      </c>
      <c r="D8142" s="47">
        <f t="shared" si="646"/>
        <v>43695</v>
      </c>
      <c r="E8142" s="1">
        <v>5</v>
      </c>
      <c r="F8142" s="47">
        <f t="shared" si="648"/>
        <v>670</v>
      </c>
      <c r="G8142" s="212">
        <f>SUM(C8142,C8118,C8094,C8070,C8046,C8022,C7998,C7974,C7950,C7926,C7902,C7878,C7854,C7830)/POBLA!$B$5*100000</f>
        <v>605.17549443128689</v>
      </c>
      <c r="H8142" s="213">
        <f t="shared" si="647"/>
        <v>0.72695517174461477</v>
      </c>
      <c r="J8142" s="50"/>
    </row>
    <row r="8143" spans="1:10" ht="15.75" thickBot="1" x14ac:dyDescent="0.3">
      <c r="A8143" s="34" t="s">
        <v>30</v>
      </c>
      <c r="B8143" s="2">
        <v>44232</v>
      </c>
      <c r="C8143" s="1">
        <v>256</v>
      </c>
      <c r="D8143" s="47">
        <f t="shared" si="646"/>
        <v>18422</v>
      </c>
      <c r="E8143" s="1">
        <v>0</v>
      </c>
      <c r="F8143" s="47">
        <f t="shared" si="648"/>
        <v>206</v>
      </c>
      <c r="G8143" s="212">
        <f>SUM(C8143,C8119,C8095,C8071,C8047,C8023,C7999,C7975,C7951,C7927,C7903,C7879,C7855,C7831)/POBLA!$B$7*100000</f>
        <v>62.359558031618555</v>
      </c>
      <c r="H8143" s="213">
        <f t="shared" si="647"/>
        <v>0.39745762711864407</v>
      </c>
      <c r="J8143" s="50"/>
    </row>
    <row r="8144" spans="1:10" ht="15.75" thickBot="1" x14ac:dyDescent="0.3">
      <c r="A8144" s="34" t="s">
        <v>20</v>
      </c>
      <c r="B8144" s="2">
        <v>44232</v>
      </c>
      <c r="C8144" s="1">
        <v>549</v>
      </c>
      <c r="D8144" s="47">
        <f t="shared" si="646"/>
        <v>147593</v>
      </c>
      <c r="E8144" s="1">
        <v>11</v>
      </c>
      <c r="F8144" s="47">
        <f t="shared" si="648"/>
        <v>2728</v>
      </c>
      <c r="G8144" s="212">
        <f>SUM(C8144,C8120,C8096,C8072,C8048,C8024,C8000,C7976,C7952,C7928,C7904,C7880,C7856,C7832)/POBLA!$B$6*100000</f>
        <v>617.14791475025459</v>
      </c>
      <c r="H8144" s="213">
        <f t="shared" si="647"/>
        <v>1.3683481701285856</v>
      </c>
      <c r="J8144" s="50"/>
    </row>
    <row r="8145" spans="1:10" ht="15.75" thickBot="1" x14ac:dyDescent="0.3">
      <c r="A8145" s="34" t="s">
        <v>31</v>
      </c>
      <c r="B8145" s="2">
        <v>44232</v>
      </c>
      <c r="C8145" s="1">
        <v>254</v>
      </c>
      <c r="D8145" s="47">
        <f t="shared" si="646"/>
        <v>42189</v>
      </c>
      <c r="E8145" s="1">
        <v>2</v>
      </c>
      <c r="F8145" s="47">
        <f t="shared" si="648"/>
        <v>758</v>
      </c>
      <c r="G8145" s="212">
        <f>SUM(C8145,C8121,C8097,C8073,C8049,C8025,C8001,C7977,C7953,C7929,C7905,C7881,C7857,C7833)/POBLA!$B$8*100000</f>
        <v>262.41719644347859</v>
      </c>
      <c r="H8145" s="213">
        <f t="shared" ref="H8145:H8161" si="649">SUM(C8145,C8121,C8097,C8073,C8049,C8025,C8001,C7977,C7953,C7929,C7905,C7881,C7857,C7833)/SUM(C7809,C7785,C7761,C7737,C7713,C7689,C7665,C7641,C7617,C7593,C7569,C7545,C7521,C7497)</f>
        <v>0.61885315637229876</v>
      </c>
      <c r="J8145" s="50"/>
    </row>
    <row r="8146" spans="1:10" ht="15.75" thickBot="1" x14ac:dyDescent="0.3">
      <c r="A8146" s="34" t="s">
        <v>41</v>
      </c>
      <c r="B8146" s="2">
        <v>44232</v>
      </c>
      <c r="C8146" s="1">
        <v>9</v>
      </c>
      <c r="D8146" s="47">
        <f t="shared" si="646"/>
        <v>867</v>
      </c>
      <c r="E8146" s="1">
        <v>2</v>
      </c>
      <c r="F8146" s="47">
        <f t="shared" si="648"/>
        <v>9</v>
      </c>
      <c r="G8146" s="212">
        <f>SUM(C8146,C8122,C8098,C8074,C8050,C8026,C8002,C7978,C7954,C7930,C7906,C7882,C7858,C7834)/POBLA!$B$9*100000</f>
        <v>11.566558106257013</v>
      </c>
      <c r="H8146" s="213">
        <f t="shared" si="649"/>
        <v>0.12589928057553956</v>
      </c>
      <c r="J8146" s="50"/>
    </row>
    <row r="8147" spans="1:10" ht="15.75" thickBot="1" x14ac:dyDescent="0.3">
      <c r="A8147" s="34" t="s">
        <v>32</v>
      </c>
      <c r="B8147" s="2">
        <v>44232</v>
      </c>
      <c r="C8147" s="1">
        <v>43</v>
      </c>
      <c r="D8147" s="47">
        <f t="shared" si="646"/>
        <v>19476</v>
      </c>
      <c r="E8147" s="1">
        <v>3</v>
      </c>
      <c r="F8147" s="47">
        <f t="shared" si="648"/>
        <v>879</v>
      </c>
      <c r="G8147" s="212">
        <f>SUM(C8147,C8123,C8099,C8075,C8051,C8027,C8003,C7979,C7955,C7931,C7907,C7883,C7859,C7835)/POBLA!$B$10*100000</f>
        <v>54.48311736830977</v>
      </c>
      <c r="H8147" s="213">
        <f t="shared" si="649"/>
        <v>1.0552763819095476</v>
      </c>
      <c r="J8147" s="50"/>
    </row>
    <row r="8148" spans="1:10" ht="15.75" thickBot="1" x14ac:dyDescent="0.3">
      <c r="A8148" s="34" t="s">
        <v>33</v>
      </c>
      <c r="B8148" s="2">
        <v>44232</v>
      </c>
      <c r="C8148" s="1">
        <v>90</v>
      </c>
      <c r="D8148" s="47">
        <f t="shared" si="646"/>
        <v>16965</v>
      </c>
      <c r="E8148" s="1">
        <v>3</v>
      </c>
      <c r="F8148" s="47">
        <f t="shared" si="648"/>
        <v>259</v>
      </c>
      <c r="G8148" s="212">
        <f>SUM(C8148,C8124,C8100,C8076,C8052,C8028,C8004,C7980,C7956,C7932,C7908,C7884,C7860,C7836)/POBLA!$B$11*100000</f>
        <v>368.55379602040017</v>
      </c>
      <c r="H8148" s="213">
        <f t="shared" si="649"/>
        <v>0.51581413510347518</v>
      </c>
      <c r="J8148" s="50"/>
    </row>
    <row r="8149" spans="1:10" ht="15.75" thickBot="1" x14ac:dyDescent="0.3">
      <c r="A8149" s="34" t="s">
        <v>21</v>
      </c>
      <c r="B8149" s="2">
        <v>44232</v>
      </c>
      <c r="C8149" s="1">
        <v>24</v>
      </c>
      <c r="D8149" s="47">
        <f t="shared" si="646"/>
        <v>9622</v>
      </c>
      <c r="E8149" s="1">
        <v>0</v>
      </c>
      <c r="F8149" s="47">
        <f t="shared" si="648"/>
        <v>414</v>
      </c>
      <c r="G8149" s="212">
        <f>SUM(C8149,C8125,C8101,C8077,C8053,C8029,C8005,C7981,C7957,C7933,C7909,C7885,C7861,C7837)/POBLA!$B$12*100000</f>
        <v>59.207533841044288</v>
      </c>
      <c r="H8149" s="213">
        <f t="shared" si="649"/>
        <v>1.1365853658536584</v>
      </c>
      <c r="J8149" s="50"/>
    </row>
    <row r="8150" spans="1:10" ht="15.75" thickBot="1" x14ac:dyDescent="0.3">
      <c r="A8150" s="34" t="s">
        <v>17</v>
      </c>
      <c r="B8150" s="2">
        <v>44232</v>
      </c>
      <c r="C8150" s="1">
        <v>180</v>
      </c>
      <c r="D8150" s="47">
        <f t="shared" si="646"/>
        <v>64569</v>
      </c>
      <c r="E8150" s="1">
        <v>12</v>
      </c>
      <c r="F8150" s="47">
        <f t="shared" si="648"/>
        <v>1392</v>
      </c>
      <c r="G8150" s="212">
        <f>SUM(C8150,C8126,C8102,C8078,C8054,C8030,C8006,C7982,C7958,C7934,C7910,C7886,C7862,C7838)/POBLA!$B$13*100000</f>
        <v>79.283016251511057</v>
      </c>
      <c r="H8150" s="213">
        <f t="shared" si="649"/>
        <v>0.82101977107180024</v>
      </c>
      <c r="J8150" s="50"/>
    </row>
    <row r="8151" spans="1:10" ht="15.75" thickBot="1" x14ac:dyDescent="0.3">
      <c r="A8151" s="34" t="s">
        <v>23</v>
      </c>
      <c r="B8151" s="2">
        <v>44232</v>
      </c>
      <c r="C8151" s="1">
        <v>198</v>
      </c>
      <c r="D8151" s="47">
        <f t="shared" si="646"/>
        <v>5731</v>
      </c>
      <c r="E8151" s="1">
        <v>2</v>
      </c>
      <c r="F8151" s="47">
        <f t="shared" si="648"/>
        <v>102</v>
      </c>
      <c r="G8151" s="212">
        <f>SUM(C8151,C8127,C8103,C8079,C8055,C8031,C8007,C7983,C7959,C7935,C7911,C7887,C7863,C7839)/POBLA!$B$14*100000</f>
        <v>209.07100168557051</v>
      </c>
      <c r="H8151" s="213">
        <f t="shared" si="649"/>
        <v>1.3770234986945169</v>
      </c>
      <c r="J8151" s="50"/>
    </row>
    <row r="8152" spans="1:10" ht="15.75" thickBot="1" x14ac:dyDescent="0.3">
      <c r="A8152" s="34" t="s">
        <v>19</v>
      </c>
      <c r="B8152" s="2">
        <v>44232</v>
      </c>
      <c r="C8152" s="1">
        <v>319</v>
      </c>
      <c r="D8152" s="47">
        <f t="shared" si="646"/>
        <v>56193</v>
      </c>
      <c r="E8152" s="1">
        <v>3</v>
      </c>
      <c r="F8152" s="47">
        <f t="shared" si="648"/>
        <v>791</v>
      </c>
      <c r="G8152" s="212">
        <f>SUM(C8152,C8128,C8104,C8080,C8056,C8032,C8008,C7984,C7960,C7936,C7912,C7888,C7864,C7840)/POBLA!$B$15*100000</f>
        <v>842.99992319936382</v>
      </c>
      <c r="H8152" s="213">
        <f t="shared" si="649"/>
        <v>0.9291286307053942</v>
      </c>
      <c r="J8152" s="50"/>
    </row>
    <row r="8153" spans="1:10" ht="15.75" thickBot="1" x14ac:dyDescent="0.3">
      <c r="A8153" s="34" t="s">
        <v>18</v>
      </c>
      <c r="B8153" s="2">
        <v>44232</v>
      </c>
      <c r="C8153" s="1">
        <v>233</v>
      </c>
      <c r="D8153" s="47">
        <f t="shared" si="646"/>
        <v>49182</v>
      </c>
      <c r="E8153" s="1">
        <v>2</v>
      </c>
      <c r="F8153" s="47">
        <f t="shared" si="648"/>
        <v>1097</v>
      </c>
      <c r="G8153" s="212">
        <f>SUM(C8153,C8129,C8105,C8081,C8057,C8033,C8009,C7985,C7961,C7937,C7913,C7889,C7865,C7841)/POBLA!$B$16*100000</f>
        <v>481.26697074677975</v>
      </c>
      <c r="H8153" s="213">
        <f t="shared" si="649"/>
        <v>0.79286029087703835</v>
      </c>
      <c r="J8153" s="50"/>
    </row>
    <row r="8154" spans="1:10" ht="15.75" thickBot="1" x14ac:dyDescent="0.3">
      <c r="A8154" s="34" t="s">
        <v>34</v>
      </c>
      <c r="B8154" s="2">
        <v>44232</v>
      </c>
      <c r="C8154" s="1">
        <v>90</v>
      </c>
      <c r="D8154" s="47">
        <f t="shared" si="646"/>
        <v>24157</v>
      </c>
      <c r="E8154" s="1">
        <v>1</v>
      </c>
      <c r="F8154" s="47">
        <f t="shared" si="648"/>
        <v>1050</v>
      </c>
      <c r="G8154" s="212">
        <f>SUM(C8154,C8130,C8106,C8082,C8058,C8034,C8010,C7986,C7962,C7938,C7914,C7890,C7866,C7842)/POBLA!$B$17*100000</f>
        <v>56.164117166773025</v>
      </c>
      <c r="H8154" s="213">
        <f t="shared" si="649"/>
        <v>1.0796221322537112</v>
      </c>
      <c r="J8154" s="50"/>
    </row>
    <row r="8155" spans="1:10" ht="15.75" thickBot="1" x14ac:dyDescent="0.3">
      <c r="A8155" s="34" t="s">
        <v>35</v>
      </c>
      <c r="B8155" s="2">
        <v>44232</v>
      </c>
      <c r="C8155" s="1">
        <v>45</v>
      </c>
      <c r="D8155" s="47">
        <f t="shared" si="646"/>
        <v>14268</v>
      </c>
      <c r="E8155" s="1">
        <v>0</v>
      </c>
      <c r="F8155" s="47">
        <f t="shared" si="648"/>
        <v>202</v>
      </c>
      <c r="G8155" s="212">
        <f>SUM(C8155,C8131,C8107,C8083,C8059,C8035,C8011,C7987,C7963,C7939,C7915,C7891,C7867,C7843)/POBLA!$B$18*100000</f>
        <v>97.796130908569566</v>
      </c>
      <c r="H8155" s="213">
        <f t="shared" si="649"/>
        <v>0.62418300653594772</v>
      </c>
      <c r="J8155" s="50"/>
    </row>
    <row r="8156" spans="1:10" ht="15.75" thickBot="1" x14ac:dyDescent="0.3">
      <c r="A8156" s="34" t="s">
        <v>36</v>
      </c>
      <c r="B8156" s="2">
        <v>44232</v>
      </c>
      <c r="C8156" s="1">
        <v>10</v>
      </c>
      <c r="D8156" s="47">
        <f t="shared" si="646"/>
        <v>19102</v>
      </c>
      <c r="E8156" s="1">
        <v>2</v>
      </c>
      <c r="F8156" s="47">
        <f t="shared" si="648"/>
        <v>337</v>
      </c>
      <c r="G8156" s="212">
        <f>SUM(C8156,C8132,C8108,C8084,C8060,C8036,C8012,C7988,C7964,C7940,C7916,C7892,C7868,C7844)/POBLA!$B$19*100000</f>
        <v>231.34668953903778</v>
      </c>
      <c r="H8156" s="213">
        <f t="shared" si="649"/>
        <v>0.83641536273115225</v>
      </c>
      <c r="J8156" s="50"/>
    </row>
    <row r="8157" spans="1:10" ht="15.75" thickBot="1" x14ac:dyDescent="0.3">
      <c r="A8157" s="34" t="s">
        <v>37</v>
      </c>
      <c r="B8157" s="2">
        <v>44232</v>
      </c>
      <c r="C8157" s="1">
        <v>185</v>
      </c>
      <c r="D8157" s="47">
        <f t="shared" si="646"/>
        <v>33623</v>
      </c>
      <c r="E8157" s="1">
        <v>1</v>
      </c>
      <c r="F8157" s="47">
        <f t="shared" si="648"/>
        <v>514</v>
      </c>
      <c r="G8157" s="212">
        <f>SUM(C8157,C8133,C8109,C8085,C8061,C8037,C8013,C7989,C7965,C7941,C7917,C7893,C7869,C7845)/POBLA!$B$20*100000</f>
        <v>671.31895717231157</v>
      </c>
      <c r="H8157" s="213">
        <f t="shared" si="649"/>
        <v>0.53439268611232038</v>
      </c>
      <c r="J8157" s="50"/>
    </row>
    <row r="8158" spans="1:10" ht="15.75" thickBot="1" x14ac:dyDescent="0.3">
      <c r="A8158" s="34" t="s">
        <v>22</v>
      </c>
      <c r="B8158" s="2">
        <v>44232</v>
      </c>
      <c r="C8158" s="1">
        <v>495</v>
      </c>
      <c r="D8158" s="47">
        <f t="shared" si="646"/>
        <v>208617</v>
      </c>
      <c r="E8158" s="1">
        <v>39</v>
      </c>
      <c r="F8158" s="47">
        <f t="shared" si="648"/>
        <v>3696</v>
      </c>
      <c r="G8158" s="212">
        <f>SUM(C8158,C8134,C8110,C8086,C8062,C8038,C8014,C7990,C7966,C7942,C7918,C7894,C7870,C7846)/POBLA!$B$21*100000</f>
        <v>229.83708373840423</v>
      </c>
      <c r="H8158" s="213">
        <f t="shared" si="649"/>
        <v>0.51540900443880788</v>
      </c>
      <c r="J8158" s="50"/>
    </row>
    <row r="8159" spans="1:10" ht="15.75" thickBot="1" x14ac:dyDescent="0.3">
      <c r="A8159" s="34" t="s">
        <v>38</v>
      </c>
      <c r="B8159" s="2">
        <v>44232</v>
      </c>
      <c r="C8159" s="1">
        <v>90</v>
      </c>
      <c r="D8159" s="47">
        <f t="shared" si="646"/>
        <v>21279</v>
      </c>
      <c r="E8159" s="1">
        <v>1</v>
      </c>
      <c r="F8159" s="47">
        <f t="shared" si="648"/>
        <v>247</v>
      </c>
      <c r="G8159" s="212">
        <f>SUM(C8159,C8135,C8111,C8087,C8063,C8039,C8015,C7991,C7967,C7943,C7919,C7895,C7871,C7847)/POBLA!$B$22*100000</f>
        <v>114.58500500351114</v>
      </c>
      <c r="H8159" s="213">
        <f t="shared" si="649"/>
        <v>0.64760254188330446</v>
      </c>
      <c r="J8159" s="50"/>
    </row>
    <row r="8160" spans="1:10" ht="15.75" thickBot="1" x14ac:dyDescent="0.3">
      <c r="A8160" s="34" t="s">
        <v>39</v>
      </c>
      <c r="B8160" s="2">
        <v>44232</v>
      </c>
      <c r="C8160" s="1">
        <v>49</v>
      </c>
      <c r="D8160" s="47">
        <f t="shared" si="646"/>
        <v>22045</v>
      </c>
      <c r="E8160" s="1">
        <v>2</v>
      </c>
      <c r="F8160" s="47">
        <f t="shared" si="648"/>
        <v>338</v>
      </c>
      <c r="G8160" s="212">
        <f>SUM(C8160,C8136,C8112,C8088,C8064,C8040,C8016,C7992,C7968,C7944,C7920,C7896,C7872,C7848)/POBLA!$B$23*100000</f>
        <v>438.27404852117854</v>
      </c>
      <c r="H8160" s="213">
        <f t="shared" si="649"/>
        <v>0.63008130081300817</v>
      </c>
      <c r="J8160" s="50"/>
    </row>
    <row r="8161" spans="1:10" ht="15.75" thickBot="1" x14ac:dyDescent="0.3">
      <c r="A8161" s="34" t="s">
        <v>40</v>
      </c>
      <c r="B8161" s="2">
        <v>44232</v>
      </c>
      <c r="C8161" s="1">
        <v>144</v>
      </c>
      <c r="D8161" s="214">
        <f t="shared" si="646"/>
        <v>77152</v>
      </c>
      <c r="E8161" s="1">
        <v>3</v>
      </c>
      <c r="F8161" s="214">
        <f t="shared" si="648"/>
        <v>1438</v>
      </c>
      <c r="G8161" s="212">
        <f>SUM(C8161,C8137,C8113,C8089,C8065,C8041,C8017,C7993,C7969,C7945,C7921,C7897,C7873,C7849)/POBLA!$B$24*100000</f>
        <v>117.30994372899279</v>
      </c>
      <c r="H8161" s="216">
        <f t="shared" si="649"/>
        <v>0.77565353101833789</v>
      </c>
      <c r="J8161" s="50"/>
    </row>
    <row r="8162" spans="1:10" ht="15.75" thickBot="1" x14ac:dyDescent="0.3">
      <c r="A8162" s="34" t="s">
        <v>16</v>
      </c>
      <c r="B8162" s="2">
        <v>44233</v>
      </c>
      <c r="C8162" s="1">
        <v>2946</v>
      </c>
      <c r="D8162" s="211">
        <f t="shared" si="646"/>
        <v>824983</v>
      </c>
      <c r="E8162" s="1">
        <v>77</v>
      </c>
      <c r="F8162" s="211">
        <f>E8162+F8138</f>
        <v>24983</v>
      </c>
      <c r="G8162" s="212">
        <f>SUM(C8162,C8138,C8114,C8090,C8066,C8042,C8018,C7994,C7970,C7946,C7922,C7898,C7874,C7850)/POBLA!$B$1*100000</f>
        <v>276.17929757248976</v>
      </c>
      <c r="H8162" s="196">
        <f t="shared" ref="H8162:H8168" si="650">SUM(C8162,C8138,C8114,C8090,C8066,C8042,C8018,C7994,C7970,C7946,C7922,C7898,C7874,C7850)/SUM(C7826,C7802,C7778,C7754,C7730,C7706,C7682,C7658,C7634,C7610,C7586,C7562,C7538,C7514)</f>
        <v>0.83700478584633464</v>
      </c>
    </row>
    <row r="8163" spans="1:10" ht="15.75" thickBot="1" x14ac:dyDescent="0.3">
      <c r="A8163" s="34" t="s">
        <v>43</v>
      </c>
      <c r="B8163" s="2">
        <v>44233</v>
      </c>
      <c r="C8163" s="1">
        <v>733</v>
      </c>
      <c r="D8163" s="47">
        <f t="shared" si="646"/>
        <v>216490</v>
      </c>
      <c r="E8163" s="1">
        <v>18</v>
      </c>
      <c r="F8163" s="47">
        <f t="shared" ref="F8163:F8185" si="651">E8163+F8139</f>
        <v>6144</v>
      </c>
      <c r="G8163" s="212">
        <f>SUM(C8163,C8139,C8115,C8091,C8067,C8043,C8019,C7995,C7971,C7947,C7923,C7899,C7875,C7851)/POBLA!$B$2*100000</f>
        <v>474.14429358905414</v>
      </c>
      <c r="H8163" s="213">
        <f t="shared" si="650"/>
        <v>0.85196003972658763</v>
      </c>
    </row>
    <row r="8164" spans="1:10" ht="15.75" thickBot="1" x14ac:dyDescent="0.3">
      <c r="A8164" s="34" t="s">
        <v>28</v>
      </c>
      <c r="B8164" s="2">
        <v>44233</v>
      </c>
      <c r="C8164" s="1">
        <v>77</v>
      </c>
      <c r="D8164" s="47">
        <f t="shared" si="646"/>
        <v>6128</v>
      </c>
      <c r="F8164" s="47">
        <f t="shared" si="651"/>
        <v>17</v>
      </c>
      <c r="G8164" s="212">
        <f>SUM(C8164,C8140,C8116,C8092,C8068,C8044,C8020,C7996,C7972,C7948,C7924,C7900,C7876,C7852)/POBLA!$B$3*100000</f>
        <v>348.066378135847</v>
      </c>
      <c r="H8164" s="213">
        <f t="shared" si="650"/>
        <v>0.92692307692307696</v>
      </c>
    </row>
    <row r="8165" spans="1:10" ht="15.75" thickBot="1" x14ac:dyDescent="0.3">
      <c r="A8165" s="34" t="s">
        <v>15</v>
      </c>
      <c r="B8165" s="2">
        <v>44233</v>
      </c>
      <c r="C8165" s="1">
        <v>144</v>
      </c>
      <c r="D8165" s="47">
        <f t="shared" si="646"/>
        <v>31561</v>
      </c>
      <c r="E8165" s="1">
        <v>2</v>
      </c>
      <c r="F8165" s="47">
        <f t="shared" si="651"/>
        <v>809</v>
      </c>
      <c r="G8165" s="212">
        <f>SUM(C8165,C8141,C8117,C8093,C8069,C8045,C8021,C7997,C7973,C7949,C7925,C7901,C7877,C7853)/POBLA!$B$4*100000</f>
        <v>156.40812558476631</v>
      </c>
      <c r="H8165" s="213">
        <f t="shared" si="650"/>
        <v>0.64103436543041847</v>
      </c>
    </row>
    <row r="8166" spans="1:10" ht="15.75" thickBot="1" x14ac:dyDescent="0.3">
      <c r="A8166" s="34" t="s">
        <v>29</v>
      </c>
      <c r="B8166" s="2">
        <v>44233</v>
      </c>
      <c r="C8166" s="1">
        <v>155</v>
      </c>
      <c r="D8166" s="47">
        <f t="shared" si="646"/>
        <v>43850</v>
      </c>
      <c r="F8166" s="47">
        <f t="shared" si="651"/>
        <v>670</v>
      </c>
      <c r="G8166" s="212">
        <f>SUM(C8166,C8142,C8118,C8094,C8070,C8046,C8022,C7998,C7974,C7950,C7926,C7902,C7878,C7854)/POBLA!$B$5*100000</f>
        <v>598.06718643476347</v>
      </c>
      <c r="H8166" s="213">
        <f t="shared" si="650"/>
        <v>0.73715651135005977</v>
      </c>
    </row>
    <row r="8167" spans="1:10" ht="15.75" thickBot="1" x14ac:dyDescent="0.3">
      <c r="A8167" s="34" t="s">
        <v>30</v>
      </c>
      <c r="B8167" s="2">
        <v>44233</v>
      </c>
      <c r="C8167" s="1">
        <v>297</v>
      </c>
      <c r="D8167" s="47">
        <f t="shared" si="646"/>
        <v>18719</v>
      </c>
      <c r="F8167" s="47">
        <f t="shared" si="651"/>
        <v>206</v>
      </c>
      <c r="G8167" s="212">
        <f>SUM(C8167,C8143,C8119,C8095,C8071,C8047,C8023,C7999,C7975,C7951,C7927,C7903,C7879,C7855)/POBLA!$B$7*100000</f>
        <v>65.949553909771438</v>
      </c>
      <c r="H8167" s="213">
        <f t="shared" si="650"/>
        <v>0.45638571954361429</v>
      </c>
    </row>
    <row r="8168" spans="1:10" ht="15.75" thickBot="1" x14ac:dyDescent="0.3">
      <c r="A8168" s="34" t="s">
        <v>20</v>
      </c>
      <c r="B8168" s="2">
        <v>44233</v>
      </c>
      <c r="C8168" s="1">
        <v>453</v>
      </c>
      <c r="D8168" s="47">
        <f t="shared" si="646"/>
        <v>148046</v>
      </c>
      <c r="E8168" s="1">
        <v>5</v>
      </c>
      <c r="F8168" s="47">
        <f t="shared" si="651"/>
        <v>2733</v>
      </c>
      <c r="G8168" s="212">
        <f>SUM(C8168,C8144,C8120,C8096,C8072,C8048,C8024,C8000,C7976,C7952,C7928,C7904,C7880,C7856)/POBLA!$B$6*100000</f>
        <v>609.02872142333922</v>
      </c>
      <c r="H8168" s="213">
        <f t="shared" si="650"/>
        <v>1.2876815695151858</v>
      </c>
    </row>
    <row r="8169" spans="1:10" ht="15.75" thickBot="1" x14ac:dyDescent="0.3">
      <c r="A8169" s="34" t="s">
        <v>31</v>
      </c>
      <c r="B8169" s="2">
        <v>44233</v>
      </c>
      <c r="C8169" s="1">
        <v>228</v>
      </c>
      <c r="D8169" s="47">
        <f t="shared" si="646"/>
        <v>42417</v>
      </c>
      <c r="E8169" s="1">
        <v>2</v>
      </c>
      <c r="F8169" s="47">
        <f t="shared" si="651"/>
        <v>760</v>
      </c>
      <c r="G8169" s="212">
        <f>SUM(C8169,C8145,C8121,C8097,C8073,C8049,C8025,C8001,C7977,C7953,C7929,C7905,C7881,C7857)/POBLA!$B$8*100000</f>
        <v>257.07794086557988</v>
      </c>
      <c r="H8169" s="213">
        <f t="shared" ref="H8169:H8185" si="652">SUM(C8169,C8145,C8121,C8097,C8073,C8049,C8025,C8001,C7977,C7953,C7929,C7905,C7881,C7857)/SUM(C7833,C7809,C7785,C7761,C7737,C7713,C7689,C7665,C7641,C7617,C7593,C7569,C7545,C7521)</f>
        <v>0.62917181705809644</v>
      </c>
    </row>
    <row r="8170" spans="1:10" ht="15.75" thickBot="1" x14ac:dyDescent="0.3">
      <c r="A8170" s="34" t="s">
        <v>41</v>
      </c>
      <c r="B8170" s="2">
        <v>44233</v>
      </c>
      <c r="C8170" s="1">
        <v>1</v>
      </c>
      <c r="D8170" s="47">
        <f t="shared" si="646"/>
        <v>868</v>
      </c>
      <c r="F8170" s="47">
        <f t="shared" si="651"/>
        <v>9</v>
      </c>
      <c r="G8170" s="212">
        <f>SUM(C8170,C8146,C8122,C8098,C8074,C8050,C8026,C8002,C7978,C7954,C7930,C7906,C7882,C7858)/POBLA!$B$9*100000</f>
        <v>11.236085017506813</v>
      </c>
      <c r="H8170" s="213">
        <f t="shared" si="652"/>
        <v>0.1256931608133087</v>
      </c>
    </row>
    <row r="8171" spans="1:10" ht="15.75" thickBot="1" x14ac:dyDescent="0.3">
      <c r="A8171" s="34" t="s">
        <v>32</v>
      </c>
      <c r="B8171" s="2">
        <v>44233</v>
      </c>
      <c r="C8171" s="1">
        <v>27</v>
      </c>
      <c r="D8171" s="47">
        <f t="shared" si="646"/>
        <v>19503</v>
      </c>
      <c r="E8171" s="1">
        <v>3</v>
      </c>
      <c r="F8171" s="47">
        <f t="shared" si="651"/>
        <v>882</v>
      </c>
      <c r="G8171" s="212">
        <f>SUM(C8171,C8147,C8123,C8099,C8075,C8051,C8027,C8003,C7979,C7955,C7931,C7907,C7883,C7859)/POBLA!$B$10*100000</f>
        <v>56.947829820685691</v>
      </c>
      <c r="H8171" s="213">
        <f t="shared" si="652"/>
        <v>1.1030150753768844</v>
      </c>
    </row>
    <row r="8172" spans="1:10" ht="15.75" thickBot="1" x14ac:dyDescent="0.3">
      <c r="A8172" s="34" t="s">
        <v>33</v>
      </c>
      <c r="B8172" s="2">
        <v>44233</v>
      </c>
      <c r="C8172" s="1">
        <v>65</v>
      </c>
      <c r="D8172" s="47">
        <f t="shared" si="646"/>
        <v>17030</v>
      </c>
      <c r="E8172" s="1">
        <v>1</v>
      </c>
      <c r="F8172" s="47">
        <f t="shared" si="651"/>
        <v>260</v>
      </c>
      <c r="G8172" s="212">
        <f>SUM(C8172,C8148,C8124,C8100,C8076,C8052,C8028,C8004,C7980,C7956,C7932,C7908,C7884,C7860)/POBLA!$B$11*100000</f>
        <v>357.11495753679958</v>
      </c>
      <c r="H8172" s="213">
        <f t="shared" si="652"/>
        <v>0.54421768707482998</v>
      </c>
    </row>
    <row r="8173" spans="1:10" ht="15.75" thickBot="1" x14ac:dyDescent="0.3">
      <c r="A8173" s="34" t="s">
        <v>21</v>
      </c>
      <c r="B8173" s="2">
        <v>44233</v>
      </c>
      <c r="C8173" s="1">
        <v>31</v>
      </c>
      <c r="D8173" s="47">
        <f t="shared" si="646"/>
        <v>9653</v>
      </c>
      <c r="F8173" s="47">
        <f t="shared" si="651"/>
        <v>414</v>
      </c>
      <c r="G8173" s="212">
        <f>SUM(C8173,C8149,C8125,C8101,C8077,C8053,C8029,C8005,C7981,C7957,C7933,C7909,C7885,C7861)/POBLA!$B$12*100000</f>
        <v>63.781506412455428</v>
      </c>
      <c r="H8173" s="213">
        <f t="shared" si="652"/>
        <v>1.2364532019704433</v>
      </c>
    </row>
    <row r="8174" spans="1:10" ht="15.75" thickBot="1" x14ac:dyDescent="0.3">
      <c r="A8174" s="34" t="s">
        <v>17</v>
      </c>
      <c r="B8174" s="2">
        <v>44233</v>
      </c>
      <c r="C8174" s="1">
        <v>121</v>
      </c>
      <c r="D8174" s="47">
        <f t="shared" si="646"/>
        <v>64690</v>
      </c>
      <c r="E8174" s="1">
        <v>3</v>
      </c>
      <c r="F8174" s="47">
        <f t="shared" si="651"/>
        <v>1395</v>
      </c>
      <c r="G8174" s="212">
        <f>SUM(C8174,C8150,C8126,C8102,C8078,C8054,C8030,C8006,C7982,C7958,C7934,C7910,C7886,C7862)/POBLA!$B$13*100000</f>
        <v>80.287870703367972</v>
      </c>
      <c r="H8174" s="213">
        <f t="shared" si="652"/>
        <v>0.85090521831735888</v>
      </c>
    </row>
    <row r="8175" spans="1:10" ht="15.75" thickBot="1" x14ac:dyDescent="0.3">
      <c r="A8175" s="34" t="s">
        <v>23</v>
      </c>
      <c r="B8175" s="2">
        <v>44233</v>
      </c>
      <c r="C8175" s="1">
        <v>127</v>
      </c>
      <c r="D8175" s="47">
        <f t="shared" si="646"/>
        <v>5858</v>
      </c>
      <c r="E8175" s="1">
        <v>1</v>
      </c>
      <c r="F8175" s="47">
        <f t="shared" si="651"/>
        <v>103</v>
      </c>
      <c r="G8175" s="212">
        <f>SUM(C8175,C8151,C8127,C8103,C8079,C8055,C8031,C8007,C7983,C7959,C7935,C7911,C7887,C7863)/POBLA!$B$14*100000</f>
        <v>202.17332358672917</v>
      </c>
      <c r="H8175" s="213">
        <f t="shared" si="652"/>
        <v>1.2924480486568677</v>
      </c>
    </row>
    <row r="8176" spans="1:10" ht="15.75" thickBot="1" x14ac:dyDescent="0.3">
      <c r="A8176" s="34" t="s">
        <v>19</v>
      </c>
      <c r="B8176" s="2">
        <v>44233</v>
      </c>
      <c r="C8176" s="1">
        <v>300</v>
      </c>
      <c r="D8176" s="47">
        <f t="shared" si="646"/>
        <v>56493</v>
      </c>
      <c r="E8176" s="1">
        <v>2</v>
      </c>
      <c r="F8176" s="47">
        <f t="shared" si="651"/>
        <v>793</v>
      </c>
      <c r="G8176" s="212">
        <f>SUM(C8176,C8152,C8128,C8104,C8080,C8056,C8032,C8008,C7984,C7960,C7936,C7912,C7888,C7864)/POBLA!$B$15*100000</f>
        <v>851.88470266859622</v>
      </c>
      <c r="H8176" s="213">
        <f t="shared" si="652"/>
        <v>0.95638207945900255</v>
      </c>
    </row>
    <row r="8177" spans="1:8" ht="15.75" thickBot="1" x14ac:dyDescent="0.3">
      <c r="A8177" s="34" t="s">
        <v>18</v>
      </c>
      <c r="B8177" s="2">
        <v>44233</v>
      </c>
      <c r="C8177" s="1">
        <v>136</v>
      </c>
      <c r="D8177" s="47">
        <f t="shared" si="646"/>
        <v>49318</v>
      </c>
      <c r="E8177" s="1">
        <v>1</v>
      </c>
      <c r="F8177" s="47">
        <f t="shared" si="651"/>
        <v>1098</v>
      </c>
      <c r="G8177" s="212">
        <f>SUM(C8177,C8153,C8129,C8105,C8081,C8057,C8033,C8009,C7985,C7961,C7937,C7913,C7889,C7865)/POBLA!$B$16*100000</f>
        <v>461.20303366728643</v>
      </c>
      <c r="H8177" s="213">
        <f t="shared" si="652"/>
        <v>0.75168955744495314</v>
      </c>
    </row>
    <row r="8178" spans="1:8" ht="15.75" thickBot="1" x14ac:dyDescent="0.3">
      <c r="A8178" s="34" t="s">
        <v>34</v>
      </c>
      <c r="B8178" s="2">
        <v>44233</v>
      </c>
      <c r="C8178" s="1">
        <v>92</v>
      </c>
      <c r="D8178" s="47">
        <f t="shared" si="646"/>
        <v>24249</v>
      </c>
      <c r="E8178" s="1">
        <v>2</v>
      </c>
      <c r="F8178" s="47">
        <f t="shared" si="651"/>
        <v>1052</v>
      </c>
      <c r="G8178" s="212">
        <f>SUM(C8178,C8154,C8130,C8106,C8082,C8058,C8034,C8010,C7986,C7962,C7938,C7914,C7890,C7866)/POBLA!$B$17*100000</f>
        <v>58.48088699990241</v>
      </c>
      <c r="H8178" s="213">
        <f t="shared" si="652"/>
        <v>1.1458046767537826</v>
      </c>
    </row>
    <row r="8179" spans="1:8" ht="15.75" thickBot="1" x14ac:dyDescent="0.3">
      <c r="A8179" s="34" t="s">
        <v>35</v>
      </c>
      <c r="B8179" s="2">
        <v>44233</v>
      </c>
      <c r="C8179" s="1">
        <v>12</v>
      </c>
      <c r="D8179" s="47">
        <f t="shared" si="646"/>
        <v>14280</v>
      </c>
      <c r="F8179" s="47">
        <f t="shared" si="651"/>
        <v>202</v>
      </c>
      <c r="G8179" s="212">
        <f>SUM(C8179,C8155,C8131,C8107,C8083,C8059,C8035,C8011,C7987,C7963,C7939,C7915,C7891,C7867)/POBLA!$B$18*100000</f>
        <v>95.236022769601789</v>
      </c>
      <c r="H8179" s="213">
        <f t="shared" si="652"/>
        <v>0.63211554800339842</v>
      </c>
    </row>
    <row r="8180" spans="1:8" ht="15.75" thickBot="1" x14ac:dyDescent="0.3">
      <c r="A8180" s="34" t="s">
        <v>36</v>
      </c>
      <c r="B8180" s="2">
        <v>44233</v>
      </c>
      <c r="C8180" s="1">
        <v>3</v>
      </c>
      <c r="D8180" s="47">
        <f t="shared" si="646"/>
        <v>19105</v>
      </c>
      <c r="E8180" s="1">
        <v>1</v>
      </c>
      <c r="F8180" s="47">
        <f t="shared" si="651"/>
        <v>338</v>
      </c>
      <c r="G8180" s="212">
        <f>SUM(C8180,C8156,C8132,C8108,C8084,C8060,C8036,C8012,C7988,C7964,C7940,C7916,C7892,C7868)/POBLA!$B$19*100000</f>
        <v>138.49325632268929</v>
      </c>
      <c r="H8180" s="213">
        <f t="shared" si="652"/>
        <v>0.3774798927613941</v>
      </c>
    </row>
    <row r="8181" spans="1:8" ht="15.75" thickBot="1" x14ac:dyDescent="0.3">
      <c r="A8181" s="34" t="s">
        <v>37</v>
      </c>
      <c r="B8181" s="2">
        <v>44233</v>
      </c>
      <c r="C8181" s="1">
        <v>122</v>
      </c>
      <c r="D8181" s="47">
        <f t="shared" si="646"/>
        <v>33745</v>
      </c>
      <c r="E8181" s="1">
        <v>1</v>
      </c>
      <c r="F8181" s="47">
        <f t="shared" si="651"/>
        <v>515</v>
      </c>
      <c r="G8181" s="212">
        <f>SUM(C8181,C8157,C8133,C8109,C8085,C8061,C8037,C8013,C7989,C7965,C7941,C7917,C7893,C7869)/POBLA!$B$20*100000</f>
        <v>655.73232558012342</v>
      </c>
      <c r="H8181" s="213">
        <f t="shared" si="652"/>
        <v>0.54401088929219599</v>
      </c>
    </row>
    <row r="8182" spans="1:8" ht="15.75" thickBot="1" x14ac:dyDescent="0.3">
      <c r="A8182" s="34" t="s">
        <v>22</v>
      </c>
      <c r="B8182" s="2">
        <v>44233</v>
      </c>
      <c r="C8182" s="1">
        <v>431</v>
      </c>
      <c r="D8182" s="47">
        <f t="shared" si="646"/>
        <v>209048</v>
      </c>
      <c r="E8182" s="1">
        <v>6</v>
      </c>
      <c r="F8182" s="47">
        <f t="shared" si="651"/>
        <v>3702</v>
      </c>
      <c r="G8182" s="212">
        <f>SUM(C8182,C8158,C8134,C8110,C8086,C8062,C8038,C8014,C7990,C7966,C7942,C7918,C7894,C7870)/POBLA!$B$21*100000</f>
        <v>222.28707126815891</v>
      </c>
      <c r="H8182" s="213">
        <f t="shared" si="652"/>
        <v>0.51389161273452311</v>
      </c>
    </row>
    <row r="8183" spans="1:8" ht="15.75" thickBot="1" x14ac:dyDescent="0.3">
      <c r="A8183" s="34" t="s">
        <v>38</v>
      </c>
      <c r="B8183" s="2">
        <v>44233</v>
      </c>
      <c r="C8183" s="1">
        <v>70</v>
      </c>
      <c r="D8183" s="47">
        <f t="shared" si="646"/>
        <v>21349</v>
      </c>
      <c r="F8183" s="47">
        <f t="shared" si="651"/>
        <v>247</v>
      </c>
      <c r="G8183" s="212">
        <f>SUM(C8183,C8159,C8135,C8111,C8087,C8063,C8039,C8015,C7991,C7967,C7943,C7919,C7895,C7871)/POBLA!$B$22*100000</f>
        <v>104.36332748312655</v>
      </c>
      <c r="H8183" s="213">
        <f t="shared" si="652"/>
        <v>0.57488738738738743</v>
      </c>
    </row>
    <row r="8184" spans="1:8" ht="15.75" thickBot="1" x14ac:dyDescent="0.3">
      <c r="A8184" s="34" t="s">
        <v>39</v>
      </c>
      <c r="B8184" s="2">
        <v>44233</v>
      </c>
      <c r="C8184" s="1">
        <v>17</v>
      </c>
      <c r="D8184" s="47">
        <f t="shared" si="646"/>
        <v>22062</v>
      </c>
      <c r="F8184" s="47">
        <f t="shared" si="651"/>
        <v>338</v>
      </c>
      <c r="G8184" s="212">
        <f>SUM(C8184,C8160,C8136,C8112,C8088,C8064,C8040,C8016,C7992,C7968,C7944,C7920,C7896,C7872)/POBLA!$B$23*100000</f>
        <v>406.03969914607251</v>
      </c>
      <c r="H8184" s="213">
        <f t="shared" si="652"/>
        <v>0.57578187650360868</v>
      </c>
    </row>
    <row r="8185" spans="1:8" ht="15.75" thickBot="1" x14ac:dyDescent="0.3">
      <c r="A8185" s="34" t="s">
        <v>40</v>
      </c>
      <c r="B8185" s="2">
        <v>44233</v>
      </c>
      <c r="C8185" s="1">
        <v>92</v>
      </c>
      <c r="D8185" s="214">
        <f t="shared" si="646"/>
        <v>77244</v>
      </c>
      <c r="F8185" s="214">
        <f t="shared" si="651"/>
        <v>1438</v>
      </c>
      <c r="G8185" s="212">
        <f>SUM(C8185,C8161,C8137,C8113,C8089,C8065,C8041,C8017,C7993,C7969,C7945,C7921,C7897,C7873)/POBLA!$B$24*100000</f>
        <v>117.90003398919899</v>
      </c>
      <c r="H8185" s="216">
        <f t="shared" si="652"/>
        <v>0.79160063391442159</v>
      </c>
    </row>
    <row r="8186" spans="1:8" ht="15.75" thickBot="1" x14ac:dyDescent="0.3">
      <c r="A8186" s="34" t="s">
        <v>16</v>
      </c>
      <c r="B8186" s="2">
        <v>44234</v>
      </c>
      <c r="C8186" s="1">
        <v>1498</v>
      </c>
      <c r="D8186" s="211">
        <f t="shared" si="646"/>
        <v>826481</v>
      </c>
      <c r="E8186" s="1">
        <v>14</v>
      </c>
      <c r="F8186" s="211">
        <f>E8186+F8162</f>
        <v>24997</v>
      </c>
      <c r="G8186" s="212">
        <f>SUM(C8186,C8162,C8138,C8114,C8090,C8066,C8042,C8018,C7994,C7970,C7946,C7922,C7898,C7874)/POBLA!$B$1*100000</f>
        <v>272.79867370087271</v>
      </c>
      <c r="H8186" s="196">
        <f t="shared" ref="H8186:H8192" si="653">SUM(C8186,C8162,C8138,C8114,C8090,C8066,C8042,C8018,C7994,C7970,C7946,C7922,C7898,C7874)/SUM(C7850,C7826,C7802,C7778,C7754,C7730,C7706,C7682,C7658,C7634,C7610,C7586,C7562,C7538)</f>
        <v>0.84432289369210412</v>
      </c>
    </row>
    <row r="8187" spans="1:8" ht="15.75" thickBot="1" x14ac:dyDescent="0.3">
      <c r="A8187" s="34" t="s">
        <v>43</v>
      </c>
      <c r="B8187" s="2">
        <v>44234</v>
      </c>
      <c r="C8187" s="1">
        <v>577</v>
      </c>
      <c r="D8187" s="47">
        <f t="shared" si="646"/>
        <v>217067</v>
      </c>
      <c r="E8187" s="1">
        <v>26</v>
      </c>
      <c r="F8187" s="47">
        <f t="shared" ref="F8187:F8209" si="654">E8187+F8163</f>
        <v>6170</v>
      </c>
      <c r="G8187" s="212">
        <f>SUM(C8187,C8163,C8139,C8115,C8091,C8067,C8043,C8019,C7995,C7971,C7947,C7923,C7899,C7875)/POBLA!$B$2*100000</f>
        <v>469.95005276940191</v>
      </c>
      <c r="H8187" s="213">
        <f t="shared" si="653"/>
        <v>0.87198359073359077</v>
      </c>
    </row>
    <row r="8188" spans="1:8" ht="15.75" thickBot="1" x14ac:dyDescent="0.3">
      <c r="A8188" s="34" t="s">
        <v>28</v>
      </c>
      <c r="B8188" s="2">
        <v>44234</v>
      </c>
      <c r="C8188" s="1">
        <v>63</v>
      </c>
      <c r="D8188" s="47">
        <f t="shared" si="646"/>
        <v>6191</v>
      </c>
      <c r="F8188" s="47">
        <f t="shared" si="654"/>
        <v>17</v>
      </c>
      <c r="G8188" s="212">
        <f>SUM(C8188,C8164,C8140,C8116,C8092,C8068,C8044,C8020,C7996,C7972,C7948,C7924,C7900,C7876)/POBLA!$B$3*100000</f>
        <v>351.43631540687176</v>
      </c>
      <c r="H8188" s="213">
        <f t="shared" si="653"/>
        <v>0.93709884467265725</v>
      </c>
    </row>
    <row r="8189" spans="1:8" ht="15.75" thickBot="1" x14ac:dyDescent="0.3">
      <c r="A8189" s="34" t="s">
        <v>15</v>
      </c>
      <c r="B8189" s="2">
        <v>44234</v>
      </c>
      <c r="C8189" s="1">
        <v>105</v>
      </c>
      <c r="D8189" s="47">
        <f t="shared" si="646"/>
        <v>31666</v>
      </c>
      <c r="F8189" s="47">
        <f t="shared" si="654"/>
        <v>809</v>
      </c>
      <c r="G8189" s="212">
        <f>SUM(C8189,C8165,C8141,C8117,C8093,C8069,C8045,C8021,C7997,C7973,C7949,C7925,C7901,C7877)/POBLA!$B$4*100000</f>
        <v>153.75151198672356</v>
      </c>
      <c r="H8189" s="213">
        <f t="shared" si="653"/>
        <v>0.64194107452339688</v>
      </c>
    </row>
    <row r="8190" spans="1:8" ht="15.75" thickBot="1" x14ac:dyDescent="0.3">
      <c r="A8190" s="34" t="s">
        <v>29</v>
      </c>
      <c r="B8190" s="2">
        <v>44234</v>
      </c>
      <c r="C8190" s="1">
        <v>62</v>
      </c>
      <c r="D8190" s="47">
        <f t="shared" si="646"/>
        <v>43912</v>
      </c>
      <c r="E8190" s="1">
        <v>1</v>
      </c>
      <c r="F8190" s="47">
        <f t="shared" si="654"/>
        <v>671</v>
      </c>
      <c r="G8190" s="212">
        <f>SUM(C8190,C8166,C8142,C8118,C8094,C8070,C8046,C8022,C7998,C7974,C7950,C7926,C7902,C7878)/POBLA!$B$5*100000</f>
        <v>590.63577352930724</v>
      </c>
      <c r="H8190" s="213">
        <f t="shared" si="653"/>
        <v>0.74068071312803885</v>
      </c>
    </row>
    <row r="8191" spans="1:8" ht="15.75" thickBot="1" x14ac:dyDescent="0.3">
      <c r="A8191" s="34" t="s">
        <v>30</v>
      </c>
      <c r="B8191" s="2">
        <v>44234</v>
      </c>
      <c r="C8191" s="1">
        <v>14</v>
      </c>
      <c r="D8191" s="47">
        <f t="shared" si="646"/>
        <v>18733</v>
      </c>
      <c r="F8191" s="47">
        <f t="shared" si="654"/>
        <v>206</v>
      </c>
      <c r="G8191" s="212">
        <f>SUM(C8191,C8167,C8143,C8119,C8095,C8071,C8047,C8023,C7999,C7975,C7951,C7927,C7903,C7879)/POBLA!$B$7*100000</f>
        <v>64.619925806751851</v>
      </c>
      <c r="H8191" s="213">
        <f t="shared" si="653"/>
        <v>0.48290937996820349</v>
      </c>
    </row>
    <row r="8192" spans="1:8" ht="15.75" thickBot="1" x14ac:dyDescent="0.3">
      <c r="A8192" s="34" t="s">
        <v>20</v>
      </c>
      <c r="B8192" s="2">
        <v>44234</v>
      </c>
      <c r="C8192" s="1">
        <v>225</v>
      </c>
      <c r="D8192" s="47">
        <f t="shared" si="646"/>
        <v>148271</v>
      </c>
      <c r="E8192" s="1">
        <v>3</v>
      </c>
      <c r="F8192" s="47">
        <f t="shared" si="654"/>
        <v>2736</v>
      </c>
      <c r="G8192" s="212">
        <f>SUM(C8192,C8168,C8144,C8120,C8096,C8072,C8048,C8024,C8000,C7976,C7952,C7928,C7904,C7880)/POBLA!$B$6*100000</f>
        <v>605.54906714037543</v>
      </c>
      <c r="H8192" s="213">
        <f t="shared" si="653"/>
        <v>1.2462357693720161</v>
      </c>
    </row>
    <row r="8193" spans="1:8" ht="15.75" thickBot="1" x14ac:dyDescent="0.3">
      <c r="A8193" s="34" t="s">
        <v>31</v>
      </c>
      <c r="B8193" s="2">
        <v>44234</v>
      </c>
      <c r="C8193" s="1">
        <v>105</v>
      </c>
      <c r="D8193" s="47">
        <f t="shared" si="646"/>
        <v>42522</v>
      </c>
      <c r="E8193" s="1">
        <v>1</v>
      </c>
      <c r="F8193" s="47">
        <f t="shared" si="654"/>
        <v>761</v>
      </c>
      <c r="G8193" s="212">
        <f>SUM(C8193,C8169,C8145,C8121,C8097,C8073,C8049,C8025,C8001,C7977,C7953,C7929,C7905,C7881)/POBLA!$B$8*100000</f>
        <v>248.8526011915198</v>
      </c>
      <c r="H8193" s="213">
        <f t="shared" ref="H8193:H8209" si="655">SUM(C8193,C8169,C8145,C8121,C8097,C8073,C8049,C8025,C8001,C7977,C7953,C7929,C7905,C7881)/SUM(C7857,C7833,C7809,C7785,C7761,C7737,C7713,C7689,C7665,C7641,C7617,C7593,C7569,C7545)</f>
        <v>0.62346348517715111</v>
      </c>
    </row>
    <row r="8194" spans="1:8" ht="15.75" thickBot="1" x14ac:dyDescent="0.3">
      <c r="A8194" s="34" t="s">
        <v>41</v>
      </c>
      <c r="B8194" s="2">
        <v>44234</v>
      </c>
      <c r="C8194" s="1">
        <v>10</v>
      </c>
      <c r="D8194" s="47">
        <f t="shared" si="646"/>
        <v>878</v>
      </c>
      <c r="F8194" s="47">
        <f t="shared" si="654"/>
        <v>9</v>
      </c>
      <c r="G8194" s="212">
        <f>SUM(C8194,C8170,C8146,C8122,C8098,C8074,C8050,C8026,C8002,C7978,C7954,C7930,C7906,C7882)/POBLA!$B$9*100000</f>
        <v>11.897031195007214</v>
      </c>
      <c r="H8194" s="213">
        <f t="shared" si="655"/>
        <v>0.13980582524271845</v>
      </c>
    </row>
    <row r="8195" spans="1:8" ht="15.75" thickBot="1" x14ac:dyDescent="0.3">
      <c r="A8195" s="34" t="s">
        <v>32</v>
      </c>
      <c r="B8195" s="2">
        <v>44234</v>
      </c>
      <c r="C8195" s="1">
        <v>17</v>
      </c>
      <c r="D8195" s="47">
        <f t="shared" ref="D8195:D8258" si="656">C8195+D8171</f>
        <v>19520</v>
      </c>
      <c r="E8195" s="1">
        <v>3</v>
      </c>
      <c r="F8195" s="47">
        <f t="shared" si="654"/>
        <v>885</v>
      </c>
      <c r="G8195" s="212">
        <f>SUM(C8195,C8171,C8147,C8123,C8099,C8075,C8051,C8027,C8003,C7979,C7955,C7931,C7907,C7883)/POBLA!$B$10*100000</f>
        <v>55.391169324448256</v>
      </c>
      <c r="H8195" s="213">
        <f t="shared" si="655"/>
        <v>1.0491400491400491</v>
      </c>
    </row>
    <row r="8196" spans="1:8" ht="15.75" thickBot="1" x14ac:dyDescent="0.3">
      <c r="A8196" s="34" t="s">
        <v>33</v>
      </c>
      <c r="B8196" s="2">
        <v>44234</v>
      </c>
      <c r="C8196" s="1">
        <v>58</v>
      </c>
      <c r="D8196" s="47">
        <f t="shared" si="656"/>
        <v>17088</v>
      </c>
      <c r="F8196" s="47">
        <f t="shared" si="654"/>
        <v>260</v>
      </c>
      <c r="G8196" s="212">
        <f>SUM(C8196,C8172,C8148,C8124,C8100,C8076,C8052,C8028,C8004,C7980,C7956,C7932,C7908,C7884)/POBLA!$B$11*100000</f>
        <v>361.29989844543394</v>
      </c>
      <c r="H8196" s="213">
        <f t="shared" si="655"/>
        <v>0.56476232010466643</v>
      </c>
    </row>
    <row r="8197" spans="1:8" ht="15.75" thickBot="1" x14ac:dyDescent="0.3">
      <c r="A8197" s="34" t="s">
        <v>21</v>
      </c>
      <c r="B8197" s="2">
        <v>44234</v>
      </c>
      <c r="C8197" s="1">
        <v>32</v>
      </c>
      <c r="D8197" s="47">
        <f t="shared" si="656"/>
        <v>9685</v>
      </c>
      <c r="F8197" s="47">
        <f t="shared" si="654"/>
        <v>414</v>
      </c>
      <c r="G8197" s="212">
        <f>SUM(C8197,C8173,C8149,C8125,C8101,C8077,C8053,C8029,C8005,C7981,C7957,C7933,C7909,C7885)/POBLA!$B$12*100000</f>
        <v>62.765068063252961</v>
      </c>
      <c r="H8197" s="213">
        <f t="shared" si="655"/>
        <v>1.1026785714285714</v>
      </c>
    </row>
    <row r="8198" spans="1:8" ht="15.75" thickBot="1" x14ac:dyDescent="0.3">
      <c r="A8198" s="34" t="s">
        <v>17</v>
      </c>
      <c r="B8198" s="2">
        <v>44234</v>
      </c>
      <c r="C8198" s="1">
        <v>38</v>
      </c>
      <c r="D8198" s="47">
        <f t="shared" si="656"/>
        <v>64728</v>
      </c>
      <c r="E8198" s="1">
        <v>3</v>
      </c>
      <c r="F8198" s="47">
        <f t="shared" si="654"/>
        <v>1398</v>
      </c>
      <c r="G8198" s="212">
        <f>SUM(C8198,C8174,C8150,C8126,C8102,C8078,C8054,C8030,C8006,C7982,C7958,C7934,C7910,C7886)/POBLA!$B$13*100000</f>
        <v>79.031802638546822</v>
      </c>
      <c r="H8198" s="213">
        <f t="shared" si="655"/>
        <v>0.84343163538874</v>
      </c>
    </row>
    <row r="8199" spans="1:8" ht="15.75" thickBot="1" x14ac:dyDescent="0.3">
      <c r="A8199" s="34" t="s">
        <v>23</v>
      </c>
      <c r="B8199" s="2">
        <v>44234</v>
      </c>
      <c r="C8199" s="1">
        <v>204</v>
      </c>
      <c r="D8199" s="47">
        <f t="shared" si="656"/>
        <v>6062</v>
      </c>
      <c r="E8199" s="1">
        <v>2</v>
      </c>
      <c r="F8199" s="47">
        <f t="shared" si="654"/>
        <v>105</v>
      </c>
      <c r="G8199" s="212">
        <f>SUM(C8199,C8175,C8151,C8127,C8103,C8079,C8055,C8031,C8007,C7983,C7959,C7935,C7911,C7887)/POBLA!$B$14*100000</f>
        <v>205.74108812061263</v>
      </c>
      <c r="H8199" s="213">
        <f t="shared" si="655"/>
        <v>1.2833827893175074</v>
      </c>
    </row>
    <row r="8200" spans="1:8" ht="15.75" thickBot="1" x14ac:dyDescent="0.3">
      <c r="A8200" s="34" t="s">
        <v>19</v>
      </c>
      <c r="B8200" s="2">
        <v>44234</v>
      </c>
      <c r="C8200" s="1">
        <v>162</v>
      </c>
      <c r="D8200" s="47">
        <f t="shared" si="656"/>
        <v>56655</v>
      </c>
      <c r="E8200" s="1">
        <v>1</v>
      </c>
      <c r="F8200" s="47">
        <f t="shared" si="654"/>
        <v>794</v>
      </c>
      <c r="G8200" s="212">
        <f>SUM(C8200,C8176,C8152,C8128,C8104,C8080,C8056,C8032,C8008,C7984,C7960,C7936,C7912,C7888)/POBLA!$B$15*100000</f>
        <v>853.84236594147796</v>
      </c>
      <c r="H8200" s="213">
        <f t="shared" si="655"/>
        <v>0.97172236503856046</v>
      </c>
    </row>
    <row r="8201" spans="1:8" ht="15.75" thickBot="1" x14ac:dyDescent="0.3">
      <c r="A8201" s="34" t="s">
        <v>18</v>
      </c>
      <c r="B8201" s="2">
        <v>44234</v>
      </c>
      <c r="C8201" s="1">
        <v>59</v>
      </c>
      <c r="D8201" s="47">
        <f t="shared" si="656"/>
        <v>49377</v>
      </c>
      <c r="F8201" s="47">
        <f t="shared" si="654"/>
        <v>1098</v>
      </c>
      <c r="G8201" s="212">
        <f>SUM(C8201,C8177,C8153,C8129,C8105,C8081,C8057,C8033,C8009,C7985,C7961,C7937,C7913,C7889)/POBLA!$B$16*100000</f>
        <v>454.64881422131862</v>
      </c>
      <c r="H8201" s="213">
        <f t="shared" si="655"/>
        <v>0.75634178905206939</v>
      </c>
    </row>
    <row r="8202" spans="1:8" ht="15.75" thickBot="1" x14ac:dyDescent="0.3">
      <c r="A8202" s="34" t="s">
        <v>34</v>
      </c>
      <c r="B8202" s="2">
        <v>44234</v>
      </c>
      <c r="C8202" s="1">
        <v>43</v>
      </c>
      <c r="D8202" s="47">
        <f t="shared" si="656"/>
        <v>24292</v>
      </c>
      <c r="E8202" s="1">
        <v>1</v>
      </c>
      <c r="F8202" s="47">
        <f t="shared" si="654"/>
        <v>1053</v>
      </c>
      <c r="G8202" s="212">
        <f>SUM(C8202,C8178,C8154,C8130,C8106,C8082,C8058,C8034,C8010,C7986,C7962,C7938,C7914,C7890)/POBLA!$B$17*100000</f>
        <v>59.674374489696341</v>
      </c>
      <c r="H8202" s="213">
        <f t="shared" si="655"/>
        <v>1.1612021857923498</v>
      </c>
    </row>
    <row r="8203" spans="1:8" ht="15.75" thickBot="1" x14ac:dyDescent="0.3">
      <c r="A8203" s="34" t="s">
        <v>35</v>
      </c>
      <c r="B8203" s="2">
        <v>44234</v>
      </c>
      <c r="C8203" s="1">
        <v>9</v>
      </c>
      <c r="D8203" s="47">
        <f t="shared" si="656"/>
        <v>14289</v>
      </c>
      <c r="F8203" s="47">
        <f t="shared" si="654"/>
        <v>202</v>
      </c>
      <c r="G8203" s="212">
        <f>SUM(C8203,C8179,C8155,C8131,C8107,C8083,C8059,C8035,C8011,C7987,C7963,C7939,C7915,C7891)/POBLA!$B$18*100000</f>
        <v>95.236022769601789</v>
      </c>
      <c r="H8203" s="213">
        <f t="shared" si="655"/>
        <v>0.63972484952708508</v>
      </c>
    </row>
    <row r="8204" spans="1:8" ht="15.75" thickBot="1" x14ac:dyDescent="0.3">
      <c r="A8204" s="34" t="s">
        <v>36</v>
      </c>
      <c r="B8204" s="2">
        <v>44234</v>
      </c>
      <c r="C8204" s="1">
        <v>1</v>
      </c>
      <c r="D8204" s="47">
        <f t="shared" si="656"/>
        <v>19106</v>
      </c>
      <c r="F8204" s="47">
        <f t="shared" si="654"/>
        <v>338</v>
      </c>
      <c r="G8204" s="212">
        <f>SUM(C8204,C8180,C8156,C8132,C8108,C8084,C8060,C8036,C8012,C7988,C7964,C7940,C7916,C7892)/POBLA!$B$19*100000</f>
        <v>128.46036417431264</v>
      </c>
      <c r="H8204" s="213">
        <f t="shared" si="655"/>
        <v>0.34206390780513357</v>
      </c>
    </row>
    <row r="8205" spans="1:8" ht="15.75" thickBot="1" x14ac:dyDescent="0.3">
      <c r="A8205" s="34" t="s">
        <v>37</v>
      </c>
      <c r="B8205" s="2">
        <v>44234</v>
      </c>
      <c r="C8205" s="1">
        <v>49</v>
      </c>
      <c r="D8205" s="47">
        <f t="shared" si="656"/>
        <v>33794</v>
      </c>
      <c r="E8205" s="1">
        <v>1</v>
      </c>
      <c r="F8205" s="47">
        <f t="shared" si="654"/>
        <v>516</v>
      </c>
      <c r="G8205" s="212">
        <f>SUM(C8205,C8181,C8157,C8133,C8109,C8085,C8061,C8037,C8013,C7989,C7965,C7941,C7917,C7893)/POBLA!$B$20*100000</f>
        <v>633.30945206153717</v>
      </c>
      <c r="H8205" s="213">
        <f t="shared" si="655"/>
        <v>0.54061624649859941</v>
      </c>
    </row>
    <row r="8206" spans="1:8" ht="15.75" thickBot="1" x14ac:dyDescent="0.3">
      <c r="A8206" s="34" t="s">
        <v>22</v>
      </c>
      <c r="B8206" s="2">
        <v>44234</v>
      </c>
      <c r="C8206" s="1">
        <v>157</v>
      </c>
      <c r="D8206" s="47">
        <f t="shared" si="656"/>
        <v>209205</v>
      </c>
      <c r="E8206" s="1">
        <v>3</v>
      </c>
      <c r="F8206" s="47">
        <f t="shared" si="654"/>
        <v>3705</v>
      </c>
      <c r="G8206" s="212">
        <f>SUM(C8206,C8182,C8158,C8134,C8110,C8086,C8062,C8038,C8014,C7990,C7966,C7942,C7918,C7894)/POBLA!$B$21*100000</f>
        <v>214.34117799423029</v>
      </c>
      <c r="H8206" s="213">
        <f t="shared" si="655"/>
        <v>0.49911108184631592</v>
      </c>
    </row>
    <row r="8207" spans="1:8" ht="15.75" thickBot="1" x14ac:dyDescent="0.3">
      <c r="A8207" s="34" t="s">
        <v>38</v>
      </c>
      <c r="B8207" s="2">
        <v>44234</v>
      </c>
      <c r="C8207" s="1">
        <v>84</v>
      </c>
      <c r="D8207" s="47">
        <f t="shared" si="656"/>
        <v>21433</v>
      </c>
      <c r="F8207" s="47">
        <f t="shared" si="654"/>
        <v>247</v>
      </c>
      <c r="G8207" s="212">
        <f>SUM(C8207,C8183,C8159,C8135,C8111,C8087,C8063,C8039,C8015,C7991,C7967,C7943,C7919,C7895)/POBLA!$B$22*100000</f>
        <v>106.81653008801887</v>
      </c>
      <c r="H8207" s="213">
        <f t="shared" si="655"/>
        <v>0.59006211180124224</v>
      </c>
    </row>
    <row r="8208" spans="1:8" ht="15.75" thickBot="1" x14ac:dyDescent="0.3">
      <c r="A8208" s="34" t="s">
        <v>39</v>
      </c>
      <c r="B8208" s="2">
        <v>44234</v>
      </c>
      <c r="C8208" s="1">
        <v>20</v>
      </c>
      <c r="D8208" s="47">
        <f t="shared" si="656"/>
        <v>22082</v>
      </c>
      <c r="E8208" s="1">
        <v>2</v>
      </c>
      <c r="F8208" s="47">
        <f t="shared" si="654"/>
        <v>340</v>
      </c>
      <c r="G8208" s="212">
        <f>SUM(C8208,C8184,C8160,C8136,C8112,C8088,C8064,C8040,C8016,C7992,C7968,C7944,C7920,C7896)/POBLA!$B$23*100000</f>
        <v>391.33631171181361</v>
      </c>
      <c r="H8208" s="213">
        <f t="shared" si="655"/>
        <v>0.5676784249384742</v>
      </c>
    </row>
    <row r="8209" spans="1:8" ht="15.75" thickBot="1" x14ac:dyDescent="0.3">
      <c r="A8209" s="34" t="s">
        <v>40</v>
      </c>
      <c r="B8209" s="2">
        <v>44234</v>
      </c>
      <c r="C8209" s="1">
        <v>66</v>
      </c>
      <c r="D8209" s="214">
        <f t="shared" si="656"/>
        <v>77310</v>
      </c>
      <c r="F8209" s="214">
        <f t="shared" si="654"/>
        <v>1438</v>
      </c>
      <c r="G8209" s="212">
        <f>SUM(C8209,C8185,C8161,C8137,C8113,C8089,C8065,C8041,C8017,C7993,C7969,C7945,C7921,C7897)/POBLA!$B$24*100000</f>
        <v>119.55228671777635</v>
      </c>
      <c r="H8209" s="216">
        <f t="shared" si="655"/>
        <v>0.8282910874897792</v>
      </c>
    </row>
    <row r="8210" spans="1:8" ht="15.75" thickBot="1" x14ac:dyDescent="0.3">
      <c r="A8210" s="34" t="s">
        <v>16</v>
      </c>
      <c r="B8210" s="2">
        <v>44235</v>
      </c>
      <c r="C8210" s="1">
        <v>2095</v>
      </c>
      <c r="D8210" s="211">
        <f t="shared" si="656"/>
        <v>828576</v>
      </c>
      <c r="E8210" s="1">
        <v>113</v>
      </c>
      <c r="F8210" s="211">
        <f>E8210+F8186</f>
        <v>25110</v>
      </c>
      <c r="G8210" s="212">
        <f>SUM(C8210,C8186,C8162,C8138,C8114,C8090,C8066,C8042,C8018,C7994,C7970,C7946,C7922,C7898)/POBLA!$B$1*100000</f>
        <v>269.07029594026983</v>
      </c>
      <c r="H8210" s="196">
        <f t="shared" ref="H8210:H8216" si="657">SUM(C8210,C8186,C8162,C8138,C8114,C8090,C8066,C8042,C8018,C7994,C7970,C7946,C7922,C7898)/SUM(C7874,C7850,C7826,C7802,C7778,C7754,C7730,C7706,C7682,C7658,C7634,C7610,C7586,C7562)</f>
        <v>0.83916506649598177</v>
      </c>
    </row>
    <row r="8211" spans="1:8" ht="15.75" thickBot="1" x14ac:dyDescent="0.3">
      <c r="A8211" s="34" t="s">
        <v>43</v>
      </c>
      <c r="B8211" s="2">
        <v>44235</v>
      </c>
      <c r="C8211" s="1">
        <v>699</v>
      </c>
      <c r="D8211" s="47">
        <f t="shared" si="656"/>
        <v>217766</v>
      </c>
      <c r="E8211" s="1">
        <v>29</v>
      </c>
      <c r="F8211" s="47">
        <f t="shared" ref="F8211:F8233" si="658">E8211+F8187</f>
        <v>6199</v>
      </c>
      <c r="G8211" s="212">
        <f>SUM(C8211,C8187,C8163,C8139,C8115,C8091,C8067,C8043,C8019,C7995,C7971,C7947,C7923,C7899)/POBLA!$B$2*100000</f>
        <v>457.10722235263745</v>
      </c>
      <c r="H8211" s="213">
        <f t="shared" si="657"/>
        <v>0.83909280811698006</v>
      </c>
    </row>
    <row r="8212" spans="1:8" ht="15.75" thickBot="1" x14ac:dyDescent="0.3">
      <c r="A8212" s="34" t="s">
        <v>28</v>
      </c>
      <c r="B8212" s="2">
        <v>44235</v>
      </c>
      <c r="C8212" s="1">
        <v>133</v>
      </c>
      <c r="D8212" s="47">
        <f t="shared" si="656"/>
        <v>6324</v>
      </c>
      <c r="F8212" s="47">
        <f t="shared" si="658"/>
        <v>17</v>
      </c>
      <c r="G8212" s="212">
        <f>SUM(C8212,C8188,C8164,C8140,C8116,C8092,C8068,C8044,C8020,C7996,C7972,C7948,C7924,C7900)/POBLA!$B$3*100000</f>
        <v>376.22942532941136</v>
      </c>
      <c r="H8212" s="213">
        <f t="shared" si="657"/>
        <v>1.0038535645472062</v>
      </c>
    </row>
    <row r="8213" spans="1:8" ht="15.75" thickBot="1" x14ac:dyDescent="0.3">
      <c r="A8213" s="34" t="s">
        <v>15</v>
      </c>
      <c r="B8213" s="2">
        <v>44235</v>
      </c>
      <c r="C8213" s="1">
        <v>64</v>
      </c>
      <c r="D8213" s="47">
        <f t="shared" si="656"/>
        <v>31730</v>
      </c>
      <c r="E8213" s="1">
        <v>12</v>
      </c>
      <c r="F8213" s="47">
        <f t="shared" si="658"/>
        <v>821</v>
      </c>
      <c r="G8213" s="212">
        <f>SUM(C8213,C8189,C8165,C8141,C8117,C8093,C8069,C8045,C8021,C7997,C7973,C7949,C7925,C7901)/POBLA!$B$4*100000</f>
        <v>152.75528188745756</v>
      </c>
      <c r="H8213" s="213">
        <f t="shared" si="657"/>
        <v>0.65550409690060563</v>
      </c>
    </row>
    <row r="8214" spans="1:8" ht="15.75" thickBot="1" x14ac:dyDescent="0.3">
      <c r="A8214" s="34" t="s">
        <v>29</v>
      </c>
      <c r="B8214" s="2">
        <v>44235</v>
      </c>
      <c r="C8214" s="1">
        <v>238</v>
      </c>
      <c r="D8214" s="47">
        <f t="shared" si="656"/>
        <v>44150</v>
      </c>
      <c r="E8214" s="1">
        <v>4</v>
      </c>
      <c r="F8214" s="47">
        <f t="shared" si="658"/>
        <v>675</v>
      </c>
      <c r="G8214" s="212">
        <f>SUM(C8214,C8190,C8166,C8142,C8118,C8094,C8070,C8046,C8022,C7998,C7974,C7950,C7926,C7902)/POBLA!$B$5*100000</f>
        <v>579.97331153452217</v>
      </c>
      <c r="H8214" s="213">
        <f t="shared" si="657"/>
        <v>0.7581837381203802</v>
      </c>
    </row>
    <row r="8215" spans="1:8" ht="15.75" thickBot="1" x14ac:dyDescent="0.3">
      <c r="A8215" s="34" t="s">
        <v>30</v>
      </c>
      <c r="B8215" s="2">
        <v>44235</v>
      </c>
      <c r="C8215" s="1">
        <v>82</v>
      </c>
      <c r="D8215" s="47">
        <f t="shared" si="656"/>
        <v>18815</v>
      </c>
      <c r="E8215" s="1">
        <v>2</v>
      </c>
      <c r="F8215" s="47">
        <f t="shared" si="658"/>
        <v>208</v>
      </c>
      <c r="G8215" s="212">
        <f>SUM(C8215,C8191,C8167,C8143,C8119,C8095,C8071,C8047,C8023,C7999,C7975,C7951,C7927,C7903)/POBLA!$B$7*100000</f>
        <v>62.545705966041297</v>
      </c>
      <c r="H8215" s="213">
        <f t="shared" si="657"/>
        <v>0.48049029622063327</v>
      </c>
    </row>
    <row r="8216" spans="1:8" ht="15.75" thickBot="1" x14ac:dyDescent="0.3">
      <c r="A8216" s="34" t="s">
        <v>20</v>
      </c>
      <c r="B8216" s="2">
        <v>44235</v>
      </c>
      <c r="C8216" s="1">
        <v>198</v>
      </c>
      <c r="D8216" s="47">
        <f t="shared" si="656"/>
        <v>148469</v>
      </c>
      <c r="E8216" s="1">
        <v>4</v>
      </c>
      <c r="F8216" s="47">
        <f t="shared" si="658"/>
        <v>2740</v>
      </c>
      <c r="G8216" s="212">
        <f>SUM(C8216,C8192,C8168,C8144,C8120,C8096,C8072,C8048,C8024,C8000,C7976,C7952,C7928,C7904)/POBLA!$B$6*100000</f>
        <v>592.87955667419999</v>
      </c>
      <c r="H8216" s="213">
        <f t="shared" si="657"/>
        <v>1.1830158447569876</v>
      </c>
    </row>
    <row r="8217" spans="1:8" ht="15.75" thickBot="1" x14ac:dyDescent="0.3">
      <c r="A8217" s="34" t="s">
        <v>31</v>
      </c>
      <c r="B8217" s="2">
        <v>44235</v>
      </c>
      <c r="C8217" s="1">
        <v>70</v>
      </c>
      <c r="D8217" s="47">
        <f t="shared" si="656"/>
        <v>42592</v>
      </c>
      <c r="E8217" s="1">
        <v>8</v>
      </c>
      <c r="F8217" s="47">
        <f t="shared" si="658"/>
        <v>769</v>
      </c>
      <c r="G8217" s="212">
        <f>SUM(C8217,C8193,C8169,C8145,C8121,C8097,C8073,C8049,C8025,C8001,C7977,C7953,C7929,C7905)/POBLA!$B$8*100000</f>
        <v>232.1133134337835</v>
      </c>
      <c r="H8217" s="213">
        <f t="shared" ref="H8217:H8233" si="659">SUM(C8217,C8193,C8169,C8145,C8121,C8097,C8073,C8049,C8025,C8001,C7977,C7953,C7929,C7905)/SUM(C7881,C7857,C7833,C7809,C7785,C7761,C7737,C7713,C7689,C7665,C7641,C7617,C7593,C7569)</f>
        <v>0.56887709991158264</v>
      </c>
    </row>
    <row r="8218" spans="1:8" ht="15.75" thickBot="1" x14ac:dyDescent="0.3">
      <c r="A8218" s="34" t="s">
        <v>41</v>
      </c>
      <c r="B8218" s="2">
        <v>44235</v>
      </c>
      <c r="C8218" s="1">
        <v>7</v>
      </c>
      <c r="D8218" s="47">
        <f t="shared" si="656"/>
        <v>885</v>
      </c>
      <c r="F8218" s="47">
        <f t="shared" si="658"/>
        <v>9</v>
      </c>
      <c r="G8218" s="212">
        <f>SUM(C8218,C8194,C8170,C8146,C8122,C8098,C8074,C8050,C8026,C8002,C7978,C7954,C7930,C7906)/POBLA!$B$9*100000</f>
        <v>12.888450461257813</v>
      </c>
      <c r="H8218" s="213">
        <f t="shared" si="659"/>
        <v>0.15757575757575756</v>
      </c>
    </row>
    <row r="8219" spans="1:8" ht="15.75" thickBot="1" x14ac:dyDescent="0.3">
      <c r="A8219" s="34" t="s">
        <v>32</v>
      </c>
      <c r="B8219" s="2">
        <v>44235</v>
      </c>
      <c r="C8219" s="1">
        <v>27</v>
      </c>
      <c r="D8219" s="47">
        <f t="shared" si="656"/>
        <v>19547</v>
      </c>
      <c r="F8219" s="47">
        <f t="shared" si="658"/>
        <v>885</v>
      </c>
      <c r="G8219" s="212">
        <f>SUM(C8219,C8195,C8171,C8147,C8123,C8099,C8075,C8051,C8027,C8003,C7979,C7955,C7931,C7907)/POBLA!$B$10*100000</f>
        <v>57.985603484843971</v>
      </c>
      <c r="H8219" s="213">
        <f t="shared" si="659"/>
        <v>1.1259445843828715</v>
      </c>
    </row>
    <row r="8220" spans="1:8" ht="15.75" thickBot="1" x14ac:dyDescent="0.3">
      <c r="A8220" s="34" t="s">
        <v>33</v>
      </c>
      <c r="B8220" s="2">
        <v>44235</v>
      </c>
      <c r="C8220" s="1">
        <v>103</v>
      </c>
      <c r="D8220" s="47">
        <f t="shared" si="656"/>
        <v>17191</v>
      </c>
      <c r="E8220" s="1">
        <v>5</v>
      </c>
      <c r="F8220" s="47">
        <f t="shared" si="658"/>
        <v>265</v>
      </c>
      <c r="G8220" s="212">
        <f>SUM(C8220,C8196,C8172,C8148,C8124,C8100,C8076,C8052,C8028,C8004,C7980,C7956,C7932,C7908)/POBLA!$B$11*100000</f>
        <v>361.85789056658518</v>
      </c>
      <c r="H8220" s="213">
        <f t="shared" si="659"/>
        <v>0.59196713829301684</v>
      </c>
    </row>
    <row r="8221" spans="1:8" ht="15.75" thickBot="1" x14ac:dyDescent="0.3">
      <c r="A8221" s="34" t="s">
        <v>21</v>
      </c>
      <c r="B8221" s="2">
        <v>44235</v>
      </c>
      <c r="C8221" s="1">
        <v>10</v>
      </c>
      <c r="D8221" s="47">
        <f t="shared" si="656"/>
        <v>9695</v>
      </c>
      <c r="E8221" s="1">
        <v>1</v>
      </c>
      <c r="F8221" s="47">
        <f t="shared" si="658"/>
        <v>415</v>
      </c>
      <c r="G8221" s="212">
        <f>SUM(C8221,C8197,C8173,C8149,C8125,C8101,C8077,C8053,C8029,C8005,C7981,C7957,C7933,C7909)/POBLA!$B$12*100000</f>
        <v>64.543835174357298</v>
      </c>
      <c r="H8221" s="213">
        <f t="shared" si="659"/>
        <v>1.1869158878504673</v>
      </c>
    </row>
    <row r="8222" spans="1:8" ht="15.75" thickBot="1" x14ac:dyDescent="0.3">
      <c r="A8222" s="34" t="s">
        <v>17</v>
      </c>
      <c r="B8222" s="2">
        <v>44235</v>
      </c>
      <c r="C8222" s="1">
        <v>118</v>
      </c>
      <c r="D8222" s="47">
        <f t="shared" si="656"/>
        <v>64846</v>
      </c>
      <c r="E8222" s="1">
        <v>3</v>
      </c>
      <c r="F8222" s="47">
        <f t="shared" si="658"/>
        <v>1401</v>
      </c>
      <c r="G8222" s="212">
        <f>SUM(C8222,C8198,C8174,C8150,C8126,C8102,C8078,C8054,C8030,C8006,C7982,C7958,C7934,C7910)/POBLA!$B$13*100000</f>
        <v>82.197094161896118</v>
      </c>
      <c r="H8222" s="213">
        <f t="shared" si="659"/>
        <v>0.90137741046831954</v>
      </c>
    </row>
    <row r="8223" spans="1:8" ht="15.75" thickBot="1" x14ac:dyDescent="0.3">
      <c r="A8223" s="34" t="s">
        <v>23</v>
      </c>
      <c r="B8223" s="2">
        <v>44235</v>
      </c>
      <c r="C8223" s="1">
        <v>56</v>
      </c>
      <c r="D8223" s="47">
        <f t="shared" si="656"/>
        <v>6118</v>
      </c>
      <c r="E8223" s="1">
        <v>2</v>
      </c>
      <c r="F8223" s="47">
        <f t="shared" si="658"/>
        <v>107</v>
      </c>
      <c r="G8223" s="212">
        <f>SUM(C8223,C8199,C8175,C8151,C8127,C8103,C8079,C8055,C8031,C8007,C7983,C7959,C7935,C7911)/POBLA!$B$14*100000</f>
        <v>198.68484270915425</v>
      </c>
      <c r="H8223" s="213">
        <f t="shared" si="659"/>
        <v>1.1699346405228759</v>
      </c>
    </row>
    <row r="8224" spans="1:8" ht="15.75" thickBot="1" x14ac:dyDescent="0.3">
      <c r="A8224" s="34" t="s">
        <v>19</v>
      </c>
      <c r="B8224" s="2">
        <v>44235</v>
      </c>
      <c r="C8224" s="1">
        <v>272</v>
      </c>
      <c r="D8224" s="47">
        <f t="shared" si="656"/>
        <v>56927</v>
      </c>
      <c r="E8224" s="1">
        <v>1</v>
      </c>
      <c r="F8224" s="47">
        <f t="shared" si="658"/>
        <v>795</v>
      </c>
      <c r="G8224" s="212">
        <f>SUM(C8224,C8200,C8176,C8152,C8128,C8104,C8080,C8056,C8032,C8008,C7984,C7960,C7936,C7912)/POBLA!$B$15*100000</f>
        <v>811.6773108332568</v>
      </c>
      <c r="H8224" s="213">
        <f t="shared" si="659"/>
        <v>0.90103644266131733</v>
      </c>
    </row>
    <row r="8225" spans="1:8" ht="15.75" thickBot="1" x14ac:dyDescent="0.3">
      <c r="A8225" s="34" t="s">
        <v>18</v>
      </c>
      <c r="B8225" s="2">
        <v>44235</v>
      </c>
      <c r="C8225" s="1">
        <v>213</v>
      </c>
      <c r="D8225" s="47">
        <f t="shared" si="656"/>
        <v>49590</v>
      </c>
      <c r="E8225" s="1">
        <v>4</v>
      </c>
      <c r="F8225" s="47">
        <f t="shared" si="658"/>
        <v>1102</v>
      </c>
      <c r="G8225" s="212">
        <f>SUM(C8225,C8201,C8177,C8153,C8129,C8105,C8081,C8057,C8033,C8009,C7985,C7961,C7937,C7913)/POBLA!$B$16*100000</f>
        <v>449.03091183906054</v>
      </c>
      <c r="H8225" s="213">
        <f t="shared" si="659"/>
        <v>0.76312798363264378</v>
      </c>
    </row>
    <row r="8226" spans="1:8" ht="15.75" thickBot="1" x14ac:dyDescent="0.3">
      <c r="A8226" s="34" t="s">
        <v>34</v>
      </c>
      <c r="B8226" s="2">
        <v>44235</v>
      </c>
      <c r="C8226" s="1">
        <v>26</v>
      </c>
      <c r="D8226" s="47">
        <f t="shared" si="656"/>
        <v>24318</v>
      </c>
      <c r="F8226" s="47">
        <f t="shared" si="658"/>
        <v>1053</v>
      </c>
      <c r="G8226" s="212">
        <f>SUM(C8226,C8202,C8178,C8154,C8130,C8106,C8082,C8058,C8034,C8010,C7986,C7962,C7938,C7914)/POBLA!$B$17*100000</f>
        <v>59.955195075530213</v>
      </c>
      <c r="H8226" s="213">
        <f t="shared" si="659"/>
        <v>1.2113475177304964</v>
      </c>
    </row>
    <row r="8227" spans="1:8" ht="15.75" thickBot="1" x14ac:dyDescent="0.3">
      <c r="A8227" s="34" t="s">
        <v>35</v>
      </c>
      <c r="B8227" s="2">
        <v>44235</v>
      </c>
      <c r="C8227" s="1">
        <v>48</v>
      </c>
      <c r="D8227" s="47">
        <f t="shared" si="656"/>
        <v>14337</v>
      </c>
      <c r="F8227" s="47">
        <f t="shared" si="658"/>
        <v>202</v>
      </c>
      <c r="G8227" s="212">
        <f>SUM(C8227,C8203,C8179,C8155,C8131,C8107,C8083,C8059,C8035,C8011,C7987,C7963,C7939,C7915)/POBLA!$B$18*100000</f>
        <v>91.139849747253322</v>
      </c>
      <c r="H8227" s="213">
        <f t="shared" si="659"/>
        <v>0.61538461538461542</v>
      </c>
    </row>
    <row r="8228" spans="1:8" ht="15.75" thickBot="1" x14ac:dyDescent="0.3">
      <c r="A8228" s="34" t="s">
        <v>36</v>
      </c>
      <c r="B8228" s="2">
        <v>44235</v>
      </c>
      <c r="C8228" s="1">
        <v>6</v>
      </c>
      <c r="D8228" s="47">
        <f t="shared" si="656"/>
        <v>19112</v>
      </c>
      <c r="F8228" s="47">
        <f t="shared" si="658"/>
        <v>338</v>
      </c>
      <c r="G8228" s="212">
        <f>SUM(C8228,C8204,C8180,C8156,C8132,C8108,C8084,C8060,C8036,C8012,C7988,C7964,C7940,C7916)/POBLA!$B$19*100000</f>
        <v>70.623691789553206</v>
      </c>
      <c r="H8228" s="213">
        <f t="shared" si="659"/>
        <v>0.16775700934579441</v>
      </c>
    </row>
    <row r="8229" spans="1:8" ht="15.75" thickBot="1" x14ac:dyDescent="0.3">
      <c r="A8229" s="34" t="s">
        <v>37</v>
      </c>
      <c r="B8229" s="2">
        <v>44235</v>
      </c>
      <c r="C8229" s="1">
        <v>133</v>
      </c>
      <c r="D8229" s="47">
        <f t="shared" si="656"/>
        <v>33927</v>
      </c>
      <c r="E8229" s="1">
        <v>1</v>
      </c>
      <c r="F8229" s="47">
        <f t="shared" si="658"/>
        <v>517</v>
      </c>
      <c r="G8229" s="212">
        <f>SUM(C8229,C8205,C8181,C8157,C8133,C8109,C8085,C8061,C8037,C8013,C7989,C7965,C7941,C7917)/POBLA!$B$20*100000</f>
        <v>624.0121630416354</v>
      </c>
      <c r="H8229" s="213">
        <f t="shared" si="659"/>
        <v>0.55536626916524701</v>
      </c>
    </row>
    <row r="8230" spans="1:8" ht="15.75" thickBot="1" x14ac:dyDescent="0.3">
      <c r="A8230" s="34" t="s">
        <v>22</v>
      </c>
      <c r="B8230" s="2">
        <v>44235</v>
      </c>
      <c r="C8230" s="1">
        <v>297</v>
      </c>
      <c r="D8230" s="47">
        <f t="shared" si="656"/>
        <v>209502</v>
      </c>
      <c r="E8230" s="1">
        <v>32</v>
      </c>
      <c r="F8230" s="47">
        <f t="shared" si="658"/>
        <v>3737</v>
      </c>
      <c r="G8230" s="212">
        <f>SUM(C8230,C8206,C8182,C8158,C8134,C8110,C8086,C8062,C8038,C8014,C7990,C7966,C7942,C7918)/POBLA!$B$21*100000</f>
        <v>209.10989594555849</v>
      </c>
      <c r="H8230" s="213">
        <f t="shared" si="659"/>
        <v>0.5066109474549565</v>
      </c>
    </row>
    <row r="8231" spans="1:8" ht="15.75" thickBot="1" x14ac:dyDescent="0.3">
      <c r="A8231" s="34" t="s">
        <v>38</v>
      </c>
      <c r="B8231" s="2">
        <v>44235</v>
      </c>
      <c r="C8231" s="1">
        <v>59</v>
      </c>
      <c r="D8231" s="47">
        <f t="shared" si="656"/>
        <v>21492</v>
      </c>
      <c r="E8231" s="1">
        <v>4</v>
      </c>
      <c r="F8231" s="47">
        <f t="shared" si="658"/>
        <v>251</v>
      </c>
      <c r="G8231" s="212">
        <f>SUM(C8231,C8207,C8183,C8159,C8135,C8111,C8087,C8063,C8039,C8015,C7991,C7967,C7943,C7919)/POBLA!$B$22*100000</f>
        <v>104.26111070792271</v>
      </c>
      <c r="H8231" s="213">
        <f t="shared" si="659"/>
        <v>0.60570071258907365</v>
      </c>
    </row>
    <row r="8232" spans="1:8" ht="15.75" thickBot="1" x14ac:dyDescent="0.3">
      <c r="A8232" s="34" t="s">
        <v>39</v>
      </c>
      <c r="B8232" s="2">
        <v>44235</v>
      </c>
      <c r="C8232" s="1">
        <v>93</v>
      </c>
      <c r="D8232" s="47">
        <f t="shared" si="656"/>
        <v>22175</v>
      </c>
      <c r="E8232" s="1">
        <v>2</v>
      </c>
      <c r="F8232" s="47">
        <f t="shared" si="658"/>
        <v>342</v>
      </c>
      <c r="G8232" s="212">
        <f>SUM(C8232,C8208,C8184,C8160,C8136,C8112,C8088,C8064,C8040,C8016,C7992,C7968,C7944,C7920)/POBLA!$B$23*100000</f>
        <v>370.41226036306057</v>
      </c>
      <c r="H8232" s="213">
        <f t="shared" si="659"/>
        <v>0.51819620253164556</v>
      </c>
    </row>
    <row r="8233" spans="1:8" ht="15.75" thickBot="1" x14ac:dyDescent="0.3">
      <c r="A8233" s="34" t="s">
        <v>40</v>
      </c>
      <c r="B8233" s="2">
        <v>44235</v>
      </c>
      <c r="C8233" s="1">
        <v>107</v>
      </c>
      <c r="D8233" s="214">
        <f t="shared" si="656"/>
        <v>77417</v>
      </c>
      <c r="F8233" s="214">
        <f t="shared" si="658"/>
        <v>1438</v>
      </c>
      <c r="G8233" s="212">
        <f>SUM(C8233,C8209,C8185,C8161,C8137,C8113,C8089,C8065,C8041,C8017,C7993,C7969,C7945,C7921)/POBLA!$B$24*100000</f>
        <v>117.6639978851165</v>
      </c>
      <c r="H8233" s="216">
        <f t="shared" si="659"/>
        <v>0.85800344234079173</v>
      </c>
    </row>
    <row r="8234" spans="1:8" ht="15.75" thickBot="1" x14ac:dyDescent="0.3">
      <c r="A8234" s="34" t="s">
        <v>16</v>
      </c>
      <c r="B8234" s="2">
        <v>44236</v>
      </c>
      <c r="C8234" s="1">
        <v>3363</v>
      </c>
      <c r="D8234" s="211">
        <f t="shared" si="656"/>
        <v>831939</v>
      </c>
      <c r="E8234" s="1">
        <v>97</v>
      </c>
      <c r="F8234" s="211">
        <f>E8234+F8210</f>
        <v>25207</v>
      </c>
      <c r="G8234" s="212">
        <f>SUM(C8234,C8210,C8186,C8162,C8138,C8114,C8090,C8066,C8042,C8018,C7994,C7970,C7946,C7922)/POBLA!$B$1*100000</f>
        <v>262.16652611138579</v>
      </c>
      <c r="H8234" s="196">
        <f t="shared" ref="H8234:H8240" si="660">SUM(C8234,C8210,C8186,C8162,C8138,C8114,C8090,C8066,C8042,C8018,C7994,C7970,C7946,C7922)/SUM(C7898,C7874,C7850,C7826,C7802,C7778,C7754,C7730,C7706,C7682,C7658,C7634,C7610,C7586)</f>
        <v>0.82995542240430253</v>
      </c>
    </row>
    <row r="8235" spans="1:8" ht="15.75" thickBot="1" x14ac:dyDescent="0.3">
      <c r="A8235" s="34" t="s">
        <v>43</v>
      </c>
      <c r="B8235" s="2">
        <v>44236</v>
      </c>
      <c r="C8235" s="1">
        <v>986</v>
      </c>
      <c r="D8235" s="47">
        <f t="shared" si="656"/>
        <v>218752</v>
      </c>
      <c r="E8235" s="1">
        <v>3</v>
      </c>
      <c r="F8235" s="47">
        <f t="shared" ref="F8235:F8257" si="661">E8235+F8211</f>
        <v>6202</v>
      </c>
      <c r="G8235" s="212">
        <f>SUM(C8235,C8211,C8187,C8163,C8139,C8115,C8091,C8067,C8043,C8019,C7995,C7971,C7947,C7923)/POBLA!$B$2*100000</f>
        <v>447.2231199559377</v>
      </c>
      <c r="H8235" s="213">
        <f t="shared" si="660"/>
        <v>0.83429368593437259</v>
      </c>
    </row>
    <row r="8236" spans="1:8" ht="15.75" thickBot="1" x14ac:dyDescent="0.3">
      <c r="A8236" s="34" t="s">
        <v>28</v>
      </c>
      <c r="B8236" s="2">
        <v>44236</v>
      </c>
      <c r="C8236" s="1">
        <v>83</v>
      </c>
      <c r="D8236" s="47">
        <f t="shared" si="656"/>
        <v>6407</v>
      </c>
      <c r="F8236" s="47">
        <f t="shared" si="661"/>
        <v>17</v>
      </c>
      <c r="G8236" s="212">
        <f>SUM(C8236,C8212,C8188,C8164,C8140,C8116,C8092,C8068,C8044,C8020,C7996,C7972,C7948,C7924)/POBLA!$B$3*100000</f>
        <v>377.67368415985061</v>
      </c>
      <c r="H8236" s="213">
        <f t="shared" si="660"/>
        <v>1.0109536082474226</v>
      </c>
    </row>
    <row r="8237" spans="1:8" ht="15.75" thickBot="1" x14ac:dyDescent="0.3">
      <c r="A8237" s="34" t="s">
        <v>15</v>
      </c>
      <c r="B8237" s="2">
        <v>44236</v>
      </c>
      <c r="C8237" s="1">
        <v>161</v>
      </c>
      <c r="D8237" s="47">
        <f t="shared" si="656"/>
        <v>31891</v>
      </c>
      <c r="E8237" s="1">
        <v>2</v>
      </c>
      <c r="F8237" s="47">
        <f t="shared" si="661"/>
        <v>823</v>
      </c>
      <c r="G8237" s="212">
        <f>SUM(C8237,C8213,C8189,C8165,C8141,C8117,C8093,C8069,C8045,C8021,C7997,C7973,C7949,C7925)/POBLA!$B$4*100000</f>
        <v>151.42697508843617</v>
      </c>
      <c r="H8237" s="213">
        <f t="shared" si="660"/>
        <v>0.67132867132867136</v>
      </c>
    </row>
    <row r="8238" spans="1:8" ht="15.75" thickBot="1" x14ac:dyDescent="0.3">
      <c r="A8238" s="34" t="s">
        <v>29</v>
      </c>
      <c r="B8238" s="2">
        <v>44236</v>
      </c>
      <c r="C8238" s="1">
        <v>251</v>
      </c>
      <c r="D8238" s="47">
        <f t="shared" si="656"/>
        <v>44401</v>
      </c>
      <c r="E8238" s="1">
        <v>2</v>
      </c>
      <c r="F8238" s="47">
        <f t="shared" si="661"/>
        <v>677</v>
      </c>
      <c r="G8238" s="212">
        <f>SUM(C8238,C8214,C8190,C8166,C8142,C8118,C8094,C8070,C8046,C8022,C7998,C7974,C7950,C7926)/POBLA!$B$5*100000</f>
        <v>568.82619217633771</v>
      </c>
      <c r="H8238" s="213">
        <f t="shared" si="660"/>
        <v>0.79070289692342244</v>
      </c>
    </row>
    <row r="8239" spans="1:8" ht="15.75" thickBot="1" x14ac:dyDescent="0.3">
      <c r="A8239" s="34" t="s">
        <v>30</v>
      </c>
      <c r="B8239" s="2">
        <v>44236</v>
      </c>
      <c r="C8239" s="1">
        <v>159</v>
      </c>
      <c r="D8239" s="47">
        <f t="shared" si="656"/>
        <v>18974</v>
      </c>
      <c r="F8239" s="47">
        <f t="shared" si="661"/>
        <v>208</v>
      </c>
      <c r="G8239" s="212">
        <f>SUM(C8239,C8215,C8191,C8167,C8143,C8119,C8095,C8071,C8047,C8023,C7999,C7975,C7951,C7927)/POBLA!$B$7*100000</f>
        <v>62.332965469558168</v>
      </c>
      <c r="H8239" s="213">
        <f t="shared" si="660"/>
        <v>0.54868913857677903</v>
      </c>
    </row>
    <row r="8240" spans="1:8" ht="15.75" thickBot="1" x14ac:dyDescent="0.3">
      <c r="A8240" s="34" t="s">
        <v>20</v>
      </c>
      <c r="B8240" s="2">
        <v>44236</v>
      </c>
      <c r="C8240" s="1">
        <v>680</v>
      </c>
      <c r="D8240" s="47">
        <f t="shared" si="656"/>
        <v>149149</v>
      </c>
      <c r="E8240" s="1">
        <v>5</v>
      </c>
      <c r="F8240" s="47">
        <f t="shared" si="661"/>
        <v>2745</v>
      </c>
      <c r="G8240" s="212">
        <f>SUM(C8240,C8216,C8192,C8168,C8144,C8120,C8096,C8072,C8048,C8024,C8000,C7976,C7952,C7928)/POBLA!$B$6*100000</f>
        <v>594.48555095864469</v>
      </c>
      <c r="H8240" s="213">
        <f t="shared" si="660"/>
        <v>1.1047919084728901</v>
      </c>
    </row>
    <row r="8241" spans="1:8" ht="15.75" thickBot="1" x14ac:dyDescent="0.3">
      <c r="A8241" s="34" t="s">
        <v>31</v>
      </c>
      <c r="B8241" s="2">
        <v>44236</v>
      </c>
      <c r="C8241" s="1">
        <v>200</v>
      </c>
      <c r="D8241" s="47">
        <f t="shared" si="656"/>
        <v>42792</v>
      </c>
      <c r="E8241" s="1">
        <v>3</v>
      </c>
      <c r="F8241" s="47">
        <f t="shared" si="661"/>
        <v>772</v>
      </c>
      <c r="G8241" s="212">
        <f>SUM(C8241,C8217,C8193,C8169,C8145,C8121,C8097,C8073,C8049,C8025,C8001,C7977,C7953,C7929)/POBLA!$B$8*100000</f>
        <v>222.58923591645072</v>
      </c>
      <c r="H8241" s="213">
        <f t="shared" ref="H8241:H8257" si="662">SUM(C8241,C8217,C8193,C8169,C8145,C8121,C8097,C8073,C8049,C8025,C8001,C7977,C7953,C7929)/SUM(C7905,C7881,C7857,C7833,C7809,C7785,C7761,C7737,C7713,C7689,C7665,C7641,C7617,C7593)</f>
        <v>0.56070519810977826</v>
      </c>
    </row>
    <row r="8242" spans="1:8" ht="15.75" thickBot="1" x14ac:dyDescent="0.3">
      <c r="A8242" s="34" t="s">
        <v>41</v>
      </c>
      <c r="B8242" s="2">
        <v>44236</v>
      </c>
      <c r="C8242" s="1">
        <v>3</v>
      </c>
      <c r="D8242" s="47">
        <f t="shared" si="656"/>
        <v>888</v>
      </c>
      <c r="F8242" s="47">
        <f t="shared" si="661"/>
        <v>9</v>
      </c>
      <c r="G8242" s="212">
        <f>SUM(C8242,C8218,C8194,C8170,C8146,C8122,C8098,C8074,C8050,C8026,C8002,C7978,C7954,C7930)/POBLA!$B$9*100000</f>
        <v>12.227504283757412</v>
      </c>
      <c r="H8242" s="213">
        <f t="shared" si="662"/>
        <v>0.1670428893905192</v>
      </c>
    </row>
    <row r="8243" spans="1:8" ht="15.75" thickBot="1" x14ac:dyDescent="0.3">
      <c r="A8243" s="34" t="s">
        <v>32</v>
      </c>
      <c r="B8243" s="2">
        <v>44236</v>
      </c>
      <c r="C8243" s="1">
        <v>45</v>
      </c>
      <c r="D8243" s="47">
        <f t="shared" si="656"/>
        <v>19592</v>
      </c>
      <c r="E8243" s="1">
        <v>2</v>
      </c>
      <c r="F8243" s="47">
        <f t="shared" si="661"/>
        <v>887</v>
      </c>
      <c r="G8243" s="212">
        <f>SUM(C8243,C8219,C8195,C8171,C8147,C8123,C8099,C8075,C8051,C8027,C8003,C7979,C7955,C7931)/POBLA!$B$10*100000</f>
        <v>56.428942988606536</v>
      </c>
      <c r="H8243" s="213">
        <f t="shared" si="662"/>
        <v>0.99315068493150682</v>
      </c>
    </row>
    <row r="8244" spans="1:8" ht="15.75" thickBot="1" x14ac:dyDescent="0.3">
      <c r="A8244" s="34" t="s">
        <v>33</v>
      </c>
      <c r="B8244" s="2">
        <v>44236</v>
      </c>
      <c r="C8244" s="1">
        <v>99</v>
      </c>
      <c r="D8244" s="47">
        <f t="shared" si="656"/>
        <v>17290</v>
      </c>
      <c r="F8244" s="47">
        <f t="shared" si="661"/>
        <v>265</v>
      </c>
      <c r="G8244" s="212">
        <f>SUM(C8244,C8220,C8196,C8172,C8148,C8124,C8100,C8076,C8052,C8028,C8004,C7980,C7956,C7932)/POBLA!$B$11*100000</f>
        <v>362.69487874831208</v>
      </c>
      <c r="H8244" s="213">
        <f t="shared" si="662"/>
        <v>0.67183462532299743</v>
      </c>
    </row>
    <row r="8245" spans="1:8" ht="15.75" thickBot="1" x14ac:dyDescent="0.3">
      <c r="A8245" s="34" t="s">
        <v>21</v>
      </c>
      <c r="B8245" s="2">
        <v>44236</v>
      </c>
      <c r="C8245" s="1">
        <v>9</v>
      </c>
      <c r="D8245" s="47">
        <f t="shared" si="656"/>
        <v>9704</v>
      </c>
      <c r="F8245" s="47">
        <f t="shared" si="661"/>
        <v>415</v>
      </c>
      <c r="G8245" s="212">
        <f>SUM(C8245,C8221,C8197,C8173,C8149,C8125,C8101,C8077,C8053,C8029,C8005,C7981,C7957,C7933)/POBLA!$B$12*100000</f>
        <v>64.035615999756061</v>
      </c>
      <c r="H8245" s="213">
        <f t="shared" si="662"/>
        <v>1.1666666666666667</v>
      </c>
    </row>
    <row r="8246" spans="1:8" ht="15.75" thickBot="1" x14ac:dyDescent="0.3">
      <c r="A8246" s="34" t="s">
        <v>17</v>
      </c>
      <c r="B8246" s="2">
        <v>44236</v>
      </c>
      <c r="C8246" s="1">
        <v>194</v>
      </c>
      <c r="D8246" s="47">
        <f t="shared" si="656"/>
        <v>65040</v>
      </c>
      <c r="E8246" s="1">
        <v>3</v>
      </c>
      <c r="F8246" s="47">
        <f t="shared" si="661"/>
        <v>1404</v>
      </c>
      <c r="G8246" s="212">
        <f>SUM(C8246,C8222,C8198,C8174,C8150,C8126,C8102,C8078,C8054,C8030,C8006,C7982,C7958,C7934)/POBLA!$B$13*100000</f>
        <v>86.316997414509501</v>
      </c>
      <c r="H8246" s="213">
        <f t="shared" si="662"/>
        <v>0.9924898902368573</v>
      </c>
    </row>
    <row r="8247" spans="1:8" ht="15.75" thickBot="1" x14ac:dyDescent="0.3">
      <c r="A8247" s="34" t="s">
        <v>23</v>
      </c>
      <c r="B8247" s="2">
        <v>44236</v>
      </c>
      <c r="C8247" s="1">
        <v>97</v>
      </c>
      <c r="D8247" s="47">
        <f t="shared" si="656"/>
        <v>6215</v>
      </c>
      <c r="E8247" s="1">
        <v>2</v>
      </c>
      <c r="F8247" s="47">
        <f t="shared" si="661"/>
        <v>109</v>
      </c>
      <c r="G8247" s="212">
        <f>SUM(C8247,C8223,C8199,C8175,C8151,C8127,C8103,C8079,C8055,C8031,C8007,C7983,C7959,C7935)/POBLA!$B$14*100000</f>
        <v>192.97641945494073</v>
      </c>
      <c r="H8247" s="213">
        <f t="shared" si="662"/>
        <v>1.076514816452897</v>
      </c>
    </row>
    <row r="8248" spans="1:8" ht="15.75" thickBot="1" x14ac:dyDescent="0.3">
      <c r="A8248" s="34" t="s">
        <v>19</v>
      </c>
      <c r="B8248" s="2">
        <v>44236</v>
      </c>
      <c r="C8248" s="1">
        <v>309</v>
      </c>
      <c r="D8248" s="47">
        <f t="shared" si="656"/>
        <v>57236</v>
      </c>
      <c r="E8248" s="1">
        <v>7</v>
      </c>
      <c r="F8248" s="47">
        <f t="shared" si="661"/>
        <v>802</v>
      </c>
      <c r="G8248" s="212">
        <f>SUM(C8248,C8224,C8200,C8176,C8152,C8128,C8104,C8080,C8056,C8032,C8008,C7984,C7960,C7936)/POBLA!$B$15*100000</f>
        <v>782.01118277497255</v>
      </c>
      <c r="H8248" s="213">
        <f t="shared" si="662"/>
        <v>0.88906009244992301</v>
      </c>
    </row>
    <row r="8249" spans="1:8" ht="15.75" thickBot="1" x14ac:dyDescent="0.3">
      <c r="A8249" s="34" t="s">
        <v>18</v>
      </c>
      <c r="B8249" s="2">
        <v>44236</v>
      </c>
      <c r="C8249" s="1">
        <v>206</v>
      </c>
      <c r="D8249" s="47">
        <f t="shared" si="656"/>
        <v>49796</v>
      </c>
      <c r="E8249" s="1">
        <v>3</v>
      </c>
      <c r="F8249" s="47">
        <f t="shared" si="661"/>
        <v>1105</v>
      </c>
      <c r="G8249" s="212">
        <f>SUM(C8249,C8225,C8201,C8177,C8153,C8129,C8105,C8081,C8057,C8033,C8009,C7985,C7961,C7937)/POBLA!$B$16*100000</f>
        <v>424.01787027995886</v>
      </c>
      <c r="H8249" s="213">
        <f t="shared" si="662"/>
        <v>0.72390956839461063</v>
      </c>
    </row>
    <row r="8250" spans="1:8" ht="15.75" thickBot="1" x14ac:dyDescent="0.3">
      <c r="A8250" s="34" t="s">
        <v>34</v>
      </c>
      <c r="B8250" s="2">
        <v>44236</v>
      </c>
      <c r="C8250" s="1">
        <v>95</v>
      </c>
      <c r="D8250" s="47">
        <f t="shared" si="656"/>
        <v>24413</v>
      </c>
      <c r="F8250" s="47">
        <f t="shared" si="661"/>
        <v>1053</v>
      </c>
      <c r="G8250" s="212">
        <f>SUM(C8250,C8226,C8202,C8178,C8154,C8130,C8106,C8082,C8058,C8034,C8010,C7986,C7962,C7938)/POBLA!$B$17*100000</f>
        <v>61.991144322825726</v>
      </c>
      <c r="H8250" s="213">
        <f t="shared" si="662"/>
        <v>1.2029972752043596</v>
      </c>
    </row>
    <row r="8251" spans="1:8" ht="15.75" thickBot="1" x14ac:dyDescent="0.3">
      <c r="A8251" s="34" t="s">
        <v>35</v>
      </c>
      <c r="B8251" s="2">
        <v>44236</v>
      </c>
      <c r="C8251" s="1">
        <v>68</v>
      </c>
      <c r="D8251" s="47">
        <f t="shared" si="656"/>
        <v>14405</v>
      </c>
      <c r="E8251" s="1">
        <v>1</v>
      </c>
      <c r="F8251" s="47">
        <f t="shared" si="661"/>
        <v>203</v>
      </c>
      <c r="G8251" s="212">
        <f>SUM(C8251,C8227,C8203,C8179,C8155,C8131,C8107,C8083,C8059,C8035,C8011,C7987,C7963,C7939)/POBLA!$B$18*100000</f>
        <v>89.859795677769426</v>
      </c>
      <c r="H8251" s="213">
        <f t="shared" si="662"/>
        <v>0.68354430379746833</v>
      </c>
    </row>
    <row r="8252" spans="1:8" ht="15.75" thickBot="1" x14ac:dyDescent="0.3">
      <c r="A8252" s="34" t="s">
        <v>36</v>
      </c>
      <c r="B8252" s="2">
        <v>44236</v>
      </c>
      <c r="C8252" s="1">
        <v>7</v>
      </c>
      <c r="D8252" s="47">
        <f t="shared" si="656"/>
        <v>19119</v>
      </c>
      <c r="F8252" s="47">
        <f t="shared" si="661"/>
        <v>338</v>
      </c>
      <c r="G8252" s="212">
        <f>SUM(C8252,C8228,C8204,C8180,C8156,C8132,C8108,C8084,C8060,C8036,C8012,C7988,C7964,C7940)/POBLA!$B$19*100000</f>
        <v>63.148203522135312</v>
      </c>
      <c r="H8252" s="213">
        <f t="shared" si="662"/>
        <v>0.15042174320524837</v>
      </c>
    </row>
    <row r="8253" spans="1:8" ht="15.75" thickBot="1" x14ac:dyDescent="0.3">
      <c r="A8253" s="34" t="s">
        <v>37</v>
      </c>
      <c r="B8253" s="2">
        <v>44236</v>
      </c>
      <c r="C8253" s="1">
        <v>123</v>
      </c>
      <c r="D8253" s="47">
        <f t="shared" si="656"/>
        <v>34050</v>
      </c>
      <c r="E8253" s="1">
        <v>3</v>
      </c>
      <c r="F8253" s="47">
        <f t="shared" si="661"/>
        <v>520</v>
      </c>
      <c r="G8253" s="212">
        <f>SUM(C8253,C8229,C8205,C8181,C8157,C8133,C8109,C8085,C8061,C8037,C8013,C7989,C7965,C7941)/POBLA!$B$20*100000</f>
        <v>608.15208177239151</v>
      </c>
      <c r="H8253" s="213">
        <f t="shared" si="662"/>
        <v>0.57069540672312036</v>
      </c>
    </row>
    <row r="8254" spans="1:8" ht="15.75" thickBot="1" x14ac:dyDescent="0.3">
      <c r="A8254" s="34" t="s">
        <v>22</v>
      </c>
      <c r="B8254" s="2">
        <v>44236</v>
      </c>
      <c r="C8254" s="1">
        <v>479</v>
      </c>
      <c r="D8254" s="47">
        <f t="shared" si="656"/>
        <v>209981</v>
      </c>
      <c r="E8254" s="1">
        <v>22</v>
      </c>
      <c r="F8254" s="47">
        <f t="shared" si="661"/>
        <v>3759</v>
      </c>
      <c r="G8254" s="212">
        <f>SUM(C8254,C8230,C8206,C8182,C8158,C8134,C8110,C8086,C8062,C8038,C8014,C7990,C7966,C7942)/POBLA!$B$21*100000</f>
        <v>200.881230668999</v>
      </c>
      <c r="H8254" s="213">
        <f t="shared" si="662"/>
        <v>0.50986865714490781</v>
      </c>
    </row>
    <row r="8255" spans="1:8" ht="15.75" thickBot="1" x14ac:dyDescent="0.3">
      <c r="A8255" s="34" t="s">
        <v>38</v>
      </c>
      <c r="B8255" s="2">
        <v>44236</v>
      </c>
      <c r="C8255" s="1">
        <v>50</v>
      </c>
      <c r="D8255" s="47">
        <f t="shared" si="656"/>
        <v>21542</v>
      </c>
      <c r="E8255" s="1">
        <v>2</v>
      </c>
      <c r="F8255" s="47">
        <f t="shared" si="661"/>
        <v>253</v>
      </c>
      <c r="G8255" s="212">
        <f>SUM(C8255,C8231,C8207,C8183,C8159,C8135,C8111,C8087,C8063,C8039,C8015,C7991,C7967,C7943)/POBLA!$B$22*100000</f>
        <v>101.29682422701119</v>
      </c>
      <c r="H8255" s="213">
        <f t="shared" si="662"/>
        <v>0.59555288461538458</v>
      </c>
    </row>
    <row r="8256" spans="1:8" ht="15.75" thickBot="1" x14ac:dyDescent="0.3">
      <c r="A8256" s="34" t="s">
        <v>39</v>
      </c>
      <c r="B8256" s="2">
        <v>44236</v>
      </c>
      <c r="C8256" s="1">
        <v>33</v>
      </c>
      <c r="D8256" s="47">
        <f t="shared" si="656"/>
        <v>22208</v>
      </c>
      <c r="F8256" s="47">
        <f t="shared" si="661"/>
        <v>342</v>
      </c>
      <c r="G8256" s="212">
        <f>SUM(C8256,C8232,C8208,C8184,C8160,C8136,C8112,C8088,C8064,C8040,C8016,C7992,C7968,C7944)/POBLA!$B$23*100000</f>
        <v>359.66747723802524</v>
      </c>
      <c r="H8256" s="213">
        <f t="shared" si="662"/>
        <v>0.5412765957446809</v>
      </c>
    </row>
    <row r="8257" spans="1:8" ht="15.75" thickBot="1" x14ac:dyDescent="0.3">
      <c r="A8257" s="34" t="s">
        <v>40</v>
      </c>
      <c r="B8257" s="2">
        <v>44236</v>
      </c>
      <c r="C8257" s="1">
        <v>94</v>
      </c>
      <c r="D8257" s="214">
        <f t="shared" si="656"/>
        <v>77511</v>
      </c>
      <c r="E8257" s="1">
        <v>11</v>
      </c>
      <c r="F8257" s="214">
        <f t="shared" si="661"/>
        <v>1449</v>
      </c>
      <c r="G8257" s="212">
        <f>SUM(C8257,C8233,C8209,C8185,C8161,C8137,C8113,C8089,C8065,C8041,C8017,C7993,C7969,C7945)/POBLA!$B$24*100000</f>
        <v>112.11714943917821</v>
      </c>
      <c r="H8257" s="216">
        <f t="shared" si="662"/>
        <v>0.8351648351648352</v>
      </c>
    </row>
    <row r="8258" spans="1:8" ht="15.75" thickBot="1" x14ac:dyDescent="0.3">
      <c r="A8258" s="34" t="s">
        <v>16</v>
      </c>
      <c r="B8258" s="2">
        <v>44237</v>
      </c>
      <c r="C8258" s="1">
        <v>3265</v>
      </c>
      <c r="D8258" s="211">
        <f t="shared" si="656"/>
        <v>835204</v>
      </c>
      <c r="E8258" s="1">
        <v>26</v>
      </c>
      <c r="F8258" s="211">
        <f>E8258+F8234</f>
        <v>25233</v>
      </c>
      <c r="G8258" s="212">
        <f>SUM(C8258,C8234,C8210,C8186,C8162,C8138,C8114,C8090,C8066,C8042,C8018,C7994,C7970,C7946)/POBLA!$B$1*100000</f>
        <v>255.43948366870774</v>
      </c>
      <c r="H8258" s="196">
        <f t="shared" ref="H8258:H8264" si="663">SUM(C8258,C8234,C8210,C8186,C8162,C8138,C8114,C8090,C8066,C8042,C8018,C7994,C7970,C7946)/SUM(C7922,C7898,C7874,C7850,C7826,C7802,C7778,C7754,C7730,C7706,C7682,C7658,C7634,C7610)</f>
        <v>0.8147467951631967</v>
      </c>
    </row>
    <row r="8259" spans="1:8" ht="15.75" thickBot="1" x14ac:dyDescent="0.3">
      <c r="A8259" s="34" t="s">
        <v>43</v>
      </c>
      <c r="B8259" s="2">
        <v>44237</v>
      </c>
      <c r="C8259" s="1">
        <v>915</v>
      </c>
      <c r="D8259" s="47">
        <f t="shared" ref="D8259:D8322" si="664">C8259+D8235</f>
        <v>219667</v>
      </c>
      <c r="E8259" s="1">
        <v>30</v>
      </c>
      <c r="F8259" s="47">
        <f t="shared" ref="F8259:F8281" si="665">E8259+F8235</f>
        <v>6232</v>
      </c>
      <c r="G8259" s="212">
        <f>SUM(C8259,C8235,C8211,C8187,C8163,C8139,C8115,C8091,C8067,C8043,C8019,C7995,C7971,C7947)/POBLA!$B$2*100000</f>
        <v>436.42863970691036</v>
      </c>
      <c r="H8259" s="213">
        <f t="shared" si="663"/>
        <v>0.81203871748336354</v>
      </c>
    </row>
    <row r="8260" spans="1:8" ht="15.75" thickBot="1" x14ac:dyDescent="0.3">
      <c r="A8260" s="34" t="s">
        <v>28</v>
      </c>
      <c r="B8260" s="2">
        <v>44237</v>
      </c>
      <c r="C8260" s="1">
        <v>54</v>
      </c>
      <c r="D8260" s="47">
        <f t="shared" si="664"/>
        <v>6461</v>
      </c>
      <c r="F8260" s="47">
        <f t="shared" si="665"/>
        <v>17</v>
      </c>
      <c r="G8260" s="212">
        <f>SUM(C8260,C8236,C8212,C8188,C8164,C8140,C8116,C8092,C8068,C8044,C8020,C7996,C7972,C7948)/POBLA!$B$3*100000</f>
        <v>362.74967624531217</v>
      </c>
      <c r="H8260" s="213">
        <f t="shared" si="663"/>
        <v>0.94305381727158943</v>
      </c>
    </row>
    <row r="8261" spans="1:8" ht="15.75" thickBot="1" x14ac:dyDescent="0.3">
      <c r="A8261" s="34" t="s">
        <v>15</v>
      </c>
      <c r="B8261" s="2">
        <v>44237</v>
      </c>
      <c r="C8261" s="1">
        <v>143</v>
      </c>
      <c r="D8261" s="47">
        <f t="shared" si="664"/>
        <v>32034</v>
      </c>
      <c r="E8261" s="1">
        <v>4</v>
      </c>
      <c r="F8261" s="47">
        <f t="shared" si="665"/>
        <v>827</v>
      </c>
      <c r="G8261" s="212">
        <f>SUM(C8261,C8237,C8213,C8189,C8165,C8141,C8117,C8093,C8069,C8045,C8021,C7997,C7973,C7949)/POBLA!$B$4*100000</f>
        <v>151.17791756361967</v>
      </c>
      <c r="H8261" s="213">
        <f t="shared" si="663"/>
        <v>0.70718446601941742</v>
      </c>
    </row>
    <row r="8262" spans="1:8" ht="15.75" thickBot="1" x14ac:dyDescent="0.3">
      <c r="A8262" s="34" t="s">
        <v>29</v>
      </c>
      <c r="B8262" s="2">
        <v>44237</v>
      </c>
      <c r="C8262" s="1">
        <v>164</v>
      </c>
      <c r="D8262" s="47">
        <f t="shared" si="664"/>
        <v>44565</v>
      </c>
      <c r="E8262" s="1">
        <v>2</v>
      </c>
      <c r="F8262" s="47">
        <f t="shared" si="665"/>
        <v>679</v>
      </c>
      <c r="G8262" s="212">
        <f>SUM(C8262,C8238,C8214,C8190,C8166,C8142,C8118,C8094,C8070,C8046,C8022,C7998,C7974,C7950)/POBLA!$B$5*100000</f>
        <v>531.50757519459</v>
      </c>
      <c r="H8262" s="213">
        <f t="shared" si="663"/>
        <v>0.76157407407407407</v>
      </c>
    </row>
    <row r="8263" spans="1:8" ht="15.75" thickBot="1" x14ac:dyDescent="0.3">
      <c r="A8263" s="34" t="s">
        <v>30</v>
      </c>
      <c r="B8263" s="2">
        <v>44237</v>
      </c>
      <c r="C8263" s="1">
        <v>109</v>
      </c>
      <c r="D8263" s="47">
        <f t="shared" si="664"/>
        <v>19083</v>
      </c>
      <c r="E8263" s="1">
        <v>3</v>
      </c>
      <c r="F8263" s="47">
        <f t="shared" si="665"/>
        <v>211</v>
      </c>
      <c r="G8263" s="212">
        <f>SUM(C8263,C8239,C8215,C8191,C8167,C8143,C8119,C8095,C8071,C8047,C8023,C7999,C7975,C7951)/POBLA!$B$7*100000</f>
        <v>59.274820832613123</v>
      </c>
      <c r="H8263" s="213">
        <f t="shared" si="663"/>
        <v>0.60603588907014683</v>
      </c>
    </row>
    <row r="8264" spans="1:8" ht="15.75" thickBot="1" x14ac:dyDescent="0.3">
      <c r="A8264" s="34" t="s">
        <v>20</v>
      </c>
      <c r="B8264" s="2">
        <v>44237</v>
      </c>
      <c r="C8264" s="1">
        <v>759</v>
      </c>
      <c r="D8264" s="47">
        <f t="shared" si="664"/>
        <v>149908</v>
      </c>
      <c r="E8264" s="1">
        <v>12</v>
      </c>
      <c r="F8264" s="47">
        <f t="shared" si="665"/>
        <v>2757</v>
      </c>
      <c r="G8264" s="212">
        <f>SUM(C8264,C8240,C8216,C8192,C8168,C8144,C8120,C8096,C8072,C8048,C8024,C8000,C7976,C7952)/POBLA!$B$6*100000</f>
        <v>600.90952809642386</v>
      </c>
      <c r="H8264" s="213">
        <f t="shared" si="663"/>
        <v>1.0651589435394591</v>
      </c>
    </row>
    <row r="8265" spans="1:8" ht="15.75" thickBot="1" x14ac:dyDescent="0.3">
      <c r="A8265" s="34" t="s">
        <v>31</v>
      </c>
      <c r="B8265" s="2">
        <v>44237</v>
      </c>
      <c r="C8265" s="1">
        <v>195</v>
      </c>
      <c r="D8265" s="47">
        <f t="shared" si="664"/>
        <v>42987</v>
      </c>
      <c r="E8265" s="1">
        <v>6</v>
      </c>
      <c r="F8265" s="47">
        <f t="shared" si="665"/>
        <v>778</v>
      </c>
      <c r="G8265" s="212">
        <f>SUM(C8265,C8241,C8217,C8193,C8169,C8145,C8121,C8097,C8073,C8049,C8025,C8001,C7977,C7953)/POBLA!$B$8*100000</f>
        <v>215.51832988085522</v>
      </c>
      <c r="H8265" s="213">
        <f t="shared" ref="H8265:H8281" si="666">SUM(C8265,C8241,C8217,C8193,C8169,C8145,C8121,C8097,C8073,C8049,C8025,C8001,C7977,C7953)/SUM(C7929,C7905,C7881,C7857,C7833,C7809,C7785,C7761,C7737,C7713,C7689,C7665,C7641,C7617)</f>
        <v>0.57288070579209815</v>
      </c>
    </row>
    <row r="8266" spans="1:8" ht="15.75" thickBot="1" x14ac:dyDescent="0.3">
      <c r="A8266" s="34" t="s">
        <v>41</v>
      </c>
      <c r="B8266" s="2">
        <v>44237</v>
      </c>
      <c r="C8266" s="1">
        <v>5</v>
      </c>
      <c r="D8266" s="47">
        <f t="shared" si="664"/>
        <v>893</v>
      </c>
      <c r="F8266" s="47">
        <f t="shared" si="665"/>
        <v>9</v>
      </c>
      <c r="G8266" s="212">
        <f>SUM(C8266,C8242,C8218,C8194,C8170,C8146,C8122,C8098,C8074,C8050,C8026,C8002,C7978,C7954)/POBLA!$B$9*100000</f>
        <v>10.740375384381512</v>
      </c>
      <c r="H8266" s="213">
        <f t="shared" si="666"/>
        <v>0.16129032258064516</v>
      </c>
    </row>
    <row r="8267" spans="1:8" ht="15.75" thickBot="1" x14ac:dyDescent="0.3">
      <c r="A8267" s="34" t="s">
        <v>32</v>
      </c>
      <c r="B8267" s="2">
        <v>44237</v>
      </c>
      <c r="C8267" s="1">
        <v>41</v>
      </c>
      <c r="D8267" s="47">
        <f t="shared" si="664"/>
        <v>19633</v>
      </c>
      <c r="F8267" s="47">
        <f t="shared" si="665"/>
        <v>887</v>
      </c>
      <c r="G8267" s="212">
        <f>SUM(C8267,C8243,C8219,C8195,C8171,C8147,C8123,C8099,C8075,C8051,C8027,C8003,C7979,C7955)/POBLA!$B$10*100000</f>
        <v>55.391169324448256</v>
      </c>
      <c r="H8267" s="213">
        <f t="shared" si="666"/>
        <v>0.90851063829787237</v>
      </c>
    </row>
    <row r="8268" spans="1:8" ht="15.75" thickBot="1" x14ac:dyDescent="0.3">
      <c r="A8268" s="34" t="s">
        <v>33</v>
      </c>
      <c r="B8268" s="2">
        <v>44237</v>
      </c>
      <c r="C8268" s="1">
        <v>63</v>
      </c>
      <c r="D8268" s="47">
        <f t="shared" si="664"/>
        <v>17353</v>
      </c>
      <c r="F8268" s="47">
        <f t="shared" si="665"/>
        <v>265</v>
      </c>
      <c r="G8268" s="212">
        <f>SUM(C8268,C8244,C8220,C8196,C8172,C8148,C8124,C8100,C8076,C8052,C8028,C8004,C7980,C7956)/POBLA!$B$11*100000</f>
        <v>344.00214268974526</v>
      </c>
      <c r="H8268" s="213">
        <f t="shared" si="666"/>
        <v>0.67156862745098034</v>
      </c>
    </row>
    <row r="8269" spans="1:8" ht="15.75" thickBot="1" x14ac:dyDescent="0.3">
      <c r="A8269" s="34" t="s">
        <v>21</v>
      </c>
      <c r="B8269" s="2">
        <v>44237</v>
      </c>
      <c r="C8269" s="1">
        <v>28</v>
      </c>
      <c r="D8269" s="47">
        <f t="shared" si="664"/>
        <v>9732</v>
      </c>
      <c r="F8269" s="47">
        <f t="shared" si="665"/>
        <v>415</v>
      </c>
      <c r="G8269" s="212">
        <f>SUM(C8269,C8245,C8221,C8197,C8173,C8149,C8125,C8101,C8077,C8053,C8029,C8005,C7981,C7957)/POBLA!$B$12*100000</f>
        <v>62.002739301351106</v>
      </c>
      <c r="H8269" s="213">
        <f t="shared" si="666"/>
        <v>1.0124481327800829</v>
      </c>
    </row>
    <row r="8270" spans="1:8" ht="15.75" thickBot="1" x14ac:dyDescent="0.3">
      <c r="A8270" s="34" t="s">
        <v>17</v>
      </c>
      <c r="B8270" s="2">
        <v>44237</v>
      </c>
      <c r="C8270" s="1">
        <v>187</v>
      </c>
      <c r="D8270" s="47">
        <f t="shared" si="664"/>
        <v>65227</v>
      </c>
      <c r="E8270" s="1">
        <v>4</v>
      </c>
      <c r="F8270" s="47">
        <f t="shared" si="665"/>
        <v>1408</v>
      </c>
      <c r="G8270" s="212">
        <f>SUM(C8270,C8246,C8222,C8198,C8174,C8150,C8126,C8102,C8078,C8054,C8030,C8006,C7982,C7958)/POBLA!$B$13*100000</f>
        <v>88.226220873037647</v>
      </c>
      <c r="H8270" s="213">
        <f t="shared" si="666"/>
        <v>1.0150289017341041</v>
      </c>
    </row>
    <row r="8271" spans="1:8" ht="15.75" thickBot="1" x14ac:dyDescent="0.3">
      <c r="A8271" s="34" t="s">
        <v>23</v>
      </c>
      <c r="B8271" s="2">
        <v>44237</v>
      </c>
      <c r="C8271" s="1">
        <v>78</v>
      </c>
      <c r="D8271" s="47">
        <f t="shared" si="664"/>
        <v>6293</v>
      </c>
      <c r="E8271" s="1">
        <v>3</v>
      </c>
      <c r="F8271" s="47">
        <f t="shared" si="665"/>
        <v>112</v>
      </c>
      <c r="G8271" s="212">
        <f>SUM(C8271,C8247,C8223,C8199,C8175,C8151,C8127,C8103,C8079,C8055,C8031,C8007,C7983,C7959)/POBLA!$B$14*100000</f>
        <v>180.05318347665175</v>
      </c>
      <c r="H8271" s="213">
        <f t="shared" si="666"/>
        <v>0.9175757575757576</v>
      </c>
    </row>
    <row r="8272" spans="1:8" ht="15.75" thickBot="1" x14ac:dyDescent="0.3">
      <c r="A8272" s="34" t="s">
        <v>19</v>
      </c>
      <c r="B8272" s="2">
        <v>44237</v>
      </c>
      <c r="C8272" s="1">
        <v>386</v>
      </c>
      <c r="D8272" s="47">
        <f t="shared" si="664"/>
        <v>57622</v>
      </c>
      <c r="E8272" s="1">
        <v>4</v>
      </c>
      <c r="F8272" s="47">
        <f t="shared" si="665"/>
        <v>806</v>
      </c>
      <c r="G8272" s="212">
        <f>SUM(C8272,C8248,C8224,C8200,C8176,C8152,C8128,C8104,C8080,C8056,C8032,C8008,C7984,C7960)/POBLA!$B$15*100000</f>
        <v>759.12158143050976</v>
      </c>
      <c r="H8272" s="213">
        <f t="shared" si="666"/>
        <v>0.85209601081812036</v>
      </c>
    </row>
    <row r="8273" spans="1:8" ht="15.75" thickBot="1" x14ac:dyDescent="0.3">
      <c r="A8273" s="34" t="s">
        <v>18</v>
      </c>
      <c r="B8273" s="2">
        <v>44237</v>
      </c>
      <c r="C8273" s="1">
        <v>221</v>
      </c>
      <c r="D8273" s="47">
        <f t="shared" si="664"/>
        <v>50017</v>
      </c>
      <c r="E8273" s="1">
        <v>3</v>
      </c>
      <c r="F8273" s="47">
        <f t="shared" si="665"/>
        <v>1108</v>
      </c>
      <c r="G8273" s="212">
        <f>SUM(C8273,C8249,C8225,C8201,C8177,C8153,C8129,C8105,C8081,C8057,C8033,C8009,C7985,C7961)/POBLA!$B$16*100000</f>
        <v>404.75649068364521</v>
      </c>
      <c r="H8273" s="213">
        <f t="shared" si="666"/>
        <v>0.6954723052171915</v>
      </c>
    </row>
    <row r="8274" spans="1:8" ht="15.75" thickBot="1" x14ac:dyDescent="0.3">
      <c r="A8274" s="34" t="s">
        <v>34</v>
      </c>
      <c r="B8274" s="2">
        <v>44237</v>
      </c>
      <c r="C8274" s="1">
        <v>100</v>
      </c>
      <c r="D8274" s="47">
        <f t="shared" si="664"/>
        <v>24513</v>
      </c>
      <c r="E8274" s="1">
        <v>2</v>
      </c>
      <c r="F8274" s="47">
        <f t="shared" si="665"/>
        <v>1055</v>
      </c>
      <c r="G8274" s="212">
        <f>SUM(C8274,C8250,C8226,C8202,C8178,C8154,C8130,C8106,C8082,C8058,C8034,C8010,C7986,C7962)/POBLA!$B$17*100000</f>
        <v>64.448324448872043</v>
      </c>
      <c r="H8274" s="213">
        <f t="shared" si="666"/>
        <v>1.2540983606557377</v>
      </c>
    </row>
    <row r="8275" spans="1:8" ht="15.75" thickBot="1" x14ac:dyDescent="0.3">
      <c r="A8275" s="34" t="s">
        <v>35</v>
      </c>
      <c r="B8275" s="2">
        <v>44237</v>
      </c>
      <c r="C8275" s="1">
        <v>52</v>
      </c>
      <c r="D8275" s="47">
        <f t="shared" si="664"/>
        <v>14457</v>
      </c>
      <c r="F8275" s="47">
        <f t="shared" si="665"/>
        <v>203</v>
      </c>
      <c r="G8275" s="212">
        <f>SUM(C8275,C8251,C8227,C8203,C8179,C8155,C8131,C8107,C8083,C8059,C8035,C8011,C7987,C7963)/POBLA!$B$18*100000</f>
        <v>89.091763236079089</v>
      </c>
      <c r="H8275" s="213">
        <f t="shared" si="666"/>
        <v>0.75488069414316705</v>
      </c>
    </row>
    <row r="8276" spans="1:8" ht="15.75" thickBot="1" x14ac:dyDescent="0.3">
      <c r="A8276" s="34" t="s">
        <v>36</v>
      </c>
      <c r="B8276" s="2">
        <v>44237</v>
      </c>
      <c r="C8276" s="1">
        <v>5</v>
      </c>
      <c r="D8276" s="47">
        <f t="shared" si="664"/>
        <v>19124</v>
      </c>
      <c r="F8276" s="47">
        <f t="shared" si="665"/>
        <v>338</v>
      </c>
      <c r="G8276" s="212">
        <f>SUM(C8276,C8252,C8228,C8204,C8180,C8156,C8132,C8108,C8084,C8060,C8036,C8012,C7988,C7964)/POBLA!$B$19*100000</f>
        <v>48.197226987299537</v>
      </c>
      <c r="H8276" s="213">
        <f t="shared" si="666"/>
        <v>0.11254019292604502</v>
      </c>
    </row>
    <row r="8277" spans="1:8" ht="15.75" thickBot="1" x14ac:dyDescent="0.3">
      <c r="A8277" s="34" t="s">
        <v>37</v>
      </c>
      <c r="B8277" s="2">
        <v>44237</v>
      </c>
      <c r="C8277" s="1">
        <v>127</v>
      </c>
      <c r="D8277" s="47">
        <f t="shared" si="664"/>
        <v>34177</v>
      </c>
      <c r="E8277" s="1">
        <v>3</v>
      </c>
      <c r="F8277" s="47">
        <f t="shared" si="665"/>
        <v>523</v>
      </c>
      <c r="G8277" s="212">
        <f>SUM(C8277,C8253,C8229,C8205,C8181,C8157,C8133,C8109,C8085,C8061,C8037,C8013,C7989,C7965)/POBLA!$B$20*100000</f>
        <v>597.21409469015418</v>
      </c>
      <c r="H8277" s="213">
        <f t="shared" si="666"/>
        <v>0.58380112269446671</v>
      </c>
    </row>
    <row r="8278" spans="1:8" ht="15.75" thickBot="1" x14ac:dyDescent="0.3">
      <c r="A8278" s="34" t="s">
        <v>22</v>
      </c>
      <c r="B8278" s="2">
        <v>44237</v>
      </c>
      <c r="C8278" s="1">
        <v>533</v>
      </c>
      <c r="D8278" s="47">
        <f t="shared" si="664"/>
        <v>210514</v>
      </c>
      <c r="E8278" s="1">
        <v>3</v>
      </c>
      <c r="F8278" s="47">
        <f t="shared" si="665"/>
        <v>3762</v>
      </c>
      <c r="G8278" s="212">
        <f>SUM(C8278,C8254,C8230,C8206,C8182,C8158,C8134,C8110,C8086,C8062,C8038,C8014,C7990,C7966)/POBLA!$B$21*100000</f>
        <v>189.82484536613035</v>
      </c>
      <c r="H8278" s="213">
        <f t="shared" si="666"/>
        <v>0.50265818045675781</v>
      </c>
    </row>
    <row r="8279" spans="1:8" ht="15.75" thickBot="1" x14ac:dyDescent="0.3">
      <c r="A8279" s="34" t="s">
        <v>38</v>
      </c>
      <c r="B8279" s="2">
        <v>44237</v>
      </c>
      <c r="C8279" s="1">
        <v>91</v>
      </c>
      <c r="D8279" s="47">
        <f t="shared" si="664"/>
        <v>21633</v>
      </c>
      <c r="E8279" s="1">
        <v>2</v>
      </c>
      <c r="F8279" s="47">
        <f t="shared" si="665"/>
        <v>255</v>
      </c>
      <c r="G8279" s="212">
        <f>SUM(C8279,C8255,C8231,C8207,C8183,C8159,C8135,C8111,C8087,C8063,C8039,C8015,C7991,C7967)/POBLA!$B$22*100000</f>
        <v>100.27465647497273</v>
      </c>
      <c r="H8279" s="213">
        <f t="shared" si="666"/>
        <v>0.61312500000000003</v>
      </c>
    </row>
    <row r="8280" spans="1:8" ht="15.75" thickBot="1" x14ac:dyDescent="0.3">
      <c r="A8280" s="34" t="s">
        <v>39</v>
      </c>
      <c r="B8280" s="2">
        <v>44237</v>
      </c>
      <c r="C8280" s="1">
        <v>110</v>
      </c>
      <c r="D8280" s="47">
        <f t="shared" si="664"/>
        <v>22318</v>
      </c>
      <c r="F8280" s="47">
        <f t="shared" si="665"/>
        <v>342</v>
      </c>
      <c r="G8280" s="212">
        <f>SUM(C8280,C8256,C8232,C8208,C8184,C8160,C8136,C8112,C8088,C8064,C8040,C8016,C7992,C7968)/POBLA!$B$23*100000</f>
        <v>373.80534977096647</v>
      </c>
      <c r="H8280" s="213">
        <f t="shared" si="666"/>
        <v>0.5703192407247627</v>
      </c>
    </row>
    <row r="8281" spans="1:8" ht="15.75" thickBot="1" x14ac:dyDescent="0.3">
      <c r="A8281" s="34" t="s">
        <v>40</v>
      </c>
      <c r="B8281" s="2">
        <v>44237</v>
      </c>
      <c r="C8281" s="1">
        <v>108</v>
      </c>
      <c r="D8281" s="214">
        <f t="shared" si="664"/>
        <v>77619</v>
      </c>
      <c r="E8281" s="1">
        <v>2</v>
      </c>
      <c r="F8281" s="214">
        <f t="shared" si="665"/>
        <v>1451</v>
      </c>
      <c r="G8281" s="212">
        <f>SUM(C8281,C8257,C8233,C8209,C8185,C8161,C8137,C8113,C8089,C8065,C8041,C8017,C7993,C7969)/POBLA!$B$24*100000</f>
        <v>101.55453378148721</v>
      </c>
      <c r="H8281" s="216">
        <f t="shared" si="666"/>
        <v>0.75383267630310991</v>
      </c>
    </row>
    <row r="8282" spans="1:8" ht="15.75" thickBot="1" x14ac:dyDescent="0.3">
      <c r="A8282" s="34" t="s">
        <v>16</v>
      </c>
      <c r="B8282" s="2">
        <v>44238</v>
      </c>
      <c r="C8282" s="1">
        <v>3150</v>
      </c>
      <c r="D8282" s="211">
        <f t="shared" si="664"/>
        <v>838354</v>
      </c>
      <c r="E8282" s="1">
        <v>100</v>
      </c>
      <c r="F8282" s="211">
        <f>E8282+F8258</f>
        <v>25333</v>
      </c>
      <c r="G8282" s="212">
        <f>SUM(C8282,C8258,C8234,C8210,C8186,C8162,C8138,C8114,C8090,C8066,C8042,C8018,C7994,C7970)/POBLA!$B$1*100000</f>
        <v>249.59607815705945</v>
      </c>
      <c r="H8282" s="196">
        <f t="shared" ref="H8282:H8288" si="667">SUM(C8282,C8258,C8234,C8210,C8186,C8162,C8138,C8114,C8090,C8066,C8042,C8018,C7994,C7970)/SUM(C7946,C7922,C7898,C7874,C7850,C7826,C7802,C7778,C7754,C7730,C7706,C7682,C7658,C7634)</f>
        <v>0.81100305640455683</v>
      </c>
    </row>
    <row r="8283" spans="1:8" ht="15.75" thickBot="1" x14ac:dyDescent="0.3">
      <c r="A8283" s="34" t="s">
        <v>43</v>
      </c>
      <c r="B8283" s="2">
        <v>44238</v>
      </c>
      <c r="C8283" s="1">
        <v>766</v>
      </c>
      <c r="D8283" s="47">
        <f t="shared" si="664"/>
        <v>220433</v>
      </c>
      <c r="E8283" s="1">
        <v>8</v>
      </c>
      <c r="F8283" s="47">
        <f t="shared" ref="F8283:F8305" si="668">E8283+F8259</f>
        <v>6240</v>
      </c>
      <c r="G8283" s="212">
        <f>SUM(C8283,C8259,C8235,C8211,C8187,C8163,C8139,C8115,C8091,C8067,C8043,C8019,C7995,C7971)/POBLA!$B$2*100000</f>
        <v>425.53661897370506</v>
      </c>
      <c r="H8283" s="213">
        <f t="shared" si="667"/>
        <v>0.80472208558780123</v>
      </c>
    </row>
    <row r="8284" spans="1:8" ht="15.75" thickBot="1" x14ac:dyDescent="0.3">
      <c r="A8284" s="34" t="s">
        <v>28</v>
      </c>
      <c r="B8284" s="2">
        <v>44238</v>
      </c>
      <c r="C8284" s="1">
        <v>100</v>
      </c>
      <c r="D8284" s="47">
        <f t="shared" si="664"/>
        <v>6561</v>
      </c>
      <c r="F8284" s="47">
        <f t="shared" si="668"/>
        <v>17</v>
      </c>
      <c r="G8284" s="212">
        <f>SUM(C8284,C8260,C8236,C8212,C8188,C8164,C8140,C8116,C8092,C8068,C8044,C8020,C7996,C7972)/POBLA!$B$3*100000</f>
        <v>366.11961351633698</v>
      </c>
      <c r="H8284" s="213">
        <f t="shared" si="667"/>
        <v>0.94707347447073476</v>
      </c>
    </row>
    <row r="8285" spans="1:8" ht="15.75" thickBot="1" x14ac:dyDescent="0.3">
      <c r="A8285" s="34" t="s">
        <v>15</v>
      </c>
      <c r="B8285" s="2">
        <v>44238</v>
      </c>
      <c r="C8285" s="1">
        <v>138</v>
      </c>
      <c r="D8285" s="47">
        <f t="shared" si="664"/>
        <v>32172</v>
      </c>
      <c r="E8285" s="1">
        <v>3</v>
      </c>
      <c r="F8285" s="47">
        <f t="shared" si="668"/>
        <v>830</v>
      </c>
      <c r="G8285" s="212">
        <f>SUM(C8285,C8261,C8237,C8213,C8189,C8165,C8141,C8117,C8093,C8069,C8045,C8021,C7997,C7973)/POBLA!$B$4*100000</f>
        <v>151.26093673855851</v>
      </c>
      <c r="H8285" s="213">
        <f t="shared" si="667"/>
        <v>0.75664451827242529</v>
      </c>
    </row>
    <row r="8286" spans="1:8" ht="15.75" thickBot="1" x14ac:dyDescent="0.3">
      <c r="A8286" s="34" t="s">
        <v>29</v>
      </c>
      <c r="B8286" s="2">
        <v>44238</v>
      </c>
      <c r="C8286" s="1">
        <v>240</v>
      </c>
      <c r="D8286" s="47">
        <f t="shared" si="664"/>
        <v>44805</v>
      </c>
      <c r="E8286" s="1">
        <v>5</v>
      </c>
      <c r="F8286" s="47">
        <f t="shared" si="668"/>
        <v>684</v>
      </c>
      <c r="G8286" s="212">
        <f>SUM(C8286,C8262,C8238,C8214,C8190,C8166,C8142,C8118,C8094,C8070,C8046,C8022,C7998,C7974)/POBLA!$B$5*100000</f>
        <v>519.22958865514045</v>
      </c>
      <c r="H8286" s="213">
        <f t="shared" si="667"/>
        <v>0.78524309797214753</v>
      </c>
    </row>
    <row r="8287" spans="1:8" ht="15.75" thickBot="1" x14ac:dyDescent="0.3">
      <c r="A8287" s="34" t="s">
        <v>30</v>
      </c>
      <c r="B8287" s="2">
        <v>44238</v>
      </c>
      <c r="C8287" s="1">
        <v>69</v>
      </c>
      <c r="D8287" s="47">
        <f t="shared" si="664"/>
        <v>19152</v>
      </c>
      <c r="E8287" s="1">
        <v>7</v>
      </c>
      <c r="F8287" s="47">
        <f t="shared" si="668"/>
        <v>218</v>
      </c>
      <c r="G8287" s="212">
        <f>SUM(C8287,C8263,C8239,C8215,C8191,C8167,C8143,C8119,C8095,C8071,C8047,C8023,C7999,C7975)/POBLA!$B$7*100000</f>
        <v>58.237710912257839</v>
      </c>
      <c r="H8287" s="213">
        <f t="shared" si="667"/>
        <v>0.72612732095490717</v>
      </c>
    </row>
    <row r="8288" spans="1:8" ht="15.75" thickBot="1" x14ac:dyDescent="0.3">
      <c r="A8288" s="34" t="s">
        <v>20</v>
      </c>
      <c r="B8288" s="2">
        <v>44238</v>
      </c>
      <c r="C8288" s="1">
        <v>656</v>
      </c>
      <c r="D8288" s="47">
        <f t="shared" si="664"/>
        <v>150564</v>
      </c>
      <c r="E8288" s="1">
        <v>8</v>
      </c>
      <c r="F8288" s="47">
        <f t="shared" si="668"/>
        <v>2765</v>
      </c>
      <c r="G8288" s="212">
        <f>SUM(C8288,C8264,C8240,C8216,C8192,C8168,C8144,C8120,C8096,C8072,C8048,C8024,C8000,C7976)/POBLA!$B$6*100000</f>
        <v>598.94664619321361</v>
      </c>
      <c r="H8288" s="213">
        <f t="shared" si="667"/>
        <v>1.0192833282720923</v>
      </c>
    </row>
    <row r="8289" spans="1:8" ht="15.75" thickBot="1" x14ac:dyDescent="0.3">
      <c r="A8289" s="34" t="s">
        <v>31</v>
      </c>
      <c r="B8289" s="2">
        <v>44238</v>
      </c>
      <c r="C8289" s="1">
        <v>165</v>
      </c>
      <c r="D8289" s="47">
        <f t="shared" si="664"/>
        <v>43152</v>
      </c>
      <c r="E8289" s="1">
        <v>6</v>
      </c>
      <c r="F8289" s="47">
        <f t="shared" si="668"/>
        <v>784</v>
      </c>
      <c r="G8289" s="212">
        <f>SUM(C8289,C8265,C8241,C8217,C8193,C8169,C8145,C8121,C8097,C8073,C8049,C8025,C8001,C7977)/POBLA!$B$8*100000</f>
        <v>204.62336241784581</v>
      </c>
      <c r="H8289" s="213">
        <f t="shared" ref="H8289:H8305" si="669">SUM(C8289,C8265,C8241,C8217,C8193,C8169,C8145,C8121,C8097,C8073,C8049,C8025,C8001,C7977)/SUM(C7953,C7929,C7905,C7881,C7857,C7833,C7809,C7785,C7761,C7737,C7713,C7689,C7665,C7641)</f>
        <v>0.56822280104187539</v>
      </c>
    </row>
    <row r="8290" spans="1:8" ht="15.75" thickBot="1" x14ac:dyDescent="0.3">
      <c r="A8290" s="34" t="s">
        <v>41</v>
      </c>
      <c r="B8290" s="2">
        <v>44238</v>
      </c>
      <c r="C8290" s="1">
        <v>19</v>
      </c>
      <c r="D8290" s="47">
        <f t="shared" si="664"/>
        <v>912</v>
      </c>
      <c r="F8290" s="47">
        <f t="shared" si="668"/>
        <v>9</v>
      </c>
      <c r="G8290" s="212">
        <f>SUM(C8290,C8266,C8242,C8218,C8194,C8170,C8146,C8122,C8098,C8074,C8050,C8026,C8002,C7978)/POBLA!$B$9*100000</f>
        <v>13.053687005632915</v>
      </c>
      <c r="H8290" s="213">
        <f t="shared" si="669"/>
        <v>0.23723723723723725</v>
      </c>
    </row>
    <row r="8291" spans="1:8" ht="15.75" thickBot="1" x14ac:dyDescent="0.3">
      <c r="A8291" s="34" t="s">
        <v>32</v>
      </c>
      <c r="B8291" s="2">
        <v>44238</v>
      </c>
      <c r="C8291" s="1">
        <v>27</v>
      </c>
      <c r="D8291" s="47">
        <f t="shared" si="664"/>
        <v>19660</v>
      </c>
      <c r="E8291" s="1">
        <v>1</v>
      </c>
      <c r="F8291" s="47">
        <f t="shared" si="668"/>
        <v>888</v>
      </c>
      <c r="G8291" s="212">
        <f>SUM(C8291,C8267,C8243,C8219,C8195,C8171,C8147,C8123,C8099,C8075,C8051,C8027,C8003,C7979)/POBLA!$B$10*100000</f>
        <v>53.704787120191057</v>
      </c>
      <c r="H8291" s="213">
        <f t="shared" si="669"/>
        <v>0.85010266940451751</v>
      </c>
    </row>
    <row r="8292" spans="1:8" ht="15.75" thickBot="1" x14ac:dyDescent="0.3">
      <c r="A8292" s="34" t="s">
        <v>33</v>
      </c>
      <c r="B8292" s="2">
        <v>44238</v>
      </c>
      <c r="C8292" s="1">
        <v>122</v>
      </c>
      <c r="D8292" s="47">
        <f t="shared" si="664"/>
        <v>17475</v>
      </c>
      <c r="E8292" s="1">
        <v>3</v>
      </c>
      <c r="F8292" s="47">
        <f t="shared" si="668"/>
        <v>268</v>
      </c>
      <c r="G8292" s="212">
        <f>SUM(C8292,C8268,C8244,C8220,C8196,C8172,C8148,C8124,C8100,C8076,C8052,C8028,C8004,C7980)/POBLA!$B$11*100000</f>
        <v>345.11812693204774</v>
      </c>
      <c r="H8292" s="213">
        <f t="shared" si="669"/>
        <v>0.72807533843437311</v>
      </c>
    </row>
    <row r="8293" spans="1:8" ht="15.75" thickBot="1" x14ac:dyDescent="0.3">
      <c r="A8293" s="34" t="s">
        <v>21</v>
      </c>
      <c r="B8293" s="2">
        <v>44238</v>
      </c>
      <c r="C8293" s="1">
        <v>23</v>
      </c>
      <c r="D8293" s="47">
        <f t="shared" si="664"/>
        <v>9755</v>
      </c>
      <c r="F8293" s="47">
        <f t="shared" si="668"/>
        <v>415</v>
      </c>
      <c r="G8293" s="212">
        <f>SUM(C8293,C8269,C8245,C8221,C8197,C8173,C8149,C8125,C8101,C8077,C8053,C8029,C8005,C7981)/POBLA!$B$12*100000</f>
        <v>65.306163936259154</v>
      </c>
      <c r="H8293" s="213">
        <f t="shared" si="669"/>
        <v>1.0753138075313808</v>
      </c>
    </row>
    <row r="8294" spans="1:8" ht="15.75" thickBot="1" x14ac:dyDescent="0.3">
      <c r="A8294" s="34" t="s">
        <v>17</v>
      </c>
      <c r="B8294" s="2">
        <v>44238</v>
      </c>
      <c r="C8294" s="1">
        <v>148</v>
      </c>
      <c r="D8294" s="47">
        <f t="shared" si="664"/>
        <v>65375</v>
      </c>
      <c r="E8294" s="1">
        <v>3</v>
      </c>
      <c r="F8294" s="47">
        <f t="shared" si="668"/>
        <v>1411</v>
      </c>
      <c r="G8294" s="212">
        <f>SUM(C8294,C8270,C8246,C8222,C8198,C8174,C8150,C8126,C8102,C8078,C8054,C8030,C8006,C7982)/POBLA!$B$13*100000</f>
        <v>90.587628834901409</v>
      </c>
      <c r="H8294" s="213">
        <f t="shared" si="669"/>
        <v>1.0802875973636907</v>
      </c>
    </row>
    <row r="8295" spans="1:8" ht="15.75" thickBot="1" x14ac:dyDescent="0.3">
      <c r="A8295" s="34" t="s">
        <v>23</v>
      </c>
      <c r="B8295" s="2">
        <v>44238</v>
      </c>
      <c r="C8295" s="1">
        <v>122</v>
      </c>
      <c r="D8295" s="47">
        <f t="shared" si="664"/>
        <v>6415</v>
      </c>
      <c r="E8295" s="1">
        <v>3</v>
      </c>
      <c r="F8295" s="47">
        <f t="shared" si="668"/>
        <v>115</v>
      </c>
      <c r="G8295" s="212">
        <f>SUM(C8295,C8271,C8247,C8223,C8199,C8175,C8151,C8127,C8103,C8079,C8055,C8031,C8007,C7983)/POBLA!$B$14*100000</f>
        <v>179.41891422618357</v>
      </c>
      <c r="H8295" s="213">
        <f t="shared" si="669"/>
        <v>0.94686192468619246</v>
      </c>
    </row>
    <row r="8296" spans="1:8" ht="15.75" thickBot="1" x14ac:dyDescent="0.3">
      <c r="A8296" s="34" t="s">
        <v>19</v>
      </c>
      <c r="B8296" s="2">
        <v>44238</v>
      </c>
      <c r="C8296" s="1">
        <v>316</v>
      </c>
      <c r="D8296" s="47">
        <f t="shared" si="664"/>
        <v>57938</v>
      </c>
      <c r="E8296" s="1">
        <v>10</v>
      </c>
      <c r="F8296" s="47">
        <f t="shared" si="668"/>
        <v>816</v>
      </c>
      <c r="G8296" s="212">
        <f>SUM(C8296,C8272,C8248,C8224,C8200,C8176,C8152,C8128,C8104,C8080,C8056,C8032,C8008,C7984)/POBLA!$B$15*100000</f>
        <v>736.98492749869365</v>
      </c>
      <c r="H8296" s="213">
        <f t="shared" si="669"/>
        <v>0.83701043270053022</v>
      </c>
    </row>
    <row r="8297" spans="1:8" ht="15.75" thickBot="1" x14ac:dyDescent="0.3">
      <c r="A8297" s="34" t="s">
        <v>18</v>
      </c>
      <c r="B8297" s="2">
        <v>44238</v>
      </c>
      <c r="C8297" s="1">
        <v>223</v>
      </c>
      <c r="D8297" s="47">
        <f t="shared" si="664"/>
        <v>50240</v>
      </c>
      <c r="E8297" s="1">
        <v>3</v>
      </c>
      <c r="F8297" s="47">
        <f t="shared" si="668"/>
        <v>1111</v>
      </c>
      <c r="G8297" s="212">
        <f>SUM(C8297,C8273,C8249,C8225,C8201,C8177,C8153,C8129,C8105,C8081,C8057,C8033,C8009,C7985)/POBLA!$B$16*100000</f>
        <v>392.98564759700912</v>
      </c>
      <c r="H8297" s="213">
        <f t="shared" si="669"/>
        <v>0.69538461538461538</v>
      </c>
    </row>
    <row r="8298" spans="1:8" ht="15.75" thickBot="1" x14ac:dyDescent="0.3">
      <c r="A8298" s="34" t="s">
        <v>34</v>
      </c>
      <c r="B8298" s="2">
        <v>44238</v>
      </c>
      <c r="C8298" s="1">
        <v>96</v>
      </c>
      <c r="D8298" s="47">
        <f t="shared" si="664"/>
        <v>24609</v>
      </c>
      <c r="E8298" s="1">
        <v>4</v>
      </c>
      <c r="F8298" s="47">
        <f t="shared" si="668"/>
        <v>1059</v>
      </c>
      <c r="G8298" s="212">
        <f>SUM(C8298,C8274,C8250,C8226,C8202,C8178,C8154,C8130,C8106,C8082,C8058,C8034,C8010,C7986)/POBLA!$B$17*100000</f>
        <v>65.220581059915176</v>
      </c>
      <c r="H8298" s="213">
        <f t="shared" si="669"/>
        <v>1.2223684210526315</v>
      </c>
    </row>
    <row r="8299" spans="1:8" ht="15.75" thickBot="1" x14ac:dyDescent="0.3">
      <c r="A8299" s="34" t="s">
        <v>35</v>
      </c>
      <c r="B8299" s="2">
        <v>44238</v>
      </c>
      <c r="C8299" s="1">
        <v>80</v>
      </c>
      <c r="D8299" s="47">
        <f t="shared" si="664"/>
        <v>14537</v>
      </c>
      <c r="F8299" s="47">
        <f t="shared" si="668"/>
        <v>203</v>
      </c>
      <c r="G8299" s="212">
        <f>SUM(C8299,C8275,C8251,C8227,C8203,C8179,C8155,C8131,C8107,C8083,C8059,C8035,C8011,C7987)/POBLA!$B$18*100000</f>
        <v>89.859795677769426</v>
      </c>
      <c r="H8299" s="213">
        <f t="shared" si="669"/>
        <v>0.76470588235294112</v>
      </c>
    </row>
    <row r="8300" spans="1:8" ht="15.75" thickBot="1" x14ac:dyDescent="0.3">
      <c r="A8300" s="34" t="s">
        <v>36</v>
      </c>
      <c r="B8300" s="2">
        <v>44238</v>
      </c>
      <c r="C8300" s="1">
        <v>21</v>
      </c>
      <c r="D8300" s="47">
        <f t="shared" si="664"/>
        <v>19145</v>
      </c>
      <c r="E8300" s="1">
        <v>6</v>
      </c>
      <c r="F8300" s="47">
        <f t="shared" si="668"/>
        <v>344</v>
      </c>
      <c r="G8300" s="212">
        <f>SUM(C8300,C8276,C8252,C8228,C8204,C8180,C8156,C8132,C8108,C8084,C8060,C8036,C8012,C7988)/POBLA!$B$19*100000</f>
        <v>38.951228340756366</v>
      </c>
      <c r="H8300" s="213">
        <f t="shared" si="669"/>
        <v>9.0534979423868317E-2</v>
      </c>
    </row>
    <row r="8301" spans="1:8" ht="15.75" thickBot="1" x14ac:dyDescent="0.3">
      <c r="A8301" s="34" t="s">
        <v>37</v>
      </c>
      <c r="B8301" s="2">
        <v>44238</v>
      </c>
      <c r="C8301" s="1">
        <v>114</v>
      </c>
      <c r="D8301" s="47">
        <f t="shared" si="664"/>
        <v>34291</v>
      </c>
      <c r="E8301" s="1">
        <v>3</v>
      </c>
      <c r="F8301" s="47">
        <f t="shared" si="668"/>
        <v>526</v>
      </c>
      <c r="G8301" s="212">
        <f>SUM(C8301,C8277,C8253,C8229,C8205,C8181,C8157,C8133,C8109,C8085,C8061,C8037,C8013,C7989)/POBLA!$B$20*100000</f>
        <v>588.19025534730849</v>
      </c>
      <c r="H8301" s="213">
        <f t="shared" si="669"/>
        <v>0.59700249791840132</v>
      </c>
    </row>
    <row r="8302" spans="1:8" ht="15.75" thickBot="1" x14ac:dyDescent="0.3">
      <c r="A8302" s="34" t="s">
        <v>22</v>
      </c>
      <c r="B8302" s="2">
        <v>44238</v>
      </c>
      <c r="C8302" s="1">
        <v>456</v>
      </c>
      <c r="D8302" s="47">
        <f t="shared" si="664"/>
        <v>210970</v>
      </c>
      <c r="E8302" s="1">
        <v>21</v>
      </c>
      <c r="F8302" s="47">
        <f t="shared" si="668"/>
        <v>3783</v>
      </c>
      <c r="G8302" s="212">
        <f>SUM(C8302,C8278,C8254,C8230,C8206,C8182,C8158,C8134,C8110,C8086,C8062,C8038,C8014,C7990)/POBLA!$B$21*100000</f>
        <v>183.99974211193359</v>
      </c>
      <c r="H8302" s="213">
        <f t="shared" si="669"/>
        <v>0.51552844240215501</v>
      </c>
    </row>
    <row r="8303" spans="1:8" ht="15.75" thickBot="1" x14ac:dyDescent="0.3">
      <c r="A8303" s="34" t="s">
        <v>38</v>
      </c>
      <c r="B8303" s="2">
        <v>44238</v>
      </c>
      <c r="C8303" s="1">
        <v>89</v>
      </c>
      <c r="D8303" s="47">
        <f t="shared" si="664"/>
        <v>21722</v>
      </c>
      <c r="E8303" s="1">
        <v>1</v>
      </c>
      <c r="F8303" s="47">
        <f t="shared" si="668"/>
        <v>256</v>
      </c>
      <c r="G8303" s="212">
        <f>SUM(C8303,C8279,C8255,C8231,C8207,C8183,C8159,C8135,C8111,C8087,C8063,C8039,C8015,C7991)/POBLA!$B$22*100000</f>
        <v>102.11455842864196</v>
      </c>
      <c r="H8303" s="213">
        <f t="shared" si="669"/>
        <v>0.67820773930753564</v>
      </c>
    </row>
    <row r="8304" spans="1:8" ht="15.75" thickBot="1" x14ac:dyDescent="0.3">
      <c r="A8304" s="34" t="s">
        <v>39</v>
      </c>
      <c r="B8304" s="2">
        <v>44238</v>
      </c>
      <c r="C8304" s="1">
        <v>48</v>
      </c>
      <c r="D8304" s="47">
        <f t="shared" si="664"/>
        <v>22366</v>
      </c>
      <c r="E8304" s="1">
        <v>1</v>
      </c>
      <c r="F8304" s="47">
        <f t="shared" si="668"/>
        <v>343</v>
      </c>
      <c r="G8304" s="212">
        <f>SUM(C8304,C8280,C8256,C8232,C8208,C8184,C8160,C8136,C8112,C8088,C8064,C8040,C8016,C7992)/POBLA!$B$23*100000</f>
        <v>380.02601368546061</v>
      </c>
      <c r="H8304" s="213">
        <f t="shared" si="669"/>
        <v>0.59786476868327398</v>
      </c>
    </row>
    <row r="8305" spans="1:8" ht="15.75" thickBot="1" x14ac:dyDescent="0.3">
      <c r="A8305" s="34" t="s">
        <v>40</v>
      </c>
      <c r="B8305" s="2">
        <v>44238</v>
      </c>
      <c r="C8305" s="1">
        <v>123</v>
      </c>
      <c r="D8305" s="214">
        <f t="shared" si="664"/>
        <v>77742</v>
      </c>
      <c r="E8305" s="1">
        <v>1</v>
      </c>
      <c r="F8305" s="214">
        <f t="shared" si="668"/>
        <v>1452</v>
      </c>
      <c r="G8305" s="212">
        <f>SUM(C8305,C8281,C8257,C8233,C8209,C8185,C8161,C8137,C8113,C8089,C8065,C8041,C8017,C7993)/POBLA!$B$24*100000</f>
        <v>95.122549945239626</v>
      </c>
      <c r="H8305" s="216">
        <f t="shared" si="669"/>
        <v>0.70577933450087571</v>
      </c>
    </row>
    <row r="8306" spans="1:8" ht="15.75" thickBot="1" x14ac:dyDescent="0.3">
      <c r="A8306" s="34" t="s">
        <v>16</v>
      </c>
      <c r="B8306" s="2">
        <v>44239</v>
      </c>
      <c r="C8306" s="1">
        <v>3207</v>
      </c>
      <c r="D8306" s="211">
        <f t="shared" si="664"/>
        <v>841561</v>
      </c>
      <c r="E8306" s="1">
        <v>82</v>
      </c>
      <c r="F8306" s="211">
        <f>E8306+F8282</f>
        <v>25415</v>
      </c>
      <c r="G8306" s="212">
        <f>SUM(C8306,C8282,C8258,C8234,C8210,C8186,C8162,C8138,C8114,C8090,C8066,C8042,C8018,C7994)/POBLA!$B$1*100000</f>
        <v>242.32175090548557</v>
      </c>
      <c r="H8306" s="196">
        <f t="shared" ref="H8306:H8312" si="670">SUM(C8306,C8282,C8258,C8234,C8210,C8186,C8162,C8138,C8114,C8090,C8066,C8042,C8018,C7994)/SUM(C7970,C7946,C7922,C7898,C7874,C7850,C7826,C7802,C7778,C7754,C7730,C7706,C7682,C7658)</f>
        <v>0.79116256561069132</v>
      </c>
    </row>
    <row r="8307" spans="1:8" ht="15.75" thickBot="1" x14ac:dyDescent="0.3">
      <c r="A8307" s="34" t="s">
        <v>43</v>
      </c>
      <c r="B8307" s="2">
        <v>44239</v>
      </c>
      <c r="C8307" s="1">
        <v>812</v>
      </c>
      <c r="D8307" s="47">
        <f t="shared" si="664"/>
        <v>221245</v>
      </c>
      <c r="E8307" s="1">
        <v>12</v>
      </c>
      <c r="F8307" s="47">
        <f t="shared" ref="F8307:F8329" si="671">E8307+F8283</f>
        <v>6252</v>
      </c>
      <c r="G8307" s="212">
        <f>SUM(C8307,C8283,C8259,C8235,C8211,C8187,C8163,C8139,C8115,C8091,C8067,C8043,C8019,C7995)/POBLA!$B$2*100000</f>
        <v>413.08395049365237</v>
      </c>
      <c r="H8307" s="213">
        <f t="shared" si="670"/>
        <v>0.78654119977713122</v>
      </c>
    </row>
    <row r="8308" spans="1:8" ht="15.75" thickBot="1" x14ac:dyDescent="0.3">
      <c r="A8308" s="34" t="s">
        <v>28</v>
      </c>
      <c r="B8308" s="2">
        <v>44239</v>
      </c>
      <c r="C8308" s="1">
        <v>122</v>
      </c>
      <c r="D8308" s="47">
        <f t="shared" si="664"/>
        <v>6683</v>
      </c>
      <c r="F8308" s="47">
        <f t="shared" si="671"/>
        <v>17</v>
      </c>
      <c r="G8308" s="212">
        <f>SUM(C8308,C8284,C8260,C8236,C8212,C8188,C8164,C8140,C8116,C8092,C8068,C8044,C8020,C7996)/POBLA!$B$3*100000</f>
        <v>367.80458215184939</v>
      </c>
      <c r="H8308" s="213">
        <f t="shared" si="670"/>
        <v>1.1523378582202111</v>
      </c>
    </row>
    <row r="8309" spans="1:8" ht="15.75" thickBot="1" x14ac:dyDescent="0.3">
      <c r="A8309" s="34" t="s">
        <v>15</v>
      </c>
      <c r="B8309" s="2">
        <v>44239</v>
      </c>
      <c r="C8309" s="1">
        <v>119</v>
      </c>
      <c r="D8309" s="47">
        <f t="shared" si="664"/>
        <v>32291</v>
      </c>
      <c r="E8309" s="1">
        <v>1</v>
      </c>
      <c r="F8309" s="47">
        <f t="shared" si="671"/>
        <v>831</v>
      </c>
      <c r="G8309" s="212">
        <f>SUM(C8309,C8285,C8261,C8237,C8213,C8189,C8165,C8141,C8117,C8093,C8069,C8045,C8021,C7997)/POBLA!$B$4*100000</f>
        <v>144.37034521863515</v>
      </c>
      <c r="H8309" s="213">
        <f t="shared" si="670"/>
        <v>0.72944630872483218</v>
      </c>
    </row>
    <row r="8310" spans="1:8" ht="15.75" thickBot="1" x14ac:dyDescent="0.3">
      <c r="A8310" s="34" t="s">
        <v>29</v>
      </c>
      <c r="B8310" s="2">
        <v>44239</v>
      </c>
      <c r="C8310" s="1">
        <v>232</v>
      </c>
      <c r="D8310" s="47">
        <f t="shared" si="664"/>
        <v>45037</v>
      </c>
      <c r="F8310" s="47">
        <f t="shared" si="671"/>
        <v>684</v>
      </c>
      <c r="G8310" s="212">
        <f>SUM(C8310,C8286,C8262,C8238,C8214,C8190,C8166,C8142,C8118,C8094,C8070,C8046,C8022,C7998)/POBLA!$B$5*100000</f>
        <v>493.38119594050994</v>
      </c>
      <c r="H8310" s="213">
        <f t="shared" si="670"/>
        <v>0.74908020603384839</v>
      </c>
    </row>
    <row r="8311" spans="1:8" ht="15.75" thickBot="1" x14ac:dyDescent="0.3">
      <c r="A8311" s="34" t="s">
        <v>30</v>
      </c>
      <c r="B8311" s="2">
        <v>44239</v>
      </c>
      <c r="C8311" s="1">
        <v>56</v>
      </c>
      <c r="D8311" s="47">
        <f t="shared" si="664"/>
        <v>19208</v>
      </c>
      <c r="E8311" s="1">
        <v>2</v>
      </c>
      <c r="F8311" s="47">
        <f t="shared" si="671"/>
        <v>220</v>
      </c>
      <c r="G8311" s="212">
        <f>SUM(C8311,C8287,C8263,C8239,C8215,C8191,C8167,C8143,C8119,C8095,C8071,C8047,C8023,C7999)/POBLA!$B$7*100000</f>
        <v>54.993418340890052</v>
      </c>
      <c r="H8311" s="213">
        <f t="shared" si="670"/>
        <v>0.81257367387033397</v>
      </c>
    </row>
    <row r="8312" spans="1:8" ht="15.75" thickBot="1" x14ac:dyDescent="0.3">
      <c r="A8312" s="34" t="s">
        <v>20</v>
      </c>
      <c r="B8312" s="2">
        <v>44239</v>
      </c>
      <c r="C8312" s="1">
        <v>649</v>
      </c>
      <c r="D8312" s="47">
        <f t="shared" si="664"/>
        <v>151213</v>
      </c>
      <c r="E8312" s="1">
        <v>5</v>
      </c>
      <c r="F8312" s="47">
        <f t="shared" si="671"/>
        <v>2770</v>
      </c>
      <c r="G8312" s="212">
        <f>SUM(C8312,C8288,C8264,C8240,C8216,C8192,C8168,C8144,C8120,C8096,C8072,C8048,C8024,C8000)/POBLA!$B$6*100000</f>
        <v>602.78318809494283</v>
      </c>
      <c r="H8312" s="213">
        <f t="shared" si="670"/>
        <v>0.97110823630875376</v>
      </c>
    </row>
    <row r="8313" spans="1:8" ht="15.75" thickBot="1" x14ac:dyDescent="0.3">
      <c r="A8313" s="34" t="s">
        <v>31</v>
      </c>
      <c r="B8313" s="2">
        <v>44239</v>
      </c>
      <c r="C8313" s="1">
        <v>169</v>
      </c>
      <c r="D8313" s="47">
        <f t="shared" si="664"/>
        <v>43321</v>
      </c>
      <c r="E8313" s="1">
        <v>5</v>
      </c>
      <c r="F8313" s="47">
        <f t="shared" si="671"/>
        <v>789</v>
      </c>
      <c r="G8313" s="212">
        <f>SUM(C8313,C8289,C8265,C8241,C8217,C8193,C8169,C8145,C8121,C8097,C8073,C8049,C8025,C8001)/POBLA!$B$8*100000</f>
        <v>194.73852438849289</v>
      </c>
      <c r="H8313" s="213">
        <f t="shared" ref="H8313:H8329" si="672">SUM(C8313,C8289,C8265,C8241,C8217,C8193,C8169,C8145,C8121,C8097,C8073,C8049,C8025,C8001)/SUM(C7977,C7953,C7929,C7905,C7881,C7857,C7833,C7809,C7785,C7761,C7737,C7713,C7689,C7665)</f>
        <v>0.56701680672268906</v>
      </c>
    </row>
    <row r="8314" spans="1:8" ht="15.75" thickBot="1" x14ac:dyDescent="0.3">
      <c r="A8314" s="34" t="s">
        <v>41</v>
      </c>
      <c r="B8314" s="2">
        <v>44239</v>
      </c>
      <c r="C8314" s="1">
        <v>25</v>
      </c>
      <c r="D8314" s="47">
        <f t="shared" si="664"/>
        <v>937</v>
      </c>
      <c r="F8314" s="47">
        <f t="shared" si="671"/>
        <v>9</v>
      </c>
      <c r="G8314" s="212">
        <f>SUM(C8314,C8290,C8266,C8242,C8218,C8194,C8170,C8146,C8122,C8098,C8074,C8050,C8026,C8002)/POBLA!$B$9*100000</f>
        <v>15.862708260009617</v>
      </c>
      <c r="H8314" s="213">
        <f t="shared" si="672"/>
        <v>0.33922261484098942</v>
      </c>
    </row>
    <row r="8315" spans="1:8" ht="15.75" thickBot="1" x14ac:dyDescent="0.3">
      <c r="A8315" s="34" t="s">
        <v>32</v>
      </c>
      <c r="B8315" s="2">
        <v>44239</v>
      </c>
      <c r="C8315" s="1">
        <v>35</v>
      </c>
      <c r="D8315" s="47">
        <f t="shared" si="664"/>
        <v>19695</v>
      </c>
      <c r="E8315" s="1">
        <v>1</v>
      </c>
      <c r="F8315" s="47">
        <f t="shared" si="671"/>
        <v>889</v>
      </c>
      <c r="G8315" s="212">
        <f>SUM(C8315,C8291,C8267,C8243,C8219,C8195,C8171,C8147,C8123,C8099,C8075,C8051,C8027,C8003)/POBLA!$B$10*100000</f>
        <v>54.48311736830977</v>
      </c>
      <c r="H8315" s="213">
        <f t="shared" si="672"/>
        <v>0.84848484848484851</v>
      </c>
    </row>
    <row r="8316" spans="1:8" ht="15.75" thickBot="1" x14ac:dyDescent="0.3">
      <c r="A8316" s="34" t="s">
        <v>33</v>
      </c>
      <c r="B8316" s="2">
        <v>44239</v>
      </c>
      <c r="C8316" s="1">
        <v>71</v>
      </c>
      <c r="D8316" s="47">
        <f t="shared" si="664"/>
        <v>17546</v>
      </c>
      <c r="F8316" s="47">
        <f t="shared" si="671"/>
        <v>268</v>
      </c>
      <c r="G8316" s="212">
        <f>SUM(C8316,C8292,C8268,C8244,C8220,C8196,C8172,C8148,C8124,C8100,C8076,C8052,C8028,C8004)/POBLA!$B$11*100000</f>
        <v>342.04917026571587</v>
      </c>
      <c r="H8316" s="213">
        <f t="shared" si="672"/>
        <v>0.77301387137452715</v>
      </c>
    </row>
    <row r="8317" spans="1:8" ht="15.75" thickBot="1" x14ac:dyDescent="0.3">
      <c r="A8317" s="34" t="s">
        <v>21</v>
      </c>
      <c r="B8317" s="2">
        <v>44239</v>
      </c>
      <c r="C8317" s="1">
        <v>29</v>
      </c>
      <c r="D8317" s="47">
        <f t="shared" si="664"/>
        <v>9784</v>
      </c>
      <c r="F8317" s="47">
        <f t="shared" si="671"/>
        <v>415</v>
      </c>
      <c r="G8317" s="212">
        <f>SUM(C8317,C8293,C8269,C8245,C8221,C8197,C8173,C8149,C8125,C8101,C8077,C8053,C8029,C8005)/POBLA!$B$12*100000</f>
        <v>68.355478983866576</v>
      </c>
      <c r="H8317" s="213">
        <f t="shared" si="672"/>
        <v>1.1069958847736625</v>
      </c>
    </row>
    <row r="8318" spans="1:8" ht="15.75" thickBot="1" x14ac:dyDescent="0.3">
      <c r="A8318" s="34" t="s">
        <v>17</v>
      </c>
      <c r="B8318" s="2">
        <v>44239</v>
      </c>
      <c r="C8318" s="1">
        <v>144</v>
      </c>
      <c r="D8318" s="47">
        <f t="shared" si="664"/>
        <v>65519</v>
      </c>
      <c r="E8318" s="1">
        <v>2</v>
      </c>
      <c r="F8318" s="47">
        <f t="shared" si="671"/>
        <v>1413</v>
      </c>
      <c r="G8318" s="212">
        <f>SUM(C8318,C8294,C8270,C8246,C8222,C8198,C8174,C8150,C8126,C8102,C8078,C8054,C8030,C8006)/POBLA!$B$13*100000</f>
        <v>91.893939622315401</v>
      </c>
      <c r="H8318" s="213">
        <f t="shared" si="672"/>
        <v>1.1071428571428572</v>
      </c>
    </row>
    <row r="8319" spans="1:8" ht="15.75" thickBot="1" x14ac:dyDescent="0.3">
      <c r="A8319" s="34" t="s">
        <v>23</v>
      </c>
      <c r="B8319" s="2">
        <v>44239</v>
      </c>
      <c r="C8319" s="1">
        <v>105</v>
      </c>
      <c r="D8319" s="47">
        <f t="shared" si="664"/>
        <v>6520</v>
      </c>
      <c r="E8319" s="1">
        <v>2</v>
      </c>
      <c r="F8319" s="47">
        <f t="shared" si="671"/>
        <v>117</v>
      </c>
      <c r="G8319" s="212">
        <f>SUM(C8319,C8295,C8271,C8247,C8223,C8199,C8175,C8151,C8127,C8103,C8079,C8055,C8031,C8007)/POBLA!$B$14*100000</f>
        <v>170.53914471962921</v>
      </c>
      <c r="H8319" s="213">
        <f t="shared" si="672"/>
        <v>0.85936875749101083</v>
      </c>
    </row>
    <row r="8320" spans="1:8" ht="15.75" thickBot="1" x14ac:dyDescent="0.3">
      <c r="A8320" s="34" t="s">
        <v>19</v>
      </c>
      <c r="B8320" s="2">
        <v>44239</v>
      </c>
      <c r="C8320" s="1">
        <v>310</v>
      </c>
      <c r="D8320" s="47">
        <f t="shared" si="664"/>
        <v>58248</v>
      </c>
      <c r="E8320" s="1">
        <v>8</v>
      </c>
      <c r="F8320" s="47">
        <f t="shared" si="671"/>
        <v>824</v>
      </c>
      <c r="G8320" s="212">
        <f>SUM(C8320,C8296,C8272,C8248,C8224,C8200,C8176,C8152,C8128,C8104,C8080,C8056,C8032,C8008)/POBLA!$B$15*100000</f>
        <v>710.63176805605542</v>
      </c>
      <c r="H8320" s="213">
        <f t="shared" si="672"/>
        <v>0.81124290871583293</v>
      </c>
    </row>
    <row r="8321" spans="1:8" ht="15.75" thickBot="1" x14ac:dyDescent="0.3">
      <c r="A8321" s="34" t="s">
        <v>18</v>
      </c>
      <c r="B8321" s="2">
        <v>44239</v>
      </c>
      <c r="C8321" s="1">
        <v>155</v>
      </c>
      <c r="D8321" s="47">
        <f t="shared" si="664"/>
        <v>50395</v>
      </c>
      <c r="E8321" s="1">
        <v>2</v>
      </c>
      <c r="F8321" s="47">
        <f t="shared" si="671"/>
        <v>1113</v>
      </c>
      <c r="G8321" s="212">
        <f>SUM(C8321,C8297,C8273,C8249,C8225,C8201,C8177,C8153,C8129,C8105,C8081,C8057,C8033,C8009)/POBLA!$B$16*100000</f>
        <v>369.57772100426695</v>
      </c>
      <c r="H8321" s="213">
        <f t="shared" si="672"/>
        <v>0.65458422174840081</v>
      </c>
    </row>
    <row r="8322" spans="1:8" ht="15.75" thickBot="1" x14ac:dyDescent="0.3">
      <c r="A8322" s="34" t="s">
        <v>34</v>
      </c>
      <c r="B8322" s="2">
        <v>44239</v>
      </c>
      <c r="C8322" s="1">
        <v>91</v>
      </c>
      <c r="D8322" s="47">
        <f t="shared" si="664"/>
        <v>24700</v>
      </c>
      <c r="F8322" s="47">
        <f t="shared" si="671"/>
        <v>1059</v>
      </c>
      <c r="G8322" s="212">
        <f>SUM(C8322,C8298,C8274,C8250,C8226,C8202,C8178,C8154,C8130,C8106,C8082,C8058,C8034,C8010)/POBLA!$B$17*100000</f>
        <v>68.520222943463096</v>
      </c>
      <c r="H8322" s="213">
        <f t="shared" si="672"/>
        <v>1.3100671140939597</v>
      </c>
    </row>
    <row r="8323" spans="1:8" ht="15.75" thickBot="1" x14ac:dyDescent="0.3">
      <c r="A8323" s="34" t="s">
        <v>35</v>
      </c>
      <c r="B8323" s="2">
        <v>44239</v>
      </c>
      <c r="C8323" s="1">
        <v>61</v>
      </c>
      <c r="D8323" s="47">
        <f t="shared" ref="D8323:D8353" si="673">C8323+D8299</f>
        <v>14598</v>
      </c>
      <c r="F8323" s="47">
        <f t="shared" si="671"/>
        <v>203</v>
      </c>
      <c r="G8323" s="212">
        <f>SUM(C8323,C8299,C8275,C8251,C8227,C8203,C8179,C8155,C8131,C8107,C8083,C8059,C8035,C8011)/POBLA!$B$18*100000</f>
        <v>88.579741608285531</v>
      </c>
      <c r="H8323" s="213">
        <f t="shared" si="672"/>
        <v>0.78815489749430523</v>
      </c>
    </row>
    <row r="8324" spans="1:8" ht="15.75" thickBot="1" x14ac:dyDescent="0.3">
      <c r="A8324" s="34" t="s">
        <v>36</v>
      </c>
      <c r="B8324" s="2">
        <v>44239</v>
      </c>
      <c r="C8324" s="1">
        <v>10</v>
      </c>
      <c r="D8324" s="47">
        <f t="shared" si="673"/>
        <v>19155</v>
      </c>
      <c r="E8324" s="1">
        <v>1</v>
      </c>
      <c r="F8324" s="47">
        <f t="shared" si="671"/>
        <v>345</v>
      </c>
      <c r="G8324" s="212">
        <f>SUM(C8324,C8300,C8276,C8252,C8228,C8204,C8180,C8156,C8132,C8108,C8084,C8060,C8036,C8012)/POBLA!$B$19*100000</f>
        <v>38.164334838922898</v>
      </c>
      <c r="H8324" s="213">
        <f t="shared" si="672"/>
        <v>8.9483394833948335E-2</v>
      </c>
    </row>
    <row r="8325" spans="1:8" ht="15.75" thickBot="1" x14ac:dyDescent="0.3">
      <c r="A8325" s="34" t="s">
        <v>37</v>
      </c>
      <c r="B8325" s="2">
        <v>44239</v>
      </c>
      <c r="C8325" s="1">
        <v>121</v>
      </c>
      <c r="D8325" s="47">
        <f t="shared" si="673"/>
        <v>34412</v>
      </c>
      <c r="E8325" s="1">
        <v>9</v>
      </c>
      <c r="F8325" s="47">
        <f t="shared" si="671"/>
        <v>535</v>
      </c>
      <c r="G8325" s="212">
        <f>SUM(C8325,C8301,C8277,C8253,C8229,C8205,C8181,C8157,C8133,C8109,C8085,C8061,C8037,C8013)/POBLA!$B$20*100000</f>
        <v>576.43191923390339</v>
      </c>
      <c r="H8325" s="213">
        <f t="shared" si="672"/>
        <v>0.61368267831149925</v>
      </c>
    </row>
    <row r="8326" spans="1:8" ht="15.75" thickBot="1" x14ac:dyDescent="0.3">
      <c r="A8326" s="34" t="s">
        <v>22</v>
      </c>
      <c r="B8326" s="2">
        <v>44239</v>
      </c>
      <c r="C8326" s="1">
        <v>330</v>
      </c>
      <c r="D8326" s="47">
        <f t="shared" si="673"/>
        <v>211300</v>
      </c>
      <c r="E8326" s="1">
        <v>23</v>
      </c>
      <c r="F8326" s="47">
        <f t="shared" si="671"/>
        <v>3806</v>
      </c>
      <c r="G8326" s="212">
        <f>SUM(C8326,C8302,C8278,C8254,C8230,C8206,C8182,C8158,C8134,C8110,C8086,C8062,C8038,C8014)/POBLA!$B$21*100000</f>
        <v>175.48830483274318</v>
      </c>
      <c r="H8326" s="213">
        <f t="shared" si="672"/>
        <v>0.5274968125796855</v>
      </c>
    </row>
    <row r="8327" spans="1:8" ht="15.75" thickBot="1" x14ac:dyDescent="0.3">
      <c r="A8327" s="34" t="s">
        <v>38</v>
      </c>
      <c r="B8327" s="2">
        <v>44239</v>
      </c>
      <c r="C8327" s="1">
        <v>52</v>
      </c>
      <c r="D8327" s="47">
        <f t="shared" si="673"/>
        <v>21774</v>
      </c>
      <c r="E8327" s="1">
        <v>1</v>
      </c>
      <c r="F8327" s="47">
        <f t="shared" si="671"/>
        <v>257</v>
      </c>
      <c r="G8327" s="212">
        <f>SUM(C8327,C8303,C8279,C8255,C8231,C8207,C8183,C8159,C8135,C8111,C8087,C8063,C8039,C8015)/POBLA!$B$22*100000</f>
        <v>112.84731982504577</v>
      </c>
      <c r="H8327" s="213">
        <f t="shared" si="672"/>
        <v>0.83132530120481929</v>
      </c>
    </row>
    <row r="8328" spans="1:8" ht="15.75" thickBot="1" x14ac:dyDescent="0.3">
      <c r="A8328" s="34" t="s">
        <v>39</v>
      </c>
      <c r="B8328" s="2">
        <v>44239</v>
      </c>
      <c r="C8328" s="1">
        <v>47</v>
      </c>
      <c r="D8328" s="47">
        <f t="shared" si="673"/>
        <v>22413</v>
      </c>
      <c r="E8328" s="1">
        <v>1</v>
      </c>
      <c r="F8328" s="47">
        <f t="shared" si="671"/>
        <v>344</v>
      </c>
      <c r="G8328" s="212">
        <f>SUM(C8328,C8304,C8280,C8256,C8232,C8208,C8184,C8160,C8136,C8112,C8088,C8064,C8040,C8016)/POBLA!$B$23*100000</f>
        <v>369.28123056042529</v>
      </c>
      <c r="H8328" s="213">
        <f t="shared" si="672"/>
        <v>0.59417652411282984</v>
      </c>
    </row>
    <row r="8329" spans="1:8" ht="15.75" thickBot="1" x14ac:dyDescent="0.3">
      <c r="A8329" s="34" t="s">
        <v>40</v>
      </c>
      <c r="B8329" s="2">
        <v>44239</v>
      </c>
      <c r="C8329" s="1">
        <v>199</v>
      </c>
      <c r="D8329" s="214">
        <f t="shared" si="673"/>
        <v>77941</v>
      </c>
      <c r="E8329" s="1">
        <v>1</v>
      </c>
      <c r="F8329" s="214">
        <f t="shared" si="671"/>
        <v>1453</v>
      </c>
      <c r="G8329" s="212">
        <f>SUM(C8329,C8305,C8281,C8257,C8233,C8209,C8185,C8161,C8137,C8113,C8089,C8065,C8041,C8017)/POBLA!$B$24*100000</f>
        <v>98.72210053249745</v>
      </c>
      <c r="H8329" s="216">
        <f t="shared" si="672"/>
        <v>0.77132319041032738</v>
      </c>
    </row>
    <row r="8330" spans="1:8" ht="15.75" thickBot="1" x14ac:dyDescent="0.3">
      <c r="A8330" s="34" t="s">
        <v>16</v>
      </c>
      <c r="B8330" s="2">
        <v>44240</v>
      </c>
      <c r="C8330" s="1">
        <v>2448</v>
      </c>
      <c r="D8330" s="211">
        <f t="shared" si="673"/>
        <v>844009</v>
      </c>
      <c r="E8330" s="1">
        <v>54</v>
      </c>
      <c r="F8330" s="211">
        <f>E8330+F8306</f>
        <v>25469</v>
      </c>
      <c r="G8330" s="212">
        <f>SUM(C8330,C8306,C8282,C8258,C8234,C8210,C8186,C8162,C8138,C8114,C8090,C8066,C8042,C8018)/POBLA!$B$1*100000</f>
        <v>238.79860494821861</v>
      </c>
      <c r="H8330" s="196">
        <f t="shared" ref="H8330:H8336" si="674">SUM(C8330,C8306,C8282,C8258,C8234,C8210,C8186,C8162,C8138,C8114,C8090,C8066,C8042,C8018)/SUM(C7994,C7970,C7946,C7922,C7898,C7874,C7850,C7826,C7802,C7778,C7754,C7730,C7706,C7682)</f>
        <v>0.7864666453878072</v>
      </c>
    </row>
    <row r="8331" spans="1:8" ht="15.75" thickBot="1" x14ac:dyDescent="0.3">
      <c r="A8331" s="34" t="s">
        <v>43</v>
      </c>
      <c r="B8331" s="2">
        <v>44240</v>
      </c>
      <c r="C8331" s="1">
        <v>541</v>
      </c>
      <c r="D8331" s="47">
        <f t="shared" si="673"/>
        <v>221786</v>
      </c>
      <c r="E8331" s="1">
        <v>35</v>
      </c>
      <c r="F8331" s="47">
        <f t="shared" ref="F8331:F8353" si="675">E8331+F8307</f>
        <v>6287</v>
      </c>
      <c r="G8331" s="212">
        <f>SUM(C8331,C8307,C8283,C8259,C8235,C8211,C8187,C8163,C8139,C8115,C8091,C8067,C8043,C8019)/POBLA!$B$2*100000</f>
        <v>399.75341765599813</v>
      </c>
      <c r="H8331" s="213">
        <f t="shared" si="674"/>
        <v>0.77036340852130325</v>
      </c>
    </row>
    <row r="8332" spans="1:8" ht="15.75" thickBot="1" x14ac:dyDescent="0.3">
      <c r="A8332" s="34" t="s">
        <v>28</v>
      </c>
      <c r="B8332" s="2">
        <v>44240</v>
      </c>
      <c r="C8332" s="1">
        <v>78</v>
      </c>
      <c r="D8332" s="47">
        <f t="shared" si="673"/>
        <v>6761</v>
      </c>
      <c r="F8332" s="47">
        <f t="shared" si="675"/>
        <v>17</v>
      </c>
      <c r="G8332" s="212">
        <f>SUM(C8332,C8308,C8284,C8260,C8236,C8212,C8188,C8164,C8140,C8116,C8092,C8068,C8044,C8020)/POBLA!$B$3*100000</f>
        <v>365.87890371126377</v>
      </c>
      <c r="H8332" s="213">
        <f t="shared" si="674"/>
        <v>1.2914188615123194</v>
      </c>
    </row>
    <row r="8333" spans="1:8" ht="15.75" thickBot="1" x14ac:dyDescent="0.3">
      <c r="A8333" s="34" t="s">
        <v>15</v>
      </c>
      <c r="B8333" s="2">
        <v>44240</v>
      </c>
      <c r="C8333" s="1">
        <v>75</v>
      </c>
      <c r="D8333" s="47">
        <f t="shared" si="673"/>
        <v>32366</v>
      </c>
      <c r="E8333" s="1">
        <v>1</v>
      </c>
      <c r="F8333" s="47">
        <f t="shared" si="675"/>
        <v>832</v>
      </c>
      <c r="G8333" s="212">
        <f>SUM(C8333,C8309,C8285,C8261,C8237,C8213,C8189,C8165,C8141,C8117,C8093,C8069,C8045,C8021)/POBLA!$B$4*100000</f>
        <v>140.96655904614289</v>
      </c>
      <c r="H8333" s="213">
        <f t="shared" si="674"/>
        <v>0.72875536480686698</v>
      </c>
    </row>
    <row r="8334" spans="1:8" ht="15.75" thickBot="1" x14ac:dyDescent="0.3">
      <c r="A8334" s="34" t="s">
        <v>29</v>
      </c>
      <c r="B8334" s="2">
        <v>44240</v>
      </c>
      <c r="C8334" s="1">
        <v>112</v>
      </c>
      <c r="D8334" s="47">
        <f t="shared" si="673"/>
        <v>45149</v>
      </c>
      <c r="E8334" s="1">
        <v>3</v>
      </c>
      <c r="F8334" s="47">
        <f t="shared" si="675"/>
        <v>687</v>
      </c>
      <c r="G8334" s="212">
        <f>SUM(C8334,C8310,C8286,C8262,C8238,C8214,C8190,C8166,C8142,C8118,C8094,C8070,C8046,C8022)/POBLA!$B$5*100000</f>
        <v>473.83334895007062</v>
      </c>
      <c r="H8334" s="213">
        <f t="shared" si="674"/>
        <v>0.71034148704286748</v>
      </c>
    </row>
    <row r="8335" spans="1:8" ht="15.75" thickBot="1" x14ac:dyDescent="0.3">
      <c r="A8335" s="34" t="s">
        <v>30</v>
      </c>
      <c r="B8335" s="2">
        <v>44240</v>
      </c>
      <c r="C8335" s="1">
        <v>53</v>
      </c>
      <c r="D8335" s="47">
        <f t="shared" si="673"/>
        <v>19261</v>
      </c>
      <c r="E8335" s="1">
        <v>36</v>
      </c>
      <c r="F8335" s="47">
        <f t="shared" si="675"/>
        <v>256</v>
      </c>
      <c r="G8335" s="212">
        <f>SUM(C8335,C8311,C8287,C8263,C8239,C8215,C8191,C8167,C8143,C8119,C8095,C8071,C8047,C8023)/POBLA!$B$7*100000</f>
        <v>51.297052214495601</v>
      </c>
      <c r="H8335" s="213">
        <f t="shared" si="674"/>
        <v>0.8764198091776465</v>
      </c>
    </row>
    <row r="8336" spans="1:8" ht="15.75" thickBot="1" x14ac:dyDescent="0.3">
      <c r="A8336" s="34" t="s">
        <v>20</v>
      </c>
      <c r="B8336" s="2">
        <v>44240</v>
      </c>
      <c r="C8336" s="1">
        <v>554</v>
      </c>
      <c r="D8336" s="47">
        <f t="shared" si="673"/>
        <v>151767</v>
      </c>
      <c r="E8336" s="1">
        <v>2</v>
      </c>
      <c r="F8336" s="47">
        <f t="shared" si="675"/>
        <v>2772</v>
      </c>
      <c r="G8336" s="212">
        <f>SUM(C8336,C8312,C8288,C8264,C8240,C8216,C8192,C8168,C8144,C8120,C8096,C8072,C8048,C8024)/POBLA!$B$6*100000</f>
        <v>630.88808807272653</v>
      </c>
      <c r="H8336" s="213">
        <f t="shared" si="674"/>
        <v>0.99339702163529087</v>
      </c>
    </row>
    <row r="8337" spans="1:8" ht="15.75" thickBot="1" x14ac:dyDescent="0.3">
      <c r="A8337" s="34" t="s">
        <v>31</v>
      </c>
      <c r="B8337" s="2">
        <v>44240</v>
      </c>
      <c r="C8337" s="1">
        <v>110</v>
      </c>
      <c r="D8337" s="47">
        <f t="shared" si="673"/>
        <v>43431</v>
      </c>
      <c r="E8337" s="1">
        <v>2</v>
      </c>
      <c r="F8337" s="47">
        <f t="shared" si="675"/>
        <v>791</v>
      </c>
      <c r="G8337" s="212">
        <f>SUM(C8337,C8313,C8289,C8265,C8241,C8217,C8193,C8169,C8145,C8121,C8097,C8073,C8049,C8025)/POBLA!$B$8*100000</f>
        <v>185.35875107596823</v>
      </c>
      <c r="H8337" s="213">
        <f t="shared" ref="H8337:H8353" si="676">SUM(C8337,C8313,C8289,C8265,C8241,C8217,C8193,C8169,C8145,C8121,C8097,C8073,C8049,C8025)/SUM(C8001,C7977,C7953,C7929,C7905,C7881,C7857,C7833,C7809,C7785,C7761,C7737,C7713,C7689)</f>
        <v>0.54822876653862573</v>
      </c>
    </row>
    <row r="8338" spans="1:8" ht="15.75" thickBot="1" x14ac:dyDescent="0.3">
      <c r="A8338" s="34" t="s">
        <v>41</v>
      </c>
      <c r="B8338" s="2">
        <v>44240</v>
      </c>
      <c r="C8338" s="1">
        <v>21</v>
      </c>
      <c r="D8338" s="47">
        <f t="shared" si="673"/>
        <v>958</v>
      </c>
      <c r="F8338" s="47">
        <f t="shared" si="675"/>
        <v>9</v>
      </c>
      <c r="G8338" s="212">
        <f>SUM(C8338,C8314,C8290,C8266,C8242,C8218,C8194,C8170,C8146,C8122,C8098,C8074,C8050,C8026)/POBLA!$B$9*100000</f>
        <v>19.002202603136521</v>
      </c>
      <c r="H8338" s="213">
        <f t="shared" si="676"/>
        <v>0.44921875</v>
      </c>
    </row>
    <row r="8339" spans="1:8" ht="15.75" thickBot="1" x14ac:dyDescent="0.3">
      <c r="A8339" s="34" t="s">
        <v>32</v>
      </c>
      <c r="B8339" s="2">
        <v>44240</v>
      </c>
      <c r="C8339" s="1">
        <v>25</v>
      </c>
      <c r="D8339" s="47">
        <f t="shared" si="673"/>
        <v>19720</v>
      </c>
      <c r="E8339" s="1">
        <v>1</v>
      </c>
      <c r="F8339" s="47">
        <f t="shared" si="675"/>
        <v>890</v>
      </c>
      <c r="G8339" s="212">
        <f>SUM(C8339,C8315,C8291,C8267,C8243,C8219,C8195,C8171,C8147,C8123,C8099,C8075,C8051,C8027)/POBLA!$B$10*100000</f>
        <v>55.52089103246805</v>
      </c>
      <c r="H8339" s="213">
        <f t="shared" si="676"/>
        <v>0.8716904276985743</v>
      </c>
    </row>
    <row r="8340" spans="1:8" ht="15.75" thickBot="1" x14ac:dyDescent="0.3">
      <c r="A8340" s="34" t="s">
        <v>33</v>
      </c>
      <c r="B8340" s="2">
        <v>44240</v>
      </c>
      <c r="C8340" s="1">
        <v>122</v>
      </c>
      <c r="D8340" s="47">
        <f t="shared" si="673"/>
        <v>17668</v>
      </c>
      <c r="F8340" s="47">
        <f t="shared" si="675"/>
        <v>268</v>
      </c>
      <c r="G8340" s="212">
        <f>SUM(C8340,C8316,C8292,C8268,C8244,C8220,C8196,C8172,C8148,C8124,C8100,C8076,C8052,C8028)/POBLA!$B$11*100000</f>
        <v>356.55696541564834</v>
      </c>
      <c r="H8340" s="213">
        <f t="shared" si="676"/>
        <v>0.82664941785252266</v>
      </c>
    </row>
    <row r="8341" spans="1:8" ht="15.75" thickBot="1" x14ac:dyDescent="0.3">
      <c r="A8341" s="34" t="s">
        <v>21</v>
      </c>
      <c r="B8341" s="2">
        <v>44240</v>
      </c>
      <c r="C8341" s="1">
        <v>32</v>
      </c>
      <c r="D8341" s="47">
        <f t="shared" si="673"/>
        <v>9816</v>
      </c>
      <c r="F8341" s="47">
        <f t="shared" si="675"/>
        <v>415</v>
      </c>
      <c r="G8341" s="212">
        <f>SUM(C8341,C8317,C8293,C8269,C8245,C8221,C8197,C8173,C8149,C8125,C8101,C8077,C8053,C8029)/POBLA!$B$12*100000</f>
        <v>72.167122793375867</v>
      </c>
      <c r="H8341" s="213">
        <f t="shared" si="676"/>
        <v>1.1451612903225807</v>
      </c>
    </row>
    <row r="8342" spans="1:8" ht="15.75" thickBot="1" x14ac:dyDescent="0.3">
      <c r="A8342" s="34" t="s">
        <v>17</v>
      </c>
      <c r="B8342" s="2">
        <v>44240</v>
      </c>
      <c r="C8342" s="1">
        <v>101</v>
      </c>
      <c r="D8342" s="47">
        <f t="shared" si="673"/>
        <v>65620</v>
      </c>
      <c r="F8342" s="47">
        <f t="shared" si="675"/>
        <v>1413</v>
      </c>
      <c r="G8342" s="212">
        <f>SUM(C8342,C8318,C8294,C8270,C8246,C8222,C8198,C8174,C8150,C8126,C8102,C8078,C8054,C8030)/POBLA!$B$13*100000</f>
        <v>93.049522241950868</v>
      </c>
      <c r="H8342" s="213">
        <f t="shared" si="676"/>
        <v>1.161128526645768</v>
      </c>
    </row>
    <row r="8343" spans="1:8" ht="15.75" thickBot="1" x14ac:dyDescent="0.3">
      <c r="A8343" s="34" t="s">
        <v>23</v>
      </c>
      <c r="B8343" s="2">
        <v>44240</v>
      </c>
      <c r="C8343" s="1">
        <v>99</v>
      </c>
      <c r="D8343" s="47">
        <f t="shared" si="673"/>
        <v>6619</v>
      </c>
      <c r="E8343" s="1">
        <v>2</v>
      </c>
      <c r="F8343" s="47">
        <f t="shared" si="675"/>
        <v>119</v>
      </c>
      <c r="G8343" s="212">
        <f>SUM(C8343,C8319,C8295,C8271,C8247,C8223,C8199,C8175,C8151,C8127,C8103,C8079,C8055,C8031)/POBLA!$B$14*100000</f>
        <v>161.8972261820004</v>
      </c>
      <c r="H8343" s="213">
        <f t="shared" si="676"/>
        <v>0.79548110634982472</v>
      </c>
    </row>
    <row r="8344" spans="1:8" ht="15.75" thickBot="1" x14ac:dyDescent="0.3">
      <c r="A8344" s="34" t="s">
        <v>19</v>
      </c>
      <c r="B8344" s="2">
        <v>44240</v>
      </c>
      <c r="C8344" s="1">
        <v>183</v>
      </c>
      <c r="D8344" s="47">
        <f t="shared" si="673"/>
        <v>58431</v>
      </c>
      <c r="E8344" s="1">
        <v>17</v>
      </c>
      <c r="F8344" s="47">
        <f t="shared" si="675"/>
        <v>841</v>
      </c>
      <c r="G8344" s="212">
        <f>SUM(C8344,C8320,C8296,C8272,C8248,C8224,C8200,C8176,C8152,C8128,C8104,C8080,C8056,C8032)/POBLA!$B$15*100000</f>
        <v>696.77753566335423</v>
      </c>
      <c r="H8344" s="213">
        <f t="shared" si="676"/>
        <v>0.79611149346180321</v>
      </c>
    </row>
    <row r="8345" spans="1:8" ht="15.75" thickBot="1" x14ac:dyDescent="0.3">
      <c r="A8345" s="34" t="s">
        <v>18</v>
      </c>
      <c r="B8345" s="2">
        <v>44240</v>
      </c>
      <c r="C8345" s="1">
        <v>115</v>
      </c>
      <c r="D8345" s="47">
        <f t="shared" si="673"/>
        <v>50510</v>
      </c>
      <c r="E8345" s="1">
        <v>2</v>
      </c>
      <c r="F8345" s="47">
        <f t="shared" si="675"/>
        <v>1115</v>
      </c>
      <c r="G8345" s="212">
        <f>SUM(C8345,C8321,C8297,C8273,C8249,C8225,C8201,C8177,C8153,C8129,C8105,C8081,C8057,C8033)/POBLA!$B$16*100000</f>
        <v>360.61582910875995</v>
      </c>
      <c r="H8345" s="213">
        <f t="shared" si="676"/>
        <v>0.65644022400779156</v>
      </c>
    </row>
    <row r="8346" spans="1:8" ht="15.75" thickBot="1" x14ac:dyDescent="0.3">
      <c r="A8346" s="34" t="s">
        <v>34</v>
      </c>
      <c r="B8346" s="2">
        <v>44240</v>
      </c>
      <c r="C8346" s="1">
        <v>103</v>
      </c>
      <c r="D8346" s="47">
        <f t="shared" si="673"/>
        <v>24803</v>
      </c>
      <c r="E8346" s="1">
        <v>2</v>
      </c>
      <c r="F8346" s="47">
        <f t="shared" si="675"/>
        <v>1061</v>
      </c>
      <c r="G8346" s="212">
        <f>SUM(C8346,C8322,C8298,C8274,C8250,C8226,C8202,C8178,C8154,C8130,C8106,C8082,C8058,C8034)/POBLA!$B$17*100000</f>
        <v>71.960275119927942</v>
      </c>
      <c r="H8346" s="213">
        <f t="shared" si="676"/>
        <v>1.3945578231292517</v>
      </c>
    </row>
    <row r="8347" spans="1:8" ht="15.75" thickBot="1" x14ac:dyDescent="0.3">
      <c r="A8347" s="34" t="s">
        <v>35</v>
      </c>
      <c r="B8347" s="2">
        <v>44240</v>
      </c>
      <c r="C8347" s="1">
        <v>6</v>
      </c>
      <c r="D8347" s="47">
        <f t="shared" si="673"/>
        <v>14604</v>
      </c>
      <c r="F8347" s="47">
        <f t="shared" si="675"/>
        <v>203</v>
      </c>
      <c r="G8347" s="212">
        <f>SUM(C8347,C8323,C8299,C8275,C8251,C8227,C8203,C8179,C8155,C8131,C8107,C8083,C8059,C8035)/POBLA!$B$18*100000</f>
        <v>85.123595620679012</v>
      </c>
      <c r="H8347" s="213">
        <f t="shared" si="676"/>
        <v>0.78143360752056401</v>
      </c>
    </row>
    <row r="8348" spans="1:8" ht="15.75" thickBot="1" x14ac:dyDescent="0.3">
      <c r="A8348" s="34" t="s">
        <v>36</v>
      </c>
      <c r="B8348" s="2">
        <v>44240</v>
      </c>
      <c r="C8348" s="1">
        <v>627</v>
      </c>
      <c r="D8348" s="47">
        <f t="shared" si="673"/>
        <v>19782</v>
      </c>
      <c r="F8348" s="47">
        <f t="shared" si="675"/>
        <v>345</v>
      </c>
      <c r="G8348" s="212">
        <f>SUM(C8348,C8324,C8300,C8276,C8252,C8228,C8204,C8180,C8156,C8132,C8108,C8084,C8060,C8036)/POBLA!$B$19*100000</f>
        <v>156.19836011394219</v>
      </c>
      <c r="H8348" s="213">
        <f t="shared" si="676"/>
        <v>0.3657300783049286</v>
      </c>
    </row>
    <row r="8349" spans="1:8" ht="15.75" thickBot="1" x14ac:dyDescent="0.3">
      <c r="A8349" s="34" t="s">
        <v>37</v>
      </c>
      <c r="B8349" s="2">
        <v>44240</v>
      </c>
      <c r="C8349" s="1">
        <v>65</v>
      </c>
      <c r="D8349" s="47">
        <f t="shared" si="673"/>
        <v>34477</v>
      </c>
      <c r="E8349" s="1">
        <v>1</v>
      </c>
      <c r="F8349" s="47">
        <f t="shared" si="675"/>
        <v>536</v>
      </c>
      <c r="G8349" s="212">
        <f>SUM(C8349,C8325,C8301,C8277,C8253,C8229,C8205,C8181,C8157,C8133,C8109,C8085,C8061,C8037)/POBLA!$B$20*100000</f>
        <v>556.74354248587633</v>
      </c>
      <c r="H8349" s="213">
        <f t="shared" si="676"/>
        <v>0.61177884615384615</v>
      </c>
    </row>
    <row r="8350" spans="1:8" ht="15.75" thickBot="1" x14ac:dyDescent="0.3">
      <c r="A8350" s="34" t="s">
        <v>22</v>
      </c>
      <c r="B8350" s="2">
        <v>44240</v>
      </c>
      <c r="C8350" s="1">
        <v>424</v>
      </c>
      <c r="D8350" s="47">
        <f t="shared" si="673"/>
        <v>211724</v>
      </c>
      <c r="E8350" s="1">
        <v>1</v>
      </c>
      <c r="F8350" s="47">
        <f t="shared" si="675"/>
        <v>3807</v>
      </c>
      <c r="G8350" s="212">
        <f>SUM(C8350,C8326,C8302,C8278,C8254,C8230,C8206,C8182,C8158,C8134,C8110,C8086,C8062,C8038)/POBLA!$B$21*100000</f>
        <v>172.9150796088019</v>
      </c>
      <c r="H8350" s="213">
        <f t="shared" si="676"/>
        <v>0.54588466345295483</v>
      </c>
    </row>
    <row r="8351" spans="1:8" ht="15.75" thickBot="1" x14ac:dyDescent="0.3">
      <c r="A8351" s="34" t="s">
        <v>38</v>
      </c>
      <c r="B8351" s="2">
        <v>44240</v>
      </c>
      <c r="C8351" s="1">
        <v>59</v>
      </c>
      <c r="D8351" s="47">
        <f t="shared" si="673"/>
        <v>21833</v>
      </c>
      <c r="F8351" s="47">
        <f t="shared" si="675"/>
        <v>257</v>
      </c>
      <c r="G8351" s="212">
        <f>SUM(C8351,C8327,C8303,C8279,C8255,C8231,C8207,C8183,C8159,C8135,C8111,C8087,C8063,C8039)/POBLA!$B$22*100000</f>
        <v>109.47416624331886</v>
      </c>
      <c r="H8351" s="213">
        <f t="shared" si="676"/>
        <v>0.81943381790359604</v>
      </c>
    </row>
    <row r="8352" spans="1:8" ht="15.75" thickBot="1" x14ac:dyDescent="0.3">
      <c r="A8352" s="34" t="s">
        <v>39</v>
      </c>
      <c r="B8352" s="2">
        <v>44240</v>
      </c>
      <c r="C8352" s="1">
        <v>14</v>
      </c>
      <c r="D8352" s="47">
        <f t="shared" si="673"/>
        <v>22427</v>
      </c>
      <c r="F8352" s="47">
        <f t="shared" si="675"/>
        <v>344</v>
      </c>
      <c r="G8352" s="212">
        <f>SUM(C8352,C8328,C8304,C8280,C8256,C8232,C8208,C8184,C8160,C8136,C8112,C8088,C8064,C8040)/POBLA!$B$23*100000</f>
        <v>368.71571565910762</v>
      </c>
      <c r="H8352" s="213">
        <f t="shared" si="676"/>
        <v>0.60651162790697677</v>
      </c>
    </row>
    <row r="8353" spans="1:8" ht="15.75" thickBot="1" x14ac:dyDescent="0.3">
      <c r="A8353" s="34" t="s">
        <v>40</v>
      </c>
      <c r="B8353" s="2">
        <v>44240</v>
      </c>
      <c r="C8353" s="1">
        <v>90</v>
      </c>
      <c r="D8353" s="214">
        <f t="shared" si="673"/>
        <v>78031</v>
      </c>
      <c r="F8353" s="214">
        <f t="shared" si="675"/>
        <v>1453</v>
      </c>
      <c r="G8353" s="212">
        <f>SUM(C8353,C8329,C8305,C8281,C8257,C8233,C8209,C8185,C8161,C8137,C8113,C8089,C8065,C8041)/POBLA!$B$24*100000</f>
        <v>100.66939839117792</v>
      </c>
      <c r="H8353" s="216">
        <f t="shared" si="676"/>
        <v>0.80018761726078802</v>
      </c>
    </row>
    <row r="8354" spans="1:8" ht="15.75" thickBot="1" x14ac:dyDescent="0.3">
      <c r="A8354" s="34" t="s">
        <v>16</v>
      </c>
      <c r="B8354" s="2">
        <v>44241</v>
      </c>
      <c r="C8354" s="1">
        <v>1590</v>
      </c>
      <c r="D8354" s="211">
        <f t="shared" ref="D8354:D8417" si="677">C8354+D8330</f>
        <v>845599</v>
      </c>
      <c r="E8354" s="1">
        <v>3</v>
      </c>
      <c r="F8354" s="211">
        <f>E8354+F8330</f>
        <v>25472</v>
      </c>
      <c r="G8354" s="212">
        <f>SUM(C8354,C8330,C8306,C8282,C8258,C8234,C8210,C8186,C8162,C8138,C8114,C8090,C8066,C8042)/POBLA!$B$1*100000</f>
        <v>235.16714220585766</v>
      </c>
      <c r="H8354" s="196">
        <f t="shared" ref="H8354:H8360" si="678">SUM(C8354,C8330,C8306,C8282,C8258,C8234,C8210,C8186,C8162,C8138,C8114,C8090,C8066,C8042)/SUM(C8018,C7994,C7970,C7946,C7922,C7898,C7874,C7850,C7826,C7802,C7778,C7754,C7730,C7706)</f>
        <v>0.77993949706938925</v>
      </c>
    </row>
    <row r="8355" spans="1:8" ht="15.75" thickBot="1" x14ac:dyDescent="0.3">
      <c r="A8355" s="34" t="s">
        <v>43</v>
      </c>
      <c r="B8355" s="2">
        <v>44241</v>
      </c>
      <c r="C8355" s="1">
        <v>657</v>
      </c>
      <c r="D8355" s="47">
        <f t="shared" si="677"/>
        <v>222443</v>
      </c>
      <c r="E8355" s="1">
        <v>7</v>
      </c>
      <c r="F8355" s="47">
        <f t="shared" ref="F8355:F8377" si="679">E8355+F8331</f>
        <v>6294</v>
      </c>
      <c r="G8355" s="212">
        <f>SUM(C8355,C8331,C8307,C8283,C8259,C8235,C8211,C8187,C8163,C8139,C8115,C8091,C8067,C8043)/POBLA!$B$2*100000</f>
        <v>396.5020681833995</v>
      </c>
      <c r="H8355" s="213">
        <f t="shared" si="678"/>
        <v>0.78374035989717228</v>
      </c>
    </row>
    <row r="8356" spans="1:8" ht="15.75" thickBot="1" x14ac:dyDescent="0.3">
      <c r="A8356" s="34" t="s">
        <v>28</v>
      </c>
      <c r="B8356" s="2">
        <v>44241</v>
      </c>
      <c r="C8356" s="1">
        <v>32</v>
      </c>
      <c r="D8356" s="47">
        <f t="shared" si="677"/>
        <v>6793</v>
      </c>
      <c r="F8356" s="47">
        <f t="shared" si="679"/>
        <v>17</v>
      </c>
      <c r="G8356" s="212">
        <f>SUM(C8356,C8332,C8308,C8284,C8260,C8236,C8212,C8188,C8164,C8140,C8116,C8092,C8068,C8044)/POBLA!$B$3*100000</f>
        <v>339.40082515321183</v>
      </c>
      <c r="H8356" s="213">
        <f t="shared" si="678"/>
        <v>1.1730449251247921</v>
      </c>
    </row>
    <row r="8357" spans="1:8" ht="15.75" thickBot="1" x14ac:dyDescent="0.3">
      <c r="A8357" s="34" t="s">
        <v>15</v>
      </c>
      <c r="B8357" s="2">
        <v>44241</v>
      </c>
      <c r="C8357" s="1">
        <v>80</v>
      </c>
      <c r="D8357" s="47">
        <f t="shared" si="677"/>
        <v>32446</v>
      </c>
      <c r="E8357" s="1">
        <v>1</v>
      </c>
      <c r="F8357" s="47">
        <f t="shared" si="679"/>
        <v>833</v>
      </c>
      <c r="G8357" s="212">
        <f>SUM(C8357,C8333,C8309,C8285,C8261,C8237,C8213,C8189,C8165,C8141,C8117,C8093,C8069,C8045)/POBLA!$B$4*100000</f>
        <v>140.46844399650988</v>
      </c>
      <c r="H8357" s="213">
        <f t="shared" si="678"/>
        <v>0.75434685688809633</v>
      </c>
    </row>
    <row r="8358" spans="1:8" ht="15.75" thickBot="1" x14ac:dyDescent="0.3">
      <c r="A8358" s="34" t="s">
        <v>29</v>
      </c>
      <c r="B8358" s="2">
        <v>44241</v>
      </c>
      <c r="C8358" s="1">
        <v>82</v>
      </c>
      <c r="D8358" s="47">
        <f t="shared" si="677"/>
        <v>45231</v>
      </c>
      <c r="E8358" s="1">
        <v>0</v>
      </c>
      <c r="F8358" s="47">
        <f>E8358+F8334</f>
        <v>687</v>
      </c>
      <c r="G8358" s="212">
        <f>SUM(C8358,C8334,C8310,C8286,C8262,C8238,C8214,C8190,C8166,C8142,C8118,C8094,C8070,C8046)/POBLA!$B$5*100000</f>
        <v>472.54092931433905</v>
      </c>
      <c r="H8358" s="213">
        <f t="shared" si="678"/>
        <v>0.71902654867256632</v>
      </c>
    </row>
    <row r="8359" spans="1:8" ht="15.75" thickBot="1" x14ac:dyDescent="0.3">
      <c r="A8359" s="34" t="s">
        <v>30</v>
      </c>
      <c r="B8359" s="2">
        <v>44241</v>
      </c>
      <c r="C8359" s="1">
        <v>88</v>
      </c>
      <c r="D8359" s="47">
        <f t="shared" si="677"/>
        <v>19349</v>
      </c>
      <c r="E8359" s="1">
        <v>29</v>
      </c>
      <c r="F8359" s="47">
        <f>E8359+F8335</f>
        <v>285</v>
      </c>
      <c r="G8359" s="212">
        <f>SUM(C8359,C8335,C8311,C8287,C8263,C8239,C8215,C8191,C8167,C8143,C8119,C8095,C8071,C8047)/POBLA!$B$7*100000</f>
        <v>52.546902631334014</v>
      </c>
      <c r="H8359" s="213">
        <f t="shared" si="678"/>
        <v>1.036726128016789</v>
      </c>
    </row>
    <row r="8360" spans="1:8" ht="15.75" thickBot="1" x14ac:dyDescent="0.3">
      <c r="A8360" s="34" t="s">
        <v>20</v>
      </c>
      <c r="B8360" s="2">
        <v>44241</v>
      </c>
      <c r="C8360" s="1">
        <v>278</v>
      </c>
      <c r="D8360" s="47">
        <f t="shared" si="677"/>
        <v>152045</v>
      </c>
      <c r="E8360" s="1">
        <v>2</v>
      </c>
      <c r="F8360" s="47">
        <f>E8360+F8336</f>
        <v>2774</v>
      </c>
      <c r="G8360" s="212">
        <f>SUM(C8360,C8336,C8312,C8288,C8264,C8240,C8216,C8192,C8168,C8144,C8120,C8096,C8072,C8048)/POBLA!$B$6*100000</f>
        <v>624.99944236309568</v>
      </c>
      <c r="H8360" s="213">
        <f t="shared" si="678"/>
        <v>0.95958904109589038</v>
      </c>
    </row>
    <row r="8361" spans="1:8" ht="15.75" thickBot="1" x14ac:dyDescent="0.3">
      <c r="A8361" s="34" t="s">
        <v>31</v>
      </c>
      <c r="B8361" s="2">
        <v>44241</v>
      </c>
      <c r="C8361" s="1">
        <v>115</v>
      </c>
      <c r="D8361" s="47">
        <f t="shared" si="677"/>
        <v>43546</v>
      </c>
      <c r="E8361" s="1">
        <v>1</v>
      </c>
      <c r="F8361" s="47">
        <f t="shared" si="679"/>
        <v>792</v>
      </c>
      <c r="G8361" s="212">
        <f>SUM(C8361,C8337,C8313,C8289,C8265,C8241,C8217,C8193,C8169,C8145,C8121,C8097,C8073,C8049)/POBLA!$B$8*100000</f>
        <v>184.49292584711981</v>
      </c>
      <c r="H8361" s="213">
        <f t="shared" ref="H8361:H8377" si="680">SUM(C8361,C8337,C8313,C8289,C8265,C8241,C8217,C8193,C8169,C8145,C8121,C8097,C8073,C8049)/SUM(C8025,C8001,C7977,C7953,C7929,C7905,C7881,C7857,C7833,C7809,C7785,C7761,C7737,C7713)</f>
        <v>0.56847487772343264</v>
      </c>
    </row>
    <row r="8362" spans="1:8" ht="15.75" thickBot="1" x14ac:dyDescent="0.3">
      <c r="A8362" s="34" t="s">
        <v>41</v>
      </c>
      <c r="B8362" s="2">
        <v>44241</v>
      </c>
      <c r="C8362" s="1">
        <v>10</v>
      </c>
      <c r="D8362" s="47">
        <f t="shared" si="677"/>
        <v>968</v>
      </c>
      <c r="F8362" s="47">
        <f t="shared" si="679"/>
        <v>9</v>
      </c>
      <c r="G8362" s="212">
        <f>SUM(C8362,C8338,C8314,C8290,C8266,C8242,C8218,C8194,C8170,C8146,C8122,C8098,C8074,C8050)/POBLA!$B$9*100000</f>
        <v>20.654568046887523</v>
      </c>
      <c r="H8362" s="213">
        <f t="shared" si="680"/>
        <v>0.69444444444444442</v>
      </c>
    </row>
    <row r="8363" spans="1:8" ht="15.75" thickBot="1" x14ac:dyDescent="0.3">
      <c r="A8363" s="34" t="s">
        <v>32</v>
      </c>
      <c r="B8363" s="2">
        <v>44241</v>
      </c>
      <c r="C8363" s="1">
        <v>49</v>
      </c>
      <c r="D8363" s="47">
        <f t="shared" si="677"/>
        <v>19769</v>
      </c>
      <c r="E8363" s="1">
        <v>1</v>
      </c>
      <c r="F8363" s="47">
        <f t="shared" si="679"/>
        <v>891</v>
      </c>
      <c r="G8363" s="212">
        <f>SUM(C8363,C8339,C8315,C8291,C8267,C8243,C8219,C8195,C8171,C8147,C8123,C8099,C8075,C8051)/POBLA!$B$10*100000</f>
        <v>59.67198568910117</v>
      </c>
      <c r="H8363" s="213">
        <f t="shared" si="680"/>
        <v>1.0267857142857142</v>
      </c>
    </row>
    <row r="8364" spans="1:8" ht="15.75" thickBot="1" x14ac:dyDescent="0.3">
      <c r="A8364" s="34" t="s">
        <v>33</v>
      </c>
      <c r="B8364" s="2">
        <v>44241</v>
      </c>
      <c r="C8364" s="1">
        <v>46</v>
      </c>
      <c r="D8364" s="47">
        <f t="shared" si="677"/>
        <v>17714</v>
      </c>
      <c r="F8364" s="47">
        <f t="shared" si="679"/>
        <v>268</v>
      </c>
      <c r="G8364" s="212">
        <f>SUM(C8364,C8340,C8316,C8292,C8268,C8244,C8220,C8196,C8172,C8148,C8124,C8100,C8076,C8052)/POBLA!$B$11*100000</f>
        <v>355.7199772339215</v>
      </c>
      <c r="H8364" s="213">
        <f t="shared" si="680"/>
        <v>0.88296398891966754</v>
      </c>
    </row>
    <row r="8365" spans="1:8" ht="15.75" thickBot="1" x14ac:dyDescent="0.3">
      <c r="A8365" s="34" t="s">
        <v>21</v>
      </c>
      <c r="B8365" s="2">
        <v>44241</v>
      </c>
      <c r="C8365" s="1">
        <v>31</v>
      </c>
      <c r="D8365" s="47">
        <f t="shared" si="677"/>
        <v>9847</v>
      </c>
      <c r="F8365" s="47">
        <f t="shared" si="679"/>
        <v>415</v>
      </c>
      <c r="G8365" s="212">
        <f>SUM(C8365,C8341,C8317,C8293,C8269,C8245,C8221,C8197,C8173,C8149,C8125,C8101,C8077,C8053)/POBLA!$B$12*100000</f>
        <v>75.978766602885159</v>
      </c>
      <c r="H8365" s="213">
        <f t="shared" si="680"/>
        <v>1.2458333333333333</v>
      </c>
    </row>
    <row r="8366" spans="1:8" ht="15.75" thickBot="1" x14ac:dyDescent="0.3">
      <c r="A8366" s="34" t="s">
        <v>17</v>
      </c>
      <c r="B8366" s="2">
        <v>44241</v>
      </c>
      <c r="C8366" s="1">
        <v>43</v>
      </c>
      <c r="D8366" s="47">
        <f t="shared" si="677"/>
        <v>65663</v>
      </c>
      <c r="F8366" s="47">
        <f t="shared" si="679"/>
        <v>1413</v>
      </c>
      <c r="G8366" s="212">
        <f>SUM(C8366,C8342,C8318,C8294,C8270,C8246,C8222,C8198,C8174,C8150,C8126,C8102,C8078,C8054)/POBLA!$B$13*100000</f>
        <v>92.949036796765171</v>
      </c>
      <c r="H8366" s="213">
        <f t="shared" si="680"/>
        <v>1.1613308223477714</v>
      </c>
    </row>
    <row r="8367" spans="1:8" ht="15.75" thickBot="1" x14ac:dyDescent="0.3">
      <c r="A8367" s="34" t="s">
        <v>23</v>
      </c>
      <c r="B8367" s="2">
        <v>44241</v>
      </c>
      <c r="C8367" s="1">
        <v>117</v>
      </c>
      <c r="D8367" s="47">
        <f t="shared" si="677"/>
        <v>6736</v>
      </c>
      <c r="F8367" s="47">
        <f t="shared" si="679"/>
        <v>119</v>
      </c>
      <c r="G8367" s="212">
        <f>SUM(C8367,C8343,C8319,C8295,C8271,C8247,C8223,C8199,C8175,C8151,C8127,C8103,C8079,C8055)/POBLA!$B$14*100000</f>
        <v>160.70797133737258</v>
      </c>
      <c r="H8367" s="213">
        <f t="shared" si="680"/>
        <v>0.80150257018584425</v>
      </c>
    </row>
    <row r="8368" spans="1:8" ht="15.75" thickBot="1" x14ac:dyDescent="0.3">
      <c r="A8368" s="34" t="s">
        <v>19</v>
      </c>
      <c r="B8368" s="2">
        <v>44241</v>
      </c>
      <c r="C8368" s="1">
        <v>232</v>
      </c>
      <c r="D8368" s="47">
        <f t="shared" si="677"/>
        <v>58663</v>
      </c>
      <c r="E8368" s="1">
        <v>1</v>
      </c>
      <c r="F8368" s="47">
        <f t="shared" si="679"/>
        <v>842</v>
      </c>
      <c r="G8368" s="212">
        <f>SUM(C8368,C8344,C8320,C8296,C8272,C8248,C8224,C8200,C8176,C8152,C8128,C8104,C8080,C8056)/POBLA!$B$15*100000</f>
        <v>693.61515653023764</v>
      </c>
      <c r="H8368" s="213">
        <f t="shared" si="680"/>
        <v>0.78775440396784679</v>
      </c>
    </row>
    <row r="8369" spans="1:8" ht="15.75" thickBot="1" x14ac:dyDescent="0.3">
      <c r="A8369" s="34" t="s">
        <v>18</v>
      </c>
      <c r="B8369" s="2">
        <v>44241</v>
      </c>
      <c r="C8369" s="1">
        <v>87</v>
      </c>
      <c r="D8369" s="47">
        <f t="shared" si="677"/>
        <v>50597</v>
      </c>
      <c r="F8369" s="47">
        <f t="shared" si="679"/>
        <v>1115</v>
      </c>
      <c r="G8369" s="212">
        <f>SUM(C8369,C8345,C8321,C8297,C8273,C8249,C8225,C8201,C8177,C8153,C8129,C8105,C8081,C8057)/POBLA!$B$16*100000</f>
        <v>362.35470365564936</v>
      </c>
      <c r="H8369" s="213">
        <f t="shared" si="680"/>
        <v>0.67657342657342656</v>
      </c>
    </row>
    <row r="8370" spans="1:8" ht="15.75" thickBot="1" x14ac:dyDescent="0.3">
      <c r="A8370" s="34" t="s">
        <v>34</v>
      </c>
      <c r="B8370" s="2">
        <v>44241</v>
      </c>
      <c r="C8370" s="1">
        <v>34</v>
      </c>
      <c r="D8370" s="47">
        <f t="shared" si="677"/>
        <v>24837</v>
      </c>
      <c r="E8370" s="1">
        <v>2</v>
      </c>
      <c r="F8370" s="47">
        <f t="shared" si="679"/>
        <v>1063</v>
      </c>
      <c r="G8370" s="212">
        <f>SUM(C8370,C8346,C8322,C8298,C8274,C8250,C8226,C8202,C8178,C8154,C8130,C8106,C8082,C8058)/POBLA!$B$17*100000</f>
        <v>72.381505998678733</v>
      </c>
      <c r="H8370" s="213">
        <f t="shared" si="680"/>
        <v>1.4299583911234397</v>
      </c>
    </row>
    <row r="8371" spans="1:8" ht="15.75" thickBot="1" x14ac:dyDescent="0.3">
      <c r="A8371" s="34" t="s">
        <v>35</v>
      </c>
      <c r="B8371" s="2">
        <v>44241</v>
      </c>
      <c r="C8371" s="1">
        <v>7</v>
      </c>
      <c r="D8371" s="47">
        <f t="shared" si="677"/>
        <v>14611</v>
      </c>
      <c r="F8371" s="47">
        <f t="shared" si="679"/>
        <v>203</v>
      </c>
      <c r="G8371" s="212">
        <f>SUM(C8371,C8347,C8323,C8299,C8275,C8251,C8227,C8203,C8179,C8155,C8131,C8107,C8083,C8059)/POBLA!$B$18*100000</f>
        <v>84.611573992885454</v>
      </c>
      <c r="H8371" s="213">
        <f t="shared" si="680"/>
        <v>0.76949941792782306</v>
      </c>
    </row>
    <row r="8372" spans="1:8" ht="15.75" thickBot="1" x14ac:dyDescent="0.3">
      <c r="A8372" s="34" t="s">
        <v>36</v>
      </c>
      <c r="B8372" s="2">
        <v>44241</v>
      </c>
      <c r="C8372" s="1">
        <v>293</v>
      </c>
      <c r="D8372" s="47">
        <f t="shared" si="677"/>
        <v>20075</v>
      </c>
      <c r="F8372" s="47">
        <f t="shared" si="679"/>
        <v>345</v>
      </c>
      <c r="G8372" s="212">
        <f>SUM(C8372,C8348,C8324,C8300,C8276,C8252,C8228,C8204,C8180,C8156,C8132,C8108,C8084,C8060)/POBLA!$B$19*100000</f>
        <v>209.51039486315921</v>
      </c>
      <c r="H8372" s="213">
        <f t="shared" si="680"/>
        <v>0.49882903981264637</v>
      </c>
    </row>
    <row r="8373" spans="1:8" ht="15.75" thickBot="1" x14ac:dyDescent="0.3">
      <c r="A8373" s="34" t="s">
        <v>37</v>
      </c>
      <c r="B8373" s="2">
        <v>44241</v>
      </c>
      <c r="C8373" s="1">
        <v>60</v>
      </c>
      <c r="D8373" s="47">
        <f t="shared" si="677"/>
        <v>34537</v>
      </c>
      <c r="F8373" s="47">
        <f t="shared" si="679"/>
        <v>536</v>
      </c>
      <c r="G8373" s="212">
        <f>SUM(C8373,C8349,C8325,C8301,C8277,C8253,C8229,C8205,C8181,C8157,C8133,C8109,C8085,C8061)/POBLA!$B$20*100000</f>
        <v>546.6259044348069</v>
      </c>
      <c r="H8373" s="213">
        <f t="shared" si="680"/>
        <v>0.63279518835074389</v>
      </c>
    </row>
    <row r="8374" spans="1:8" ht="15.75" thickBot="1" x14ac:dyDescent="0.3">
      <c r="A8374" s="34" t="s">
        <v>22</v>
      </c>
      <c r="B8374" s="2">
        <v>44241</v>
      </c>
      <c r="C8374" s="1">
        <v>193</v>
      </c>
      <c r="D8374" s="47">
        <f t="shared" si="677"/>
        <v>211917</v>
      </c>
      <c r="F8374" s="47">
        <f t="shared" si="679"/>
        <v>3807</v>
      </c>
      <c r="G8374" s="212">
        <f>SUM(C8374,C8350,C8326,C8302,C8278,C8254,C8230,C8206,C8182,C8158,C8134,C8110,C8086,C8062)/POBLA!$B$21*100000</f>
        <v>172.2364268024877</v>
      </c>
      <c r="H8374" s="213">
        <f t="shared" si="680"/>
        <v>0.56586770717205503</v>
      </c>
    </row>
    <row r="8375" spans="1:8" ht="15.75" thickBot="1" x14ac:dyDescent="0.3">
      <c r="A8375" s="34" t="s">
        <v>38</v>
      </c>
      <c r="B8375" s="2">
        <v>44241</v>
      </c>
      <c r="C8375" s="1">
        <v>29</v>
      </c>
      <c r="D8375" s="47">
        <f t="shared" si="677"/>
        <v>21862</v>
      </c>
      <c r="F8375" s="47">
        <f t="shared" si="679"/>
        <v>257</v>
      </c>
      <c r="G8375" s="212">
        <f>SUM(C8375,C8351,C8327,C8303,C8279,C8255,C8231,C8207,C8183,C8159,C8135,C8111,C8087,C8063)/POBLA!$B$22*100000</f>
        <v>103.44337650629194</v>
      </c>
      <c r="H8375" s="213">
        <f t="shared" si="680"/>
        <v>0.80895283772981619</v>
      </c>
    </row>
    <row r="8376" spans="1:8" ht="15.75" thickBot="1" x14ac:dyDescent="0.3">
      <c r="A8376" s="34" t="s">
        <v>39</v>
      </c>
      <c r="B8376" s="2">
        <v>44241</v>
      </c>
      <c r="C8376" s="1">
        <v>27</v>
      </c>
      <c r="D8376" s="47">
        <f t="shared" si="677"/>
        <v>22454</v>
      </c>
      <c r="F8376" s="47">
        <f t="shared" si="679"/>
        <v>344</v>
      </c>
      <c r="G8376" s="212">
        <f>SUM(C8376,C8352,C8328,C8304,C8280,C8256,C8232,C8208,C8184,C8160,C8136,C8112,C8088,C8064)/POBLA!$B$23*100000</f>
        <v>360.79850704066052</v>
      </c>
      <c r="H8376" s="213">
        <f t="shared" si="680"/>
        <v>0.60416666666666663</v>
      </c>
    </row>
    <row r="8377" spans="1:8" ht="15.75" thickBot="1" x14ac:dyDescent="0.3">
      <c r="A8377" s="34" t="s">
        <v>40</v>
      </c>
      <c r="B8377" s="2">
        <v>44241</v>
      </c>
      <c r="C8377" s="1">
        <v>65</v>
      </c>
      <c r="D8377" s="214">
        <f t="shared" si="677"/>
        <v>78096</v>
      </c>
      <c r="F8377" s="214">
        <f t="shared" si="679"/>
        <v>1453</v>
      </c>
      <c r="G8377" s="212">
        <f>SUM(C8377,C8353,C8329,C8305,C8281,C8257,C8233,C8209,C8185,C8161,C8137,C8113,C8089,C8065)/POBLA!$B$24*100000</f>
        <v>100.3153442350542</v>
      </c>
      <c r="H8377" s="216">
        <f t="shared" si="680"/>
        <v>0.80990948070509772</v>
      </c>
    </row>
    <row r="8378" spans="1:8" ht="15.75" thickBot="1" x14ac:dyDescent="0.3">
      <c r="A8378" s="34" t="s">
        <v>16</v>
      </c>
      <c r="B8378" s="2">
        <v>44242</v>
      </c>
      <c r="C8378" s="1">
        <v>1369</v>
      </c>
      <c r="D8378" s="211">
        <f t="shared" si="677"/>
        <v>846968</v>
      </c>
      <c r="E8378" s="1">
        <v>63</v>
      </c>
      <c r="F8378" s="211">
        <f t="shared" ref="F8378:F8384" si="681">E8378+F8354</f>
        <v>25535</v>
      </c>
      <c r="G8378" s="212">
        <f>SUM(C8378,C8354,C8330,C8306,C8282,C8258,C8234,C8210,C8186,C8162,C8138,C8114,C8090,C8066)/POBLA!$B$1*100000</f>
        <v>228.34318474493762</v>
      </c>
      <c r="H8378" s="196">
        <f t="shared" ref="H8378:H8384" si="682">SUM(C8378,C8354,C8330,C8306,C8282,C8258,C8234,C8210,C8186,C8162,C8138,C8114,C8090,C8066)/SUM(C8042,C8018,C7994,C7970,C7946,C7922,C7898,C7874,C7850,C7826,C7802,C7778,C7754,C7730)</f>
        <v>0.76338409346471248</v>
      </c>
    </row>
    <row r="8379" spans="1:8" ht="15.75" thickBot="1" x14ac:dyDescent="0.3">
      <c r="A8379" s="34" t="s">
        <v>43</v>
      </c>
      <c r="B8379" s="2">
        <v>44242</v>
      </c>
      <c r="C8379" s="1">
        <v>491</v>
      </c>
      <c r="D8379" s="47">
        <f t="shared" si="677"/>
        <v>222934</v>
      </c>
      <c r="E8379" s="1">
        <v>9</v>
      </c>
      <c r="F8379" s="47">
        <f t="shared" si="681"/>
        <v>6303</v>
      </c>
      <c r="G8379" s="212">
        <f>SUM(C8379,C8355,C8331,C8307,C8283,C8259,C8235,C8211,C8187,C8163,C8139,C8115,C8091,C8067)/POBLA!$B$2*100000</f>
        <v>384.24448067170277</v>
      </c>
      <c r="H8379" s="213">
        <f t="shared" si="682"/>
        <v>0.7765803653568143</v>
      </c>
    </row>
    <row r="8380" spans="1:8" ht="15.75" thickBot="1" x14ac:dyDescent="0.3">
      <c r="A8380" s="34" t="s">
        <v>28</v>
      </c>
      <c r="B8380" s="2">
        <v>44242</v>
      </c>
      <c r="C8380" s="1">
        <v>85</v>
      </c>
      <c r="D8380" s="47">
        <f t="shared" si="677"/>
        <v>6878</v>
      </c>
      <c r="F8380" s="47">
        <f t="shared" si="681"/>
        <v>17</v>
      </c>
      <c r="G8380" s="212">
        <f>SUM(C8380,C8356,C8332,C8308,C8284,C8260,C8236,C8212,C8188,C8164,C8140,C8116,C8092,C8068)/POBLA!$B$3*100000</f>
        <v>321.34758977272179</v>
      </c>
      <c r="H8380" s="213">
        <f t="shared" si="682"/>
        <v>1.0245587106676899</v>
      </c>
    </row>
    <row r="8381" spans="1:8" ht="15.75" thickBot="1" x14ac:dyDescent="0.3">
      <c r="A8381" s="34" t="s">
        <v>15</v>
      </c>
      <c r="B8381" s="2">
        <v>44242</v>
      </c>
      <c r="C8381" s="1">
        <v>63</v>
      </c>
      <c r="D8381" s="47">
        <f t="shared" si="677"/>
        <v>32509</v>
      </c>
      <c r="E8381" s="1">
        <v>1</v>
      </c>
      <c r="F8381" s="47">
        <f t="shared" si="681"/>
        <v>834</v>
      </c>
      <c r="G8381" s="212">
        <f>SUM(C8381,C8357,C8333,C8309,C8285,C8261,C8237,C8213,C8189,C8165,C8141,C8117,C8093,C8069)/POBLA!$B$4*100000</f>
        <v>137.9778687483448</v>
      </c>
      <c r="H8381" s="213">
        <f t="shared" si="682"/>
        <v>0.75717539863325745</v>
      </c>
    </row>
    <row r="8382" spans="1:8" ht="15.75" thickBot="1" x14ac:dyDescent="0.3">
      <c r="A8382" s="34" t="s">
        <v>29</v>
      </c>
      <c r="B8382" s="2">
        <v>44242</v>
      </c>
      <c r="C8382" s="1">
        <v>61</v>
      </c>
      <c r="D8382" s="47">
        <f t="shared" si="677"/>
        <v>45292</v>
      </c>
      <c r="F8382" s="47">
        <f t="shared" si="681"/>
        <v>687</v>
      </c>
      <c r="G8382" s="212">
        <f>SUM(C8382,C8358,C8334,C8310,C8286,C8262,C8238,C8214,C8190,C8166,C8142,C8118,C8094,C8070)/POBLA!$B$5*100000</f>
        <v>447.50029887204073</v>
      </c>
      <c r="H8382" s="213">
        <f t="shared" si="682"/>
        <v>0.67544501341136309</v>
      </c>
    </row>
    <row r="8383" spans="1:8" ht="15.75" thickBot="1" x14ac:dyDescent="0.3">
      <c r="A8383" s="34" t="s">
        <v>30</v>
      </c>
      <c r="B8383" s="2">
        <v>44242</v>
      </c>
      <c r="C8383" s="1">
        <v>297</v>
      </c>
      <c r="D8383" s="47">
        <f t="shared" si="677"/>
        <v>19646</v>
      </c>
      <c r="F8383" s="47">
        <f t="shared" si="681"/>
        <v>285</v>
      </c>
      <c r="G8383" s="212">
        <f>SUM(C8383,C8359,C8335,C8311,C8287,C8263,C8239,C8215,C8191,C8167,C8143,C8119,C8095,C8071)/POBLA!$B$7*100000</f>
        <v>55.39230677179593</v>
      </c>
      <c r="H8383" s="213">
        <f t="shared" si="682"/>
        <v>1.0404595404595405</v>
      </c>
    </row>
    <row r="8384" spans="1:8" ht="15.75" thickBot="1" x14ac:dyDescent="0.3">
      <c r="A8384" s="34" t="s">
        <v>20</v>
      </c>
      <c r="B8384" s="2">
        <v>44242</v>
      </c>
      <c r="C8384" s="1">
        <v>125</v>
      </c>
      <c r="D8384" s="47">
        <f t="shared" si="677"/>
        <v>152170</v>
      </c>
      <c r="E8384" s="1">
        <v>1</v>
      </c>
      <c r="F8384" s="47">
        <f t="shared" si="681"/>
        <v>2775</v>
      </c>
      <c r="G8384" s="212">
        <f>SUM(C8384,C8360,C8336,C8312,C8288,C8264,C8240,C8216,C8192,C8168,C8144,C8120,C8096,C8072)/POBLA!$B$6*100000</f>
        <v>609.56405285148742</v>
      </c>
      <c r="H8384" s="213">
        <f t="shared" si="682"/>
        <v>0.9416953824948312</v>
      </c>
    </row>
    <row r="8385" spans="1:8" ht="15.75" thickBot="1" x14ac:dyDescent="0.3">
      <c r="A8385" s="34" t="s">
        <v>31</v>
      </c>
      <c r="B8385" s="2">
        <v>44242</v>
      </c>
      <c r="C8385" s="1">
        <v>33</v>
      </c>
      <c r="D8385" s="47">
        <f t="shared" si="677"/>
        <v>43579</v>
      </c>
      <c r="F8385" s="47">
        <f t="shared" ref="F8385:F8401" si="683">E8385+F8361</f>
        <v>792</v>
      </c>
      <c r="G8385" s="212">
        <f>SUM(C8385,C8361,C8337,C8313,C8289,C8265,C8241,C8217,C8193,C8169,C8145,C8121,C8097,C8073)/POBLA!$B$8*100000</f>
        <v>173.95871889613056</v>
      </c>
      <c r="H8385" s="213">
        <f t="shared" ref="H8385:H8401" si="684">SUM(C8385,C8361,C8337,C8313,C8289,C8265,C8241,C8217,C8193,C8169,C8145,C8121,C8097,C8073)/SUM(C8049,C8025,C8001,C7977,C7953,C7929,C7905,C7881,C7857,C7833,C7809,C7785,C7761,C7737)</f>
        <v>0.54350766456266908</v>
      </c>
    </row>
    <row r="8386" spans="1:8" ht="15.75" thickBot="1" x14ac:dyDescent="0.3">
      <c r="A8386" s="34" t="s">
        <v>41</v>
      </c>
      <c r="B8386" s="2">
        <v>44242</v>
      </c>
      <c r="C8386" s="1">
        <v>6</v>
      </c>
      <c r="D8386" s="47">
        <f t="shared" si="677"/>
        <v>974</v>
      </c>
      <c r="F8386" s="47">
        <f t="shared" si="683"/>
        <v>9</v>
      </c>
      <c r="G8386" s="212">
        <f>SUM(C8386,C8362,C8338,C8314,C8290,C8266,C8242,C8218,C8194,C8170,C8146,C8122,C8098,C8074)/POBLA!$B$9*100000</f>
        <v>20.985041135637722</v>
      </c>
      <c r="H8386" s="213">
        <f t="shared" si="684"/>
        <v>0.74269005847953218</v>
      </c>
    </row>
    <row r="8387" spans="1:8" ht="15.75" thickBot="1" x14ac:dyDescent="0.3">
      <c r="A8387" s="34" t="s">
        <v>32</v>
      </c>
      <c r="B8387" s="2">
        <v>44242</v>
      </c>
      <c r="C8387" s="1">
        <v>29</v>
      </c>
      <c r="D8387" s="47">
        <f t="shared" si="677"/>
        <v>19798</v>
      </c>
      <c r="F8387" s="47">
        <f t="shared" si="683"/>
        <v>891</v>
      </c>
      <c r="G8387" s="212">
        <f>SUM(C8387,C8363,C8339,C8315,C8291,C8267,C8243,C8219,C8195,C8171,C8147,C8123,C8099,C8075)/POBLA!$B$10*100000</f>
        <v>58.24504690088353</v>
      </c>
      <c r="H8387" s="213">
        <f t="shared" si="684"/>
        <v>1.0393518518518519</v>
      </c>
    </row>
    <row r="8388" spans="1:8" ht="15.75" thickBot="1" x14ac:dyDescent="0.3">
      <c r="A8388" s="34" t="s">
        <v>33</v>
      </c>
      <c r="B8388" s="2">
        <v>44242</v>
      </c>
      <c r="C8388" s="1">
        <v>31</v>
      </c>
      <c r="D8388" s="47">
        <f t="shared" si="677"/>
        <v>17745</v>
      </c>
      <c r="F8388" s="47">
        <f t="shared" si="683"/>
        <v>268</v>
      </c>
      <c r="G8388" s="212">
        <f>SUM(C8388,C8364,C8340,C8316,C8292,C8268,C8244,C8220,C8196,C8172,C8148,C8124,C8100,C8076)/POBLA!$B$11*100000</f>
        <v>343.72314662916961</v>
      </c>
      <c r="H8388" s="213">
        <f t="shared" si="684"/>
        <v>0.8895306859205776</v>
      </c>
    </row>
    <row r="8389" spans="1:8" ht="15.75" thickBot="1" x14ac:dyDescent="0.3">
      <c r="A8389" s="34" t="s">
        <v>21</v>
      </c>
      <c r="B8389" s="2">
        <v>44242</v>
      </c>
      <c r="C8389" s="1">
        <v>14</v>
      </c>
      <c r="D8389" s="47">
        <f t="shared" si="677"/>
        <v>9861</v>
      </c>
      <c r="E8389" s="1">
        <v>1</v>
      </c>
      <c r="F8389" s="47">
        <f t="shared" si="683"/>
        <v>416</v>
      </c>
      <c r="G8389" s="212">
        <f>SUM(C8389,C8365,C8341,C8317,C8293,C8269,C8245,C8221,C8197,C8173,C8149,C8125,C8101,C8077)/POBLA!$B$12*100000</f>
        <v>76.741095364787014</v>
      </c>
      <c r="H8389" s="213">
        <f t="shared" si="684"/>
        <v>1.2635983263598327</v>
      </c>
    </row>
    <row r="8390" spans="1:8" ht="15.75" thickBot="1" x14ac:dyDescent="0.3">
      <c r="A8390" s="34" t="s">
        <v>17</v>
      </c>
      <c r="B8390" s="2">
        <v>44242</v>
      </c>
      <c r="C8390" s="1">
        <v>21</v>
      </c>
      <c r="D8390" s="47">
        <f t="shared" si="677"/>
        <v>65684</v>
      </c>
      <c r="E8390" s="1">
        <v>1</v>
      </c>
      <c r="F8390" s="47">
        <f t="shared" si="683"/>
        <v>1414</v>
      </c>
      <c r="G8390" s="212">
        <f>SUM(C8390,C8366,C8342,C8318,C8294,C8270,C8246,C8222,C8198,C8174,C8150,C8126,C8102,C8078)/POBLA!$B$13*100000</f>
        <v>89.884230718601557</v>
      </c>
      <c r="H8390" s="213">
        <f t="shared" si="684"/>
        <v>1.1153366583541147</v>
      </c>
    </row>
    <row r="8391" spans="1:8" ht="15.75" thickBot="1" x14ac:dyDescent="0.3">
      <c r="A8391" s="34" t="s">
        <v>23</v>
      </c>
      <c r="B8391" s="2">
        <v>44242</v>
      </c>
      <c r="C8391" s="1">
        <v>113</v>
      </c>
      <c r="D8391" s="47">
        <f t="shared" si="677"/>
        <v>6849</v>
      </c>
      <c r="F8391" s="47">
        <f t="shared" si="683"/>
        <v>119</v>
      </c>
      <c r="G8391" s="212">
        <f>SUM(C8391,C8367,C8343,C8319,C8295,C8271,C8247,C8223,C8199,C8175,C8151,C8127,C8103,C8079)/POBLA!$B$14*100000</f>
        <v>157.77447605395727</v>
      </c>
      <c r="H8391" s="213">
        <f t="shared" si="684"/>
        <v>0.78625049387593837</v>
      </c>
    </row>
    <row r="8392" spans="1:8" ht="15.75" thickBot="1" x14ac:dyDescent="0.3">
      <c r="A8392" s="34" t="s">
        <v>19</v>
      </c>
      <c r="B8392" s="2">
        <v>44242</v>
      </c>
      <c r="C8392" s="1">
        <v>148</v>
      </c>
      <c r="D8392" s="47">
        <f t="shared" si="677"/>
        <v>58811</v>
      </c>
      <c r="E8392" s="1">
        <v>9</v>
      </c>
      <c r="F8392" s="47">
        <f t="shared" si="683"/>
        <v>851</v>
      </c>
      <c r="G8392" s="212">
        <f>SUM(C8392,C8368,C8344,C8320,C8296,C8272,C8248,C8224,C8200,C8176,C8152,C8128,C8104,C8080)/POBLA!$B$15*100000</f>
        <v>659.73252296113139</v>
      </c>
      <c r="H8392" s="213">
        <f t="shared" si="684"/>
        <v>0.76178055990262561</v>
      </c>
    </row>
    <row r="8393" spans="1:8" ht="15.75" thickBot="1" x14ac:dyDescent="0.3">
      <c r="A8393" s="34" t="s">
        <v>18</v>
      </c>
      <c r="B8393" s="2">
        <v>44242</v>
      </c>
      <c r="C8393" s="1">
        <v>87</v>
      </c>
      <c r="D8393" s="47">
        <f t="shared" si="677"/>
        <v>50684</v>
      </c>
      <c r="E8393" s="1">
        <v>1</v>
      </c>
      <c r="F8393" s="47">
        <f t="shared" si="683"/>
        <v>1116</v>
      </c>
      <c r="G8393" s="212">
        <f>SUM(C8393,C8369,C8345,C8321,C8297,C8273,C8249,C8225,C8201,C8177,C8153,C8129,C8105,C8081)/POBLA!$B$16*100000</f>
        <v>334.13143216382872</v>
      </c>
      <c r="H8393" s="213">
        <f t="shared" si="684"/>
        <v>0.62046696472925977</v>
      </c>
    </row>
    <row r="8394" spans="1:8" ht="15.75" thickBot="1" x14ac:dyDescent="0.3">
      <c r="A8394" s="34" t="s">
        <v>34</v>
      </c>
      <c r="B8394" s="2">
        <v>44242</v>
      </c>
      <c r="C8394" s="1">
        <v>18</v>
      </c>
      <c r="D8394" s="47">
        <f t="shared" si="677"/>
        <v>24855</v>
      </c>
      <c r="E8394" s="1">
        <v>1</v>
      </c>
      <c r="F8394" s="47">
        <f t="shared" si="683"/>
        <v>1064</v>
      </c>
      <c r="G8394" s="212">
        <f>SUM(C8394,C8370,C8346,C8322,C8298,C8274,C8250,C8226,C8202,C8178,C8154,C8130,C8106,C8082)/POBLA!$B$17*100000</f>
        <v>72.241095705761808</v>
      </c>
      <c r="H8394" s="213">
        <f t="shared" si="684"/>
        <v>1.4311543810848402</v>
      </c>
    </row>
    <row r="8395" spans="1:8" ht="15.75" thickBot="1" x14ac:dyDescent="0.3">
      <c r="A8395" s="34" t="s">
        <v>35</v>
      </c>
      <c r="B8395" s="2">
        <v>44242</v>
      </c>
      <c r="C8395" s="1">
        <v>5</v>
      </c>
      <c r="D8395" s="47">
        <f t="shared" si="677"/>
        <v>14616</v>
      </c>
      <c r="F8395" s="47">
        <f t="shared" si="683"/>
        <v>203</v>
      </c>
      <c r="G8395" s="212">
        <f>SUM(C8395,C8371,C8347,C8323,C8299,C8275,C8251,C8227,C8203,C8179,C8155,C8131,C8107,C8083)/POBLA!$B$18*100000</f>
        <v>79.235346901053106</v>
      </c>
      <c r="H8395" s="213">
        <f t="shared" si="684"/>
        <v>0.74758454106280192</v>
      </c>
    </row>
    <row r="8396" spans="1:8" ht="15.75" thickBot="1" x14ac:dyDescent="0.3">
      <c r="A8396" s="34" t="s">
        <v>36</v>
      </c>
      <c r="B8396" s="2">
        <v>44242</v>
      </c>
      <c r="C8396" s="1">
        <v>8</v>
      </c>
      <c r="D8396" s="47">
        <f t="shared" si="677"/>
        <v>20083</v>
      </c>
      <c r="E8396" s="1">
        <v>1</v>
      </c>
      <c r="F8396" s="47">
        <f t="shared" si="683"/>
        <v>346</v>
      </c>
      <c r="G8396" s="212">
        <f>SUM(C8396,C8372,C8348,C8324,C8300,C8276,C8252,C8228,C8204,C8180,C8156,C8132,C8108,C8084)/POBLA!$B$19*100000</f>
        <v>209.90384161407596</v>
      </c>
      <c r="H8396" s="213">
        <f t="shared" si="684"/>
        <v>0.5199805068226121</v>
      </c>
    </row>
    <row r="8397" spans="1:8" ht="15.75" thickBot="1" x14ac:dyDescent="0.3">
      <c r="A8397" s="34" t="s">
        <v>37</v>
      </c>
      <c r="B8397" s="2">
        <v>44242</v>
      </c>
      <c r="C8397" s="1">
        <v>44</v>
      </c>
      <c r="D8397" s="47">
        <f t="shared" si="677"/>
        <v>34581</v>
      </c>
      <c r="E8397" s="1">
        <v>1</v>
      </c>
      <c r="F8397" s="47">
        <f t="shared" si="683"/>
        <v>537</v>
      </c>
      <c r="G8397" s="212">
        <f>SUM(C8397,C8373,C8349,C8325,C8301,C8277,C8253,C8229,C8205,C8181,C8157,C8133,C8109,C8085)/POBLA!$B$20*100000</f>
        <v>520.37473543743738</v>
      </c>
      <c r="H8397" s="213">
        <f t="shared" si="684"/>
        <v>0.6343333333333333</v>
      </c>
    </row>
    <row r="8398" spans="1:8" ht="15.75" thickBot="1" x14ac:dyDescent="0.3">
      <c r="A8398" s="34" t="s">
        <v>22</v>
      </c>
      <c r="B8398" s="2">
        <v>44242</v>
      </c>
      <c r="C8398" s="1">
        <v>150</v>
      </c>
      <c r="D8398" s="47">
        <f t="shared" si="677"/>
        <v>212067</v>
      </c>
      <c r="F8398" s="47">
        <f t="shared" si="683"/>
        <v>3807</v>
      </c>
      <c r="G8398" s="212">
        <f>SUM(C8398,C8374,C8350,C8326,C8302,C8278,C8254,C8230,C8206,C8182,C8158,C8134,C8110,C8086)/POBLA!$B$21*100000</f>
        <v>161.68903110435474</v>
      </c>
      <c r="H8398" s="213">
        <f t="shared" si="684"/>
        <v>0.54812116564417179</v>
      </c>
    </row>
    <row r="8399" spans="1:8" ht="15.75" thickBot="1" x14ac:dyDescent="0.3">
      <c r="A8399" s="34" t="s">
        <v>38</v>
      </c>
      <c r="B8399" s="2">
        <v>44242</v>
      </c>
      <c r="C8399" s="1">
        <v>23</v>
      </c>
      <c r="D8399" s="47">
        <f t="shared" si="677"/>
        <v>21885</v>
      </c>
      <c r="E8399" s="1">
        <v>2</v>
      </c>
      <c r="F8399" s="47">
        <f t="shared" si="683"/>
        <v>259</v>
      </c>
      <c r="G8399" s="212">
        <f>SUM(C8399,C8375,C8351,C8327,C8303,C8279,C8255,C8231,C8207,C8183,C8159,C8135,C8111,C8087)/POBLA!$B$22*100000</f>
        <v>95.16381771478045</v>
      </c>
      <c r="H8399" s="213">
        <f t="shared" si="684"/>
        <v>0.74301675977653636</v>
      </c>
    </row>
    <row r="8400" spans="1:8" ht="15.75" thickBot="1" x14ac:dyDescent="0.3">
      <c r="A8400" s="34" t="s">
        <v>39</v>
      </c>
      <c r="B8400" s="2">
        <v>44242</v>
      </c>
      <c r="C8400" s="1">
        <v>7</v>
      </c>
      <c r="D8400" s="47">
        <f t="shared" si="677"/>
        <v>22461</v>
      </c>
      <c r="F8400" s="47">
        <f t="shared" si="683"/>
        <v>344</v>
      </c>
      <c r="G8400" s="212">
        <f>SUM(C8400,C8376,C8352,C8328,C8304,C8280,C8256,C8232,C8208,C8184,C8160,C8136,C8112,C8088)/POBLA!$B$23*100000</f>
        <v>344.39857490244867</v>
      </c>
      <c r="H8400" s="213">
        <f>SUM(C8400,C8376,C8352,C8328,C8304,C8280,C8256,C8232,C8208,C8184,C8160,C8136,C8112,C8088)/SUM(C8064,C8040,C8016,C7992,C7968,C7944,C7920,C7896,C7872,C7848,C7824,C7800,C7776,C7752)</f>
        <v>0.62978283350568764</v>
      </c>
    </row>
    <row r="8401" spans="1:8" ht="15.75" thickBot="1" x14ac:dyDescent="0.3">
      <c r="A8401" s="34" t="s">
        <v>40</v>
      </c>
      <c r="B8401" s="2">
        <v>44242</v>
      </c>
      <c r="C8401" s="1">
        <v>31</v>
      </c>
      <c r="D8401" s="214">
        <f t="shared" si="677"/>
        <v>78127</v>
      </c>
      <c r="F8401" s="214">
        <f t="shared" si="683"/>
        <v>1453</v>
      </c>
      <c r="G8401" s="212">
        <f>SUM(C8401,C8377,C8353,C8329,C8305,C8281,C8257,C8233,C8209,C8185,C8161,C8137,C8113,C8089)/POBLA!$B$24*100000</f>
        <v>94.119396502889074</v>
      </c>
      <c r="H8401" s="216">
        <f t="shared" si="684"/>
        <v>0.77577821011673154</v>
      </c>
    </row>
    <row r="8402" spans="1:8" ht="15.75" thickBot="1" x14ac:dyDescent="0.3">
      <c r="A8402" s="34" t="s">
        <v>16</v>
      </c>
      <c r="B8402" s="2">
        <v>44243</v>
      </c>
      <c r="C8402" s="1">
        <v>1486</v>
      </c>
      <c r="D8402" s="211">
        <f t="shared" si="677"/>
        <v>848454</v>
      </c>
      <c r="E8402" s="1">
        <v>38</v>
      </c>
      <c r="F8402" s="211">
        <f t="shared" ref="F8402:F8408" si="685">E8402+F8378</f>
        <v>25573</v>
      </c>
      <c r="G8402" s="212">
        <f>SUM(C8402,C8378,C8354,C8330,C8306,C8282,C8258,C8234,C8210,C8186,C8162,C8138,C8114,C8090)/POBLA!$B$1*100000</f>
        <v>212.6258491394602</v>
      </c>
      <c r="H8402" s="196">
        <f t="shared" ref="H8402:H8408" si="686">SUM(C8402,C8378,C8354,C8330,C8306,C8282,C8258,C8234,C8210,C8186,C8162,C8138,C8114,C8090)/SUM(C8066,C8042,C8018,C7994,C7970,C7946,C7922,C7898,C7874,C7850,C7826,C7802,C7778,C7754)</f>
        <v>0.72296419779410337</v>
      </c>
    </row>
    <row r="8403" spans="1:8" ht="15.75" thickBot="1" x14ac:dyDescent="0.3">
      <c r="A8403" s="34" t="s">
        <v>43</v>
      </c>
      <c r="B8403" s="2">
        <v>44243</v>
      </c>
      <c r="C8403" s="1">
        <v>439</v>
      </c>
      <c r="D8403" s="47">
        <f t="shared" si="677"/>
        <v>223373</v>
      </c>
      <c r="E8403" s="1">
        <v>9</v>
      </c>
      <c r="F8403" s="47">
        <f t="shared" si="685"/>
        <v>6312</v>
      </c>
      <c r="G8403" s="212">
        <f>SUM(C8403,C8379,C8355,C8331,C8307,C8283,C8259,C8235,C8211,C8187,C8163,C8139,C8115,C8091)/POBLA!$B$2*100000</f>
        <v>357.22576655440838</v>
      </c>
      <c r="H8403" s="213">
        <f t="shared" si="686"/>
        <v>0.72761589403973514</v>
      </c>
    </row>
    <row r="8404" spans="1:8" ht="15.75" thickBot="1" x14ac:dyDescent="0.3">
      <c r="A8404" s="34" t="s">
        <v>28</v>
      </c>
      <c r="B8404" s="2">
        <v>44243</v>
      </c>
      <c r="C8404" s="1">
        <v>4</v>
      </c>
      <c r="D8404" s="47">
        <f t="shared" si="677"/>
        <v>6882</v>
      </c>
      <c r="F8404" s="47">
        <f t="shared" si="685"/>
        <v>17</v>
      </c>
      <c r="G8404" s="212">
        <f>SUM(C8404,C8380,C8356,C8332,C8308,C8284,C8260,C8236,C8212,C8188,C8164,C8140,C8116,C8092)/POBLA!$B$3*100000</f>
        <v>289.81460530813263</v>
      </c>
      <c r="H8404" s="213">
        <f t="shared" si="686"/>
        <v>0.93769470404984423</v>
      </c>
    </row>
    <row r="8405" spans="1:8" ht="15.75" thickBot="1" x14ac:dyDescent="0.3">
      <c r="A8405" s="34" t="s">
        <v>15</v>
      </c>
      <c r="B8405" s="2">
        <v>44243</v>
      </c>
      <c r="C8405" s="1">
        <v>71</v>
      </c>
      <c r="D8405" s="47">
        <f t="shared" si="677"/>
        <v>32580</v>
      </c>
      <c r="E8405" s="1">
        <v>2</v>
      </c>
      <c r="F8405" s="47">
        <f t="shared" si="685"/>
        <v>836</v>
      </c>
      <c r="G8405" s="212">
        <f>SUM(C8405,C8381,C8357,C8333,C8309,C8285,C8261,C8237,C8213,C8189,C8165,C8141,C8117,C8093)/POBLA!$B$4*100000</f>
        <v>130.50614300384962</v>
      </c>
      <c r="H8405" s="213">
        <f t="shared" si="686"/>
        <v>0.73320895522388063</v>
      </c>
    </row>
    <row r="8406" spans="1:8" ht="15.75" thickBot="1" x14ac:dyDescent="0.3">
      <c r="A8406" s="34" t="s">
        <v>29</v>
      </c>
      <c r="B8406" s="2">
        <v>44243</v>
      </c>
      <c r="C8406" s="1">
        <v>41</v>
      </c>
      <c r="D8406" s="47">
        <f t="shared" si="677"/>
        <v>45333</v>
      </c>
      <c r="F8406" s="47">
        <f t="shared" si="685"/>
        <v>687</v>
      </c>
      <c r="G8406" s="212">
        <f>SUM(C8406,C8382,C8358,C8334,C8310,C8286,C8262,C8238,C8214,C8190,C8166,C8142,C8118,C8094)/POBLA!$B$5*100000</f>
        <v>401.29629689463866</v>
      </c>
      <c r="H8406" s="213">
        <f t="shared" si="686"/>
        <v>0.60897278744790395</v>
      </c>
    </row>
    <row r="8407" spans="1:8" ht="15.75" thickBot="1" x14ac:dyDescent="0.3">
      <c r="A8407" s="34" t="s">
        <v>30</v>
      </c>
      <c r="B8407" s="2">
        <v>44243</v>
      </c>
      <c r="C8407" s="1">
        <v>486</v>
      </c>
      <c r="D8407" s="47">
        <f t="shared" si="677"/>
        <v>20132</v>
      </c>
      <c r="F8407" s="47">
        <f t="shared" si="685"/>
        <v>285</v>
      </c>
      <c r="G8407" s="212">
        <f>SUM(C8407,C8383,C8359,C8335,C8311,C8287,C8263,C8239,C8215,C8191,C8167,C8143,C8119,C8095)/POBLA!$B$7*100000</f>
        <v>63.662593572577748</v>
      </c>
      <c r="H8407" s="213">
        <f t="shared" si="686"/>
        <v>1.1471011020603736</v>
      </c>
    </row>
    <row r="8408" spans="1:8" ht="15.75" thickBot="1" x14ac:dyDescent="0.3">
      <c r="A8408" s="34" t="s">
        <v>20</v>
      </c>
      <c r="B8408" s="2">
        <v>44243</v>
      </c>
      <c r="C8408" s="1">
        <v>303</v>
      </c>
      <c r="D8408" s="47">
        <f t="shared" si="677"/>
        <v>152473</v>
      </c>
      <c r="E8408" s="1">
        <v>5</v>
      </c>
      <c r="F8408" s="47">
        <f t="shared" si="685"/>
        <v>2780</v>
      </c>
      <c r="G8408" s="212">
        <f>SUM(C8408,C8384,C8360,C8336,C8312,C8288,C8264,C8240,C8216,C8192,C8168,C8144,C8120,C8096)/POBLA!$B$6*100000</f>
        <v>585.65258239419848</v>
      </c>
      <c r="H8408" s="213">
        <f t="shared" si="686"/>
        <v>0.91701592623637884</v>
      </c>
    </row>
    <row r="8409" spans="1:8" ht="15.75" thickBot="1" x14ac:dyDescent="0.3">
      <c r="A8409" s="34" t="s">
        <v>31</v>
      </c>
      <c r="B8409" s="2">
        <v>44243</v>
      </c>
      <c r="C8409" s="1">
        <v>103</v>
      </c>
      <c r="D8409" s="47">
        <f t="shared" si="677"/>
        <v>43682</v>
      </c>
      <c r="F8409" s="47">
        <f t="shared" ref="F8409:F8425" si="687">E8409+F8385</f>
        <v>792</v>
      </c>
      <c r="G8409" s="212">
        <f>SUM(C8409,C8385,C8361,C8337,C8313,C8289,C8265,C8241,C8217,C8193,C8169,C8145,C8121,C8097)/POBLA!$B$8*100000</f>
        <v>160.89918836100006</v>
      </c>
      <c r="H8409" s="213">
        <f t="shared" ref="H8409:H8425" si="688">SUM(C8409,C8385,C8361,C8337,C8313,C8289,C8265,C8241,C8217,C8193,C8169,C8145,C8121,C8097)/SUM(C8073,C8049,C8025,C8001,C7977,C7953,C7929,C7905,C7881,C7857,C7833,C7809,C7785,C7761)</f>
        <v>0.52163742690058479</v>
      </c>
    </row>
    <row r="8410" spans="1:8" ht="15.75" thickBot="1" x14ac:dyDescent="0.3">
      <c r="A8410" s="34" t="s">
        <v>41</v>
      </c>
      <c r="B8410" s="2">
        <v>44243</v>
      </c>
      <c r="C8410" s="1">
        <v>4</v>
      </c>
      <c r="D8410" s="47">
        <f t="shared" si="677"/>
        <v>978</v>
      </c>
      <c r="E8410" s="1">
        <v>7</v>
      </c>
      <c r="F8410" s="47">
        <f t="shared" si="687"/>
        <v>16</v>
      </c>
      <c r="G8410" s="212">
        <f>SUM(C8410,C8386,C8362,C8338,C8314,C8290,C8266,C8242,C8218,C8194,C8170,C8146,C8122,C8098)/POBLA!$B$9*100000</f>
        <v>20.985041135637722</v>
      </c>
      <c r="H8410" s="213">
        <f t="shared" si="688"/>
        <v>0.76047904191616766</v>
      </c>
    </row>
    <row r="8411" spans="1:8" ht="15.75" thickBot="1" x14ac:dyDescent="0.3">
      <c r="A8411" s="34" t="s">
        <v>32</v>
      </c>
      <c r="B8411" s="2">
        <v>44243</v>
      </c>
      <c r="C8411" s="1">
        <v>29</v>
      </c>
      <c r="D8411" s="47">
        <f t="shared" si="677"/>
        <v>19827</v>
      </c>
      <c r="E8411" s="1">
        <v>2</v>
      </c>
      <c r="F8411" s="47">
        <f t="shared" si="687"/>
        <v>893</v>
      </c>
      <c r="G8411" s="212">
        <f>SUM(C8411,C8387,C8363,C8339,C8315,C8291,C8267,C8243,C8219,C8195,C8171,C8147,C8123,C8099)/POBLA!$B$10*100000</f>
        <v>59.15309885702203</v>
      </c>
      <c r="H8411" s="213">
        <f t="shared" si="688"/>
        <v>1.0629370629370629</v>
      </c>
    </row>
    <row r="8412" spans="1:8" ht="15.75" thickBot="1" x14ac:dyDescent="0.3">
      <c r="A8412" s="34" t="s">
        <v>33</v>
      </c>
      <c r="B8412" s="2">
        <v>44243</v>
      </c>
      <c r="C8412" s="1">
        <v>53</v>
      </c>
      <c r="D8412" s="47">
        <f t="shared" si="677"/>
        <v>17798</v>
      </c>
      <c r="E8412" s="1">
        <v>2</v>
      </c>
      <c r="F8412" s="47">
        <f t="shared" si="687"/>
        <v>270</v>
      </c>
      <c r="G8412" s="212">
        <f>SUM(C8412,C8388,C8364,C8340,C8316,C8292,C8268,C8244,C8220,C8196,C8172,C8148,C8124,C8100)/POBLA!$B$11*100000</f>
        <v>333.95828450902275</v>
      </c>
      <c r="H8412" s="213">
        <f t="shared" si="688"/>
        <v>0.90957446808510634</v>
      </c>
    </row>
    <row r="8413" spans="1:8" ht="15.75" thickBot="1" x14ac:dyDescent="0.3">
      <c r="A8413" s="34" t="s">
        <v>21</v>
      </c>
      <c r="B8413" s="2">
        <v>44243</v>
      </c>
      <c r="C8413" s="1">
        <v>20</v>
      </c>
      <c r="D8413" s="47">
        <f t="shared" si="677"/>
        <v>9881</v>
      </c>
      <c r="E8413" s="1">
        <v>1</v>
      </c>
      <c r="F8413" s="47">
        <f t="shared" si="687"/>
        <v>417</v>
      </c>
      <c r="G8413" s="212">
        <f>SUM(C8413,C8389,C8365,C8341,C8317,C8293,C8269,C8245,C8221,C8197,C8173,C8149,C8125,C8101)/POBLA!$B$12*100000</f>
        <v>80.298629586995688</v>
      </c>
      <c r="H8413" s="213">
        <f t="shared" si="688"/>
        <v>1.3389830508474576</v>
      </c>
    </row>
    <row r="8414" spans="1:8" ht="15.75" thickBot="1" x14ac:dyDescent="0.3">
      <c r="A8414" s="34" t="s">
        <v>17</v>
      </c>
      <c r="B8414" s="2">
        <v>44243</v>
      </c>
      <c r="C8414" s="1">
        <v>46</v>
      </c>
      <c r="D8414" s="47">
        <f t="shared" si="677"/>
        <v>65730</v>
      </c>
      <c r="F8414" s="47">
        <f t="shared" si="687"/>
        <v>1414</v>
      </c>
      <c r="G8414" s="212">
        <f>SUM(C8414,C8390,C8366,C8342,C8318,C8294,C8270,C8246,C8222,C8198,C8174,C8150,C8126,C8102)/POBLA!$B$13*100000</f>
        <v>84.859958459316957</v>
      </c>
      <c r="H8414" s="213">
        <f t="shared" si="688"/>
        <v>1.0543071161048689</v>
      </c>
    </row>
    <row r="8415" spans="1:8" ht="15.75" thickBot="1" x14ac:dyDescent="0.3">
      <c r="A8415" s="34" t="s">
        <v>23</v>
      </c>
      <c r="B8415" s="2">
        <v>44243</v>
      </c>
      <c r="C8415" s="1">
        <v>115</v>
      </c>
      <c r="D8415" s="47">
        <f t="shared" si="677"/>
        <v>6964</v>
      </c>
      <c r="E8415" s="1">
        <v>1</v>
      </c>
      <c r="F8415" s="47">
        <f t="shared" si="687"/>
        <v>120</v>
      </c>
      <c r="G8415" s="212">
        <f>SUM(C8415,C8391,C8367,C8343,C8319,C8295,C8271,C8247,C8223,C8199,C8175,C8151,C8127,C8103)/POBLA!$B$14*100000</f>
        <v>144.37553813781719</v>
      </c>
      <c r="H8415" s="213">
        <f t="shared" si="688"/>
        <v>0.70663562281722936</v>
      </c>
    </row>
    <row r="8416" spans="1:8" ht="15.75" thickBot="1" x14ac:dyDescent="0.3">
      <c r="A8416" s="34" t="s">
        <v>19</v>
      </c>
      <c r="B8416" s="2">
        <v>44243</v>
      </c>
      <c r="C8416" s="1">
        <v>112</v>
      </c>
      <c r="D8416" s="47">
        <f t="shared" si="677"/>
        <v>58923</v>
      </c>
      <c r="E8416" s="1">
        <v>15</v>
      </c>
      <c r="F8416" s="47">
        <f t="shared" si="687"/>
        <v>866</v>
      </c>
      <c r="G8416" s="212">
        <f>SUM(C8416,C8392,C8368,C8344,C8320,C8296,C8272,C8248,C8224,C8200,C8176,C8152,C8128,C8104)/POBLA!$B$15*100000</f>
        <v>601.45439322226855</v>
      </c>
      <c r="H8416" s="213">
        <f t="shared" si="688"/>
        <v>0.68472484141950973</v>
      </c>
    </row>
    <row r="8417" spans="1:11" ht="15.75" thickBot="1" x14ac:dyDescent="0.3">
      <c r="A8417" s="34" t="s">
        <v>18</v>
      </c>
      <c r="B8417" s="2">
        <v>44243</v>
      </c>
      <c r="C8417" s="1">
        <v>113</v>
      </c>
      <c r="D8417" s="47">
        <f t="shared" si="677"/>
        <v>50797</v>
      </c>
      <c r="E8417" s="1">
        <v>3</v>
      </c>
      <c r="F8417" s="47">
        <f t="shared" si="687"/>
        <v>1119</v>
      </c>
      <c r="G8417" s="212">
        <f>SUM(C8417,C8393,C8369,C8345,C8321,C8297,C8273,C8249,C8225,C8201,C8177,C8153,C8129,C8105)/POBLA!$B$16*100000</f>
        <v>309.92094808790677</v>
      </c>
      <c r="H8417" s="213">
        <f t="shared" si="688"/>
        <v>0.59182630906768841</v>
      </c>
    </row>
    <row r="8418" spans="1:11" ht="15.75" thickBot="1" x14ac:dyDescent="0.3">
      <c r="A8418" s="34" t="s">
        <v>34</v>
      </c>
      <c r="B8418" s="2">
        <v>44243</v>
      </c>
      <c r="C8418" s="1">
        <v>46</v>
      </c>
      <c r="D8418" s="47">
        <f t="shared" ref="D8418:D8481" si="689">C8418+D8394</f>
        <v>24901</v>
      </c>
      <c r="E8418" s="1">
        <v>5</v>
      </c>
      <c r="F8418" s="47">
        <f t="shared" si="687"/>
        <v>1069</v>
      </c>
      <c r="G8418" s="212">
        <f>SUM(C8418,C8394,C8370,C8346,C8322,C8298,C8274,C8250,C8226,C8202,C8178,C8154,C8130,C8106)/POBLA!$B$17*100000</f>
        <v>71.468839094718675</v>
      </c>
      <c r="H8418" s="213">
        <f t="shared" si="688"/>
        <v>1.3926128590971272</v>
      </c>
    </row>
    <row r="8419" spans="1:11" ht="15.75" thickBot="1" x14ac:dyDescent="0.3">
      <c r="A8419" s="34" t="s">
        <v>35</v>
      </c>
      <c r="B8419" s="2">
        <v>44243</v>
      </c>
      <c r="C8419" s="1">
        <v>44</v>
      </c>
      <c r="D8419" s="47">
        <f t="shared" si="689"/>
        <v>14660</v>
      </c>
      <c r="F8419" s="47">
        <f t="shared" si="687"/>
        <v>203</v>
      </c>
      <c r="G8419" s="212">
        <f>SUM(C8419,C8395,C8371,C8347,C8323,C8299,C8275,C8251,C8227,C8203,C8179,C8155,C8131,C8107)/POBLA!$B$18*100000</f>
        <v>74.243136030065912</v>
      </c>
      <c r="H8419" s="213">
        <f t="shared" si="688"/>
        <v>0.70388349514563109</v>
      </c>
    </row>
    <row r="8420" spans="1:11" ht="15.75" thickBot="1" x14ac:dyDescent="0.3">
      <c r="A8420" s="34" t="s">
        <v>36</v>
      </c>
      <c r="B8420" s="2">
        <v>44243</v>
      </c>
      <c r="C8420" s="1">
        <v>138</v>
      </c>
      <c r="D8420" s="47">
        <f t="shared" si="689"/>
        <v>20221</v>
      </c>
      <c r="E8420" s="1">
        <v>1</v>
      </c>
      <c r="F8420" s="47">
        <f t="shared" si="687"/>
        <v>347</v>
      </c>
      <c r="G8420" s="212">
        <f>SUM(C8420,C8396,C8372,C8348,C8324,C8300,C8276,C8252,C8228,C8204,C8180,C8156,C8132,C8108)/POBLA!$B$19*100000</f>
        <v>224.65809477345334</v>
      </c>
      <c r="H8420" s="213">
        <f t="shared" si="688"/>
        <v>0.56506679861454723</v>
      </c>
    </row>
    <row r="8421" spans="1:11" ht="15.75" thickBot="1" x14ac:dyDescent="0.3">
      <c r="A8421" s="34" t="s">
        <v>37</v>
      </c>
      <c r="B8421" s="2">
        <v>44243</v>
      </c>
      <c r="C8421" s="1">
        <v>52</v>
      </c>
      <c r="D8421" s="47">
        <f t="shared" si="689"/>
        <v>34633</v>
      </c>
      <c r="E8421" s="1">
        <v>3</v>
      </c>
      <c r="F8421" s="47">
        <f t="shared" si="687"/>
        <v>540</v>
      </c>
      <c r="G8421" s="212">
        <f>SUM(C8421,C8397,C8373,C8349,C8325,C8301,C8277,C8253,C8229,C8205,C8181,C8157,C8133,C8109)/POBLA!$B$20*100000</f>
        <v>491.38906966950867</v>
      </c>
      <c r="H8421" s="213">
        <f t="shared" si="688"/>
        <v>0.66041896361631758</v>
      </c>
    </row>
    <row r="8422" spans="1:11" ht="15.75" thickBot="1" x14ac:dyDescent="0.3">
      <c r="A8422" s="34" t="s">
        <v>22</v>
      </c>
      <c r="B8422" s="2">
        <v>44243</v>
      </c>
      <c r="C8422" s="1">
        <v>180</v>
      </c>
      <c r="D8422" s="47">
        <f t="shared" si="689"/>
        <v>212247</v>
      </c>
      <c r="E8422" s="1">
        <v>5</v>
      </c>
      <c r="F8422" s="47">
        <f t="shared" si="687"/>
        <v>3812</v>
      </c>
      <c r="G8422" s="212">
        <f>SUM(C8422,C8398,C8374,C8350,C8326,C8302,C8278,C8254,C8230,C8206,C8182,C8158,C8134,C8110)/POBLA!$B$21*100000</f>
        <v>152.21616901621923</v>
      </c>
      <c r="H8422" s="213">
        <f t="shared" si="688"/>
        <v>0.55261266810389076</v>
      </c>
    </row>
    <row r="8423" spans="1:11" ht="15.75" thickBot="1" x14ac:dyDescent="0.3">
      <c r="A8423" s="34" t="s">
        <v>38</v>
      </c>
      <c r="B8423" s="2">
        <v>44243</v>
      </c>
      <c r="C8423" s="1">
        <v>29</v>
      </c>
      <c r="D8423" s="47">
        <f t="shared" si="689"/>
        <v>21914</v>
      </c>
      <c r="F8423" s="47">
        <f t="shared" si="687"/>
        <v>259</v>
      </c>
      <c r="G8423" s="212">
        <f>SUM(C8423,C8399,C8375,C8351,C8327,C8303,C8279,C8255,C8231,C8207,C8183,C8159,C8135,C8111)/POBLA!$B$22*100000</f>
        <v>91.075146706626612</v>
      </c>
      <c r="H8423" s="213">
        <f t="shared" si="688"/>
        <v>0.724390243902439</v>
      </c>
    </row>
    <row r="8424" spans="1:11" ht="15.75" thickBot="1" x14ac:dyDescent="0.3">
      <c r="A8424" s="34" t="s">
        <v>39</v>
      </c>
      <c r="B8424" s="2">
        <v>44243</v>
      </c>
      <c r="C8424" s="1">
        <v>22</v>
      </c>
      <c r="D8424" s="47">
        <f t="shared" si="689"/>
        <v>22483</v>
      </c>
      <c r="F8424" s="47">
        <f t="shared" si="687"/>
        <v>344</v>
      </c>
      <c r="G8424" s="212">
        <f>SUM(C8424,C8400,C8376,C8352,C8328,C8304,C8280,C8256,C8232,C8208,C8184,C8160,C8136,C8112)/POBLA!$B$23*100000</f>
        <v>324.0400384550133</v>
      </c>
      <c r="H8424" s="224">
        <f t="shared" si="688"/>
        <v>0.64745762711864407</v>
      </c>
      <c r="I8424" s="33"/>
      <c r="J8424" s="33"/>
      <c r="K8424" s="33"/>
    </row>
    <row r="8425" spans="1:11" ht="15.75" thickBot="1" x14ac:dyDescent="0.3">
      <c r="A8425" s="48" t="s">
        <v>40</v>
      </c>
      <c r="B8425" s="42">
        <v>44243</v>
      </c>
      <c r="C8425" s="300">
        <v>67</v>
      </c>
      <c r="D8425" s="81">
        <f t="shared" si="689"/>
        <v>78194</v>
      </c>
      <c r="E8425" s="300">
        <v>6</v>
      </c>
      <c r="F8425" s="81">
        <f t="shared" si="687"/>
        <v>1459</v>
      </c>
      <c r="G8425" s="212">
        <f>SUM(C8425,C8401,C8377,C8353,C8329,C8305,C8281,C8257,C8233,C8209,C8185,C8161,C8137,C8113)/POBLA!$B$24*100000</f>
        <v>87.274349484497151</v>
      </c>
      <c r="H8425" s="225">
        <f t="shared" si="688"/>
        <v>0.72678132678132679</v>
      </c>
      <c r="I8425" s="33"/>
      <c r="J8425" s="33"/>
      <c r="K8425" s="33"/>
    </row>
    <row r="8426" spans="1:11" ht="15.75" thickBot="1" x14ac:dyDescent="0.3">
      <c r="A8426" s="36" t="s">
        <v>16</v>
      </c>
      <c r="B8426" s="354">
        <v>44244</v>
      </c>
      <c r="C8426" s="53">
        <v>2602</v>
      </c>
      <c r="D8426" s="211">
        <f t="shared" si="689"/>
        <v>851056</v>
      </c>
      <c r="E8426" s="53">
        <v>67</v>
      </c>
      <c r="F8426" s="211">
        <f t="shared" ref="F8426:F8432" si="690">E8426+F8402</f>
        <v>25640</v>
      </c>
      <c r="G8426" s="212">
        <f>SUM(C8426,C8402,C8378,C8354,C8330,C8306,C8282,C8258,C8234,C8210,C8186,C8162,C8138,C8114)/POBLA!$B$1*100000</f>
        <v>206.43468973882599</v>
      </c>
      <c r="H8426" s="196">
        <f t="shared" ref="H8426:H8432" si="691">SUM(C8426,C8402,C8378,C8354,C8330,C8306,C8282,C8258,C8234,C8210,C8186,C8162,C8138,C8114)/SUM(C8090,C8066,C8042,C8018,C7994,C7970,C7946,C7922,C7898,C7874,C7850,C7826,C7802,C7778)</f>
        <v>0.7187717104349034</v>
      </c>
      <c r="I8426" s="226"/>
      <c r="J8426" s="226"/>
      <c r="K8426" s="226"/>
    </row>
    <row r="8427" spans="1:11" ht="15.75" thickBot="1" x14ac:dyDescent="0.3">
      <c r="A8427" s="84" t="s">
        <v>43</v>
      </c>
      <c r="B8427" s="2">
        <v>44244</v>
      </c>
      <c r="C8427" s="1">
        <v>764</v>
      </c>
      <c r="D8427" s="47">
        <f t="shared" si="689"/>
        <v>224137</v>
      </c>
      <c r="E8427" s="1">
        <v>7</v>
      </c>
      <c r="F8427" s="47">
        <f t="shared" si="690"/>
        <v>6319</v>
      </c>
      <c r="G8427" s="212">
        <f>SUM(C8427,C8403,C8379,C8355,C8331,C8307,C8283,C8259,C8235,C8211,C8187,C8163,C8139,C8115)/POBLA!$B$2*100000</f>
        <v>347.24412367353068</v>
      </c>
      <c r="H8427" s="213">
        <f t="shared" si="691"/>
        <v>0.71682663265991009</v>
      </c>
      <c r="I8427" s="226"/>
      <c r="J8427" s="226"/>
      <c r="K8427" s="226"/>
    </row>
    <row r="8428" spans="1:11" ht="15.75" thickBot="1" x14ac:dyDescent="0.3">
      <c r="A8428" s="84" t="s">
        <v>28</v>
      </c>
      <c r="B8428" s="2">
        <v>44244</v>
      </c>
      <c r="C8428" s="1">
        <v>81</v>
      </c>
      <c r="D8428" s="47">
        <f t="shared" si="689"/>
        <v>6963</v>
      </c>
      <c r="F8428" s="47">
        <f t="shared" si="690"/>
        <v>17</v>
      </c>
      <c r="G8428" s="212">
        <f>SUM(C8428,C8404,C8380,C8356,C8332,C8308,C8284,C8260,C8236,C8212,C8188,C8164,C8140,C8116)/POBLA!$B$3*100000</f>
        <v>275.85343661388703</v>
      </c>
      <c r="H8428" s="213">
        <f t="shared" si="691"/>
        <v>0.85842696629213489</v>
      </c>
      <c r="I8428" s="33"/>
      <c r="J8428" s="33"/>
      <c r="K8428" s="33"/>
    </row>
    <row r="8429" spans="1:11" ht="15.75" thickBot="1" x14ac:dyDescent="0.3">
      <c r="A8429" s="84" t="s">
        <v>15</v>
      </c>
      <c r="B8429" s="2">
        <v>44244</v>
      </c>
      <c r="C8429" s="1">
        <v>104</v>
      </c>
      <c r="D8429" s="47">
        <f t="shared" si="689"/>
        <v>32684</v>
      </c>
      <c r="E8429" s="1">
        <v>11</v>
      </c>
      <c r="F8429" s="47">
        <f t="shared" si="690"/>
        <v>847</v>
      </c>
      <c r="G8429" s="212">
        <f>SUM(C8429,C8405,C8381,C8357,C8333,C8309,C8285,C8261,C8237,C8213,C8189,C8165,C8141,C8117)/POBLA!$B$4*100000</f>
        <v>129.42689372964475</v>
      </c>
      <c r="H8429" s="213">
        <f t="shared" si="691"/>
        <v>0.74843975036005761</v>
      </c>
      <c r="I8429" s="226"/>
      <c r="J8429" s="226"/>
      <c r="K8429" s="226"/>
    </row>
    <row r="8430" spans="1:11" ht="15.75" thickBot="1" x14ac:dyDescent="0.3">
      <c r="A8430" s="84" t="s">
        <v>29</v>
      </c>
      <c r="B8430" s="2">
        <v>44244</v>
      </c>
      <c r="C8430" s="1">
        <v>175</v>
      </c>
      <c r="D8430" s="47">
        <f t="shared" si="689"/>
        <v>45508</v>
      </c>
      <c r="E8430" s="1">
        <v>7</v>
      </c>
      <c r="F8430" s="47">
        <f t="shared" si="690"/>
        <v>694</v>
      </c>
      <c r="G8430" s="212">
        <f>SUM(C8430,C8406,C8382,C8358,C8334,C8310,C8286,C8262,C8238,C8214,C8190,C8166,C8142,C8118)/POBLA!$B$5*100000</f>
        <v>381.26379254080007</v>
      </c>
      <c r="H8430" s="213">
        <f t="shared" si="691"/>
        <v>0.58459251919742383</v>
      </c>
      <c r="I8430" s="226"/>
      <c r="J8430" s="226"/>
      <c r="K8430" s="226"/>
    </row>
    <row r="8431" spans="1:11" ht="15.75" thickBot="1" x14ac:dyDescent="0.3">
      <c r="A8431" s="84" t="s">
        <v>30</v>
      </c>
      <c r="B8431" s="2">
        <v>44244</v>
      </c>
      <c r="C8431" s="1">
        <v>289</v>
      </c>
      <c r="D8431" s="47">
        <f t="shared" si="689"/>
        <v>20421</v>
      </c>
      <c r="E8431" s="1">
        <v>1</v>
      </c>
      <c r="F8431" s="47">
        <f t="shared" si="690"/>
        <v>286</v>
      </c>
      <c r="G8431" s="212">
        <f>SUM(C8431,C8407,C8383,C8359,C8335,C8311,C8287,C8263,C8239,C8215,C8191,C8167,C8143,C8119)/POBLA!$B$7*100000</f>
        <v>65.178369610020084</v>
      </c>
      <c r="H8431" s="213">
        <f t="shared" si="691"/>
        <v>1.1161202185792349</v>
      </c>
      <c r="I8431" s="226"/>
      <c r="J8431" s="226"/>
      <c r="K8431" s="226"/>
    </row>
    <row r="8432" spans="1:11" ht="15.75" thickBot="1" x14ac:dyDescent="0.3">
      <c r="A8432" s="84" t="s">
        <v>20</v>
      </c>
      <c r="B8432" s="2">
        <v>44244</v>
      </c>
      <c r="C8432" s="1">
        <v>438</v>
      </c>
      <c r="D8432" s="47">
        <f t="shared" si="689"/>
        <v>152911</v>
      </c>
      <c r="E8432" s="1">
        <v>5</v>
      </c>
      <c r="F8432" s="47">
        <f t="shared" si="690"/>
        <v>2785</v>
      </c>
      <c r="G8432" s="212">
        <f>SUM(C8432,C8408,C8384,C8360,C8336,C8312,C8288,C8264,C8240,C8216,C8192,C8168,C8144,C8120)/POBLA!$B$6*100000</f>
        <v>570.93096812012129</v>
      </c>
      <c r="H8432" s="213">
        <f t="shared" si="691"/>
        <v>0.90547615678505733</v>
      </c>
      <c r="I8432" s="226"/>
      <c r="J8432" s="226"/>
      <c r="K8432" s="226"/>
    </row>
    <row r="8433" spans="1:11" ht="15.75" thickBot="1" x14ac:dyDescent="0.3">
      <c r="A8433" s="84" t="s">
        <v>31</v>
      </c>
      <c r="B8433" s="2">
        <v>44244</v>
      </c>
      <c r="C8433" s="1">
        <v>85</v>
      </c>
      <c r="D8433" s="47">
        <f t="shared" si="689"/>
        <v>43767</v>
      </c>
      <c r="E8433" s="1">
        <v>4</v>
      </c>
      <c r="F8433" s="47">
        <f t="shared" ref="F8433:F8449" si="692">E8433+F8409</f>
        <v>796</v>
      </c>
      <c r="G8433" s="212">
        <f>SUM(C8433,C8409,C8385,C8361,C8337,C8313,C8289,C8265,C8241,C8217,C8193,C8169,C8145,C8121)/POBLA!$B$8*100000</f>
        <v>147.91180992827358</v>
      </c>
      <c r="H8433" s="213">
        <f t="shared" ref="H8433:H8449" si="693">SUM(C8433,C8409,C8385,C8361,C8337,C8313,C8289,C8265,C8241,C8217,C8193,C8169,C8145,C8121)/SUM(C8097,C8073,C8049,C8025,C8001,C7977,C7953,C7929,C7905,C7881,C7857,C7833,C7809,C7785)</f>
        <v>0.51352705410821642</v>
      </c>
      <c r="I8433" s="226"/>
      <c r="J8433" s="226"/>
      <c r="K8433" s="226"/>
    </row>
    <row r="8434" spans="1:11" ht="15.75" thickBot="1" x14ac:dyDescent="0.3">
      <c r="A8434" s="84" t="s">
        <v>41</v>
      </c>
      <c r="B8434" s="2">
        <v>44244</v>
      </c>
      <c r="C8434" s="1">
        <v>10</v>
      </c>
      <c r="D8434" s="47">
        <f t="shared" si="689"/>
        <v>988</v>
      </c>
      <c r="E8434" s="1">
        <v>2</v>
      </c>
      <c r="F8434" s="47">
        <f t="shared" si="692"/>
        <v>18</v>
      </c>
      <c r="G8434" s="212">
        <f>SUM(C8434,C8410,C8386,C8362,C8338,C8314,C8290,C8266,C8242,C8218,C8194,C8170,C8146,C8122)/POBLA!$B$9*100000</f>
        <v>21.976460401888321</v>
      </c>
      <c r="H8434" s="213">
        <f t="shared" si="693"/>
        <v>0.85806451612903223</v>
      </c>
      <c r="I8434" s="226"/>
      <c r="J8434" s="226"/>
      <c r="K8434" s="226"/>
    </row>
    <row r="8435" spans="1:11" ht="15.75" thickBot="1" x14ac:dyDescent="0.3">
      <c r="A8435" s="84" t="s">
        <v>32</v>
      </c>
      <c r="B8435" s="2">
        <v>44244</v>
      </c>
      <c r="C8435" s="1">
        <v>51</v>
      </c>
      <c r="D8435" s="47">
        <f t="shared" si="689"/>
        <v>19878</v>
      </c>
      <c r="E8435" s="1">
        <v>1</v>
      </c>
      <c r="F8435" s="47">
        <f t="shared" si="692"/>
        <v>894</v>
      </c>
      <c r="G8435" s="212">
        <f>SUM(C8435,C8411,C8387,C8363,C8339,C8315,C8291,C8267,C8243,C8219,C8195,C8171,C8147,C8123)/POBLA!$B$10*100000</f>
        <v>61.358367893358377</v>
      </c>
      <c r="H8435" s="213">
        <f t="shared" si="693"/>
        <v>1.1155660377358489</v>
      </c>
      <c r="I8435" s="226"/>
      <c r="J8435" s="226"/>
      <c r="K8435" s="226"/>
    </row>
    <row r="8436" spans="1:11" ht="15.75" thickBot="1" x14ac:dyDescent="0.3">
      <c r="A8436" s="84" t="s">
        <v>33</v>
      </c>
      <c r="B8436" s="2">
        <v>44244</v>
      </c>
      <c r="C8436" s="1">
        <v>43</v>
      </c>
      <c r="D8436" s="47">
        <f t="shared" si="689"/>
        <v>17841</v>
      </c>
      <c r="E8436" s="1">
        <v>8</v>
      </c>
      <c r="F8436" s="47">
        <f t="shared" si="692"/>
        <v>278</v>
      </c>
      <c r="G8436" s="212">
        <f>SUM(C8436,C8412,C8388,C8364,C8340,C8316,C8292,C8268,C8244,C8220,C8196,C8172,C8148,C8124)/POBLA!$B$11*100000</f>
        <v>318.05550905621214</v>
      </c>
      <c r="H8436" s="213">
        <f t="shared" si="693"/>
        <v>0.88030888030888033</v>
      </c>
      <c r="I8436" s="226"/>
      <c r="J8436" s="226"/>
      <c r="K8436" s="226"/>
    </row>
    <row r="8437" spans="1:11" ht="15.75" thickBot="1" x14ac:dyDescent="0.3">
      <c r="A8437" s="84" t="s">
        <v>21</v>
      </c>
      <c r="B8437" s="2">
        <v>44244</v>
      </c>
      <c r="C8437" s="1">
        <v>35</v>
      </c>
      <c r="D8437" s="47">
        <f t="shared" si="689"/>
        <v>9916</v>
      </c>
      <c r="E8437" s="1">
        <v>13</v>
      </c>
      <c r="F8437" s="47">
        <f t="shared" si="692"/>
        <v>430</v>
      </c>
      <c r="G8437" s="212">
        <f>SUM(C8437,C8413,C8389,C8365,C8341,C8317,C8293,C8269,C8245,C8221,C8197,C8173,C8149,C8125)/POBLA!$B$12*100000</f>
        <v>84.110273396504979</v>
      </c>
      <c r="H8437" s="213">
        <f t="shared" si="693"/>
        <v>1.4646017699115044</v>
      </c>
      <c r="I8437" s="226"/>
      <c r="J8437" s="226"/>
      <c r="K8437" s="226"/>
    </row>
    <row r="8438" spans="1:11" ht="15.75" thickBot="1" x14ac:dyDescent="0.3">
      <c r="A8438" s="84" t="s">
        <v>17</v>
      </c>
      <c r="B8438" s="2">
        <v>44244</v>
      </c>
      <c r="C8438" s="1">
        <v>134</v>
      </c>
      <c r="D8438" s="47">
        <f t="shared" si="689"/>
        <v>65864</v>
      </c>
      <c r="E8438" s="1">
        <v>1</v>
      </c>
      <c r="F8438" s="47">
        <f t="shared" si="692"/>
        <v>1415</v>
      </c>
      <c r="G8438" s="212">
        <f>SUM(C8438,C8414,C8390,C8366,C8342,C8318,C8294,C8270,C8246,C8222,C8198,C8174,C8150,C8126)/POBLA!$B$13*100000</f>
        <v>83.654133117088648</v>
      </c>
      <c r="H8438" s="213">
        <f t="shared" si="693"/>
        <v>1.0659411011523687</v>
      </c>
      <c r="I8438" s="226"/>
      <c r="J8438" s="226"/>
      <c r="K8438" s="226"/>
    </row>
    <row r="8439" spans="1:11" ht="15.75" thickBot="1" x14ac:dyDescent="0.3">
      <c r="A8439" s="84" t="s">
        <v>23</v>
      </c>
      <c r="B8439" s="2">
        <v>44244</v>
      </c>
      <c r="C8439" s="1">
        <v>95</v>
      </c>
      <c r="D8439" s="47">
        <f t="shared" si="689"/>
        <v>7059</v>
      </c>
      <c r="E8439" s="1">
        <v>2</v>
      </c>
      <c r="F8439" s="47">
        <f t="shared" si="692"/>
        <v>122</v>
      </c>
      <c r="G8439" s="212">
        <f>SUM(C8439,C8415,C8391,C8367,C8343,C8319,C8295,C8271,C8247,C8223,C8199,C8175,C8151,C8127)/POBLA!$B$14*100000</f>
        <v>136.84359078850767</v>
      </c>
      <c r="H8439" s="213">
        <f t="shared" si="693"/>
        <v>0.67055167055167053</v>
      </c>
      <c r="I8439" s="226"/>
      <c r="J8439" s="226"/>
      <c r="K8439" s="226"/>
    </row>
    <row r="8440" spans="1:11" ht="15.75" thickBot="1" x14ac:dyDescent="0.3">
      <c r="A8440" s="84" t="s">
        <v>19</v>
      </c>
      <c r="B8440" s="2">
        <v>44244</v>
      </c>
      <c r="C8440" s="1">
        <v>225</v>
      </c>
      <c r="D8440" s="47">
        <f t="shared" si="689"/>
        <v>59148</v>
      </c>
      <c r="E8440" s="1">
        <v>4</v>
      </c>
      <c r="F8440" s="47">
        <f t="shared" si="692"/>
        <v>870</v>
      </c>
      <c r="G8440" s="212">
        <f>SUM(C8440,C8416,C8392,C8368,C8344,C8320,C8296,C8272,C8248,C8224,C8200,C8176,C8152,C8128)/POBLA!$B$15*100000</f>
        <v>566.66822275798609</v>
      </c>
      <c r="H8440" s="213">
        <f t="shared" si="693"/>
        <v>0.65375260597637253</v>
      </c>
      <c r="I8440" s="226"/>
      <c r="J8440" s="226"/>
      <c r="K8440" s="226"/>
    </row>
    <row r="8441" spans="1:11" ht="15.75" thickBot="1" x14ac:dyDescent="0.3">
      <c r="A8441" s="84" t="s">
        <v>18</v>
      </c>
      <c r="B8441" s="2">
        <v>44244</v>
      </c>
      <c r="C8441" s="1">
        <v>151</v>
      </c>
      <c r="D8441" s="47">
        <f t="shared" si="689"/>
        <v>50948</v>
      </c>
      <c r="E8441" s="1">
        <v>10</v>
      </c>
      <c r="F8441" s="47">
        <f t="shared" si="692"/>
        <v>1129</v>
      </c>
      <c r="G8441" s="212">
        <f>SUM(C8441,C8417,C8393,C8369,C8345,C8321,C8297,C8273,C8249,C8225,C8201,C8177,C8153,C8129)/POBLA!$B$16*100000</f>
        <v>292.66596219954255</v>
      </c>
      <c r="H8441" s="213">
        <f t="shared" si="693"/>
        <v>0.58300026645350389</v>
      </c>
      <c r="I8441" s="226"/>
      <c r="J8441" s="226"/>
      <c r="K8441" s="226"/>
    </row>
    <row r="8442" spans="1:11" ht="15.75" thickBot="1" x14ac:dyDescent="0.3">
      <c r="A8442" s="84" t="s">
        <v>34</v>
      </c>
      <c r="B8442" s="2">
        <v>44244</v>
      </c>
      <c r="C8442" s="1">
        <v>34</v>
      </c>
      <c r="D8442" s="47">
        <f t="shared" si="689"/>
        <v>24935</v>
      </c>
      <c r="E8442" s="1">
        <v>2</v>
      </c>
      <c r="F8442" s="47">
        <f t="shared" si="692"/>
        <v>1071</v>
      </c>
      <c r="G8442" s="212">
        <f>SUM(C8442,C8418,C8394,C8370,C8346,C8322,C8298,C8274,C8250,C8226,C8202,C8178,C8154,C8130)/POBLA!$B$17*100000</f>
        <v>67.537350893044575</v>
      </c>
      <c r="H8442" s="213">
        <f t="shared" si="693"/>
        <v>1.293010752688172</v>
      </c>
      <c r="I8442" s="226"/>
      <c r="J8442" s="226"/>
      <c r="K8442" s="226"/>
    </row>
    <row r="8443" spans="1:11" ht="15.75" thickBot="1" x14ac:dyDescent="0.3">
      <c r="A8443" s="84" t="s">
        <v>35</v>
      </c>
      <c r="B8443" s="2">
        <v>44244</v>
      </c>
      <c r="C8443" s="1">
        <v>82</v>
      </c>
      <c r="D8443" s="47">
        <f t="shared" si="689"/>
        <v>14742</v>
      </c>
      <c r="E8443" s="1">
        <v>1</v>
      </c>
      <c r="F8443" s="47">
        <f t="shared" si="692"/>
        <v>204</v>
      </c>
      <c r="G8443" s="212">
        <f>SUM(C8443,C8419,C8395,C8371,C8347,C8323,C8299,C8275,C8251,C8227,C8203,C8179,C8155,C8131)/POBLA!$B$18*100000</f>
        <v>77.187260389878873</v>
      </c>
      <c r="H8443" s="213">
        <f t="shared" si="693"/>
        <v>0.76620076238881829</v>
      </c>
      <c r="I8443" s="226"/>
      <c r="J8443" s="226"/>
      <c r="K8443" s="226"/>
    </row>
    <row r="8444" spans="1:11" ht="15.75" thickBot="1" x14ac:dyDescent="0.3">
      <c r="A8444" s="84" t="s">
        <v>36</v>
      </c>
      <c r="B8444" s="2">
        <v>44244</v>
      </c>
      <c r="C8444" s="1">
        <v>6</v>
      </c>
      <c r="D8444" s="47">
        <f t="shared" si="689"/>
        <v>20227</v>
      </c>
      <c r="E8444" s="1">
        <v>1</v>
      </c>
      <c r="F8444" s="47">
        <f t="shared" si="692"/>
        <v>348</v>
      </c>
      <c r="G8444" s="212">
        <f>SUM(C8444,C8420,C8396,C8372,C8348,C8324,C8300,C8276,C8252,C8228,C8204,C8180,C8156,C8132)/POBLA!$B$19*100000</f>
        <v>224.06792464707829</v>
      </c>
      <c r="H8444" s="213">
        <f t="shared" si="693"/>
        <v>0.59138110072689509</v>
      </c>
      <c r="I8444" s="226"/>
      <c r="J8444" s="226"/>
      <c r="K8444" s="226"/>
    </row>
    <row r="8445" spans="1:11" ht="15.75" thickBot="1" x14ac:dyDescent="0.3">
      <c r="A8445" s="84" t="s">
        <v>37</v>
      </c>
      <c r="B8445" s="2">
        <v>44244</v>
      </c>
      <c r="C8445" s="1">
        <v>117</v>
      </c>
      <c r="D8445" s="47">
        <f t="shared" si="689"/>
        <v>34750</v>
      </c>
      <c r="E8445" s="1">
        <v>15</v>
      </c>
      <c r="F8445" s="47">
        <f t="shared" si="692"/>
        <v>555</v>
      </c>
      <c r="G8445" s="212">
        <f>SUM(C8445,C8421,C8397,C8373,C8349,C8325,C8301,C8277,C8253,C8229,C8205,C8181,C8157,C8133)/POBLA!$B$20*100000</f>
        <v>408.26036784450559</v>
      </c>
      <c r="H8445" s="213">
        <f t="shared" si="693"/>
        <v>0.56382175226586106</v>
      </c>
      <c r="I8445" s="226"/>
      <c r="J8445" s="226"/>
      <c r="K8445" s="226"/>
    </row>
    <row r="8446" spans="1:11" ht="15.75" thickBot="1" x14ac:dyDescent="0.3">
      <c r="A8446" s="84" t="s">
        <v>22</v>
      </c>
      <c r="B8446" s="2">
        <v>44244</v>
      </c>
      <c r="C8446" s="1">
        <v>320</v>
      </c>
      <c r="D8446" s="47">
        <f t="shared" si="689"/>
        <v>212567</v>
      </c>
      <c r="E8446" s="1">
        <v>18</v>
      </c>
      <c r="F8446" s="47">
        <f t="shared" si="692"/>
        <v>3830</v>
      </c>
      <c r="G8446" s="212">
        <f>SUM(C8446,C8422,C8398,C8374,C8350,C8326,C8302,C8278,C8254,C8230,C8206,C8182,C8158,C8134)/POBLA!$B$21*100000</f>
        <v>141.81015931940172</v>
      </c>
      <c r="H8446" s="213">
        <f t="shared" si="693"/>
        <v>0.54469425437167374</v>
      </c>
      <c r="I8446" s="226"/>
      <c r="J8446" s="226"/>
      <c r="K8446" s="226"/>
    </row>
    <row r="8447" spans="1:11" ht="15.75" thickBot="1" x14ac:dyDescent="0.3">
      <c r="A8447" s="84" t="s">
        <v>38</v>
      </c>
      <c r="B8447" s="2">
        <v>44244</v>
      </c>
      <c r="C8447" s="1">
        <v>48</v>
      </c>
      <c r="D8447" s="47">
        <f t="shared" si="689"/>
        <v>21962</v>
      </c>
      <c r="E8447" s="1">
        <v>2</v>
      </c>
      <c r="F8447" s="47">
        <f t="shared" si="692"/>
        <v>261</v>
      </c>
      <c r="G8447" s="212">
        <f>SUM(C8447,C8423,C8399,C8375,C8351,C8327,C8303,C8279,C8255,C8231,C8207,C8183,C8159,C8135)/POBLA!$B$22*100000</f>
        <v>86.679825372861245</v>
      </c>
      <c r="H8447" s="213">
        <f t="shared" si="693"/>
        <v>0.73419913419913418</v>
      </c>
      <c r="I8447" s="226"/>
      <c r="J8447" s="226"/>
      <c r="K8447" s="226"/>
    </row>
    <row r="8448" spans="1:11" ht="15.75" thickBot="1" x14ac:dyDescent="0.3">
      <c r="A8448" s="84" t="s">
        <v>39</v>
      </c>
      <c r="B8448" s="2">
        <v>44244</v>
      </c>
      <c r="C8448" s="1">
        <v>46</v>
      </c>
      <c r="D8448" s="47">
        <f t="shared" si="689"/>
        <v>22529</v>
      </c>
      <c r="E8448" s="1">
        <v>1</v>
      </c>
      <c r="F8448" s="47">
        <f t="shared" si="692"/>
        <v>345</v>
      </c>
      <c r="G8448" s="212">
        <f>SUM(C8448,C8424,C8400,C8376,C8352,C8328,C8304,C8280,C8256,C8232,C8208,C8184,C8160,C8136)/POBLA!$B$23*100000</f>
        <v>317.81937454051911</v>
      </c>
      <c r="H8448" s="213">
        <f t="shared" si="693"/>
        <v>0.66039952996474738</v>
      </c>
      <c r="I8448" s="226"/>
      <c r="J8448" s="226"/>
      <c r="K8448" s="226"/>
    </row>
    <row r="8449" spans="1:11" ht="15.75" thickBot="1" x14ac:dyDescent="0.3">
      <c r="A8449" s="85" t="s">
        <v>40</v>
      </c>
      <c r="B8449" s="355">
        <v>44244</v>
      </c>
      <c r="C8449" s="54">
        <v>129</v>
      </c>
      <c r="D8449" s="214">
        <f t="shared" si="689"/>
        <v>78323</v>
      </c>
      <c r="E8449" s="54"/>
      <c r="F8449" s="214">
        <f t="shared" si="692"/>
        <v>1459</v>
      </c>
      <c r="G8449" s="212">
        <f>SUM(C8449,C8425,C8401,C8377,C8353,C8329,C8305,C8281,C8257,C8233,C8209,C8185,C8161,C8137)/POBLA!$B$24*100000</f>
        <v>87.510385588579624</v>
      </c>
      <c r="H8449" s="216">
        <f t="shared" si="693"/>
        <v>0.73707753479125249</v>
      </c>
      <c r="I8449" s="33"/>
      <c r="J8449" s="33"/>
      <c r="K8449" s="33"/>
    </row>
    <row r="8450" spans="1:11" ht="15.75" thickBot="1" x14ac:dyDescent="0.3">
      <c r="A8450" s="36" t="s">
        <v>16</v>
      </c>
      <c r="B8450" s="356">
        <v>44245</v>
      </c>
      <c r="C8450" s="293">
        <v>3254</v>
      </c>
      <c r="D8450" s="211">
        <f t="shared" si="689"/>
        <v>854310</v>
      </c>
      <c r="E8450" s="293">
        <v>154</v>
      </c>
      <c r="F8450" s="211">
        <f t="shared" ref="F8450:F8456" si="694">E8450+F8426</f>
        <v>25794</v>
      </c>
      <c r="G8450" s="212">
        <f>SUM(C8450,C8426,C8402,C8378,C8354,C8330,C8306,C8282,C8258,C8234,C8210,C8186,C8162,C8138)/POBLA!$B$1*100000</f>
        <v>203.84078777999676</v>
      </c>
      <c r="H8450" s="196">
        <f t="shared" ref="H8450:H8456" si="695">SUM(C8450,C8426,C8402,C8378,C8354,C8330,C8306,C8282,C8258,C8234,C8210,C8186,C8162,C8138)/SUM(C8114,C8090,C8066,C8042,C8018,C7994,C7970,C7946,C7922,C7898,C7874,C7850,C7826,C7802)</f>
        <v>0.7229568522787011</v>
      </c>
      <c r="I8450" s="228"/>
      <c r="J8450" s="33"/>
      <c r="K8450" s="33"/>
    </row>
    <row r="8451" spans="1:11" ht="16.5" thickTop="1" thickBot="1" x14ac:dyDescent="0.3">
      <c r="A8451" s="84" t="s">
        <v>43</v>
      </c>
      <c r="B8451" s="356">
        <v>44245</v>
      </c>
      <c r="C8451" s="1">
        <v>794</v>
      </c>
      <c r="D8451" s="47">
        <f t="shared" si="689"/>
        <v>224931</v>
      </c>
      <c r="E8451" s="1">
        <v>36</v>
      </c>
      <c r="F8451" s="47">
        <f t="shared" si="694"/>
        <v>6355</v>
      </c>
      <c r="G8451" s="212">
        <f>SUM(C8451,C8427,C8403,C8379,C8355,C8331,C8307,C8283,C8259,C8235,C8211,C8187,C8163,C8139)/POBLA!$B$2*100000</f>
        <v>333.58845588861658</v>
      </c>
      <c r="H8451" s="213">
        <f t="shared" si="695"/>
        <v>0.69100215517241381</v>
      </c>
      <c r="I8451" s="228"/>
    </row>
    <row r="8452" spans="1:11" ht="16.5" thickTop="1" thickBot="1" x14ac:dyDescent="0.3">
      <c r="A8452" s="84" t="s">
        <v>28</v>
      </c>
      <c r="B8452" s="356">
        <v>44245</v>
      </c>
      <c r="C8452" s="1">
        <v>68</v>
      </c>
      <c r="D8452" s="47">
        <f t="shared" si="689"/>
        <v>7031</v>
      </c>
      <c r="F8452" s="47">
        <f t="shared" si="694"/>
        <v>17</v>
      </c>
      <c r="G8452" s="212">
        <f>SUM(C8452,C8428,C8404,C8380,C8356,C8332,C8308,C8284,C8260,C8236,C8212,C8188,C8164,C8140)/POBLA!$B$3*100000</f>
        <v>262.37368752978784</v>
      </c>
      <c r="H8452" s="213">
        <f t="shared" si="695"/>
        <v>0.79912023460410553</v>
      </c>
      <c r="I8452" s="230"/>
    </row>
    <row r="8453" spans="1:11" ht="16.5" thickTop="1" thickBot="1" x14ac:dyDescent="0.3">
      <c r="A8453" s="84" t="s">
        <v>15</v>
      </c>
      <c r="B8453" s="356">
        <v>44245</v>
      </c>
      <c r="C8453" s="1">
        <v>100</v>
      </c>
      <c r="D8453" s="47">
        <f t="shared" si="689"/>
        <v>32784</v>
      </c>
      <c r="E8453" s="1">
        <v>3</v>
      </c>
      <c r="F8453" s="47">
        <f t="shared" si="694"/>
        <v>850</v>
      </c>
      <c r="G8453" s="212">
        <f>SUM(C8453,C8429,C8405,C8381,C8357,C8333,C8309,C8285,C8261,C8237,C8213,C8189,C8165,C8141)/POBLA!$B$4*100000</f>
        <v>126.68726095666317</v>
      </c>
      <c r="H8453" s="213">
        <f t="shared" si="695"/>
        <v>0.78863049095607241</v>
      </c>
      <c r="I8453" s="231"/>
    </row>
    <row r="8454" spans="1:11" ht="16.5" thickTop="1" thickBot="1" x14ac:dyDescent="0.3">
      <c r="A8454" s="84" t="s">
        <v>29</v>
      </c>
      <c r="B8454" s="356">
        <v>44245</v>
      </c>
      <c r="C8454" s="1">
        <v>314</v>
      </c>
      <c r="D8454" s="47">
        <f t="shared" si="689"/>
        <v>45822</v>
      </c>
      <c r="E8454" s="1">
        <v>3</v>
      </c>
      <c r="F8454" s="47">
        <f t="shared" si="694"/>
        <v>697</v>
      </c>
      <c r="G8454" s="212">
        <f>SUM(C8454,C8430,C8406,C8382,C8358,C8334,C8310,C8286,C8262,C8238,C8214,C8190,C8166,C8142)/POBLA!$B$5*100000</f>
        <v>387.72589071945771</v>
      </c>
      <c r="H8454" s="213">
        <f t="shared" si="695"/>
        <v>0.61068702290076338</v>
      </c>
      <c r="I8454" s="231"/>
    </row>
    <row r="8455" spans="1:11" ht="16.5" thickTop="1" thickBot="1" x14ac:dyDescent="0.3">
      <c r="A8455" s="84" t="s">
        <v>30</v>
      </c>
      <c r="B8455" s="356">
        <v>44245</v>
      </c>
      <c r="C8455" s="1">
        <v>147</v>
      </c>
      <c r="D8455" s="47">
        <f t="shared" si="689"/>
        <v>20568</v>
      </c>
      <c r="F8455" s="47">
        <f t="shared" si="694"/>
        <v>286</v>
      </c>
      <c r="G8455" s="212">
        <f>SUM(C8455,C8431,C8407,C8383,C8359,C8335,C8311,C8287,C8263,C8239,C8215,C8191,C8167,C8143)/POBLA!$B$7*100000</f>
        <v>63.875334069060877</v>
      </c>
      <c r="H8455" s="213">
        <f t="shared" si="695"/>
        <v>1.0642445724412937</v>
      </c>
      <c r="I8455" s="231"/>
    </row>
    <row r="8456" spans="1:11" ht="16.5" thickTop="1" thickBot="1" x14ac:dyDescent="0.3">
      <c r="A8456" s="84" t="s">
        <v>20</v>
      </c>
      <c r="B8456" s="356">
        <v>44245</v>
      </c>
      <c r="C8456" s="1">
        <v>848</v>
      </c>
      <c r="D8456" s="47">
        <f t="shared" si="689"/>
        <v>153759</v>
      </c>
      <c r="E8456" s="1">
        <v>5</v>
      </c>
      <c r="F8456" s="47">
        <f t="shared" si="694"/>
        <v>2790</v>
      </c>
      <c r="G8456" s="212">
        <f>SUM(C8456,C8432,C8408,C8384,C8360,C8336,C8312,C8288,C8264,C8240,C8216,C8192,C8168,C8144)/POBLA!$B$6*100000</f>
        <v>599.12509000259638</v>
      </c>
      <c r="H8456" s="213">
        <f t="shared" si="695"/>
        <v>0.9661870503597122</v>
      </c>
      <c r="I8456" s="228"/>
    </row>
    <row r="8457" spans="1:11" ht="16.5" thickTop="1" thickBot="1" x14ac:dyDescent="0.3">
      <c r="A8457" s="84" t="s">
        <v>31</v>
      </c>
      <c r="B8457" s="356">
        <v>44245</v>
      </c>
      <c r="C8457" s="1">
        <v>193</v>
      </c>
      <c r="D8457" s="47">
        <f t="shared" si="689"/>
        <v>43960</v>
      </c>
      <c r="E8457" s="1">
        <v>7</v>
      </c>
      <c r="F8457" s="47">
        <f t="shared" ref="F8457:F8473" si="696">E8457+F8433</f>
        <v>803</v>
      </c>
      <c r="G8457" s="212">
        <f>SUM(C8457,C8433,C8409,C8385,C8361,C8337,C8313,C8289,C8265,C8241,C8217,C8193,C8169,C8145)/POBLA!$B$8*100000</f>
        <v>146.10800736817271</v>
      </c>
      <c r="H8457" s="213">
        <f t="shared" ref="H8457:H8473" si="697">SUM(C8457,C8433,C8409,C8385,C8361,C8337,C8313,C8289,C8265,C8241,C8217,C8193,C8169,C8145)/SUM(C8121,C8097,C8073,C8049,C8025,C8001,C7977,C7953,C7929,C7905,C7881,C7857,C7833,C7809)</f>
        <v>0.53784860557768921</v>
      </c>
      <c r="I8457" s="231"/>
    </row>
    <row r="8458" spans="1:11" ht="16.5" thickTop="1" thickBot="1" x14ac:dyDescent="0.3">
      <c r="A8458" s="84" t="s">
        <v>41</v>
      </c>
      <c r="B8458" s="356">
        <v>44245</v>
      </c>
      <c r="C8458" s="1">
        <v>52</v>
      </c>
      <c r="D8458" s="47">
        <f t="shared" si="689"/>
        <v>1040</v>
      </c>
      <c r="F8458" s="47">
        <f t="shared" si="696"/>
        <v>18</v>
      </c>
      <c r="G8458" s="212">
        <f>SUM(C8458,C8434,C8410,C8386,C8362,C8338,C8314,C8290,C8266,C8242,C8218,C8194,C8170,C8146)/POBLA!$B$9*100000</f>
        <v>30.073051076268236</v>
      </c>
      <c r="H8458" s="213">
        <f t="shared" si="697"/>
        <v>1.8383838383838385</v>
      </c>
      <c r="I8458" s="230"/>
    </row>
    <row r="8459" spans="1:11" ht="16.5" thickTop="1" thickBot="1" x14ac:dyDescent="0.3">
      <c r="A8459" s="84" t="s">
        <v>32</v>
      </c>
      <c r="B8459" s="356">
        <v>44245</v>
      </c>
      <c r="C8459" s="1">
        <v>45</v>
      </c>
      <c r="D8459" s="47">
        <f t="shared" si="689"/>
        <v>19923</v>
      </c>
      <c r="F8459" s="47">
        <f t="shared" si="696"/>
        <v>894</v>
      </c>
      <c r="G8459" s="212">
        <f>SUM(C8459,C8435,C8411,C8387,C8363,C8339,C8315,C8291,C8267,C8243,C8219,C8195,C8171,C8147)/POBLA!$B$10*100000</f>
        <v>63.563636929694724</v>
      </c>
      <c r="H8459" s="213">
        <f t="shared" si="697"/>
        <v>1.203931203931204</v>
      </c>
      <c r="I8459" s="231"/>
    </row>
    <row r="8460" spans="1:11" ht="16.5" thickTop="1" thickBot="1" x14ac:dyDescent="0.3">
      <c r="A8460" s="84" t="s">
        <v>33</v>
      </c>
      <c r="B8460" s="356">
        <v>44245</v>
      </c>
      <c r="C8460" s="1">
        <v>100</v>
      </c>
      <c r="D8460" s="47">
        <f t="shared" si="689"/>
        <v>17941</v>
      </c>
      <c r="E8460" s="1">
        <v>1</v>
      </c>
      <c r="F8460" s="47">
        <f t="shared" si="696"/>
        <v>279</v>
      </c>
      <c r="G8460" s="212">
        <f>SUM(C8460,C8436,C8412,C8388,C8364,C8340,C8316,C8292,C8268,C8244,C8220,C8196,C8172,C8148)/POBLA!$B$11*100000</f>
        <v>297.40980057361588</v>
      </c>
      <c r="H8460" s="213">
        <f t="shared" si="697"/>
        <v>0.80150375939849627</v>
      </c>
      <c r="I8460" s="231"/>
    </row>
    <row r="8461" spans="1:11" ht="16.5" thickTop="1" thickBot="1" x14ac:dyDescent="0.3">
      <c r="A8461" s="84" t="s">
        <v>21</v>
      </c>
      <c r="B8461" s="356">
        <v>44245</v>
      </c>
      <c r="C8461" s="1">
        <v>29</v>
      </c>
      <c r="D8461" s="47">
        <f t="shared" si="689"/>
        <v>9945</v>
      </c>
      <c r="E8461" s="1">
        <v>4</v>
      </c>
      <c r="F8461" s="47">
        <f t="shared" si="696"/>
        <v>434</v>
      </c>
      <c r="G8461" s="212">
        <f>SUM(C8461,C8437,C8413,C8389,C8365,C8341,C8317,C8293,C8269,C8245,C8221,C8197,C8173,C8149)/POBLA!$B$12*100000</f>
        <v>88.17602679331489</v>
      </c>
      <c r="H8461" s="213">
        <f t="shared" si="697"/>
        <v>1.5772727272727274</v>
      </c>
      <c r="I8461" s="230"/>
    </row>
    <row r="8462" spans="1:11" ht="16.5" thickTop="1" thickBot="1" x14ac:dyDescent="0.3">
      <c r="A8462" s="84" t="s">
        <v>17</v>
      </c>
      <c r="B8462" s="356">
        <v>44245</v>
      </c>
      <c r="C8462" s="1">
        <v>164</v>
      </c>
      <c r="D8462" s="47">
        <f t="shared" si="689"/>
        <v>66028</v>
      </c>
      <c r="F8462" s="47">
        <f t="shared" si="696"/>
        <v>1415</v>
      </c>
      <c r="G8462" s="212">
        <f>SUM(C8462,C8438,C8414,C8390,C8366,C8342,C8318,C8294,C8270,C8246,C8222,C8198,C8174,C8150)/POBLA!$B$13*100000</f>
        <v>82.347822329674656</v>
      </c>
      <c r="H8462" s="213">
        <f t="shared" si="697"/>
        <v>1.0373417721518987</v>
      </c>
      <c r="I8462" s="228"/>
    </row>
    <row r="8463" spans="1:11" ht="16.5" thickTop="1" thickBot="1" x14ac:dyDescent="0.3">
      <c r="A8463" s="84" t="s">
        <v>23</v>
      </c>
      <c r="B8463" s="356">
        <v>44245</v>
      </c>
      <c r="C8463" s="1">
        <v>102</v>
      </c>
      <c r="D8463" s="47">
        <f t="shared" si="689"/>
        <v>7161</v>
      </c>
      <c r="E8463" s="1">
        <v>2</v>
      </c>
      <c r="F8463" s="47">
        <f t="shared" si="696"/>
        <v>124</v>
      </c>
      <c r="G8463" s="212">
        <f>SUM(C8463,C8439,C8415,C8391,C8367,C8343,C8319,C8295,C8271,C8247,C8223,C8199,C8175,C8151)/POBLA!$B$14*100000</f>
        <v>129.07379247027259</v>
      </c>
      <c r="H8463" s="213">
        <f t="shared" si="697"/>
        <v>0.62639476721816079</v>
      </c>
      <c r="I8463" s="230"/>
    </row>
    <row r="8464" spans="1:11" ht="16.5" thickTop="1" thickBot="1" x14ac:dyDescent="0.3">
      <c r="A8464" s="84" t="s">
        <v>19</v>
      </c>
      <c r="B8464" s="356">
        <v>44245</v>
      </c>
      <c r="C8464" s="1">
        <v>294</v>
      </c>
      <c r="D8464" s="47">
        <f t="shared" si="689"/>
        <v>59442</v>
      </c>
      <c r="E8464" s="1">
        <v>5</v>
      </c>
      <c r="F8464" s="47">
        <f t="shared" si="696"/>
        <v>875</v>
      </c>
      <c r="G8464" s="212">
        <f>SUM(C8464,C8440,C8416,C8392,C8368,C8344,C8320,C8296,C8272,C8248,C8224,C8200,C8176,C8152)/POBLA!$B$15*100000</f>
        <v>537.3032736647607</v>
      </c>
      <c r="H8464" s="213">
        <f t="shared" si="697"/>
        <v>0.6236671910505156</v>
      </c>
      <c r="I8464" s="228"/>
    </row>
    <row r="8465" spans="1:9" ht="16.5" thickTop="1" thickBot="1" x14ac:dyDescent="0.3">
      <c r="A8465" s="84" t="s">
        <v>18</v>
      </c>
      <c r="B8465" s="356">
        <v>44245</v>
      </c>
      <c r="C8465" s="1">
        <v>221</v>
      </c>
      <c r="D8465" s="47">
        <f t="shared" si="689"/>
        <v>51169</v>
      </c>
      <c r="E8465" s="1">
        <v>8</v>
      </c>
      <c r="F8465" s="47">
        <f t="shared" si="696"/>
        <v>1137</v>
      </c>
      <c r="G8465" s="212">
        <f>SUM(C8465,C8441,C8417,C8393,C8369,C8345,C8321,C8297,C8273,C8249,C8225,C8201,C8177,C8153)/POBLA!$B$16*100000</f>
        <v>296.94626877650114</v>
      </c>
      <c r="H8465" s="213">
        <f t="shared" si="697"/>
        <v>0.60375305955942349</v>
      </c>
      <c r="I8465" s="228"/>
    </row>
    <row r="8466" spans="1:9" ht="16.5" thickTop="1" thickBot="1" x14ac:dyDescent="0.3">
      <c r="A8466" s="84" t="s">
        <v>34</v>
      </c>
      <c r="B8466" s="356">
        <v>44245</v>
      </c>
      <c r="C8466" s="1">
        <v>89</v>
      </c>
      <c r="D8466" s="47">
        <f t="shared" si="689"/>
        <v>25024</v>
      </c>
      <c r="F8466" s="47">
        <f t="shared" si="696"/>
        <v>1071</v>
      </c>
      <c r="G8466" s="212">
        <f>SUM(C8466,C8442,C8418,C8394,C8370,C8346,C8322,C8298,C8274,C8250,C8226,C8202,C8178,C8154)/POBLA!$B$17*100000</f>
        <v>67.186325160752233</v>
      </c>
      <c r="H8466" s="213">
        <f t="shared" si="697"/>
        <v>1.254259501965924</v>
      </c>
      <c r="I8466" s="231"/>
    </row>
    <row r="8467" spans="1:9" ht="16.5" thickTop="1" thickBot="1" x14ac:dyDescent="0.3">
      <c r="A8467" s="84" t="s">
        <v>35</v>
      </c>
      <c r="B8467" s="356">
        <v>44245</v>
      </c>
      <c r="C8467" s="1">
        <v>79</v>
      </c>
      <c r="D8467" s="47">
        <f t="shared" si="689"/>
        <v>14821</v>
      </c>
      <c r="F8467" s="47">
        <f t="shared" si="696"/>
        <v>204</v>
      </c>
      <c r="G8467" s="212">
        <f>SUM(C8467,C8443,C8419,C8395,C8371,C8347,C8323,C8299,C8275,C8251,C8227,C8203,C8179,C8155)/POBLA!$B$18*100000</f>
        <v>76.547233355136925</v>
      </c>
      <c r="H8467" s="213">
        <f t="shared" si="697"/>
        <v>0.75696202531645573</v>
      </c>
      <c r="I8467" s="231"/>
    </row>
    <row r="8468" spans="1:9" ht="16.5" thickTop="1" thickBot="1" x14ac:dyDescent="0.3">
      <c r="A8468" s="84" t="s">
        <v>36</v>
      </c>
      <c r="B8468" s="356">
        <v>44245</v>
      </c>
      <c r="C8468" s="1">
        <v>17</v>
      </c>
      <c r="D8468" s="47">
        <f t="shared" si="689"/>
        <v>20244</v>
      </c>
      <c r="E8468" s="1">
        <v>4</v>
      </c>
      <c r="F8468" s="47">
        <f t="shared" si="696"/>
        <v>352</v>
      </c>
      <c r="G8468" s="212">
        <f>SUM(C8468,C8444,C8420,C8396,C8372,C8348,C8324,C8300,C8276,C8252,C8228,C8204,C8180,C8156)/POBLA!$B$19*100000</f>
        <v>226.62532852803702</v>
      </c>
      <c r="H8468" s="213">
        <f t="shared" si="697"/>
        <v>0.66666666666666663</v>
      </c>
      <c r="I8468" s="231"/>
    </row>
    <row r="8469" spans="1:9" ht="16.5" thickTop="1" thickBot="1" x14ac:dyDescent="0.3">
      <c r="A8469" s="84" t="s">
        <v>37</v>
      </c>
      <c r="B8469" s="356">
        <v>44245</v>
      </c>
      <c r="C8469" s="1">
        <v>114</v>
      </c>
      <c r="D8469" s="47">
        <f t="shared" si="689"/>
        <v>34864</v>
      </c>
      <c r="E8469" s="1">
        <v>3</v>
      </c>
      <c r="F8469" s="47">
        <f t="shared" si="696"/>
        <v>558</v>
      </c>
      <c r="G8469" s="212">
        <f>SUM(C8469,C8445,C8421,C8397,C8373,C8349,C8325,C8301,C8277,C8253,C8229,C8205,C8181,C8157)/POBLA!$B$20*100000</f>
        <v>389.93923948175814</v>
      </c>
      <c r="H8469" s="213">
        <f t="shared" si="697"/>
        <v>0.56699801192842947</v>
      </c>
      <c r="I8469" s="231"/>
    </row>
    <row r="8470" spans="1:9" ht="16.5" thickTop="1" thickBot="1" x14ac:dyDescent="0.3">
      <c r="A8470" s="84" t="s">
        <v>22</v>
      </c>
      <c r="B8470" s="356">
        <v>44245</v>
      </c>
      <c r="C8470" s="1">
        <v>402</v>
      </c>
      <c r="D8470" s="47">
        <f t="shared" si="689"/>
        <v>212969</v>
      </c>
      <c r="E8470" s="1">
        <v>3</v>
      </c>
      <c r="F8470" s="47">
        <f t="shared" si="696"/>
        <v>3833</v>
      </c>
      <c r="G8470" s="212">
        <f>SUM(C8470,C8446,C8422,C8398,C8374,C8350,C8326,C8302,C8278,C8254,C8230,C8206,C8182,C8158)/POBLA!$B$21*100000</f>
        <v>137.05958967520243</v>
      </c>
      <c r="H8470" s="213">
        <f t="shared" si="697"/>
        <v>0.55866758875057632</v>
      </c>
      <c r="I8470" s="228"/>
    </row>
    <row r="8471" spans="1:9" ht="16.5" thickTop="1" thickBot="1" x14ac:dyDescent="0.3">
      <c r="A8471" s="84" t="s">
        <v>38</v>
      </c>
      <c r="B8471" s="356">
        <v>44245</v>
      </c>
      <c r="C8471" s="1">
        <v>70</v>
      </c>
      <c r="D8471" s="47">
        <f t="shared" si="689"/>
        <v>22032</v>
      </c>
      <c r="F8471" s="47">
        <f t="shared" si="696"/>
        <v>261</v>
      </c>
      <c r="G8471" s="212">
        <f>SUM(C8471,C8447,C8423,C8399,C8375,C8351,C8327,C8303,C8279,C8255,C8231,C8207,C8183,C8159)/POBLA!$B$22*100000</f>
        <v>86.168741496842017</v>
      </c>
      <c r="H8471" s="213">
        <f t="shared" si="697"/>
        <v>0.74601769911504423</v>
      </c>
      <c r="I8471" s="231"/>
    </row>
    <row r="8472" spans="1:9" ht="16.5" thickTop="1" thickBot="1" x14ac:dyDescent="0.3">
      <c r="A8472" s="84" t="s">
        <v>39</v>
      </c>
      <c r="B8472" s="356">
        <v>44245</v>
      </c>
      <c r="C8472" s="1">
        <v>55</v>
      </c>
      <c r="D8472" s="47">
        <f t="shared" si="689"/>
        <v>22584</v>
      </c>
      <c r="E8472" s="1">
        <v>1</v>
      </c>
      <c r="F8472" s="47">
        <f t="shared" si="696"/>
        <v>346</v>
      </c>
      <c r="G8472" s="212">
        <f>SUM(C8472,C8448,C8424,C8400,C8376,C8352,C8328,C8304,C8280,C8256,C8232,C8208,C8184,C8160)/POBLA!$B$23*100000</f>
        <v>332.52276197477806</v>
      </c>
      <c r="H8472" s="213">
        <f t="shared" si="697"/>
        <v>0.75968992248062017</v>
      </c>
      <c r="I8472" s="231"/>
    </row>
    <row r="8473" spans="1:9" ht="16.5" thickTop="1" thickBot="1" x14ac:dyDescent="0.3">
      <c r="A8473" s="85" t="s">
        <v>40</v>
      </c>
      <c r="B8473" s="356">
        <v>44245</v>
      </c>
      <c r="C8473" s="1">
        <v>120</v>
      </c>
      <c r="D8473" s="214">
        <f t="shared" si="689"/>
        <v>78443</v>
      </c>
      <c r="E8473" s="1">
        <v>3</v>
      </c>
      <c r="F8473" s="214">
        <f t="shared" si="696"/>
        <v>1462</v>
      </c>
      <c r="G8473" s="212">
        <f>SUM(C8473,C8449,C8425,C8401,C8377,C8353,C8329,C8305,C8281,C8257,C8233,C8209,C8185,C8161)/POBLA!$B$24*100000</f>
        <v>84.677952339589865</v>
      </c>
      <c r="H8473" s="216">
        <f t="shared" si="697"/>
        <v>0.70274240940254651</v>
      </c>
      <c r="I8473" s="228"/>
    </row>
    <row r="8474" spans="1:9" ht="15.75" thickBot="1" x14ac:dyDescent="0.3">
      <c r="A8474" s="36" t="s">
        <v>16</v>
      </c>
      <c r="B8474" s="356">
        <v>44246</v>
      </c>
      <c r="C8474" s="17">
        <v>3549</v>
      </c>
      <c r="D8474" s="211">
        <f t="shared" si="689"/>
        <v>857859</v>
      </c>
      <c r="E8474" s="1">
        <v>32</v>
      </c>
      <c r="F8474" s="211">
        <f t="shared" ref="F8474:F8480" si="698">E8474+F8450</f>
        <v>25826</v>
      </c>
      <c r="G8474" s="212">
        <f>SUM(C8474,C8450,C8426,C8402,C8378,C8354,C8330,C8306,C8282,C8258,C8234,C8210,C8186,C8162)/POBLA!$B$1*100000</f>
        <v>204.21704608611265</v>
      </c>
      <c r="H8474" s="196">
        <f t="shared" ref="H8474:H8480" si="699">SUM(C8474,C8450,C8426,C8402,C8378,C8354,C8330,C8306,C8282,C8258,C8234,C8210,C8186,C8162)/SUM(C8138,C8114,C8090,C8066,C8042,C8018,C7994,C7970,C7946,C7922,C7898,C7874,C7850,C7826)</f>
        <v>0.73459929456156181</v>
      </c>
    </row>
    <row r="8475" spans="1:9" ht="15.75" thickBot="1" x14ac:dyDescent="0.3">
      <c r="A8475" s="84" t="s">
        <v>43</v>
      </c>
      <c r="B8475" s="356">
        <v>44246</v>
      </c>
      <c r="C8475" s="17">
        <v>847</v>
      </c>
      <c r="D8475" s="47">
        <f t="shared" si="689"/>
        <v>225778</v>
      </c>
      <c r="E8475" s="1">
        <v>12</v>
      </c>
      <c r="F8475" s="47">
        <f t="shared" si="698"/>
        <v>6367</v>
      </c>
      <c r="G8475" s="212">
        <f>SUM(C8475,C8451,C8427,C8403,C8379,C8355,C8331,C8307,C8283,C8259,C8235,C8211,C8187,C8163)/POBLA!$B$2*100000</f>
        <v>325.8177306491059</v>
      </c>
      <c r="H8475" s="213">
        <f t="shared" si="699"/>
        <v>0.67828617842155137</v>
      </c>
    </row>
    <row r="8476" spans="1:9" ht="15.75" thickBot="1" x14ac:dyDescent="0.3">
      <c r="A8476" s="84" t="s">
        <v>28</v>
      </c>
      <c r="B8476" s="356">
        <v>44246</v>
      </c>
      <c r="C8476" s="17">
        <v>98</v>
      </c>
      <c r="D8476" s="47">
        <f t="shared" si="689"/>
        <v>7129</v>
      </c>
      <c r="F8476" s="47">
        <f t="shared" si="698"/>
        <v>17</v>
      </c>
      <c r="G8476" s="212">
        <f>SUM(C8476,C8452,C8428,C8404,C8380,C8356,C8332,C8308,C8284,C8260,C8236,C8212,C8188,C8164)/POBLA!$B$3*100000</f>
        <v>259.48516986890945</v>
      </c>
      <c r="H8476" s="213">
        <f t="shared" si="699"/>
        <v>0.7580872011251758</v>
      </c>
    </row>
    <row r="8477" spans="1:9" ht="15.75" thickBot="1" x14ac:dyDescent="0.3">
      <c r="A8477" s="84" t="s">
        <v>15</v>
      </c>
      <c r="B8477" s="356">
        <v>44246</v>
      </c>
      <c r="C8477" s="17">
        <v>165</v>
      </c>
      <c r="D8477" s="47">
        <f t="shared" si="689"/>
        <v>32949</v>
      </c>
      <c r="E8477" s="1">
        <v>2</v>
      </c>
      <c r="F8477" s="47">
        <f t="shared" si="698"/>
        <v>852</v>
      </c>
      <c r="G8477" s="212">
        <f>SUM(C8477,C8453,C8429,C8405,C8381,C8357,C8333,C8309,C8285,C8261,C8237,C8213,C8189,C8165)/POBLA!$B$4*100000</f>
        <v>127.18537600629617</v>
      </c>
      <c r="H8477" s="213">
        <f t="shared" si="699"/>
        <v>0.80125523012552302</v>
      </c>
    </row>
    <row r="8478" spans="1:9" ht="15.75" thickBot="1" x14ac:dyDescent="0.3">
      <c r="A8478" s="84" t="s">
        <v>29</v>
      </c>
      <c r="B8478" s="356">
        <v>44246</v>
      </c>
      <c r="C8478" s="17">
        <v>177</v>
      </c>
      <c r="D8478" s="47">
        <f t="shared" si="689"/>
        <v>45999</v>
      </c>
      <c r="E8478" s="1">
        <v>50</v>
      </c>
      <c r="F8478" s="47">
        <f t="shared" si="698"/>
        <v>747</v>
      </c>
      <c r="G8478" s="212">
        <f>SUM(C8478,C8454,C8430,C8406,C8382,C8358,C8334,C8310,C8286,C8262,C8238,C8214,C8190,C8166)/POBLA!$B$5*100000</f>
        <v>372.21685509067936</v>
      </c>
      <c r="H8478" s="213">
        <f t="shared" si="699"/>
        <v>0.61505605979711697</v>
      </c>
    </row>
    <row r="8479" spans="1:9" ht="15.75" thickBot="1" x14ac:dyDescent="0.3">
      <c r="A8479" s="84" t="s">
        <v>30</v>
      </c>
      <c r="B8479" s="356">
        <v>44246</v>
      </c>
      <c r="C8479" s="17">
        <v>121</v>
      </c>
      <c r="D8479" s="47">
        <f t="shared" si="689"/>
        <v>20689</v>
      </c>
      <c r="E8479" s="1">
        <v>6</v>
      </c>
      <c r="F8479" s="47">
        <f t="shared" si="698"/>
        <v>292</v>
      </c>
      <c r="G8479" s="212">
        <f>SUM(C8479,C8455,C8431,C8407,C8383,C8359,C8335,C8311,C8287,C8263,C8239,C8215,C8191,C8167)/POBLA!$B$7*100000</f>
        <v>60.285338190908007</v>
      </c>
      <c r="H8479" s="213">
        <f t="shared" si="699"/>
        <v>0.96673773987206824</v>
      </c>
    </row>
    <row r="8480" spans="1:9" ht="15.75" thickBot="1" x14ac:dyDescent="0.3">
      <c r="A8480" s="84" t="s">
        <v>20</v>
      </c>
      <c r="B8480" s="356">
        <v>44246</v>
      </c>
      <c r="C8480" s="17">
        <v>825</v>
      </c>
      <c r="D8480" s="47">
        <f t="shared" si="689"/>
        <v>154584</v>
      </c>
      <c r="E8480" s="1">
        <v>6</v>
      </c>
      <c r="F8480" s="47">
        <f t="shared" si="698"/>
        <v>2796</v>
      </c>
      <c r="G8480" s="212">
        <f>SUM(C8480,C8456,C8432,C8408,C8384,C8360,C8336,C8312,C8288,C8264,C8240,C8216,C8192,C8168)/POBLA!$B$6*100000</f>
        <v>623.7503356974164</v>
      </c>
      <c r="H8480" s="213">
        <f t="shared" si="699"/>
        <v>1.0106982796009831</v>
      </c>
    </row>
    <row r="8481" spans="1:8" ht="15.75" thickBot="1" x14ac:dyDescent="0.3">
      <c r="A8481" s="84" t="s">
        <v>31</v>
      </c>
      <c r="B8481" s="356">
        <v>44246</v>
      </c>
      <c r="C8481" s="17">
        <v>155</v>
      </c>
      <c r="D8481" s="47">
        <f t="shared" si="689"/>
        <v>44115</v>
      </c>
      <c r="E8481" s="1">
        <v>3</v>
      </c>
      <c r="F8481" s="47">
        <f t="shared" ref="F8481:F8497" si="700">E8481+F8457</f>
        <v>806</v>
      </c>
      <c r="G8481" s="212">
        <f>SUM(C8481,C8457,C8433,C8409,C8385,C8361,C8337,C8313,C8289,C8265,C8241,C8217,C8193,C8169)/POBLA!$B$8*100000</f>
        <v>138.96494923017315</v>
      </c>
      <c r="H8481" s="213">
        <f t="shared" ref="H8481:H8497" si="701">SUM(C8481,C8457,C8433,C8409,C8385,C8361,C8337,C8313,C8289,C8265,C8241,C8217,C8193,C8169)/SUM(C8145,C8121,C8097,C8073,C8049,C8025,C8001,C7977,C7953,C7929,C7905,C7881,C7857,C7833)</f>
        <v>0.52955732746769313</v>
      </c>
    </row>
    <row r="8482" spans="1:8" ht="15.75" thickBot="1" x14ac:dyDescent="0.3">
      <c r="A8482" s="84" t="s">
        <v>41</v>
      </c>
      <c r="B8482" s="356">
        <v>44246</v>
      </c>
      <c r="C8482" s="17">
        <v>17</v>
      </c>
      <c r="D8482" s="47">
        <f t="shared" ref="D8482:D8546" si="702">C8482+D8458</f>
        <v>1057</v>
      </c>
      <c r="F8482" s="47">
        <f t="shared" si="700"/>
        <v>18</v>
      </c>
      <c r="G8482" s="212">
        <f>SUM(C8482,C8458,C8434,C8410,C8386,C8362,C8338,C8314,C8290,C8266,C8242,C8218,C8194,C8170)/POBLA!$B$9*100000</f>
        <v>31.394943431269034</v>
      </c>
      <c r="H8482" s="213">
        <f t="shared" si="701"/>
        <v>2.7142857142857144</v>
      </c>
    </row>
    <row r="8483" spans="1:8" ht="15.75" thickBot="1" x14ac:dyDescent="0.3">
      <c r="A8483" s="84" t="s">
        <v>32</v>
      </c>
      <c r="B8483" s="356">
        <v>44246</v>
      </c>
      <c r="C8483" s="17">
        <v>51</v>
      </c>
      <c r="D8483" s="47">
        <f t="shared" si="702"/>
        <v>19974</v>
      </c>
      <c r="E8483" s="1">
        <v>1</v>
      </c>
      <c r="F8483" s="47">
        <f t="shared" si="700"/>
        <v>895</v>
      </c>
      <c r="G8483" s="212">
        <f>SUM(C8483,C8459,C8435,C8411,C8387,C8363,C8339,C8315,C8291,C8267,C8243,C8219,C8195,C8171)/POBLA!$B$10*100000</f>
        <v>64.601410593853004</v>
      </c>
      <c r="H8483" s="213">
        <f t="shared" si="701"/>
        <v>1.1857142857142857</v>
      </c>
    </row>
    <row r="8484" spans="1:8" ht="15.75" thickBot="1" x14ac:dyDescent="0.3">
      <c r="A8484" s="84" t="s">
        <v>33</v>
      </c>
      <c r="B8484" s="356">
        <v>44246</v>
      </c>
      <c r="C8484" s="17">
        <v>70</v>
      </c>
      <c r="D8484" s="47">
        <f t="shared" si="702"/>
        <v>18011</v>
      </c>
      <c r="E8484" s="1">
        <v>3</v>
      </c>
      <c r="F8484" s="47">
        <f t="shared" si="700"/>
        <v>282</v>
      </c>
      <c r="G8484" s="212">
        <f>SUM(C8484,C8460,C8436,C8412,C8388,C8364,C8340,C8316,C8292,C8268,C8244,C8220,C8196,C8172)/POBLA!$B$11*100000</f>
        <v>291.82987936210338</v>
      </c>
      <c r="H8484" s="213">
        <f t="shared" si="701"/>
        <v>0.79182437547312645</v>
      </c>
    </row>
    <row r="8485" spans="1:8" ht="15.75" thickBot="1" x14ac:dyDescent="0.3">
      <c r="A8485" s="84" t="s">
        <v>21</v>
      </c>
      <c r="B8485" s="356">
        <v>44246</v>
      </c>
      <c r="C8485" s="17">
        <v>33</v>
      </c>
      <c r="D8485" s="47">
        <f t="shared" si="702"/>
        <v>9978</v>
      </c>
      <c r="F8485" s="47">
        <f t="shared" si="700"/>
        <v>434</v>
      </c>
      <c r="G8485" s="212">
        <f>SUM(C8485,C8461,C8437,C8413,C8389,C8365,C8341,C8317,C8293,C8269,C8245,C8221,C8197,C8173)/POBLA!$B$12*100000</f>
        <v>90.463013079020456</v>
      </c>
      <c r="H8485" s="213">
        <f t="shared" si="701"/>
        <v>1.5278969957081545</v>
      </c>
    </row>
    <row r="8486" spans="1:8" ht="15.75" thickBot="1" x14ac:dyDescent="0.3">
      <c r="A8486" s="84" t="s">
        <v>17</v>
      </c>
      <c r="B8486" s="356">
        <v>44246</v>
      </c>
      <c r="C8486" s="17">
        <v>139</v>
      </c>
      <c r="D8486" s="47">
        <f t="shared" si="702"/>
        <v>66167</v>
      </c>
      <c r="E8486" s="1">
        <v>5</v>
      </c>
      <c r="F8486" s="47">
        <f t="shared" si="700"/>
        <v>1420</v>
      </c>
      <c r="G8486" s="212">
        <f>SUM(C8486,C8462,C8438,C8414,C8390,C8366,C8342,C8318,C8294,C8270,C8246,C8222,C8198,C8174)/POBLA!$B$13*100000</f>
        <v>80.287870703367972</v>
      </c>
      <c r="H8486" s="213">
        <f t="shared" si="701"/>
        <v>1.0126742712294043</v>
      </c>
    </row>
    <row r="8487" spans="1:8" ht="15.75" thickBot="1" x14ac:dyDescent="0.3">
      <c r="A8487" s="84" t="s">
        <v>23</v>
      </c>
      <c r="B8487" s="356">
        <v>44246</v>
      </c>
      <c r="C8487" s="17">
        <v>104</v>
      </c>
      <c r="D8487" s="47">
        <f t="shared" si="702"/>
        <v>7265</v>
      </c>
      <c r="E8487" s="1">
        <v>1</v>
      </c>
      <c r="F8487" s="47">
        <f t="shared" si="700"/>
        <v>125</v>
      </c>
      <c r="G8487" s="212">
        <f>SUM(C8487,C8463,C8439,C8415,C8391,C8367,C8343,C8319,C8295,C8271,C8247,C8223,C8199,C8175)/POBLA!$B$14*100000</f>
        <v>121.62112877727161</v>
      </c>
      <c r="H8487" s="213">
        <f t="shared" si="701"/>
        <v>0.58172165339400839</v>
      </c>
    </row>
    <row r="8488" spans="1:8" ht="15.75" thickBot="1" x14ac:dyDescent="0.3">
      <c r="A8488" s="84" t="s">
        <v>19</v>
      </c>
      <c r="B8488" s="356">
        <v>44246</v>
      </c>
      <c r="C8488" s="17">
        <v>262</v>
      </c>
      <c r="D8488" s="47">
        <f t="shared" si="702"/>
        <v>59704</v>
      </c>
      <c r="E8488" s="1">
        <v>4</v>
      </c>
      <c r="F8488" s="47">
        <f t="shared" si="700"/>
        <v>879</v>
      </c>
      <c r="G8488" s="212">
        <f>SUM(C8488,C8464,C8440,C8416,C8392,C8368,C8344,C8320,C8296,C8272,C8248,C8224,C8200,C8176)/POBLA!$B$15*100000</f>
        <v>528.71967316058715</v>
      </c>
      <c r="H8488" s="213">
        <f t="shared" si="701"/>
        <v>0.62718828152911754</v>
      </c>
    </row>
    <row r="8489" spans="1:8" ht="15.75" thickBot="1" x14ac:dyDescent="0.3">
      <c r="A8489" s="84" t="s">
        <v>18</v>
      </c>
      <c r="B8489" s="356">
        <v>44246</v>
      </c>
      <c r="C8489" s="17">
        <v>137</v>
      </c>
      <c r="D8489" s="47">
        <f t="shared" si="702"/>
        <v>51306</v>
      </c>
      <c r="E8489" s="1">
        <v>6</v>
      </c>
      <c r="F8489" s="47">
        <f t="shared" si="700"/>
        <v>1143</v>
      </c>
      <c r="G8489" s="212">
        <f>SUM(C8489,C8465,C8441,C8417,C8393,C8369,C8345,C8321,C8297,C8273,C8249,C8225,C8201,C8177)/POBLA!$B$16*100000</f>
        <v>284.10534904562536</v>
      </c>
      <c r="H8489" s="213">
        <f t="shared" si="701"/>
        <v>0.59032795997776544</v>
      </c>
    </row>
    <row r="8490" spans="1:8" ht="15.75" thickBot="1" x14ac:dyDescent="0.3">
      <c r="A8490" s="84" t="s">
        <v>34</v>
      </c>
      <c r="B8490" s="356">
        <v>44246</v>
      </c>
      <c r="C8490" s="17">
        <v>152</v>
      </c>
      <c r="D8490" s="47">
        <f t="shared" si="702"/>
        <v>25176</v>
      </c>
      <c r="E8490" s="1">
        <v>2</v>
      </c>
      <c r="F8490" s="47">
        <f t="shared" si="700"/>
        <v>1073</v>
      </c>
      <c r="G8490" s="212">
        <f>SUM(C8490,C8466,C8442,C8418,C8394,C8370,C8346,C8322,C8298,C8274,C8250,C8226,C8202,C8178)/POBLA!$B$17*100000</f>
        <v>71.539044241177152</v>
      </c>
      <c r="H8490" s="213">
        <f t="shared" si="701"/>
        <v>1.2737499999999999</v>
      </c>
    </row>
    <row r="8491" spans="1:8" ht="15.75" thickBot="1" x14ac:dyDescent="0.3">
      <c r="A8491" s="84" t="s">
        <v>35</v>
      </c>
      <c r="B8491" s="356">
        <v>44246</v>
      </c>
      <c r="C8491" s="17">
        <v>69</v>
      </c>
      <c r="D8491" s="47">
        <f t="shared" si="702"/>
        <v>14890</v>
      </c>
      <c r="E8491" s="1">
        <v>2</v>
      </c>
      <c r="F8491" s="47">
        <f t="shared" si="700"/>
        <v>206</v>
      </c>
      <c r="G8491" s="212">
        <f>SUM(C8491,C8467,C8443,C8419,C8395,C8371,C8347,C8323,C8299,C8275,C8251,C8227,C8203,C8179)/POBLA!$B$18*100000</f>
        <v>79.619363121898274</v>
      </c>
      <c r="H8491" s="213">
        <f t="shared" si="701"/>
        <v>0.81413612565445026</v>
      </c>
    </row>
    <row r="8492" spans="1:8" ht="15.75" thickBot="1" x14ac:dyDescent="0.3">
      <c r="A8492" s="84" t="s">
        <v>36</v>
      </c>
      <c r="B8492" s="356">
        <v>44246</v>
      </c>
      <c r="C8492" s="17">
        <v>9</v>
      </c>
      <c r="D8492" s="47">
        <f t="shared" si="702"/>
        <v>20253</v>
      </c>
      <c r="F8492" s="47">
        <f t="shared" si="700"/>
        <v>352</v>
      </c>
      <c r="G8492" s="212">
        <f>SUM(C8492,C8468,C8444,C8420,C8396,C8372,C8348,C8324,C8300,C8276,C8252,C8228,C8204,C8180)/POBLA!$B$19*100000</f>
        <v>226.42860515257865</v>
      </c>
      <c r="H8492" s="213">
        <f t="shared" si="701"/>
        <v>0.9787414965986394</v>
      </c>
    </row>
    <row r="8493" spans="1:8" ht="15.75" thickBot="1" x14ac:dyDescent="0.3">
      <c r="A8493" s="84" t="s">
        <v>37</v>
      </c>
      <c r="B8493" s="356">
        <v>44246</v>
      </c>
      <c r="C8493" s="17">
        <v>138</v>
      </c>
      <c r="D8493" s="47">
        <f t="shared" si="702"/>
        <v>35002</v>
      </c>
      <c r="E8493" s="1">
        <v>2</v>
      </c>
      <c r="F8493" s="47">
        <f t="shared" si="700"/>
        <v>560</v>
      </c>
      <c r="G8493" s="212">
        <f>SUM(C8493,C8469,C8445,C8421,C8397,C8373,C8349,C8325,C8301,C8277,C8253,C8229,C8205,C8181)/POBLA!$B$20*100000</f>
        <v>377.0871046601294</v>
      </c>
      <c r="H8493" s="213">
        <f t="shared" si="701"/>
        <v>0.56171079429735238</v>
      </c>
    </row>
    <row r="8494" spans="1:8" ht="15.75" thickBot="1" x14ac:dyDescent="0.3">
      <c r="A8494" s="84" t="s">
        <v>22</v>
      </c>
      <c r="B8494" s="356">
        <v>44246</v>
      </c>
      <c r="C8494" s="17">
        <v>507</v>
      </c>
      <c r="D8494" s="47">
        <f t="shared" si="702"/>
        <v>213476</v>
      </c>
      <c r="E8494" s="1">
        <v>3</v>
      </c>
      <c r="F8494" s="47">
        <f t="shared" si="700"/>
        <v>3836</v>
      </c>
      <c r="G8494" s="212">
        <f>SUM(C8494,C8470,C8446,C8422,C8398,C8374,C8350,C8326,C8302,C8278,C8254,C8230,C8206,C8182)/POBLA!$B$21*100000</f>
        <v>137.39891607835952</v>
      </c>
      <c r="H8494" s="213">
        <f t="shared" si="701"/>
        <v>0.59781003937007871</v>
      </c>
    </row>
    <row r="8495" spans="1:8" ht="15.75" thickBot="1" x14ac:dyDescent="0.3">
      <c r="A8495" s="84" t="s">
        <v>38</v>
      </c>
      <c r="B8495" s="356">
        <v>44246</v>
      </c>
      <c r="C8495" s="17">
        <v>54</v>
      </c>
      <c r="D8495" s="47">
        <f t="shared" si="702"/>
        <v>22086</v>
      </c>
      <c r="E8495" s="1">
        <v>1</v>
      </c>
      <c r="F8495" s="47">
        <f t="shared" si="700"/>
        <v>262</v>
      </c>
      <c r="G8495" s="212">
        <f>SUM(C8495,C8471,C8447,C8423,C8399,C8375,C8351,C8327,C8303,C8279,C8255,C8231,C8207,C8183)/POBLA!$B$22*100000</f>
        <v>82.488937589503564</v>
      </c>
      <c r="H8495" s="213">
        <f t="shared" si="701"/>
        <v>0.71989295272078502</v>
      </c>
    </row>
    <row r="8496" spans="1:8" ht="15.75" thickBot="1" x14ac:dyDescent="0.3">
      <c r="A8496" s="84" t="s">
        <v>39</v>
      </c>
      <c r="B8496" s="356">
        <v>44246</v>
      </c>
      <c r="C8496" s="17">
        <v>49</v>
      </c>
      <c r="D8496" s="47">
        <f t="shared" si="702"/>
        <v>22633</v>
      </c>
      <c r="F8496" s="47">
        <f t="shared" si="700"/>
        <v>346</v>
      </c>
      <c r="G8496" s="212">
        <f>SUM(C8496,C8472,C8448,C8424,C8400,C8376,C8352,C8328,C8304,C8280,C8256,C8232,C8208,C8184)/POBLA!$B$23*100000</f>
        <v>332.52276197477806</v>
      </c>
      <c r="H8496" s="213">
        <f t="shared" si="701"/>
        <v>0.7587096774193548</v>
      </c>
    </row>
    <row r="8497" spans="1:8" ht="15.75" thickBot="1" x14ac:dyDescent="0.3">
      <c r="A8497" s="85" t="s">
        <v>40</v>
      </c>
      <c r="B8497" s="356">
        <v>44246</v>
      </c>
      <c r="C8497" s="17">
        <v>158</v>
      </c>
      <c r="D8497" s="214">
        <f t="shared" si="702"/>
        <v>78601</v>
      </c>
      <c r="E8497" s="1">
        <v>2</v>
      </c>
      <c r="F8497" s="214">
        <f t="shared" si="700"/>
        <v>1464</v>
      </c>
      <c r="G8497" s="212">
        <f>SUM(C8497,C8473,C8449,C8425,C8401,C8377,C8353,C8329,C8305,C8281,C8257,C8233,C8209,C8185)/POBLA!$B$24*100000</f>
        <v>85.504078703878548</v>
      </c>
      <c r="H8497" s="216">
        <f t="shared" si="701"/>
        <v>0.72887323943661975</v>
      </c>
    </row>
    <row r="8498" spans="1:8" ht="15.75" thickBot="1" x14ac:dyDescent="0.3">
      <c r="A8498" s="36" t="s">
        <v>16</v>
      </c>
      <c r="B8498" s="356">
        <v>44247</v>
      </c>
      <c r="C8498" s="17">
        <v>2510</v>
      </c>
      <c r="D8498" s="211">
        <f t="shared" si="702"/>
        <v>860369</v>
      </c>
      <c r="E8498" s="1">
        <v>65</v>
      </c>
      <c r="F8498" s="211">
        <f t="shared" ref="F8498:F8504" si="703">E8498+F8474</f>
        <v>25891</v>
      </c>
      <c r="G8498" s="212">
        <f>SUM(C8498,C8474,C8450,C8426,C8402,C8378,C8354,C8330,C8306,C8282,C8258,C8234,C8210,C8186)/POBLA!$B$1*100000</f>
        <v>201.73146091237737</v>
      </c>
      <c r="H8498" s="196">
        <f t="shared" ref="H8498:H8504" si="704">SUM(C8498,C8474,C8450,C8426,C8402,C8378,C8354,C8330,C8306,C8282,C8258,C8234,C8210,C8186)/SUM(C8162,C8138,C8114,C8090,C8066,C8042,C8018,C7994,C7970,C7946,C7922,C7898,C7874,C7850)</f>
        <v>0.73043657756218394</v>
      </c>
    </row>
    <row r="8499" spans="1:8" ht="15.75" thickBot="1" x14ac:dyDescent="0.3">
      <c r="A8499" s="84" t="s">
        <v>43</v>
      </c>
      <c r="B8499" s="356">
        <v>44247</v>
      </c>
      <c r="C8499" s="17">
        <v>596</v>
      </c>
      <c r="D8499" s="47">
        <f t="shared" si="702"/>
        <v>226374</v>
      </c>
      <c r="E8499" s="1">
        <v>33</v>
      </c>
      <c r="F8499" s="47">
        <f t="shared" si="703"/>
        <v>6400</v>
      </c>
      <c r="G8499" s="212">
        <f>SUM(C8499,C8475,C8451,C8427,C8403,C8379,C8355,C8331,C8307,C8283,C8259,C8235,C8211,C8187)/POBLA!$B$2*100000</f>
        <v>321.36338187164586</v>
      </c>
      <c r="H8499" s="213">
        <f t="shared" si="704"/>
        <v>0.67777549201124598</v>
      </c>
    </row>
    <row r="8500" spans="1:8" ht="15.75" thickBot="1" x14ac:dyDescent="0.3">
      <c r="A8500" s="84" t="s">
        <v>28</v>
      </c>
      <c r="B8500" s="356">
        <v>44247</v>
      </c>
      <c r="C8500" s="17">
        <v>52</v>
      </c>
      <c r="D8500" s="47">
        <f t="shared" si="702"/>
        <v>7181</v>
      </c>
      <c r="F8500" s="47">
        <f t="shared" si="703"/>
        <v>17</v>
      </c>
      <c r="G8500" s="212">
        <f>SUM(C8500,C8476,C8452,C8428,C8404,C8380,C8356,C8332,C8308,C8284,C8260,C8236,C8212,C8188)/POBLA!$B$3*100000</f>
        <v>253.46742474207946</v>
      </c>
      <c r="H8500" s="213">
        <f t="shared" si="704"/>
        <v>0.72821576763485474</v>
      </c>
    </row>
    <row r="8501" spans="1:8" ht="15.75" thickBot="1" x14ac:dyDescent="0.3">
      <c r="A8501" s="84" t="s">
        <v>15</v>
      </c>
      <c r="B8501" s="356">
        <v>44247</v>
      </c>
      <c r="C8501" s="17">
        <v>176</v>
      </c>
      <c r="D8501" s="47">
        <f t="shared" si="702"/>
        <v>33125</v>
      </c>
      <c r="F8501" s="47">
        <f t="shared" si="703"/>
        <v>852</v>
      </c>
      <c r="G8501" s="212">
        <f>SUM(C8501,C8477,C8453,C8429,C8405,C8381,C8357,C8333,C8309,C8285,C8261,C8237,C8213,C8189)/POBLA!$B$4*100000</f>
        <v>129.84198960433892</v>
      </c>
      <c r="H8501" s="213">
        <f t="shared" si="704"/>
        <v>0.83014861995753719</v>
      </c>
    </row>
    <row r="8502" spans="1:8" ht="15.75" thickBot="1" x14ac:dyDescent="0.3">
      <c r="A8502" s="84" t="s">
        <v>29</v>
      </c>
      <c r="B8502" s="356">
        <v>44247</v>
      </c>
      <c r="C8502" s="17">
        <v>56</v>
      </c>
      <c r="D8502" s="47">
        <f t="shared" si="702"/>
        <v>46055</v>
      </c>
      <c r="F8502" s="47">
        <f t="shared" si="703"/>
        <v>747</v>
      </c>
      <c r="G8502" s="212">
        <f>SUM(C8502,C8478,C8454,C8430,C8406,C8382,C8358,C8334,C8310,C8286,C8262,C8238,C8214,C8190)/POBLA!$B$5*100000</f>
        <v>356.22316209850175</v>
      </c>
      <c r="H8502" s="213">
        <f t="shared" si="704"/>
        <v>0.59562398703403563</v>
      </c>
    </row>
    <row r="8503" spans="1:8" ht="15.75" thickBot="1" x14ac:dyDescent="0.3">
      <c r="A8503" s="84" t="s">
        <v>30</v>
      </c>
      <c r="B8503" s="356">
        <v>44247</v>
      </c>
      <c r="C8503" s="17">
        <v>125</v>
      </c>
      <c r="D8503" s="47">
        <f t="shared" si="702"/>
        <v>20814</v>
      </c>
      <c r="F8503" s="47">
        <f t="shared" si="703"/>
        <v>292</v>
      </c>
      <c r="G8503" s="212">
        <f>SUM(C8503,C8479,C8455,C8431,C8407,C8383,C8359,C8335,C8311,C8287,C8263,C8239,C8215,C8191)/POBLA!$B$7*100000</f>
        <v>55.711417516520626</v>
      </c>
      <c r="H8503" s="213">
        <f t="shared" si="704"/>
        <v>0.844758064516129</v>
      </c>
    </row>
    <row r="8504" spans="1:8" ht="15.75" thickBot="1" x14ac:dyDescent="0.3">
      <c r="A8504" s="84" t="s">
        <v>20</v>
      </c>
      <c r="B8504" s="356">
        <v>44247</v>
      </c>
      <c r="C8504" s="17">
        <v>591</v>
      </c>
      <c r="D8504" s="47">
        <f t="shared" si="702"/>
        <v>155175</v>
      </c>
      <c r="E8504" s="1">
        <v>3</v>
      </c>
      <c r="F8504" s="47">
        <f t="shared" si="703"/>
        <v>2799</v>
      </c>
      <c r="G8504" s="212">
        <f>SUM(C8504,C8480,C8456,C8432,C8408,C8384,C8360,C8336,C8312,C8288,C8264,C8240,C8216,C8192)/POBLA!$B$6*100000</f>
        <v>636.06295854482642</v>
      </c>
      <c r="H8504" s="213">
        <f t="shared" si="704"/>
        <v>1.0443891004980954</v>
      </c>
    </row>
    <row r="8505" spans="1:8" ht="15.75" thickBot="1" x14ac:dyDescent="0.3">
      <c r="A8505" s="84" t="s">
        <v>31</v>
      </c>
      <c r="B8505" s="356">
        <v>44247</v>
      </c>
      <c r="C8505" s="17">
        <v>116</v>
      </c>
      <c r="D8505" s="47">
        <f t="shared" si="702"/>
        <v>44231</v>
      </c>
      <c r="E8505" s="1">
        <v>2</v>
      </c>
      <c r="F8505" s="47">
        <f t="shared" ref="F8505:F8521" si="705">E8505+F8481</f>
        <v>808</v>
      </c>
      <c r="G8505" s="212">
        <f>SUM(C8505,C8481,C8457,C8433,C8409,C8385,C8361,C8337,C8313,C8289,C8265,C8241,C8217,C8193)/POBLA!$B$8*100000</f>
        <v>130.8839137609211</v>
      </c>
      <c r="H8505" s="213">
        <f t="shared" ref="H8505:H8521" si="706">SUM(C8505,C8481,C8457,C8433,C8409,C8385,C8361,C8337,C8313,C8289,C8265,C8241,C8217,C8193)/SUM(C8169,C8145,C8121,C8097,C8073,C8049,C8025,C8001,C7977,C7953,C7929,C7905,C7881,C7857)</f>
        <v>0.50912152680325573</v>
      </c>
    </row>
    <row r="8506" spans="1:8" ht="15.75" thickBot="1" x14ac:dyDescent="0.3">
      <c r="A8506" s="84" t="s">
        <v>41</v>
      </c>
      <c r="B8506" s="356">
        <v>44247</v>
      </c>
      <c r="C8506" s="17">
        <v>13</v>
      </c>
      <c r="D8506" s="47">
        <f t="shared" si="702"/>
        <v>1070</v>
      </c>
      <c r="F8506" s="47">
        <f t="shared" si="705"/>
        <v>18</v>
      </c>
      <c r="G8506" s="212">
        <f>SUM(C8506,C8482,C8458,C8434,C8410,C8386,C8362,C8338,C8314,C8290,C8266,C8242,C8218,C8194)/POBLA!$B$9*100000</f>
        <v>33.377781963770232</v>
      </c>
      <c r="H8506" s="213">
        <f t="shared" si="706"/>
        <v>2.9705882352941178</v>
      </c>
    </row>
    <row r="8507" spans="1:8" ht="15.75" thickBot="1" x14ac:dyDescent="0.3">
      <c r="A8507" s="84" t="s">
        <v>32</v>
      </c>
      <c r="B8507" s="356">
        <v>44247</v>
      </c>
      <c r="C8507" s="17">
        <v>68</v>
      </c>
      <c r="D8507" s="47">
        <f t="shared" si="702"/>
        <v>20042</v>
      </c>
      <c r="E8507" s="1">
        <v>2</v>
      </c>
      <c r="F8507" s="47">
        <f t="shared" si="705"/>
        <v>897</v>
      </c>
      <c r="G8507" s="212">
        <f>SUM(C8507,C8483,C8459,C8435,C8411,C8387,C8363,C8339,C8315,C8291,C8267,C8243,C8219,C8195)/POBLA!$B$10*100000</f>
        <v>69.920000622664205</v>
      </c>
      <c r="H8507" s="213">
        <f t="shared" si="706"/>
        <v>1.2277904328018223</v>
      </c>
    </row>
    <row r="8508" spans="1:8" ht="15.75" thickBot="1" x14ac:dyDescent="0.3">
      <c r="A8508" s="84" t="s">
        <v>33</v>
      </c>
      <c r="B8508" s="356">
        <v>44247</v>
      </c>
      <c r="C8508" s="17">
        <v>60</v>
      </c>
      <c r="D8508" s="47">
        <f t="shared" si="702"/>
        <v>18071</v>
      </c>
      <c r="F8508" s="47">
        <f t="shared" si="705"/>
        <v>282</v>
      </c>
      <c r="G8508" s="212">
        <f>SUM(C8508,C8484,C8460,C8436,C8412,C8388,C8364,C8340,C8316,C8292,C8268,C8244,C8220,C8196)/POBLA!$B$11*100000</f>
        <v>290.4348990592253</v>
      </c>
      <c r="H8508" s="213">
        <f t="shared" si="706"/>
        <v>0.81328124999999996</v>
      </c>
    </row>
    <row r="8509" spans="1:8" ht="15.75" thickBot="1" x14ac:dyDescent="0.3">
      <c r="A8509" s="84" t="s">
        <v>21</v>
      </c>
      <c r="B8509" s="356">
        <v>44247</v>
      </c>
      <c r="C8509" s="17">
        <v>16</v>
      </c>
      <c r="D8509" s="47">
        <f t="shared" si="702"/>
        <v>9994</v>
      </c>
      <c r="E8509" s="1">
        <v>1</v>
      </c>
      <c r="F8509" s="47">
        <f t="shared" si="705"/>
        <v>435</v>
      </c>
      <c r="G8509" s="212">
        <f>SUM(C8509,C8485,C8461,C8437,C8413,C8389,C8365,C8341,C8317,C8293,C8269,C8245,C8221,C8197)/POBLA!$B$12*100000</f>
        <v>86.651369269511179</v>
      </c>
      <c r="H8509" s="213">
        <f t="shared" si="706"/>
        <v>1.3585657370517927</v>
      </c>
    </row>
    <row r="8510" spans="1:8" ht="15.75" thickBot="1" x14ac:dyDescent="0.3">
      <c r="A8510" s="84" t="s">
        <v>17</v>
      </c>
      <c r="B8510" s="356">
        <v>44247</v>
      </c>
      <c r="C8510" s="17">
        <v>127</v>
      </c>
      <c r="D8510" s="47">
        <f t="shared" si="702"/>
        <v>66294</v>
      </c>
      <c r="E8510" s="1">
        <v>3</v>
      </c>
      <c r="F8510" s="47">
        <f t="shared" si="705"/>
        <v>1423</v>
      </c>
      <c r="G8510" s="212">
        <f>SUM(C8510,C8486,C8462,C8438,C8414,C8390,C8366,C8342,C8318,C8294,C8270,C8246,C8222,C8198)/POBLA!$B$13*100000</f>
        <v>80.589327038925049</v>
      </c>
      <c r="H8510" s="213">
        <f t="shared" si="706"/>
        <v>1.0037546933667083</v>
      </c>
    </row>
    <row r="8511" spans="1:8" ht="15.75" thickBot="1" x14ac:dyDescent="0.3">
      <c r="A8511" s="84" t="s">
        <v>23</v>
      </c>
      <c r="B8511" s="356">
        <v>44247</v>
      </c>
      <c r="C8511" s="17">
        <v>100</v>
      </c>
      <c r="D8511" s="47">
        <f t="shared" si="702"/>
        <v>7365</v>
      </c>
      <c r="E8511" s="1">
        <v>1</v>
      </c>
      <c r="F8511" s="47">
        <f t="shared" si="705"/>
        <v>126</v>
      </c>
      <c r="G8511" s="212">
        <f>SUM(C8511,C8487,C8463,C8439,C8415,C8391,C8367,C8343,C8319,C8295,C8271,C8247,C8223,C8199)/POBLA!$B$14*100000</f>
        <v>119.48047005694153</v>
      </c>
      <c r="H8511" s="213">
        <f t="shared" si="706"/>
        <v>0.59098039215686271</v>
      </c>
    </row>
    <row r="8512" spans="1:8" ht="15.75" thickBot="1" x14ac:dyDescent="0.3">
      <c r="A8512" s="84" t="s">
        <v>19</v>
      </c>
      <c r="B8512" s="356">
        <v>44247</v>
      </c>
      <c r="C8512" s="17">
        <v>162</v>
      </c>
      <c r="D8512" s="47">
        <f t="shared" si="702"/>
        <v>59866</v>
      </c>
      <c r="E8512" s="1">
        <v>3</v>
      </c>
      <c r="F8512" s="47">
        <f t="shared" si="705"/>
        <v>882</v>
      </c>
      <c r="G8512" s="212">
        <f>SUM(C8512,C8488,C8464,C8440,C8416,C8392,C8368,C8344,C8320,C8296,C8272,C8248,C8224,C8200)/POBLA!$B$15*100000</f>
        <v>507.93832457153525</v>
      </c>
      <c r="H8512" s="213">
        <f t="shared" si="706"/>
        <v>0.59625243061693478</v>
      </c>
    </row>
    <row r="8513" spans="1:10" ht="15.75" thickBot="1" x14ac:dyDescent="0.3">
      <c r="A8513" s="84" t="s">
        <v>18</v>
      </c>
      <c r="B8513" s="356">
        <v>44247</v>
      </c>
      <c r="C8513" s="17">
        <v>79</v>
      </c>
      <c r="D8513" s="47">
        <f t="shared" si="702"/>
        <v>51385</v>
      </c>
      <c r="E8513" s="1">
        <v>3</v>
      </c>
      <c r="F8513" s="47">
        <f t="shared" si="705"/>
        <v>1146</v>
      </c>
      <c r="G8513" s="212">
        <f>SUM(C8513,C8489,C8465,C8441,C8417,C8393,C8369,C8345,C8321,C8297,C8273,C8249,C8225,C8201)/POBLA!$B$16*100000</f>
        <v>276.48105295541797</v>
      </c>
      <c r="H8513" s="213">
        <f t="shared" si="706"/>
        <v>0.59947795823665895</v>
      </c>
    </row>
    <row r="8514" spans="1:10" ht="15.75" thickBot="1" x14ac:dyDescent="0.3">
      <c r="A8514" s="84" t="s">
        <v>34</v>
      </c>
      <c r="B8514" s="356">
        <v>44247</v>
      </c>
      <c r="C8514" s="17">
        <v>146</v>
      </c>
      <c r="D8514" s="47">
        <f t="shared" si="702"/>
        <v>25322</v>
      </c>
      <c r="E8514" s="1">
        <v>3</v>
      </c>
      <c r="F8514" s="47">
        <f t="shared" si="705"/>
        <v>1076</v>
      </c>
      <c r="G8514" s="212">
        <f>SUM(C8514,C8490,C8466,C8442,C8418,C8394,C8370,C8346,C8322,C8298,C8274,C8250,C8226,C8202)/POBLA!$B$17*100000</f>
        <v>75.330122149934326</v>
      </c>
      <c r="H8514" s="213">
        <f t="shared" si="706"/>
        <v>1.2881152460984393</v>
      </c>
    </row>
    <row r="8515" spans="1:10" ht="15.75" thickBot="1" x14ac:dyDescent="0.3">
      <c r="A8515" s="84" t="s">
        <v>35</v>
      </c>
      <c r="B8515" s="356">
        <v>44247</v>
      </c>
      <c r="C8515" s="17">
        <v>26</v>
      </c>
      <c r="D8515" s="47">
        <f t="shared" si="702"/>
        <v>14916</v>
      </c>
      <c r="F8515" s="47">
        <f t="shared" si="705"/>
        <v>206</v>
      </c>
      <c r="G8515" s="212">
        <f>SUM(C8515,C8491,C8467,C8443,C8419,C8395,C8371,C8347,C8323,C8299,C8275,C8251,C8227,C8203)/POBLA!$B$18*100000</f>
        <v>81.411438819175714</v>
      </c>
      <c r="H8515" s="213">
        <f t="shared" si="706"/>
        <v>0.85483870967741937</v>
      </c>
    </row>
    <row r="8516" spans="1:10" ht="15.75" thickBot="1" x14ac:dyDescent="0.3">
      <c r="A8516" s="84" t="s">
        <v>36</v>
      </c>
      <c r="B8516" s="356">
        <v>44247</v>
      </c>
      <c r="C8516" s="17">
        <v>264</v>
      </c>
      <c r="D8516" s="47">
        <f t="shared" si="702"/>
        <v>20517</v>
      </c>
      <c r="E8516" s="1">
        <v>1</v>
      </c>
      <c r="F8516" s="47">
        <f t="shared" si="705"/>
        <v>353</v>
      </c>
      <c r="G8516" s="212">
        <f>SUM(C8516,C8492,C8468,C8444,C8420,C8396,C8372,C8348,C8324,C8300,C8276,C8252,C8228,C8204)/POBLA!$B$19*100000</f>
        <v>277.77340614721203</v>
      </c>
      <c r="H8516" s="213">
        <f t="shared" si="706"/>
        <v>2.0056818181818183</v>
      </c>
    </row>
    <row r="8517" spans="1:10" ht="15.75" thickBot="1" x14ac:dyDescent="0.3">
      <c r="A8517" s="84" t="s">
        <v>37</v>
      </c>
      <c r="B8517" s="356">
        <v>44247</v>
      </c>
      <c r="C8517" s="17">
        <v>106</v>
      </c>
      <c r="D8517" s="47">
        <f t="shared" si="702"/>
        <v>35108</v>
      </c>
      <c r="E8517" s="1">
        <v>1</v>
      </c>
      <c r="F8517" s="47">
        <f t="shared" si="705"/>
        <v>561</v>
      </c>
      <c r="G8517" s="212">
        <f>SUM(C8517,C8493,C8469,C8445,C8421,C8397,C8373,C8349,C8325,C8301,C8277,C8253,C8229,C8205)/POBLA!$B$20*100000</f>
        <v>372.71190982723448</v>
      </c>
      <c r="H8517" s="213">
        <f t="shared" si="706"/>
        <v>0.56839032527105926</v>
      </c>
    </row>
    <row r="8518" spans="1:10" ht="15.75" thickBot="1" x14ac:dyDescent="0.3">
      <c r="A8518" s="84" t="s">
        <v>22</v>
      </c>
      <c r="B8518" s="356">
        <v>44247</v>
      </c>
      <c r="C8518" s="17">
        <v>376</v>
      </c>
      <c r="D8518" s="47">
        <f t="shared" si="702"/>
        <v>213852</v>
      </c>
      <c r="F8518" s="47">
        <f t="shared" si="705"/>
        <v>3836</v>
      </c>
      <c r="G8518" s="212">
        <f>SUM(C8518,C8494,C8470,C8446,C8422,C8398,C8374,C8350,C8326,C8302,C8278,C8254,C8230,C8206)/POBLA!$B$21*100000</f>
        <v>135.8436700638895</v>
      </c>
      <c r="H8518" s="213">
        <f t="shared" si="706"/>
        <v>0.61111817834881055</v>
      </c>
    </row>
    <row r="8519" spans="1:10" ht="15.75" thickBot="1" x14ac:dyDescent="0.3">
      <c r="A8519" s="84" t="s">
        <v>38</v>
      </c>
      <c r="B8519" s="356">
        <v>44247</v>
      </c>
      <c r="C8519" s="17">
        <v>54</v>
      </c>
      <c r="D8519" s="47">
        <f t="shared" si="702"/>
        <v>22140</v>
      </c>
      <c r="F8519" s="47">
        <f t="shared" si="705"/>
        <v>262</v>
      </c>
      <c r="G8519" s="212">
        <f>SUM(C8519,C8495,C8471,C8447,C8423,C8399,C8375,C8351,C8327,C8303,C8279,C8255,C8231,C8207)/POBLA!$B$22*100000</f>
        <v>80.853469186242023</v>
      </c>
      <c r="H8519" s="213">
        <f t="shared" si="706"/>
        <v>0.77473065621939274</v>
      </c>
    </row>
    <row r="8520" spans="1:10" ht="15.75" thickBot="1" x14ac:dyDescent="0.3">
      <c r="A8520" s="84" t="s">
        <v>39</v>
      </c>
      <c r="B8520" s="356">
        <v>44247</v>
      </c>
      <c r="C8520" s="17">
        <v>33</v>
      </c>
      <c r="D8520" s="47">
        <f t="shared" si="702"/>
        <v>22666</v>
      </c>
      <c r="E8520" s="1">
        <v>1</v>
      </c>
      <c r="F8520" s="47">
        <f t="shared" si="705"/>
        <v>347</v>
      </c>
      <c r="G8520" s="212">
        <f>SUM(C8520,C8496,C8472,C8448,C8424,C8400,C8376,C8352,C8328,C8304,C8280,C8256,C8232,C8208)/POBLA!$B$23*100000</f>
        <v>341.57100039586044</v>
      </c>
      <c r="H8520" s="213">
        <f t="shared" si="706"/>
        <v>0.84122562674094703</v>
      </c>
    </row>
    <row r="8521" spans="1:10" ht="15.75" thickBot="1" x14ac:dyDescent="0.3">
      <c r="A8521" s="85" t="s">
        <v>40</v>
      </c>
      <c r="B8521" s="356">
        <v>44247</v>
      </c>
      <c r="C8521" s="17">
        <v>92</v>
      </c>
      <c r="D8521" s="214">
        <f t="shared" si="702"/>
        <v>78693</v>
      </c>
      <c r="F8521" s="214">
        <f t="shared" si="705"/>
        <v>1464</v>
      </c>
      <c r="G8521" s="212">
        <f>SUM(C8521,C8497,C8473,C8449,C8425,C8401,C8377,C8353,C8329,C8305,C8281,C8257,C8233,C8209)/POBLA!$B$24*100000</f>
        <v>85.504078703878548</v>
      </c>
      <c r="H8521" s="216">
        <f t="shared" si="706"/>
        <v>0.72522522522522526</v>
      </c>
    </row>
    <row r="8522" spans="1:10" ht="15.75" thickBot="1" x14ac:dyDescent="0.3">
      <c r="A8522" s="36" t="s">
        <v>16</v>
      </c>
      <c r="B8522" s="356">
        <v>44248</v>
      </c>
      <c r="C8522" s="1">
        <v>1503</v>
      </c>
      <c r="D8522" s="211">
        <f t="shared" si="702"/>
        <v>861872</v>
      </c>
      <c r="E8522" s="1">
        <v>51</v>
      </c>
      <c r="F8522" s="211">
        <f t="shared" ref="F8522:F8528" si="707">E8522+F8498</f>
        <v>25942</v>
      </c>
      <c r="G8522" s="212">
        <f>SUM(C8522,C8498,C8474,C8450,C8426,C8402,C8378,C8354,C8330,C8306,C8282,C8258,C8234,C8210)/POBLA!$B$1*100000</f>
        <v>201.75996532950737</v>
      </c>
      <c r="H8522" s="196">
        <f t="shared" ref="H8522:H8528" si="708">SUM(C8522,C8498,C8474,C8450,C8426,C8402,C8378,C8354,C8330,C8306,C8282,C8258,C8234,C8210)/SUM(C8186,C8162,C8138,C8114,C8090,C8066,C8042,C8018,C7994,C7970,C7946,C7922,C7898,C7874)</f>
        <v>0.7395929114770543</v>
      </c>
      <c r="I8522" s="233"/>
      <c r="J8522" s="234"/>
    </row>
    <row r="8523" spans="1:10" ht="16.5" thickTop="1" thickBot="1" x14ac:dyDescent="0.3">
      <c r="A8523" s="84" t="s">
        <v>43</v>
      </c>
      <c r="B8523" s="356">
        <v>44248</v>
      </c>
      <c r="C8523" s="1">
        <v>351</v>
      </c>
      <c r="D8523" s="47">
        <f t="shared" si="702"/>
        <v>226725</v>
      </c>
      <c r="E8523" s="1">
        <v>8</v>
      </c>
      <c r="F8523" s="47">
        <f t="shared" si="707"/>
        <v>6408</v>
      </c>
      <c r="G8523" s="212">
        <f>SUM(C8523,C8499,C8475,C8451,C8427,C8403,C8379,C8355,C8331,C8307,C8283,C8259,C8235,C8211)/POBLA!$B$2*100000</f>
        <v>314.015332063573</v>
      </c>
      <c r="H8523" s="213">
        <f t="shared" si="708"/>
        <v>0.66818873668188739</v>
      </c>
      <c r="I8523" s="233"/>
      <c r="J8523" s="234"/>
    </row>
    <row r="8524" spans="1:10" ht="16.5" thickTop="1" thickBot="1" x14ac:dyDescent="0.3">
      <c r="A8524" s="84" t="s">
        <v>28</v>
      </c>
      <c r="B8524" s="356">
        <v>44248</v>
      </c>
      <c r="C8524" s="1">
        <v>110</v>
      </c>
      <c r="D8524" s="47">
        <f t="shared" si="702"/>
        <v>7291</v>
      </c>
      <c r="F8524" s="47">
        <f t="shared" si="707"/>
        <v>17</v>
      </c>
      <c r="G8524" s="212">
        <f>SUM(C8524,C8500,C8476,C8452,C8428,C8404,C8380,C8356,C8332,C8308,C8284,C8260,C8236,C8212)/POBLA!$B$3*100000</f>
        <v>264.78078558051982</v>
      </c>
      <c r="H8524" s="213">
        <f t="shared" si="708"/>
        <v>0.75342465753424659</v>
      </c>
      <c r="I8524" s="233"/>
      <c r="J8524" s="235"/>
    </row>
    <row r="8525" spans="1:10" ht="16.5" thickTop="1" thickBot="1" x14ac:dyDescent="0.3">
      <c r="A8525" s="84" t="s">
        <v>15</v>
      </c>
      <c r="B8525" s="356">
        <v>44248</v>
      </c>
      <c r="C8525" s="1">
        <v>81</v>
      </c>
      <c r="D8525" s="47">
        <f t="shared" si="702"/>
        <v>33206</v>
      </c>
      <c r="F8525" s="47">
        <f t="shared" si="707"/>
        <v>852</v>
      </c>
      <c r="G8525" s="212">
        <f>SUM(C8525,C8501,C8477,C8453,C8429,C8405,C8381,C8357,C8333,C8309,C8285,C8261,C8237,C8213)/POBLA!$B$4*100000</f>
        <v>127.84952940580686</v>
      </c>
      <c r="H8525" s="213">
        <f t="shared" si="708"/>
        <v>0.83153347732181426</v>
      </c>
      <c r="I8525" s="236"/>
      <c r="J8525" s="237"/>
    </row>
    <row r="8526" spans="1:10" ht="16.5" thickTop="1" thickBot="1" x14ac:dyDescent="0.3">
      <c r="A8526" s="84" t="s">
        <v>29</v>
      </c>
      <c r="B8526" s="356">
        <v>44248</v>
      </c>
      <c r="C8526" s="1">
        <v>36</v>
      </c>
      <c r="D8526" s="47">
        <f t="shared" si="702"/>
        <v>46091</v>
      </c>
      <c r="F8526" s="47">
        <f t="shared" si="707"/>
        <v>747</v>
      </c>
      <c r="G8526" s="212">
        <f>SUM(C8526,C8502,C8478,C8454,C8430,C8406,C8382,C8358,C8334,C8310,C8286,C8262,C8238,C8214)/POBLA!$B$5*100000</f>
        <v>352.02279828237431</v>
      </c>
      <c r="H8526" s="213">
        <f t="shared" si="708"/>
        <v>0.59600656455142231</v>
      </c>
      <c r="I8526" s="238"/>
      <c r="J8526" s="237"/>
    </row>
    <row r="8527" spans="1:10" ht="16.5" thickTop="1" thickBot="1" x14ac:dyDescent="0.3">
      <c r="A8527" s="84" t="s">
        <v>30</v>
      </c>
      <c r="B8527" s="356">
        <v>44248</v>
      </c>
      <c r="C8527" s="1">
        <v>146</v>
      </c>
      <c r="D8527" s="47">
        <f t="shared" si="702"/>
        <v>20960</v>
      </c>
      <c r="F8527" s="47">
        <f t="shared" si="707"/>
        <v>292</v>
      </c>
      <c r="G8527" s="212">
        <f>SUM(C8527,C8503,C8479,C8455,C8431,C8407,C8383,C8359,C8335,C8311,C8287,C8263,C8239,C8215)/POBLA!$B$7*100000</f>
        <v>59.221635708492336</v>
      </c>
      <c r="H8527" s="213">
        <f t="shared" si="708"/>
        <v>0.91646090534979419</v>
      </c>
      <c r="I8527" s="233"/>
      <c r="J8527" s="237"/>
    </row>
    <row r="8528" spans="1:10" ht="16.5" thickTop="1" thickBot="1" x14ac:dyDescent="0.3">
      <c r="A8528" s="84" t="s">
        <v>20</v>
      </c>
      <c r="B8528" s="356">
        <v>44248</v>
      </c>
      <c r="C8528" s="1">
        <v>399</v>
      </c>
      <c r="D8528" s="47">
        <f t="shared" si="702"/>
        <v>155574</v>
      </c>
      <c r="F8528" s="47">
        <f t="shared" si="707"/>
        <v>2799</v>
      </c>
      <c r="G8528" s="212">
        <f>SUM(C8528,C8504,C8480,C8456,C8432,C8408,C8384,C8360,C8336,C8312,C8288,C8264,C8240,C8216)/POBLA!$B$6*100000</f>
        <v>651.58756996112606</v>
      </c>
      <c r="H8528" s="213">
        <f t="shared" si="708"/>
        <v>1.076027700014734</v>
      </c>
      <c r="I8528" s="233"/>
      <c r="J8528" s="234"/>
    </row>
    <row r="8529" spans="1:10" ht="16.5" thickTop="1" thickBot="1" x14ac:dyDescent="0.3">
      <c r="A8529" s="84" t="s">
        <v>31</v>
      </c>
      <c r="B8529" s="356">
        <v>44248</v>
      </c>
      <c r="C8529" s="1">
        <v>87</v>
      </c>
      <c r="D8529" s="47">
        <f t="shared" si="702"/>
        <v>44318</v>
      </c>
      <c r="E8529" s="1">
        <v>1</v>
      </c>
      <c r="F8529" s="47">
        <f t="shared" ref="F8529:F8545" si="709">E8529+F8505</f>
        <v>809</v>
      </c>
      <c r="G8529" s="212">
        <f>SUM(C8529,C8505,C8481,C8457,C8433,C8409,C8385,C8361,C8337,C8313,C8289,C8265,C8241,C8217)/POBLA!$B$8*100000</f>
        <v>129.58517591764846</v>
      </c>
      <c r="H8529" s="213">
        <f t="shared" ref="H8529:H8545" si="710">SUM(C8529,C8505,C8481,C8457,C8433,C8409,C8385,C8361,C8337,C8313,C8289,C8265,C8241,C8217)/SUM(C8193,C8169,C8145,C8121,C8097,C8073,C8049,C8025,C8001,C7977,C7953,C7929,C7905,C7881)</f>
        <v>0.52073064656422152</v>
      </c>
      <c r="I8529" s="236"/>
      <c r="J8529" s="237"/>
    </row>
    <row r="8530" spans="1:10" ht="16.5" thickTop="1" thickBot="1" x14ac:dyDescent="0.3">
      <c r="A8530" s="84" t="s">
        <v>41</v>
      </c>
      <c r="B8530" s="356">
        <v>44248</v>
      </c>
      <c r="C8530" s="1">
        <v>9</v>
      </c>
      <c r="D8530" s="47">
        <f t="shared" si="702"/>
        <v>1079</v>
      </c>
      <c r="F8530" s="47">
        <f t="shared" si="709"/>
        <v>18</v>
      </c>
      <c r="G8530" s="212">
        <f>SUM(C8530,C8506,C8482,C8458,C8434,C8410,C8386,C8362,C8338,C8314,C8290,C8266,C8242,C8218)/POBLA!$B$9*100000</f>
        <v>33.212545419395134</v>
      </c>
      <c r="H8530" s="213">
        <f t="shared" si="710"/>
        <v>2.7916666666666665</v>
      </c>
      <c r="I8530" s="238"/>
      <c r="J8530" s="235"/>
    </row>
    <row r="8531" spans="1:10" ht="16.5" thickTop="1" thickBot="1" x14ac:dyDescent="0.3">
      <c r="A8531" s="84" t="s">
        <v>32</v>
      </c>
      <c r="B8531" s="356">
        <v>44248</v>
      </c>
      <c r="C8531" s="1">
        <v>73</v>
      </c>
      <c r="D8531" s="47">
        <f t="shared" si="702"/>
        <v>20115</v>
      </c>
      <c r="F8531" s="47">
        <f t="shared" si="709"/>
        <v>897</v>
      </c>
      <c r="G8531" s="212">
        <f>SUM(C8531,C8507,C8483,C8459,C8435,C8411,C8387,C8363,C8339,C8315,C8291,C8267,C8243,C8219)/POBLA!$B$10*100000</f>
        <v>77.184416271772179</v>
      </c>
      <c r="H8531" s="213">
        <f t="shared" si="710"/>
        <v>1.3934426229508197</v>
      </c>
      <c r="I8531" s="236"/>
      <c r="J8531" s="237"/>
    </row>
    <row r="8532" spans="1:10" ht="16.5" thickTop="1" thickBot="1" x14ac:dyDescent="0.3">
      <c r="A8532" s="84" t="s">
        <v>33</v>
      </c>
      <c r="B8532" s="356">
        <v>44248</v>
      </c>
      <c r="C8532" s="1">
        <v>19</v>
      </c>
      <c r="D8532" s="47">
        <f t="shared" si="702"/>
        <v>18090</v>
      </c>
      <c r="F8532" s="47">
        <f t="shared" si="709"/>
        <v>282</v>
      </c>
      <c r="G8532" s="212">
        <f>SUM(C8532,C8508,C8484,C8460,C8436,C8412,C8388,C8364,C8340,C8316,C8292,C8268,C8244,C8220)/POBLA!$B$11*100000</f>
        <v>279.55405269677595</v>
      </c>
      <c r="H8532" s="213">
        <f t="shared" si="710"/>
        <v>0.77374517374517371</v>
      </c>
      <c r="I8532" s="238"/>
      <c r="J8532" s="237"/>
    </row>
    <row r="8533" spans="1:10" ht="16.5" thickTop="1" thickBot="1" x14ac:dyDescent="0.3">
      <c r="A8533" s="84" t="s">
        <v>21</v>
      </c>
      <c r="B8533" s="356">
        <v>44248</v>
      </c>
      <c r="C8533" s="1">
        <v>25</v>
      </c>
      <c r="D8533" s="47">
        <f t="shared" si="702"/>
        <v>10019</v>
      </c>
      <c r="F8533" s="47">
        <f t="shared" si="709"/>
        <v>435</v>
      </c>
      <c r="G8533" s="212">
        <f>SUM(C8533,C8509,C8485,C8461,C8437,C8413,C8389,C8365,C8341,C8317,C8293,C8269,C8245,C8221)/POBLA!$B$12*100000</f>
        <v>84.872602158406835</v>
      </c>
      <c r="H8533" s="213">
        <f t="shared" si="710"/>
        <v>1.3522267206477734</v>
      </c>
      <c r="I8533" s="238"/>
      <c r="J8533" s="237"/>
    </row>
    <row r="8534" spans="1:10" ht="16.5" thickTop="1" thickBot="1" x14ac:dyDescent="0.3">
      <c r="A8534" s="84" t="s">
        <v>17</v>
      </c>
      <c r="B8534" s="356">
        <v>44248</v>
      </c>
      <c r="C8534" s="1">
        <v>39</v>
      </c>
      <c r="D8534" s="47">
        <f t="shared" si="702"/>
        <v>66333</v>
      </c>
      <c r="F8534" s="47">
        <f t="shared" si="709"/>
        <v>1423</v>
      </c>
      <c r="G8534" s="212">
        <f>SUM(C8534,C8510,C8486,C8462,C8438,C8414,C8390,C8366,C8342,C8318,C8294,C8270,C8246,C8222)/POBLA!$B$13*100000</f>
        <v>80.63956976151789</v>
      </c>
      <c r="H8534" s="213">
        <f t="shared" si="710"/>
        <v>1.0203432930705658</v>
      </c>
      <c r="I8534" s="238"/>
      <c r="J8534" s="234"/>
    </row>
    <row r="8535" spans="1:10" ht="16.5" thickTop="1" thickBot="1" x14ac:dyDescent="0.3">
      <c r="A8535" s="84" t="s">
        <v>23</v>
      </c>
      <c r="B8535" s="356">
        <v>44248</v>
      </c>
      <c r="C8535" s="1">
        <v>117</v>
      </c>
      <c r="D8535" s="47">
        <f t="shared" si="702"/>
        <v>7482</v>
      </c>
      <c r="F8535" s="47">
        <f t="shared" si="709"/>
        <v>126</v>
      </c>
      <c r="G8535" s="212">
        <f>SUM(C8535,C8511,C8487,C8463,C8439,C8415,C8391,C8367,C8343,C8319,C8295,C8271,C8247,C8223)/POBLA!$B$14*100000</f>
        <v>112.58279195810016</v>
      </c>
      <c r="H8535" s="213">
        <f t="shared" si="710"/>
        <v>0.54720616570327552</v>
      </c>
      <c r="I8535" s="233"/>
      <c r="J8535" s="235"/>
    </row>
    <row r="8536" spans="1:10" ht="16.5" thickTop="1" thickBot="1" x14ac:dyDescent="0.3">
      <c r="A8536" s="84" t="s">
        <v>19</v>
      </c>
      <c r="B8536" s="356">
        <v>44248</v>
      </c>
      <c r="C8536" s="1">
        <v>116</v>
      </c>
      <c r="D8536" s="47">
        <f t="shared" si="702"/>
        <v>59982</v>
      </c>
      <c r="E8536" s="1">
        <v>5</v>
      </c>
      <c r="F8536" s="47">
        <f t="shared" si="709"/>
        <v>887</v>
      </c>
      <c r="G8536" s="212">
        <f>SUM(C8536,C8512,C8488,C8464,C8440,C8416,C8392,C8368,C8344,C8320,C8296,C8272,C8248,C8224)/POBLA!$B$15*100000</f>
        <v>501.01120837518465</v>
      </c>
      <c r="H8536" s="213">
        <f t="shared" si="710"/>
        <v>0.58677248677248672</v>
      </c>
      <c r="I8536" s="233"/>
      <c r="J8536" s="234"/>
    </row>
    <row r="8537" spans="1:10" ht="16.5" thickTop="1" thickBot="1" x14ac:dyDescent="0.3">
      <c r="A8537" s="84" t="s">
        <v>18</v>
      </c>
      <c r="B8537" s="356">
        <v>44248</v>
      </c>
      <c r="C8537" s="1">
        <v>69</v>
      </c>
      <c r="D8537" s="47">
        <f t="shared" si="702"/>
        <v>51454</v>
      </c>
      <c r="E8537" s="1">
        <v>1</v>
      </c>
      <c r="F8537" s="47">
        <f t="shared" si="709"/>
        <v>1147</v>
      </c>
      <c r="G8537" s="212">
        <f>SUM(C8537,C8513,C8489,C8465,C8441,C8417,C8393,C8369,C8345,C8321,C8297,C8273,C8249,C8225)/POBLA!$B$16*100000</f>
        <v>277.81864876071751</v>
      </c>
      <c r="H8537" s="213">
        <f t="shared" si="710"/>
        <v>0.61106207708149451</v>
      </c>
      <c r="I8537" s="236"/>
      <c r="J8537" s="234"/>
    </row>
    <row r="8538" spans="1:10" ht="16.5" thickTop="1" thickBot="1" x14ac:dyDescent="0.3">
      <c r="A8538" s="84" t="s">
        <v>34</v>
      </c>
      <c r="B8538" s="356">
        <v>44248</v>
      </c>
      <c r="C8538" s="1">
        <v>83</v>
      </c>
      <c r="D8538" s="47">
        <f t="shared" si="702"/>
        <v>25405</v>
      </c>
      <c r="E8538" s="1">
        <v>4</v>
      </c>
      <c r="F8538" s="47">
        <f t="shared" si="709"/>
        <v>1080</v>
      </c>
      <c r="G8538" s="212">
        <f>SUM(C8538,C8514,C8490,C8466,C8442,C8418,C8394,C8370,C8346,C8322,C8298,C8274,C8250,C8226)/POBLA!$B$17*100000</f>
        <v>78.138328008272978</v>
      </c>
      <c r="H8538" s="213">
        <f t="shared" si="710"/>
        <v>1.3094117647058823</v>
      </c>
      <c r="I8538" s="236"/>
      <c r="J8538" s="237"/>
    </row>
    <row r="8539" spans="1:10" ht="16.5" thickTop="1" thickBot="1" x14ac:dyDescent="0.3">
      <c r="A8539" s="84" t="s">
        <v>35</v>
      </c>
      <c r="B8539" s="356">
        <v>44248</v>
      </c>
      <c r="C8539" s="1">
        <v>3</v>
      </c>
      <c r="D8539" s="47">
        <f t="shared" si="702"/>
        <v>14919</v>
      </c>
      <c r="F8539" s="47">
        <f t="shared" si="709"/>
        <v>206</v>
      </c>
      <c r="G8539" s="212">
        <f>SUM(C8539,C8515,C8491,C8467,C8443,C8419,C8395,C8371,C8347,C8323,C8299,C8275,C8251,C8227)/POBLA!$B$18*100000</f>
        <v>80.643406377485391</v>
      </c>
      <c r="H8539" s="213">
        <f t="shared" si="710"/>
        <v>0.84677419354838712</v>
      </c>
      <c r="I8539" s="238"/>
      <c r="J8539" s="237"/>
    </row>
    <row r="8540" spans="1:10" ht="16.5" thickTop="1" thickBot="1" x14ac:dyDescent="0.3">
      <c r="A8540" s="84" t="s">
        <v>36</v>
      </c>
      <c r="B8540" s="356">
        <v>44248</v>
      </c>
      <c r="C8540" s="1">
        <v>2</v>
      </c>
      <c r="D8540" s="47">
        <f t="shared" si="702"/>
        <v>20519</v>
      </c>
      <c r="F8540" s="47">
        <f t="shared" si="709"/>
        <v>353</v>
      </c>
      <c r="G8540" s="212">
        <f>SUM(C8540,C8516,C8492,C8468,C8444,C8420,C8396,C8372,C8348,C8324,C8300,C8276,C8252,C8228)/POBLA!$B$19*100000</f>
        <v>277.97012952267039</v>
      </c>
      <c r="H8540" s="213">
        <f t="shared" si="710"/>
        <v>2.1638591117917305</v>
      </c>
      <c r="I8540" s="238"/>
      <c r="J8540" s="237"/>
    </row>
    <row r="8541" spans="1:10" ht="16.5" thickTop="1" thickBot="1" x14ac:dyDescent="0.3">
      <c r="A8541" s="84" t="s">
        <v>37</v>
      </c>
      <c r="B8541" s="356">
        <v>44248</v>
      </c>
      <c r="C8541" s="1">
        <v>81</v>
      </c>
      <c r="D8541" s="47">
        <f t="shared" si="702"/>
        <v>35189</v>
      </c>
      <c r="E8541" s="1">
        <v>1</v>
      </c>
      <c r="F8541" s="47">
        <f t="shared" si="709"/>
        <v>562</v>
      </c>
      <c r="G8541" s="212">
        <f>SUM(C8541,C8517,C8493,C8469,C8445,C8421,C8397,C8373,C8349,C8325,C8301,C8277,C8253,C8229)/POBLA!$B$20*100000</f>
        <v>381.46229949302432</v>
      </c>
      <c r="H8541" s="213">
        <f t="shared" si="710"/>
        <v>0.60233160621761661</v>
      </c>
      <c r="I8541" s="236"/>
      <c r="J8541" s="237"/>
    </row>
    <row r="8542" spans="1:10" ht="16.5" thickTop="1" thickBot="1" x14ac:dyDescent="0.3">
      <c r="A8542" s="84" t="s">
        <v>22</v>
      </c>
      <c r="B8542" s="356">
        <v>44248</v>
      </c>
      <c r="C8542" s="1">
        <v>206</v>
      </c>
      <c r="D8542" s="47">
        <f t="shared" si="702"/>
        <v>214058</v>
      </c>
      <c r="E8542" s="1">
        <v>6</v>
      </c>
      <c r="F8542" s="47">
        <f t="shared" si="709"/>
        <v>3842</v>
      </c>
      <c r="G8542" s="212">
        <f>SUM(C8542,C8518,C8494,C8470,C8446,C8422,C8398,C8374,C8350,C8326,C8302,C8278,C8254,C8230)/POBLA!$B$21*100000</f>
        <v>137.22925287678098</v>
      </c>
      <c r="H8542" s="213">
        <f t="shared" si="710"/>
        <v>0.64023746701846962</v>
      </c>
      <c r="I8542" s="233"/>
      <c r="J8542" s="234"/>
    </row>
    <row r="8543" spans="1:10" ht="16.5" thickTop="1" thickBot="1" x14ac:dyDescent="0.3">
      <c r="A8543" s="84" t="s">
        <v>38</v>
      </c>
      <c r="B8543" s="356">
        <v>44248</v>
      </c>
      <c r="C8543" s="1">
        <v>41</v>
      </c>
      <c r="D8543" s="47">
        <f t="shared" si="702"/>
        <v>22181</v>
      </c>
      <c r="F8543" s="47">
        <f t="shared" si="709"/>
        <v>262</v>
      </c>
      <c r="G8543" s="212">
        <f>SUM(C8543,C8519,C8495,C8471,C8447,C8423,C8399,C8375,C8351,C8327,C8303,C8279,C8255,C8231)/POBLA!$B$22*100000</f>
        <v>76.458147852476671</v>
      </c>
      <c r="H8543" s="213">
        <f t="shared" si="710"/>
        <v>0.71578947368421053</v>
      </c>
      <c r="I8543" s="238"/>
      <c r="J8543" s="237"/>
    </row>
    <row r="8544" spans="1:10" ht="16.5" thickTop="1" thickBot="1" x14ac:dyDescent="0.3">
      <c r="A8544" s="84" t="s">
        <v>39</v>
      </c>
      <c r="B8544" s="356">
        <v>44248</v>
      </c>
      <c r="C8544" s="1">
        <v>40</v>
      </c>
      <c r="D8544" s="47">
        <f t="shared" si="702"/>
        <v>22706</v>
      </c>
      <c r="F8544" s="47">
        <f t="shared" si="709"/>
        <v>347</v>
      </c>
      <c r="G8544" s="212">
        <f>SUM(C8544,C8520,C8496,C8472,C8448,C8424,C8400,C8376,C8352,C8328,C8304,C8280,C8256,C8232)/POBLA!$B$23*100000</f>
        <v>352.88129842221343</v>
      </c>
      <c r="H8544" s="213">
        <f t="shared" si="710"/>
        <v>0.90173410404624277</v>
      </c>
      <c r="I8544" s="239"/>
      <c r="J8544" s="240"/>
    </row>
    <row r="8545" spans="1:13" ht="15.75" thickBot="1" x14ac:dyDescent="0.3">
      <c r="A8545" s="86" t="s">
        <v>40</v>
      </c>
      <c r="B8545" s="357">
        <v>44248</v>
      </c>
      <c r="C8545" s="300">
        <v>73</v>
      </c>
      <c r="D8545" s="81">
        <f t="shared" si="702"/>
        <v>78766</v>
      </c>
      <c r="E8545" s="300"/>
      <c r="F8545" s="81">
        <f t="shared" si="709"/>
        <v>1464</v>
      </c>
      <c r="G8545" s="212">
        <f>SUM(C8545,C8521,C8497,C8473,C8449,C8425,C8401,C8377,C8353,C8329,C8305,C8281,C8257,C8233)/POBLA!$B$24*100000</f>
        <v>85.91714188602289</v>
      </c>
      <c r="H8545" s="225">
        <f t="shared" si="710"/>
        <v>0.71865745310957552</v>
      </c>
      <c r="I8545" s="241"/>
      <c r="J8545" s="242"/>
      <c r="K8545" s="33"/>
      <c r="L8545" s="33"/>
      <c r="M8545" s="33"/>
    </row>
    <row r="8546" spans="1:13" ht="15.75" thickBot="1" x14ac:dyDescent="0.3">
      <c r="A8546" s="36" t="s">
        <v>16</v>
      </c>
      <c r="B8546" s="354">
        <v>44249</v>
      </c>
      <c r="C8546" s="53">
        <v>1999</v>
      </c>
      <c r="D8546" s="211">
        <f t="shared" si="702"/>
        <v>863871</v>
      </c>
      <c r="E8546" s="53">
        <v>76</v>
      </c>
      <c r="F8546" s="211">
        <f t="shared" ref="F8546:F8552" si="711">E8546+F8522</f>
        <v>26018</v>
      </c>
      <c r="G8546" s="212">
        <f>SUM(C8546,C8522,C8498,C8474,C8450,C8426,C8402,C8378,C8354,C8330,C8306,C8282,C8258,C8234)/POBLA!$B$1*100000</f>
        <v>201.21268052061151</v>
      </c>
      <c r="H8546" s="196">
        <f t="shared" ref="H8546:H8552" si="712">SUM(C8546,C8522,C8498,C8474,C8450,C8426,C8402,C8378,C8354,C8330,C8306,C8282,C8258,C8234)/SUM(C8210,C8186,C8162,C8138,C8114,C8090,C8066,C8042,C8018,C7994,C7970,C7946,C7922,C7898)</f>
        <v>0.74780711047078263</v>
      </c>
      <c r="I8546" s="226"/>
      <c r="J8546" s="226"/>
      <c r="K8546" s="226"/>
      <c r="L8546" s="226"/>
      <c r="M8546" s="33"/>
    </row>
    <row r="8547" spans="1:13" ht="15.75" thickBot="1" x14ac:dyDescent="0.3">
      <c r="A8547" s="84" t="s">
        <v>43</v>
      </c>
      <c r="B8547" s="356">
        <v>44249</v>
      </c>
      <c r="C8547" s="1">
        <v>825</v>
      </c>
      <c r="D8547" s="47">
        <f t="shared" ref="D8547:D8610" si="713">C8547+D8523</f>
        <v>227550</v>
      </c>
      <c r="E8547" s="1">
        <v>22</v>
      </c>
      <c r="F8547" s="47">
        <f t="shared" si="711"/>
        <v>6430</v>
      </c>
      <c r="G8547" s="212">
        <f>SUM(C8547,C8523,C8499,C8475,C8451,C8427,C8403,C8379,C8355,C8331,C8307,C8283,C8259,C8235)/POBLA!$B$2*100000</f>
        <v>318.11203239904722</v>
      </c>
      <c r="H8547" s="213">
        <f t="shared" si="712"/>
        <v>0.69592431894160323</v>
      </c>
      <c r="I8547" s="226"/>
      <c r="J8547" s="226"/>
      <c r="K8547" s="226"/>
      <c r="L8547" s="226"/>
      <c r="M8547" s="33"/>
    </row>
    <row r="8548" spans="1:13" ht="15.75" thickBot="1" x14ac:dyDescent="0.3">
      <c r="A8548" s="84" t="s">
        <v>28</v>
      </c>
      <c r="B8548" s="356">
        <v>44249</v>
      </c>
      <c r="C8548" s="1">
        <v>85</v>
      </c>
      <c r="D8548" s="47">
        <f t="shared" si="713"/>
        <v>7376</v>
      </c>
      <c r="F8548" s="47">
        <f t="shared" si="711"/>
        <v>17</v>
      </c>
      <c r="G8548" s="212">
        <f>SUM(C8548,C8524,C8500,C8476,C8452,C8428,C8404,C8380,C8356,C8332,C8308,C8284,C8260,C8236)/POBLA!$B$3*100000</f>
        <v>253.22671493700622</v>
      </c>
      <c r="H8548" s="213">
        <f t="shared" si="712"/>
        <v>0.67306461932181705</v>
      </c>
      <c r="I8548" s="33"/>
      <c r="J8548" s="33"/>
      <c r="K8548" s="33"/>
      <c r="L8548" s="33"/>
      <c r="M8548" s="33"/>
    </row>
    <row r="8549" spans="1:13" ht="15.75" thickBot="1" x14ac:dyDescent="0.3">
      <c r="A8549" s="84" t="s">
        <v>15</v>
      </c>
      <c r="B8549" s="356">
        <v>44249</v>
      </c>
      <c r="C8549" s="1">
        <v>124</v>
      </c>
      <c r="D8549" s="47">
        <f t="shared" si="713"/>
        <v>33330</v>
      </c>
      <c r="E8549" s="1">
        <v>3</v>
      </c>
      <c r="F8549" s="47">
        <f t="shared" si="711"/>
        <v>855</v>
      </c>
      <c r="G8549" s="212">
        <f>SUM(C8549,C8525,C8501,C8477,C8453,C8429,C8405,C8381,C8357,C8333,C8309,C8285,C8261,C8237)/POBLA!$B$4*100000</f>
        <v>132.83067990213698</v>
      </c>
      <c r="H8549" s="213">
        <f t="shared" si="712"/>
        <v>0.86956521739130432</v>
      </c>
      <c r="I8549" s="226"/>
      <c r="J8549" s="226"/>
      <c r="K8549" s="226"/>
      <c r="L8549" s="226"/>
      <c r="M8549" s="33"/>
    </row>
    <row r="8550" spans="1:13" ht="15.75" thickBot="1" x14ac:dyDescent="0.3">
      <c r="A8550" s="84" t="s">
        <v>29</v>
      </c>
      <c r="B8550" s="356">
        <v>44249</v>
      </c>
      <c r="C8550" s="1">
        <v>141</v>
      </c>
      <c r="D8550" s="47">
        <f t="shared" si="713"/>
        <v>46232</v>
      </c>
      <c r="E8550" s="1">
        <v>6</v>
      </c>
      <c r="F8550" s="47">
        <f t="shared" si="711"/>
        <v>753</v>
      </c>
      <c r="G8550" s="212">
        <f>SUM(C8550,C8526,C8502,C8478,C8454,C8430,C8406,C8382,C8358,C8334,C8310,C8286,C8262,C8238)/POBLA!$B$5*100000</f>
        <v>336.35221019912956</v>
      </c>
      <c r="H8550" s="213">
        <f t="shared" si="712"/>
        <v>0.57994428969359335</v>
      </c>
      <c r="I8550" s="226"/>
      <c r="J8550" s="226"/>
      <c r="K8550" s="226"/>
      <c r="L8550" s="226"/>
      <c r="M8550" s="33"/>
    </row>
    <row r="8551" spans="1:13" ht="15.75" thickBot="1" x14ac:dyDescent="0.3">
      <c r="A8551" s="84" t="s">
        <v>30</v>
      </c>
      <c r="B8551" s="356">
        <v>44249</v>
      </c>
      <c r="C8551" s="1">
        <v>142</v>
      </c>
      <c r="D8551" s="47">
        <f t="shared" si="713"/>
        <v>21102</v>
      </c>
      <c r="F8551" s="47">
        <f t="shared" si="711"/>
        <v>292</v>
      </c>
      <c r="G8551" s="212">
        <f>SUM(C8551,C8527,C8503,C8479,C8455,C8431,C8407,C8383,C8359,C8335,C8311,C8287,C8263,C8239)/POBLA!$B$7*100000</f>
        <v>60.817189432115839</v>
      </c>
      <c r="H8551" s="213">
        <f t="shared" si="712"/>
        <v>0.97236394557823125</v>
      </c>
      <c r="I8551" s="33"/>
      <c r="J8551" s="33"/>
      <c r="K8551" s="33"/>
      <c r="L8551" s="33"/>
      <c r="M8551" s="33"/>
    </row>
    <row r="8552" spans="1:13" ht="15.75" thickBot="1" x14ac:dyDescent="0.3">
      <c r="A8552" s="84" t="s">
        <v>20</v>
      </c>
      <c r="B8552" s="356">
        <v>44249</v>
      </c>
      <c r="C8552" s="1">
        <v>402</v>
      </c>
      <c r="D8552" s="47">
        <f t="shared" si="713"/>
        <v>155976</v>
      </c>
      <c r="E8552" s="1">
        <v>4</v>
      </c>
      <c r="F8552" s="47">
        <f t="shared" si="711"/>
        <v>2803</v>
      </c>
      <c r="G8552" s="212">
        <f>SUM(C8552,C8528,C8504,C8480,C8456,C8432,C8408,C8384,C8360,C8336,C8312,C8288,C8264,C8240)/POBLA!$B$6*100000</f>
        <v>669.78883851816693</v>
      </c>
      <c r="H8552" s="213">
        <f t="shared" si="712"/>
        <v>1.1297215951843491</v>
      </c>
      <c r="I8552" s="226"/>
      <c r="J8552" s="226"/>
      <c r="K8552" s="226"/>
      <c r="L8552" s="226"/>
      <c r="M8552" s="33"/>
    </row>
    <row r="8553" spans="1:13" ht="15.75" thickBot="1" x14ac:dyDescent="0.3">
      <c r="A8553" s="84" t="s">
        <v>31</v>
      </c>
      <c r="B8553" s="356">
        <v>44249</v>
      </c>
      <c r="C8553" s="1">
        <v>110</v>
      </c>
      <c r="D8553" s="47">
        <f t="shared" si="713"/>
        <v>44428</v>
      </c>
      <c r="E8553" s="1">
        <v>10</v>
      </c>
      <c r="F8553" s="47">
        <f t="shared" ref="F8553:F8569" si="714">E8553+F8529</f>
        <v>819</v>
      </c>
      <c r="G8553" s="212">
        <f>SUM(C8553,C8529,C8505,C8481,C8457,C8433,C8409,C8385,C8361,C8337,C8313,C8289,C8265,C8241)/POBLA!$B$8*100000</f>
        <v>132.47126001380991</v>
      </c>
      <c r="H8553" s="213">
        <f t="shared" ref="H8553:H8569" si="715">SUM(C8553,C8529,C8505,C8481,C8457,C8433,C8409,C8385,C8361,C8337,C8313,C8289,C8265,C8241)/SUM(C8217,C8193,C8169,C8145,C8121,C8097,C8073,C8049,C8025,C8001,C7977,C7953,C7929,C7905)</f>
        <v>0.57071806030463168</v>
      </c>
      <c r="I8553" s="226"/>
      <c r="J8553" s="226"/>
      <c r="K8553" s="226"/>
      <c r="L8553" s="226"/>
      <c r="M8553" s="33"/>
    </row>
    <row r="8554" spans="1:13" ht="15.75" thickBot="1" x14ac:dyDescent="0.3">
      <c r="A8554" s="84" t="s">
        <v>41</v>
      </c>
      <c r="B8554" s="356">
        <v>44249</v>
      </c>
      <c r="C8554" s="1">
        <v>57</v>
      </c>
      <c r="D8554" s="47">
        <f t="shared" si="713"/>
        <v>1136</v>
      </c>
      <c r="F8554" s="47">
        <f t="shared" si="714"/>
        <v>18</v>
      </c>
      <c r="G8554" s="212">
        <f>SUM(C8554,C8530,C8506,C8482,C8458,C8434,C8410,C8386,C8362,C8338,C8314,C8290,C8266,C8242)/POBLA!$B$9*100000</f>
        <v>41.474372638150143</v>
      </c>
      <c r="H8554" s="213">
        <f t="shared" si="715"/>
        <v>3.2179487179487181</v>
      </c>
      <c r="I8554" s="33"/>
      <c r="J8554" s="33"/>
      <c r="K8554" s="33"/>
      <c r="L8554" s="33"/>
      <c r="M8554" s="33"/>
    </row>
    <row r="8555" spans="1:13" ht="15.75" thickBot="1" x14ac:dyDescent="0.3">
      <c r="A8555" s="84" t="s">
        <v>32</v>
      </c>
      <c r="B8555" s="356">
        <v>44249</v>
      </c>
      <c r="C8555" s="1">
        <v>48</v>
      </c>
      <c r="D8555" s="47">
        <f t="shared" si="713"/>
        <v>20163</v>
      </c>
      <c r="E8555" s="1">
        <v>1</v>
      </c>
      <c r="F8555" s="47">
        <f t="shared" si="714"/>
        <v>898</v>
      </c>
      <c r="G8555" s="212">
        <f>SUM(C8555,C8531,C8507,C8483,C8459,C8435,C8411,C8387,C8363,C8339,C8315,C8291,C8267,C8243)/POBLA!$B$10*100000</f>
        <v>79.908572140187658</v>
      </c>
      <c r="H8555" s="213">
        <f t="shared" si="715"/>
        <v>1.378076062639821</v>
      </c>
      <c r="I8555" s="226"/>
      <c r="J8555" s="226"/>
      <c r="K8555" s="226"/>
      <c r="L8555" s="226"/>
      <c r="M8555" s="33"/>
    </row>
    <row r="8556" spans="1:13" ht="15.75" thickBot="1" x14ac:dyDescent="0.3">
      <c r="A8556" s="84" t="s">
        <v>33</v>
      </c>
      <c r="B8556" s="356">
        <v>44249</v>
      </c>
      <c r="C8556" s="1">
        <v>71</v>
      </c>
      <c r="D8556" s="47">
        <f t="shared" si="713"/>
        <v>18161</v>
      </c>
      <c r="E8556" s="1">
        <v>2</v>
      </c>
      <c r="F8556" s="47">
        <f t="shared" si="714"/>
        <v>284</v>
      </c>
      <c r="G8556" s="212">
        <f>SUM(C8556,C8532,C8508,C8484,C8460,C8436,C8412,C8388,C8364,C8340,C8316,C8292,C8268,C8244)/POBLA!$B$11*100000</f>
        <v>270.62617875835593</v>
      </c>
      <c r="H8556" s="213">
        <f t="shared" si="715"/>
        <v>0.74787972243639167</v>
      </c>
      <c r="I8556" s="226"/>
      <c r="J8556" s="226"/>
      <c r="K8556" s="226"/>
      <c r="L8556" s="226"/>
      <c r="M8556" s="33"/>
    </row>
    <row r="8557" spans="1:13" ht="15.75" thickBot="1" x14ac:dyDescent="0.3">
      <c r="A8557" s="84" t="s">
        <v>21</v>
      </c>
      <c r="B8557" s="356">
        <v>44249</v>
      </c>
      <c r="C8557" s="1">
        <v>28</v>
      </c>
      <c r="D8557" s="47">
        <f t="shared" si="713"/>
        <v>10047</v>
      </c>
      <c r="F8557" s="47">
        <f t="shared" si="714"/>
        <v>435</v>
      </c>
      <c r="G8557" s="212">
        <f>SUM(C8557,C8533,C8509,C8485,C8461,C8437,C8413,C8389,C8365,C8341,C8317,C8293,C8269,C8245)/POBLA!$B$12*100000</f>
        <v>89.446574729817982</v>
      </c>
      <c r="H8557" s="213">
        <f t="shared" si="715"/>
        <v>1.3858267716535433</v>
      </c>
      <c r="I8557" s="33"/>
      <c r="J8557" s="33"/>
      <c r="K8557" s="33"/>
      <c r="L8557" s="33"/>
      <c r="M8557" s="33"/>
    </row>
    <row r="8558" spans="1:13" ht="15.75" thickBot="1" x14ac:dyDescent="0.3">
      <c r="A8558" s="84" t="s">
        <v>17</v>
      </c>
      <c r="B8558" s="356">
        <v>44249</v>
      </c>
      <c r="C8558" s="1">
        <v>78</v>
      </c>
      <c r="D8558" s="47">
        <f t="shared" si="713"/>
        <v>66411</v>
      </c>
      <c r="E8558" s="1">
        <v>2</v>
      </c>
      <c r="F8558" s="47">
        <f t="shared" si="714"/>
        <v>1425</v>
      </c>
      <c r="G8558" s="212">
        <f>SUM(C8558,C8534,C8510,C8486,C8462,C8438,C8414,C8390,C8366,C8342,C8318,C8294,C8270,C8246)/POBLA!$B$13*100000</f>
        <v>78.629860857804061</v>
      </c>
      <c r="H8558" s="213">
        <f t="shared" si="715"/>
        <v>0.95660146699266502</v>
      </c>
      <c r="I8558" s="226"/>
      <c r="J8558" s="226"/>
      <c r="K8558" s="226"/>
      <c r="L8558" s="226"/>
      <c r="M8558" s="33"/>
    </row>
    <row r="8559" spans="1:13" ht="15.75" thickBot="1" x14ac:dyDescent="0.3">
      <c r="A8559" s="84" t="s">
        <v>23</v>
      </c>
      <c r="B8559" s="356">
        <v>44249</v>
      </c>
      <c r="C8559" s="1">
        <v>127</v>
      </c>
      <c r="D8559" s="47">
        <f t="shared" si="713"/>
        <v>7609</v>
      </c>
      <c r="E8559" s="1">
        <v>5</v>
      </c>
      <c r="F8559" s="47">
        <f t="shared" si="714"/>
        <v>131</v>
      </c>
      <c r="G8559" s="212">
        <f>SUM(C8559,C8535,C8511,C8487,C8463,C8439,C8415,C8391,C8367,C8343,C8319,C8295,C8271,C8247)/POBLA!$B$14*100000</f>
        <v>118.21193155600517</v>
      </c>
      <c r="H8559" s="213">
        <f t="shared" si="715"/>
        <v>0.5949720670391061</v>
      </c>
      <c r="I8559" s="226"/>
      <c r="J8559" s="226"/>
      <c r="K8559" s="226"/>
      <c r="L8559" s="226"/>
      <c r="M8559" s="33"/>
    </row>
    <row r="8560" spans="1:13" ht="15.75" thickBot="1" x14ac:dyDescent="0.3">
      <c r="A8560" s="84" t="s">
        <v>19</v>
      </c>
      <c r="B8560" s="356">
        <v>44249</v>
      </c>
      <c r="C8560" s="1">
        <v>210</v>
      </c>
      <c r="D8560" s="47">
        <f t="shared" si="713"/>
        <v>60192</v>
      </c>
      <c r="E8560" s="1">
        <v>4</v>
      </c>
      <c r="F8560" s="47">
        <f t="shared" si="714"/>
        <v>891</v>
      </c>
      <c r="G8560" s="212">
        <f>SUM(C8560,C8536,C8512,C8488,C8464,C8440,C8416,C8392,C8368,C8344,C8320,C8296,C8272,C8248)/POBLA!$B$15*100000</f>
        <v>491.67466045836426</v>
      </c>
      <c r="H8560" s="213">
        <f t="shared" si="715"/>
        <v>0.60575139146567714</v>
      </c>
      <c r="I8560" s="226"/>
      <c r="J8560" s="226"/>
      <c r="K8560" s="226"/>
      <c r="L8560" s="226"/>
      <c r="M8560" s="33"/>
    </row>
    <row r="8561" spans="1:13" ht="15.75" thickBot="1" x14ac:dyDescent="0.3">
      <c r="A8561" s="84" t="s">
        <v>18</v>
      </c>
      <c r="B8561" s="356">
        <v>44249</v>
      </c>
      <c r="C8561" s="1">
        <v>119</v>
      </c>
      <c r="D8561" s="47">
        <f t="shared" si="713"/>
        <v>51573</v>
      </c>
      <c r="E8561" s="1">
        <v>10</v>
      </c>
      <c r="F8561" s="47">
        <f t="shared" si="714"/>
        <v>1157</v>
      </c>
      <c r="G8561" s="212">
        <f>SUM(C8561,C8537,C8513,C8489,C8465,C8441,C8417,C8393,C8369,C8345,C8321,C8297,C8273,C8249)/POBLA!$B$16*100000</f>
        <v>265.24524819090163</v>
      </c>
      <c r="H8561" s="213">
        <f t="shared" si="715"/>
        <v>0.5907059874888293</v>
      </c>
      <c r="I8561" s="226"/>
      <c r="J8561" s="226"/>
      <c r="K8561" s="226"/>
      <c r="L8561" s="226"/>
      <c r="M8561" s="33"/>
    </row>
    <row r="8562" spans="1:13" ht="15.75" thickBot="1" x14ac:dyDescent="0.3">
      <c r="A8562" s="84" t="s">
        <v>34</v>
      </c>
      <c r="B8562" s="356">
        <v>44249</v>
      </c>
      <c r="C8562" s="1">
        <v>74</v>
      </c>
      <c r="D8562" s="47">
        <f t="shared" si="713"/>
        <v>25479</v>
      </c>
      <c r="F8562" s="47">
        <f t="shared" si="714"/>
        <v>1080</v>
      </c>
      <c r="G8562" s="212">
        <f>SUM(C8562,C8538,C8514,C8490,C8466,C8442,C8418,C8394,C8370,C8346,C8322,C8298,C8274,C8250)/POBLA!$B$17*100000</f>
        <v>81.508175038279362</v>
      </c>
      <c r="H8562" s="213">
        <f t="shared" si="715"/>
        <v>1.3594847775175645</v>
      </c>
      <c r="I8562" s="33"/>
      <c r="J8562" s="33"/>
      <c r="K8562" s="33"/>
      <c r="L8562" s="33"/>
      <c r="M8562" s="33"/>
    </row>
    <row r="8563" spans="1:13" ht="15.75" thickBot="1" x14ac:dyDescent="0.3">
      <c r="A8563" s="84" t="s">
        <v>35</v>
      </c>
      <c r="B8563" s="356">
        <v>44249</v>
      </c>
      <c r="C8563" s="1">
        <v>71</v>
      </c>
      <c r="D8563" s="47">
        <f t="shared" si="713"/>
        <v>14990</v>
      </c>
      <c r="F8563" s="47">
        <f t="shared" si="714"/>
        <v>206</v>
      </c>
      <c r="G8563" s="212">
        <f>SUM(C8563,C8539,C8515,C8491,C8467,C8443,C8419,C8395,C8371,C8347,C8323,C8299,C8275,C8251)/POBLA!$B$18*100000</f>
        <v>83.587530737298337</v>
      </c>
      <c r="H8563" s="213">
        <f t="shared" si="715"/>
        <v>0.9171348314606742</v>
      </c>
      <c r="I8563" s="33"/>
      <c r="J8563" s="33"/>
      <c r="K8563" s="33"/>
      <c r="L8563" s="33"/>
      <c r="M8563" s="33"/>
    </row>
    <row r="8564" spans="1:13" ht="15.75" thickBot="1" x14ac:dyDescent="0.3">
      <c r="A8564" s="84" t="s">
        <v>36</v>
      </c>
      <c r="B8564" s="356">
        <v>44249</v>
      </c>
      <c r="C8564" s="1">
        <v>23</v>
      </c>
      <c r="D8564" s="47">
        <f t="shared" si="713"/>
        <v>20542</v>
      </c>
      <c r="F8564" s="47">
        <f t="shared" si="714"/>
        <v>353</v>
      </c>
      <c r="G8564" s="212">
        <f>SUM(C8564,C8540,C8516,C8492,C8468,C8444,C8420,C8396,C8372,C8348,C8324,C8300,C8276,C8252)/POBLA!$B$19*100000</f>
        <v>281.31442690546265</v>
      </c>
      <c r="H8564" s="213">
        <f t="shared" si="715"/>
        <v>3.9832869080779942</v>
      </c>
      <c r="I8564" s="33"/>
      <c r="J8564" s="33"/>
      <c r="K8564" s="33"/>
      <c r="L8564" s="33"/>
      <c r="M8564" s="33"/>
    </row>
    <row r="8565" spans="1:13" ht="15.75" thickBot="1" x14ac:dyDescent="0.3">
      <c r="A8565" s="84" t="s">
        <v>37</v>
      </c>
      <c r="B8565" s="356">
        <v>44249</v>
      </c>
      <c r="C8565" s="1">
        <v>124</v>
      </c>
      <c r="D8565" s="47">
        <f t="shared" si="713"/>
        <v>35313</v>
      </c>
      <c r="E8565" s="1">
        <v>5</v>
      </c>
      <c r="F8565" s="47">
        <f t="shared" si="714"/>
        <v>567</v>
      </c>
      <c r="G8565" s="212">
        <f>SUM(C8565,C8541,C8517,C8493,C8469,C8445,C8421,C8397,C8373,C8349,C8325,C8301,C8277,C8253)/POBLA!$B$20*100000</f>
        <v>379.00125239952092</v>
      </c>
      <c r="H8565" s="213">
        <f t="shared" si="715"/>
        <v>0.6073619631901841</v>
      </c>
      <c r="I8565" s="226"/>
      <c r="J8565" s="226"/>
      <c r="K8565" s="226"/>
      <c r="L8565" s="226"/>
      <c r="M8565" s="33"/>
    </row>
    <row r="8566" spans="1:13" ht="15.75" thickBot="1" x14ac:dyDescent="0.3">
      <c r="A8566" s="84" t="s">
        <v>22</v>
      </c>
      <c r="B8566" s="356">
        <v>44249</v>
      </c>
      <c r="C8566" s="1">
        <v>330</v>
      </c>
      <c r="D8566" s="47">
        <f t="shared" si="713"/>
        <v>214388</v>
      </c>
      <c r="E8566" s="1">
        <v>9</v>
      </c>
      <c r="F8566" s="47">
        <f t="shared" si="714"/>
        <v>3851</v>
      </c>
      <c r="G8566" s="212">
        <f>SUM(C8566,C8542,C8518,C8494,C8470,C8446,C8422,C8398,C8374,C8350,C8326,C8302,C8278,C8254)/POBLA!$B$21*100000</f>
        <v>138.16240048546297</v>
      </c>
      <c r="H8566" s="213">
        <f t="shared" si="715"/>
        <v>0.66071670047329278</v>
      </c>
      <c r="I8566" s="226"/>
      <c r="J8566" s="226"/>
      <c r="K8566" s="226"/>
      <c r="L8566" s="226"/>
      <c r="M8566" s="33"/>
    </row>
    <row r="8567" spans="1:13" ht="15.75" thickBot="1" x14ac:dyDescent="0.3">
      <c r="A8567" s="84" t="s">
        <v>38</v>
      </c>
      <c r="B8567" s="356">
        <v>44249</v>
      </c>
      <c r="C8567" s="1">
        <v>36</v>
      </c>
      <c r="D8567" s="47">
        <f t="shared" si="713"/>
        <v>22217</v>
      </c>
      <c r="E8567" s="1">
        <v>2</v>
      </c>
      <c r="F8567" s="47">
        <f t="shared" si="714"/>
        <v>264</v>
      </c>
      <c r="G8567" s="212">
        <f>SUM(C8567,C8543,C8519,C8495,C8471,C8447,C8423,C8399,C8375,C8351,C8327,C8303,C8279,C8255)/POBLA!$B$22*100000</f>
        <v>74.107162022788216</v>
      </c>
      <c r="H8567" s="213">
        <f t="shared" si="715"/>
        <v>0.71078431372549022</v>
      </c>
      <c r="I8567" s="226"/>
      <c r="J8567" s="226"/>
      <c r="K8567" s="226"/>
      <c r="L8567" s="226"/>
      <c r="M8567" s="33"/>
    </row>
    <row r="8568" spans="1:13" ht="15.75" thickBot="1" x14ac:dyDescent="0.3">
      <c r="A8568" s="84" t="s">
        <v>39</v>
      </c>
      <c r="B8568" s="356">
        <v>44249</v>
      </c>
      <c r="C8568" s="1">
        <v>42</v>
      </c>
      <c r="D8568" s="47">
        <f t="shared" si="713"/>
        <v>22748</v>
      </c>
      <c r="E8568" s="1">
        <v>2</v>
      </c>
      <c r="F8568" s="47">
        <f t="shared" si="714"/>
        <v>349</v>
      </c>
      <c r="G8568" s="212">
        <f>SUM(C8568,C8544,C8520,C8496,C8472,C8448,C8424,C8400,C8376,C8352,C8328,C8304,C8280,C8256)/POBLA!$B$23*100000</f>
        <v>324.0400384550133</v>
      </c>
      <c r="H8568" s="213">
        <f t="shared" si="715"/>
        <v>0.8748091603053435</v>
      </c>
      <c r="I8568" s="226"/>
      <c r="J8568" s="226"/>
      <c r="K8568" s="226"/>
      <c r="L8568" s="226"/>
      <c r="M8568" s="33"/>
    </row>
    <row r="8569" spans="1:13" ht="15.75" thickBot="1" x14ac:dyDescent="0.3">
      <c r="A8569" s="85" t="s">
        <v>40</v>
      </c>
      <c r="B8569" s="358">
        <v>44249</v>
      </c>
      <c r="C8569" s="54">
        <v>151</v>
      </c>
      <c r="D8569" s="214">
        <f t="shared" si="713"/>
        <v>78917</v>
      </c>
      <c r="E8569" s="54"/>
      <c r="F8569" s="214">
        <f t="shared" si="714"/>
        <v>1464</v>
      </c>
      <c r="G8569" s="212">
        <f>SUM(C8569,C8545,C8521,C8497,C8473,C8449,C8425,C8401,C8377,C8353,C8329,C8305,C8281,C8257)/POBLA!$B$24*100000</f>
        <v>88.513539030930175</v>
      </c>
      <c r="H8569" s="216">
        <f t="shared" si="715"/>
        <v>0.75225677031093274</v>
      </c>
      <c r="I8569" s="243"/>
      <c r="J8569" s="33"/>
      <c r="K8569" s="33"/>
      <c r="L8569" s="33"/>
      <c r="M8569" s="33"/>
    </row>
    <row r="8570" spans="1:13" ht="15.75" thickBot="1" x14ac:dyDescent="0.3">
      <c r="A8570" s="36" t="s">
        <v>16</v>
      </c>
      <c r="B8570" s="358">
        <v>44250</v>
      </c>
      <c r="C8570" s="373">
        <v>3403</v>
      </c>
      <c r="D8570" s="211">
        <f t="shared" si="713"/>
        <v>867274</v>
      </c>
      <c r="E8570" s="293">
        <v>54</v>
      </c>
      <c r="F8570" s="211">
        <f t="shared" ref="F8570:F8576" si="716">E8570+F8546</f>
        <v>26072</v>
      </c>
      <c r="G8570" s="212">
        <f>SUM(C8570,C8546,C8522,C8498,C8474,C8450,C8426,C8402,C8378,C8354,C8330,C8306,C8282,C8258)/POBLA!$B$1*100000</f>
        <v>201.44071585765144</v>
      </c>
      <c r="H8570" s="196">
        <f t="shared" ref="H8570:H8576" si="717">SUM(C8570,C8546,C8522,C8498,C8474,C8450,C8426,C8402,C8378,C8354,C8330,C8306,C8282,C8258)/SUM(C8234,C8210,C8186,C8162,C8138,C8114,C8090,C8066,C8042,C8018,C7994,C7970,C7946,C7922)</f>
        <v>0.76836932176484662</v>
      </c>
      <c r="I8570" s="33"/>
      <c r="J8570" s="33"/>
      <c r="K8570" s="33"/>
      <c r="L8570" s="33"/>
      <c r="M8570" s="33"/>
    </row>
    <row r="8571" spans="1:13" ht="15.75" thickBot="1" x14ac:dyDescent="0.3">
      <c r="A8571" s="84" t="s">
        <v>43</v>
      </c>
      <c r="B8571" s="358">
        <v>44250</v>
      </c>
      <c r="C8571" s="373">
        <v>828</v>
      </c>
      <c r="D8571" s="47">
        <f t="shared" si="713"/>
        <v>228378</v>
      </c>
      <c r="E8571" s="1">
        <v>31</v>
      </c>
      <c r="F8571" s="47">
        <f t="shared" si="716"/>
        <v>6461</v>
      </c>
      <c r="G8571" s="212">
        <f>SUM(C8571,C8547,C8523,C8499,C8475,C8451,C8427,C8403,C8379,C8355,C8331,C8307,C8283,C8259)/POBLA!$B$2*100000</f>
        <v>312.97490023234144</v>
      </c>
      <c r="H8571" s="213">
        <f t="shared" si="717"/>
        <v>0.69981824790985092</v>
      </c>
      <c r="I8571" s="33"/>
      <c r="J8571" s="33"/>
      <c r="K8571" s="33"/>
      <c r="L8571" s="33"/>
      <c r="M8571" s="33"/>
    </row>
    <row r="8572" spans="1:13" ht="15.75" thickBot="1" x14ac:dyDescent="0.3">
      <c r="A8572" s="84" t="s">
        <v>28</v>
      </c>
      <c r="B8572" s="358">
        <v>44250</v>
      </c>
      <c r="C8572" s="373">
        <v>62</v>
      </c>
      <c r="D8572" s="47">
        <f t="shared" si="713"/>
        <v>7438</v>
      </c>
      <c r="F8572" s="47">
        <f t="shared" si="716"/>
        <v>17</v>
      </c>
      <c r="G8572" s="212">
        <f>SUM(C8572,C8548,C8524,C8500,C8476,C8452,C8428,C8404,C8380,C8356,C8332,C8308,C8284,C8260)/POBLA!$B$3*100000</f>
        <v>248.17180903046903</v>
      </c>
      <c r="H8572" s="213">
        <f t="shared" si="717"/>
        <v>0.65710643722116002</v>
      </c>
      <c r="I8572" s="33"/>
      <c r="J8572" s="33"/>
      <c r="K8572" s="33"/>
      <c r="L8572" s="33"/>
      <c r="M8572" s="33"/>
    </row>
    <row r="8573" spans="1:13" ht="15.75" thickBot="1" x14ac:dyDescent="0.3">
      <c r="A8573" s="84" t="s">
        <v>15</v>
      </c>
      <c r="B8573" s="358">
        <v>44250</v>
      </c>
      <c r="C8573" s="373">
        <v>191</v>
      </c>
      <c r="D8573" s="47">
        <f t="shared" si="713"/>
        <v>33521</v>
      </c>
      <c r="E8573" s="1">
        <v>3</v>
      </c>
      <c r="F8573" s="47">
        <f t="shared" si="716"/>
        <v>858</v>
      </c>
      <c r="G8573" s="212">
        <f>SUM(C8573,C8549,C8525,C8501,C8477,C8453,C8429,C8405,C8381,C8357,C8333,C8309,C8285,C8261)/POBLA!$B$4*100000</f>
        <v>135.32125515030208</v>
      </c>
      <c r="H8573" s="213">
        <f t="shared" si="717"/>
        <v>0.89364035087719296</v>
      </c>
      <c r="I8573" s="33"/>
      <c r="J8573" s="33"/>
      <c r="K8573" s="33"/>
      <c r="L8573" s="33"/>
      <c r="M8573" s="33"/>
    </row>
    <row r="8574" spans="1:13" ht="15.75" thickBot="1" x14ac:dyDescent="0.3">
      <c r="A8574" s="84" t="s">
        <v>29</v>
      </c>
      <c r="B8574" s="358">
        <v>44250</v>
      </c>
      <c r="C8574" s="373">
        <v>174</v>
      </c>
      <c r="D8574" s="47">
        <f t="shared" si="713"/>
        <v>46406</v>
      </c>
      <c r="E8574" s="1">
        <v>4</v>
      </c>
      <c r="F8574" s="47">
        <f t="shared" si="716"/>
        <v>757</v>
      </c>
      <c r="G8574" s="212">
        <f>SUM(C8574,C8550,C8526,C8502,C8478,C8454,C8430,C8406,C8382,C8358,C8334,C8310,C8286,C8262)/POBLA!$B$5*100000</f>
        <v>323.9126712052136</v>
      </c>
      <c r="H8574" s="213">
        <f t="shared" si="717"/>
        <v>0.56944049985799494</v>
      </c>
      <c r="I8574" s="33"/>
      <c r="J8574" s="33"/>
      <c r="K8574" s="33"/>
      <c r="L8574" s="33"/>
      <c r="M8574" s="33"/>
    </row>
    <row r="8575" spans="1:13" ht="15.75" thickBot="1" x14ac:dyDescent="0.3">
      <c r="A8575" s="84" t="s">
        <v>30</v>
      </c>
      <c r="B8575" s="358">
        <v>44250</v>
      </c>
      <c r="C8575" s="373">
        <v>79</v>
      </c>
      <c r="D8575" s="47">
        <f t="shared" si="713"/>
        <v>21181</v>
      </c>
      <c r="E8575" s="1">
        <v>1</v>
      </c>
      <c r="F8575" s="47">
        <f t="shared" si="716"/>
        <v>293</v>
      </c>
      <c r="G8575" s="212">
        <f>SUM(C8575,C8551,C8527,C8503,C8479,C8455,C8431,C8407,C8383,C8359,C8335,C8311,C8287,C8263)/POBLA!$B$7*100000</f>
        <v>58.689784467284497</v>
      </c>
      <c r="H8575" s="213">
        <f t="shared" si="717"/>
        <v>0.94155290102389078</v>
      </c>
      <c r="I8575" s="33"/>
      <c r="J8575" s="33"/>
      <c r="K8575" s="33"/>
      <c r="L8575" s="33"/>
      <c r="M8575" s="33"/>
    </row>
    <row r="8576" spans="1:13" ht="15.75" thickBot="1" x14ac:dyDescent="0.3">
      <c r="A8576" s="84" t="s">
        <v>20</v>
      </c>
      <c r="B8576" s="358">
        <v>44250</v>
      </c>
      <c r="C8576" s="17">
        <v>827</v>
      </c>
      <c r="D8576" s="47">
        <f t="shared" si="713"/>
        <v>156803</v>
      </c>
      <c r="E8576" s="1">
        <v>6</v>
      </c>
      <c r="F8576" s="47">
        <f t="shared" si="716"/>
        <v>2809</v>
      </c>
      <c r="G8576" s="212">
        <f>SUM(C8576,C8552,C8528,C8504,C8480,C8456,C8432,C8408,C8384,C8360,C8336,C8312,C8288,C8264)/POBLA!$B$6*100000</f>
        <v>682.90445850779929</v>
      </c>
      <c r="H8576" s="213">
        <f t="shared" si="717"/>
        <v>1.1487318024913702</v>
      </c>
    </row>
    <row r="8577" spans="1:8" ht="15.75" thickBot="1" x14ac:dyDescent="0.3">
      <c r="A8577" s="84" t="s">
        <v>31</v>
      </c>
      <c r="B8577" s="358">
        <v>44250</v>
      </c>
      <c r="C8577" s="17">
        <v>144</v>
      </c>
      <c r="D8577" s="47">
        <f t="shared" si="713"/>
        <v>44572</v>
      </c>
      <c r="E8577" s="1">
        <v>6</v>
      </c>
      <c r="F8577" s="47">
        <f t="shared" ref="F8577:F8593" si="718">E8577+F8553</f>
        <v>825</v>
      </c>
      <c r="G8577" s="212">
        <f>SUM(C8577,C8553,C8529,C8505,C8481,C8457,C8433,C8409,C8385,C8361,C8337,C8313,C8289,C8265)/POBLA!$B$8*100000</f>
        <v>128.4307422791839</v>
      </c>
      <c r="H8577" s="213">
        <f t="shared" ref="H8577:H8593" si="719">SUM(C8577,C8553,C8529,C8505,C8481,C8457,C8433,C8409,C8385,C8361,C8337,C8313,C8289,C8265)/SUM(C8241,C8217,C8193,C8169,C8145,C8121,C8097,C8073,C8049,C8025,C8001,C7977,C7953,C7929)</f>
        <v>0.57698541329011344</v>
      </c>
    </row>
    <row r="8578" spans="1:8" ht="15.75" thickBot="1" x14ac:dyDescent="0.3">
      <c r="A8578" s="84" t="s">
        <v>41</v>
      </c>
      <c r="B8578" s="358">
        <v>44250</v>
      </c>
      <c r="C8578" s="17">
        <v>32</v>
      </c>
      <c r="D8578" s="47">
        <f t="shared" si="713"/>
        <v>1168</v>
      </c>
      <c r="F8578" s="47">
        <f t="shared" si="718"/>
        <v>18</v>
      </c>
      <c r="G8578" s="212">
        <f>SUM(C8578,C8554,C8530,C8506,C8482,C8458,C8434,C8410,C8386,C8362,C8338,C8314,C8290,C8266)/POBLA!$B$9*100000</f>
        <v>46.266232425028051</v>
      </c>
      <c r="H8578" s="213">
        <f t="shared" si="719"/>
        <v>3.7837837837837838</v>
      </c>
    </row>
    <row r="8579" spans="1:8" ht="15.75" thickBot="1" x14ac:dyDescent="0.3">
      <c r="A8579" s="84" t="s">
        <v>32</v>
      </c>
      <c r="B8579" s="358">
        <v>44250</v>
      </c>
      <c r="C8579" s="17">
        <v>119</v>
      </c>
      <c r="D8579" s="47">
        <f t="shared" si="713"/>
        <v>20282</v>
      </c>
      <c r="E8579" s="1">
        <v>3</v>
      </c>
      <c r="F8579" s="47">
        <f t="shared" si="718"/>
        <v>901</v>
      </c>
      <c r="G8579" s="212">
        <f>SUM(C8579,C8555,C8531,C8507,C8483,C8459,C8435,C8411,C8387,C8363,C8339,C8315,C8291,C8267)/POBLA!$B$10*100000</f>
        <v>89.507978533651766</v>
      </c>
      <c r="H8579" s="213">
        <f t="shared" si="719"/>
        <v>1.5862068965517242</v>
      </c>
    </row>
    <row r="8580" spans="1:8" ht="15.75" thickBot="1" x14ac:dyDescent="0.3">
      <c r="A8580" s="84" t="s">
        <v>33</v>
      </c>
      <c r="B8580" s="358">
        <v>44250</v>
      </c>
      <c r="C8580" s="17">
        <v>63</v>
      </c>
      <c r="D8580" s="47">
        <f t="shared" si="713"/>
        <v>18224</v>
      </c>
      <c r="F8580" s="47">
        <f t="shared" si="718"/>
        <v>284</v>
      </c>
      <c r="G8580" s="212">
        <f>SUM(C8580,C8556,C8532,C8508,C8484,C8460,C8436,C8412,C8388,C8364,C8340,C8316,C8292,C8268)/POBLA!$B$11*100000</f>
        <v>260.58232057763342</v>
      </c>
      <c r="H8580" s="213">
        <f t="shared" si="719"/>
        <v>0.71846153846153848</v>
      </c>
    </row>
    <row r="8581" spans="1:8" ht="15.75" thickBot="1" x14ac:dyDescent="0.3">
      <c r="A8581" s="84" t="s">
        <v>21</v>
      </c>
      <c r="B8581" s="358">
        <v>44250</v>
      </c>
      <c r="C8581" s="17">
        <v>23</v>
      </c>
      <c r="D8581" s="47">
        <f t="shared" si="713"/>
        <v>10070</v>
      </c>
      <c r="F8581" s="47">
        <f t="shared" si="718"/>
        <v>435</v>
      </c>
      <c r="G8581" s="212">
        <f>SUM(C8581,C8557,C8533,C8509,C8485,C8461,C8437,C8413,C8389,C8365,C8341,C8317,C8293,C8269)/POBLA!$B$12*100000</f>
        <v>93.004108952026641</v>
      </c>
      <c r="H8581" s="213">
        <f t="shared" si="719"/>
        <v>1.4523809523809523</v>
      </c>
    </row>
    <row r="8582" spans="1:8" ht="15.75" thickBot="1" x14ac:dyDescent="0.3">
      <c r="A8582" s="84" t="s">
        <v>17</v>
      </c>
      <c r="B8582" s="358">
        <v>44250</v>
      </c>
      <c r="C8582" s="17">
        <v>131</v>
      </c>
      <c r="D8582" s="47">
        <f t="shared" si="713"/>
        <v>66542</v>
      </c>
      <c r="E8582" s="1">
        <v>6</v>
      </c>
      <c r="F8582" s="47">
        <f t="shared" si="718"/>
        <v>1431</v>
      </c>
      <c r="G8582" s="212">
        <f>SUM(C8582,C8558,C8534,C8510,C8486,C8462,C8438,C8414,C8390,C8366,C8342,C8318,C8294,C8270)/POBLA!$B$13*100000</f>
        <v>75.464569334454751</v>
      </c>
      <c r="H8582" s="213">
        <f t="shared" si="719"/>
        <v>0.8742724097788126</v>
      </c>
    </row>
    <row r="8583" spans="1:8" ht="15.75" thickBot="1" x14ac:dyDescent="0.3">
      <c r="A8583" s="84" t="s">
        <v>23</v>
      </c>
      <c r="B8583" s="358">
        <v>44250</v>
      </c>
      <c r="C8583" s="17">
        <v>110</v>
      </c>
      <c r="D8583" s="47">
        <f t="shared" si="713"/>
        <v>7719</v>
      </c>
      <c r="E8583" s="1">
        <v>1</v>
      </c>
      <c r="F8583" s="47">
        <f t="shared" si="718"/>
        <v>132</v>
      </c>
      <c r="G8583" s="212">
        <f>SUM(C8583,C8559,C8535,C8511,C8487,C8463,C8439,C8415,C8391,C8367,C8343,C8319,C8295,C8271)/POBLA!$B$14*100000</f>
        <v>119.24261908801597</v>
      </c>
      <c r="H8583" s="213">
        <f t="shared" si="719"/>
        <v>0.61791290057518489</v>
      </c>
    </row>
    <row r="8584" spans="1:8" ht="15.75" thickBot="1" x14ac:dyDescent="0.3">
      <c r="A8584" s="84" t="s">
        <v>19</v>
      </c>
      <c r="B8584" s="358">
        <v>44250</v>
      </c>
      <c r="C8584" s="17">
        <v>187</v>
      </c>
      <c r="D8584" s="47">
        <f t="shared" si="713"/>
        <v>60379</v>
      </c>
      <c r="E8584" s="1">
        <v>2</v>
      </c>
      <c r="F8584" s="47">
        <f t="shared" si="718"/>
        <v>893</v>
      </c>
      <c r="G8584" s="212">
        <f>SUM(C8584,C8560,C8536,C8512,C8488,C8464,C8440,C8416,C8392,C8368,C8344,C8320,C8296,C8272)/POBLA!$B$15*100000</f>
        <v>473.30274358978221</v>
      </c>
      <c r="H8584" s="213">
        <f t="shared" si="719"/>
        <v>0.60523782014249949</v>
      </c>
    </row>
    <row r="8585" spans="1:8" ht="15.75" thickBot="1" x14ac:dyDescent="0.3">
      <c r="A8585" s="84" t="s">
        <v>18</v>
      </c>
      <c r="B8585" s="358">
        <v>44250</v>
      </c>
      <c r="C8585" s="17">
        <v>170</v>
      </c>
      <c r="D8585" s="47">
        <f t="shared" si="713"/>
        <v>51743</v>
      </c>
      <c r="E8585" s="1">
        <v>9</v>
      </c>
      <c r="F8585" s="47">
        <f t="shared" si="718"/>
        <v>1166</v>
      </c>
      <c r="G8585" s="212">
        <f>SUM(C8585,C8561,C8537,C8513,C8489,C8465,C8441,C8417,C8393,C8369,C8345,C8321,C8297,C8273)/POBLA!$B$16*100000</f>
        <v>260.42990329182328</v>
      </c>
      <c r="H8585" s="213">
        <f t="shared" si="719"/>
        <v>0.61419558359621451</v>
      </c>
    </row>
    <row r="8586" spans="1:8" ht="15.75" thickBot="1" x14ac:dyDescent="0.3">
      <c r="A8586" s="84" t="s">
        <v>34</v>
      </c>
      <c r="B8586" s="358">
        <v>44250</v>
      </c>
      <c r="C8586" s="17">
        <v>98</v>
      </c>
      <c r="D8586" s="47">
        <f t="shared" si="713"/>
        <v>25577</v>
      </c>
      <c r="E8586" s="1">
        <v>5</v>
      </c>
      <c r="F8586" s="47">
        <f t="shared" si="718"/>
        <v>1085</v>
      </c>
      <c r="G8586" s="212">
        <f>SUM(C8586,C8562,C8538,C8514,C8490,C8466,C8442,C8418,C8394,C8370,C8346,C8322,C8298,C8274)/POBLA!$B$17*100000</f>
        <v>81.71879047765475</v>
      </c>
      <c r="H8586" s="213">
        <f t="shared" si="719"/>
        <v>1.318233295583239</v>
      </c>
    </row>
    <row r="8587" spans="1:8" ht="15.75" thickBot="1" x14ac:dyDescent="0.3">
      <c r="A8587" s="84" t="s">
        <v>35</v>
      </c>
      <c r="B8587" s="358">
        <v>44250</v>
      </c>
      <c r="C8587" s="17">
        <v>71</v>
      </c>
      <c r="D8587" s="47">
        <f t="shared" si="713"/>
        <v>15061</v>
      </c>
      <c r="E8587" s="1">
        <v>1</v>
      </c>
      <c r="F8587" s="47">
        <f t="shared" si="718"/>
        <v>207</v>
      </c>
      <c r="G8587" s="212">
        <f>SUM(C8587,C8563,C8539,C8515,C8491,C8467,C8443,C8419,C8395,C8371,C8347,C8323,C8299,C8275)/POBLA!$B$18*100000</f>
        <v>83.97154695814352</v>
      </c>
      <c r="H8587" s="213">
        <f t="shared" si="719"/>
        <v>0.93447293447293445</v>
      </c>
    </row>
    <row r="8588" spans="1:8" ht="15.75" thickBot="1" x14ac:dyDescent="0.3">
      <c r="A8588" s="84" t="s">
        <v>36</v>
      </c>
      <c r="B8588" s="358">
        <v>44250</v>
      </c>
      <c r="C8588" s="17">
        <v>11</v>
      </c>
      <c r="D8588" s="47">
        <f t="shared" si="713"/>
        <v>20553</v>
      </c>
      <c r="F8588" s="47">
        <f t="shared" si="718"/>
        <v>353</v>
      </c>
      <c r="G8588" s="212">
        <f>SUM(C8588,C8564,C8540,C8516,C8492,C8468,C8444,C8420,C8396,C8372,C8348,C8324,C8300,C8276)/POBLA!$B$19*100000</f>
        <v>282.10132040729604</v>
      </c>
      <c r="H8588" s="213">
        <f t="shared" si="719"/>
        <v>4.4672897196261685</v>
      </c>
    </row>
    <row r="8589" spans="1:8" ht="15.75" thickBot="1" x14ac:dyDescent="0.3">
      <c r="A8589" s="84" t="s">
        <v>37</v>
      </c>
      <c r="B8589" s="358">
        <v>44250</v>
      </c>
      <c r="C8589" s="17">
        <v>117</v>
      </c>
      <c r="D8589" s="47">
        <f t="shared" si="713"/>
        <v>35430</v>
      </c>
      <c r="E8589" s="1">
        <v>2</v>
      </c>
      <c r="F8589" s="47">
        <f t="shared" si="718"/>
        <v>569</v>
      </c>
      <c r="G8589" s="212">
        <f>SUM(C8589,C8565,C8541,C8517,C8493,C8469,C8445,C8421,C8397,C8373,C8349,C8325,C8301,C8277)/POBLA!$B$20*100000</f>
        <v>377.36055433718531</v>
      </c>
      <c r="H8589" s="213">
        <f t="shared" si="719"/>
        <v>0.62050359712230219</v>
      </c>
    </row>
    <row r="8590" spans="1:8" ht="15.75" thickBot="1" x14ac:dyDescent="0.3">
      <c r="A8590" s="84" t="s">
        <v>22</v>
      </c>
      <c r="B8590" s="358">
        <v>44250</v>
      </c>
      <c r="C8590" s="17">
        <v>394</v>
      </c>
      <c r="D8590" s="47">
        <f t="shared" si="713"/>
        <v>214782</v>
      </c>
      <c r="E8590" s="1">
        <v>17</v>
      </c>
      <c r="F8590" s="47">
        <f t="shared" si="718"/>
        <v>3868</v>
      </c>
      <c r="G8590" s="212">
        <f>SUM(C8590,C8566,C8542,C8518,C8494,C8470,C8446,C8422,C8398,C8374,C8350,C8326,C8302,C8278)/POBLA!$B$21*100000</f>
        <v>135.75883846310023</v>
      </c>
      <c r="H8590" s="213">
        <f t="shared" si="719"/>
        <v>0.67581644144144148</v>
      </c>
    </row>
    <row r="8591" spans="1:8" ht="15.75" thickBot="1" x14ac:dyDescent="0.3">
      <c r="A8591" s="84" t="s">
        <v>38</v>
      </c>
      <c r="B8591" s="358">
        <v>44250</v>
      </c>
      <c r="C8591" s="17">
        <v>58</v>
      </c>
      <c r="D8591" s="47">
        <f t="shared" si="713"/>
        <v>22275</v>
      </c>
      <c r="E8591" s="1">
        <v>1</v>
      </c>
      <c r="F8591" s="47">
        <f t="shared" si="718"/>
        <v>265</v>
      </c>
      <c r="G8591" s="212">
        <f>SUM(C8591,C8567,C8543,C8519,C8495,C8471,C8447,C8423,C8399,C8375,C8351,C8327,C8303,C8279)/POBLA!$B$22*100000</f>
        <v>74.924896224418973</v>
      </c>
      <c r="H8591" s="213">
        <f t="shared" si="719"/>
        <v>0.73965691220988905</v>
      </c>
    </row>
    <row r="8592" spans="1:8" ht="15.75" thickBot="1" x14ac:dyDescent="0.3">
      <c r="A8592" s="84" t="s">
        <v>39</v>
      </c>
      <c r="B8592" s="358">
        <v>44250</v>
      </c>
      <c r="C8592" s="17">
        <v>47</v>
      </c>
      <c r="D8592" s="47">
        <f t="shared" si="713"/>
        <v>22795</v>
      </c>
      <c r="F8592" s="47">
        <f t="shared" si="718"/>
        <v>349</v>
      </c>
      <c r="G8592" s="212">
        <f>SUM(C8592,C8568,C8544,C8520,C8496,C8472,C8448,C8424,C8400,C8376,C8352,C8328,C8304,C8280)/POBLA!$B$23*100000</f>
        <v>331.95724707346039</v>
      </c>
      <c r="H8592" s="213">
        <f t="shared" si="719"/>
        <v>0.92295597484276726</v>
      </c>
    </row>
    <row r="8593" spans="1:10" ht="15.75" thickBot="1" x14ac:dyDescent="0.3">
      <c r="A8593" s="86" t="s">
        <v>40</v>
      </c>
      <c r="B8593" s="357">
        <v>44250</v>
      </c>
      <c r="C8593" s="17">
        <v>138</v>
      </c>
      <c r="D8593" s="81">
        <f t="shared" si="713"/>
        <v>79055</v>
      </c>
      <c r="E8593" s="300">
        <v>2</v>
      </c>
      <c r="F8593" s="81">
        <f t="shared" si="718"/>
        <v>1466</v>
      </c>
      <c r="G8593" s="244">
        <f>SUM(C8593,C8569,C8545,C8521,C8497,C8473,C8449,C8425,C8401,C8377,C8353,C8329,C8305,C8281)/POBLA!$B$24*100000</f>
        <v>91.109936175837447</v>
      </c>
      <c r="H8593" s="223">
        <f t="shared" si="719"/>
        <v>0.81263157894736837</v>
      </c>
    </row>
    <row r="8594" spans="1:10" ht="15.75" thickBot="1" x14ac:dyDescent="0.3">
      <c r="A8594" s="36" t="s">
        <v>16</v>
      </c>
      <c r="B8594" s="354">
        <v>44251</v>
      </c>
      <c r="C8594" s="53">
        <v>3500</v>
      </c>
      <c r="D8594" s="211">
        <f t="shared" si="713"/>
        <v>870774</v>
      </c>
      <c r="E8594" s="53">
        <v>70</v>
      </c>
      <c r="F8594" s="211">
        <f t="shared" ref="F8594:F8600" si="720">E8594+F8570</f>
        <v>26142</v>
      </c>
      <c r="G8594" s="212">
        <f>SUM(C8594,C8570,C8546,C8522,C8498,C8474,C8450,C8426,C8402,C8378,C8354,C8330,C8306,C8282)/POBLA!$B$1*100000</f>
        <v>202.78042346276106</v>
      </c>
      <c r="H8594" s="196">
        <f t="shared" ref="H8594:H8600" si="721">SUM(C8594,C8570,C8546,C8522,C8498,C8474,C8450,C8426,C8402,C8378,C8354,C8330,C8306,C8282)/SUM(C8258,C8234,C8210,C8186,C8162,C8138,C8114,C8090,C8066,C8042,C8018,C7994,C7970,C7946)</f>
        <v>0.79384917535206556</v>
      </c>
      <c r="I8594" s="227"/>
      <c r="J8594" s="228"/>
    </row>
    <row r="8595" spans="1:10" ht="16.5" thickTop="1" thickBot="1" x14ac:dyDescent="0.3">
      <c r="A8595" s="84" t="s">
        <v>43</v>
      </c>
      <c r="B8595" s="2">
        <v>44251</v>
      </c>
      <c r="C8595" s="1">
        <v>1003</v>
      </c>
      <c r="D8595" s="47">
        <f t="shared" si="713"/>
        <v>229381</v>
      </c>
      <c r="E8595" s="1">
        <v>11</v>
      </c>
      <c r="F8595" s="47">
        <f t="shared" si="720"/>
        <v>6472</v>
      </c>
      <c r="G8595" s="203">
        <f>SUM(C8595,C8571,C8547,C8523,C8499,C8475,C8451,C8427,C8403,C8379,C8355,C8331,C8307,C8283)/POBLA!$B$2*100000</f>
        <v>315.8360877682282</v>
      </c>
      <c r="H8595" s="213">
        <f t="shared" si="721"/>
        <v>0.72368323027639125</v>
      </c>
      <c r="I8595" s="227"/>
      <c r="J8595" s="228"/>
    </row>
    <row r="8596" spans="1:10" ht="16.5" thickTop="1" thickBot="1" x14ac:dyDescent="0.3">
      <c r="A8596" s="84" t="s">
        <v>28</v>
      </c>
      <c r="B8596" s="2">
        <v>44251</v>
      </c>
      <c r="C8596" s="1">
        <v>74</v>
      </c>
      <c r="D8596" s="47">
        <f t="shared" si="713"/>
        <v>7512</v>
      </c>
      <c r="F8596" s="47">
        <f t="shared" si="720"/>
        <v>17</v>
      </c>
      <c r="G8596" s="203">
        <f>SUM(C8596,C8572,C8548,C8524,C8500,C8476,C8452,C8428,C8404,C8380,C8356,C8332,C8308,C8284)/POBLA!$B$3*100000</f>
        <v>252.98600513193304</v>
      </c>
      <c r="H8596" s="213">
        <f t="shared" si="721"/>
        <v>0.69741207697412078</v>
      </c>
      <c r="I8596" s="229"/>
      <c r="J8596" s="230"/>
    </row>
    <row r="8597" spans="1:10" ht="16.5" thickTop="1" thickBot="1" x14ac:dyDescent="0.3">
      <c r="A8597" s="84" t="s">
        <v>15</v>
      </c>
      <c r="B8597" s="2">
        <v>44251</v>
      </c>
      <c r="C8597" s="1">
        <v>156</v>
      </c>
      <c r="D8597" s="47">
        <f t="shared" si="713"/>
        <v>33677</v>
      </c>
      <c r="E8597" s="1">
        <v>3</v>
      </c>
      <c r="F8597" s="47">
        <f t="shared" si="720"/>
        <v>861</v>
      </c>
      <c r="G8597" s="203">
        <f>SUM(C8597,C8573,C8549,C8525,C8501,C8477,C8453,C8429,C8405,C8381,C8357,C8333,C8309,C8285)/POBLA!$B$4*100000</f>
        <v>136.40050442450695</v>
      </c>
      <c r="H8597" s="213">
        <f t="shared" si="721"/>
        <v>0.9022515101592532</v>
      </c>
      <c r="I8597" s="229"/>
      <c r="J8597" s="231"/>
    </row>
    <row r="8598" spans="1:10" ht="16.5" thickTop="1" thickBot="1" x14ac:dyDescent="0.3">
      <c r="A8598" s="84" t="s">
        <v>29</v>
      </c>
      <c r="B8598" s="2">
        <v>44251</v>
      </c>
      <c r="C8598" s="1">
        <v>186</v>
      </c>
      <c r="D8598" s="47">
        <f t="shared" si="713"/>
        <v>46592</v>
      </c>
      <c r="E8598" s="1">
        <v>3</v>
      </c>
      <c r="F8598" s="47">
        <f t="shared" si="720"/>
        <v>760</v>
      </c>
      <c r="G8598" s="203">
        <f>SUM(C8598,C8574,C8550,C8526,C8502,C8478,C8454,C8430,C8406,C8382,C8358,C8334,C8310,C8286)/POBLA!$B$5*100000</f>
        <v>327.46682520347531</v>
      </c>
      <c r="H8598" s="213">
        <f t="shared" si="721"/>
        <v>0.61610942249240119</v>
      </c>
      <c r="I8598" s="229"/>
      <c r="J8598" s="231"/>
    </row>
    <row r="8599" spans="1:10" ht="16.5" thickTop="1" thickBot="1" x14ac:dyDescent="0.3">
      <c r="A8599" s="84" t="s">
        <v>30</v>
      </c>
      <c r="B8599" s="2">
        <v>44251</v>
      </c>
      <c r="C8599" s="1">
        <v>127</v>
      </c>
      <c r="D8599" s="47">
        <f t="shared" si="713"/>
        <v>21308</v>
      </c>
      <c r="E8599" s="1">
        <v>3</v>
      </c>
      <c r="F8599" s="47">
        <f t="shared" si="720"/>
        <v>296</v>
      </c>
      <c r="G8599" s="203">
        <f>SUM(C8599,C8575,C8551,C8527,C8503,C8479,C8455,C8431,C8407,C8383,C8359,C8335,C8311,C8287)/POBLA!$B$7*100000</f>
        <v>59.168450584371556</v>
      </c>
      <c r="H8599" s="213">
        <f t="shared" si="721"/>
        <v>0.9982054733064154</v>
      </c>
      <c r="I8599" s="227"/>
      <c r="J8599" s="231"/>
    </row>
    <row r="8600" spans="1:10" ht="16.5" thickTop="1" thickBot="1" x14ac:dyDescent="0.3">
      <c r="A8600" s="84" t="s">
        <v>20</v>
      </c>
      <c r="B8600" s="2">
        <v>44251</v>
      </c>
      <c r="C8600" s="1">
        <v>716</v>
      </c>
      <c r="D8600" s="47">
        <f t="shared" si="713"/>
        <v>157519</v>
      </c>
      <c r="E8600" s="1">
        <v>5</v>
      </c>
      <c r="F8600" s="47">
        <f t="shared" si="720"/>
        <v>2814</v>
      </c>
      <c r="G8600" s="203">
        <f>SUM(C8600,C8576,C8552,C8528,C8504,C8480,C8456,C8432,C8408,C8384,C8360,C8336,C8312,C8288)/POBLA!$B$6*100000</f>
        <v>679.06791660607018</v>
      </c>
      <c r="H8600" s="213">
        <f t="shared" si="721"/>
        <v>1.1300668151447661</v>
      </c>
      <c r="I8600" s="227"/>
      <c r="J8600" s="228"/>
    </row>
    <row r="8601" spans="1:10" ht="16.5" thickTop="1" thickBot="1" x14ac:dyDescent="0.3">
      <c r="A8601" s="84" t="s">
        <v>31</v>
      </c>
      <c r="B8601" s="2">
        <v>44251</v>
      </c>
      <c r="C8601" s="1">
        <v>179</v>
      </c>
      <c r="D8601" s="47">
        <f t="shared" si="713"/>
        <v>44751</v>
      </c>
      <c r="E8601" s="1">
        <v>3</v>
      </c>
      <c r="F8601" s="47">
        <f t="shared" ref="F8601:F8617" si="722">E8601+F8577</f>
        <v>828</v>
      </c>
      <c r="G8601" s="203">
        <f>SUM(C8601,C8577,C8553,C8529,C8505,C8481,C8457,C8433,C8409,C8385,C8361,C8337,C8313,C8289)/POBLA!$B$8*100000</f>
        <v>127.27630864071934</v>
      </c>
      <c r="H8601" s="213">
        <f t="shared" ref="H8601:H8617" si="723">SUM(C8601,C8577,C8553,C8529,C8505,C8481,C8457,C8433,C8409,C8385,C8361,C8337,C8313,C8289)/SUM(C8265,C8241,C8217,C8193,C8169,C8145,C8121,C8097,C8073,C8049,C8025,C8001,C7977,C7953)</f>
        <v>0.59055908938734514</v>
      </c>
      <c r="I8601" s="229"/>
      <c r="J8601" s="231"/>
    </row>
    <row r="8602" spans="1:10" ht="16.5" thickTop="1" thickBot="1" x14ac:dyDescent="0.3">
      <c r="A8602" s="84" t="s">
        <v>41</v>
      </c>
      <c r="B8602" s="2">
        <v>44251</v>
      </c>
      <c r="C8602" s="1">
        <v>7</v>
      </c>
      <c r="D8602" s="47">
        <f t="shared" si="713"/>
        <v>1175</v>
      </c>
      <c r="E8602" s="1">
        <v>1</v>
      </c>
      <c r="F8602" s="47">
        <f t="shared" si="722"/>
        <v>19</v>
      </c>
      <c r="G8602" s="203">
        <f>SUM(C8602,C8578,C8554,C8530,C8506,C8482,C8458,C8434,C8410,C8386,C8362,C8338,C8314,C8290)/POBLA!$B$9*100000</f>
        <v>46.596705513778247</v>
      </c>
      <c r="H8602" s="213">
        <f t="shared" si="723"/>
        <v>4.3384615384615381</v>
      </c>
      <c r="I8602" s="232"/>
      <c r="J8602" s="230"/>
    </row>
    <row r="8603" spans="1:10" ht="16.5" thickTop="1" thickBot="1" x14ac:dyDescent="0.3">
      <c r="A8603" s="84" t="s">
        <v>32</v>
      </c>
      <c r="B8603" s="2">
        <v>44251</v>
      </c>
      <c r="C8603" s="1">
        <v>103</v>
      </c>
      <c r="D8603" s="47">
        <f t="shared" si="713"/>
        <v>20385</v>
      </c>
      <c r="E8603" s="1">
        <v>3</v>
      </c>
      <c r="F8603" s="47">
        <f t="shared" si="722"/>
        <v>904</v>
      </c>
      <c r="G8603" s="203">
        <f>SUM(C8603,C8579,C8555,C8531,C8507,C8483,C8459,C8435,C8411,C8387,C8363,C8339,C8315,C8291)/POBLA!$B$10*100000</f>
        <v>97.550724430878432</v>
      </c>
      <c r="H8603" s="213">
        <f t="shared" si="723"/>
        <v>1.7611241217798594</v>
      </c>
      <c r="I8603" s="232"/>
      <c r="J8603" s="231"/>
    </row>
    <row r="8604" spans="1:10" ht="16.5" thickTop="1" thickBot="1" x14ac:dyDescent="0.3">
      <c r="A8604" s="84" t="s">
        <v>33</v>
      </c>
      <c r="B8604" s="2">
        <v>44251</v>
      </c>
      <c r="C8604" s="1">
        <v>91</v>
      </c>
      <c r="D8604" s="47">
        <f t="shared" si="713"/>
        <v>18315</v>
      </c>
      <c r="F8604" s="47">
        <f t="shared" si="722"/>
        <v>284</v>
      </c>
      <c r="G8604" s="203">
        <f>SUM(C8604,C8580,C8556,C8532,C8508,C8484,C8460,C8436,C8412,C8388,C8364,C8340,C8316,C8292)/POBLA!$B$11*100000</f>
        <v>268.39421027375096</v>
      </c>
      <c r="H8604" s="213">
        <f t="shared" si="723"/>
        <v>0.78021086780210869</v>
      </c>
      <c r="I8604" s="232"/>
      <c r="J8604" s="231"/>
    </row>
    <row r="8605" spans="1:10" ht="16.5" thickTop="1" thickBot="1" x14ac:dyDescent="0.3">
      <c r="A8605" s="84" t="s">
        <v>21</v>
      </c>
      <c r="B8605" s="2">
        <v>44251</v>
      </c>
      <c r="C8605" s="1">
        <v>55</v>
      </c>
      <c r="D8605" s="47">
        <f t="shared" si="713"/>
        <v>10125</v>
      </c>
      <c r="F8605" s="47">
        <f t="shared" si="722"/>
        <v>435</v>
      </c>
      <c r="G8605" s="203">
        <f>SUM(C8605,C8581,C8557,C8533,C8509,C8485,C8461,C8437,C8413,C8389,C8365,C8341,C8317,C8293)/POBLA!$B$12*100000</f>
        <v>99.865067809143369</v>
      </c>
      <c r="H8605" s="213">
        <f t="shared" si="723"/>
        <v>1.610655737704918</v>
      </c>
      <c r="I8605" s="232"/>
      <c r="J8605" s="231"/>
    </row>
    <row r="8606" spans="1:10" ht="16.5" thickTop="1" thickBot="1" x14ac:dyDescent="0.3">
      <c r="A8606" s="84" t="s">
        <v>17</v>
      </c>
      <c r="B8606" s="2">
        <v>44251</v>
      </c>
      <c r="C8606" s="1">
        <v>165</v>
      </c>
      <c r="D8606" s="47">
        <f t="shared" si="713"/>
        <v>66707</v>
      </c>
      <c r="E8606" s="1">
        <v>4</v>
      </c>
      <c r="F8606" s="47">
        <f t="shared" si="722"/>
        <v>1435</v>
      </c>
      <c r="G8606" s="203">
        <f>SUM(C8606,C8582,C8558,C8534,C8510,C8486,C8462,C8438,C8414,C8390,C8366,C8342,C8318,C8294)/POBLA!$B$13*100000</f>
        <v>74.359229437412139</v>
      </c>
      <c r="H8606" s="213">
        <f t="shared" si="723"/>
        <v>0.84282460136674264</v>
      </c>
      <c r="I8606" s="227"/>
      <c r="J8606" s="228"/>
    </row>
    <row r="8607" spans="1:10" ht="16.5" thickTop="1" thickBot="1" x14ac:dyDescent="0.3">
      <c r="A8607" s="84" t="s">
        <v>23</v>
      </c>
      <c r="B8607" s="2">
        <v>44251</v>
      </c>
      <c r="C8607" s="1">
        <v>114</v>
      </c>
      <c r="D8607" s="47">
        <f t="shared" si="713"/>
        <v>7833</v>
      </c>
      <c r="E8607" s="1">
        <v>2</v>
      </c>
      <c r="F8607" s="47">
        <f t="shared" si="722"/>
        <v>134</v>
      </c>
      <c r="G8607" s="203">
        <f>SUM(C8607,C8583,C8559,C8535,C8511,C8487,C8463,C8439,C8415,C8391,C8367,C8343,C8319,C8295)/POBLA!$B$14*100000</f>
        <v>122.09683071512272</v>
      </c>
      <c r="H8607" s="213">
        <f t="shared" si="723"/>
        <v>0.67811536767943636</v>
      </c>
      <c r="I8607" s="232"/>
      <c r="J8607" s="230"/>
    </row>
    <row r="8608" spans="1:10" ht="16.5" thickTop="1" thickBot="1" x14ac:dyDescent="0.3">
      <c r="A8608" s="84" t="s">
        <v>19</v>
      </c>
      <c r="B8608" s="2">
        <v>44251</v>
      </c>
      <c r="C8608" s="1">
        <v>261</v>
      </c>
      <c r="D8608" s="47">
        <f t="shared" si="713"/>
        <v>60640</v>
      </c>
      <c r="F8608" s="47">
        <f t="shared" si="722"/>
        <v>893</v>
      </c>
      <c r="G8608" s="203">
        <f>SUM(C8608,C8584,C8560,C8536,C8512,C8488,C8464,C8440,C8416,C8392,C8368,C8344,C8320,C8296)/POBLA!$B$15*100000</f>
        <v>454.47905827361205</v>
      </c>
      <c r="H8608" s="213">
        <f t="shared" si="723"/>
        <v>0.59869073596508626</v>
      </c>
      <c r="I8608" s="227"/>
      <c r="J8608" s="228"/>
    </row>
    <row r="8609" spans="1:10" ht="16.5" thickTop="1" thickBot="1" x14ac:dyDescent="0.3">
      <c r="A8609" s="84" t="s">
        <v>18</v>
      </c>
      <c r="B8609" s="2">
        <v>44251</v>
      </c>
      <c r="C8609" s="1">
        <v>166</v>
      </c>
      <c r="D8609" s="47">
        <f t="shared" si="713"/>
        <v>51909</v>
      </c>
      <c r="E8609" s="1">
        <v>4</v>
      </c>
      <c r="F8609" s="47">
        <f t="shared" si="722"/>
        <v>1170</v>
      </c>
      <c r="G8609" s="203">
        <f>SUM(C8609,C8585,C8561,C8537,C8513,C8489,C8465,C8441,C8417,C8393,C8369,C8345,C8321,C8297)/POBLA!$B$16*100000</f>
        <v>253.07312636267571</v>
      </c>
      <c r="H8609" s="213">
        <f t="shared" si="723"/>
        <v>0.62524785194976862</v>
      </c>
      <c r="I8609" s="232"/>
      <c r="J8609" s="228"/>
    </row>
    <row r="8610" spans="1:10" ht="16.5" thickTop="1" thickBot="1" x14ac:dyDescent="0.3">
      <c r="A8610" s="84" t="s">
        <v>34</v>
      </c>
      <c r="B8610" s="2">
        <v>44251</v>
      </c>
      <c r="C8610" s="1">
        <v>163</v>
      </c>
      <c r="D8610" s="47">
        <f t="shared" si="713"/>
        <v>25740</v>
      </c>
      <c r="E8610" s="1">
        <v>3</v>
      </c>
      <c r="F8610" s="47">
        <f t="shared" si="722"/>
        <v>1088</v>
      </c>
      <c r="G8610" s="203">
        <f>SUM(C8610,C8586,C8562,C8538,C8514,C8490,C8466,C8442,C8418,C8394,C8370,C8346,C8322,C8298)/POBLA!$B$17*100000</f>
        <v>86.141714704538131</v>
      </c>
      <c r="H8610" s="213">
        <f t="shared" si="723"/>
        <v>1.3366013071895424</v>
      </c>
      <c r="I8610" s="229"/>
      <c r="J8610" s="231"/>
    </row>
    <row r="8611" spans="1:10" ht="16.5" thickTop="1" thickBot="1" x14ac:dyDescent="0.3">
      <c r="A8611" s="84" t="s">
        <v>35</v>
      </c>
      <c r="B8611" s="2">
        <v>44251</v>
      </c>
      <c r="C8611" s="1">
        <v>80</v>
      </c>
      <c r="D8611" s="47">
        <f t="shared" ref="D8611:D8641" si="724">C8611+D8587</f>
        <v>15141</v>
      </c>
      <c r="F8611" s="47">
        <f t="shared" si="722"/>
        <v>207</v>
      </c>
      <c r="G8611" s="203">
        <f>SUM(C8611,C8587,C8563,C8539,C8515,C8491,C8467,C8443,C8419,C8395,C8371,C8347,C8323,C8299)/POBLA!$B$18*100000</f>
        <v>87.555698352698414</v>
      </c>
      <c r="H8611" s="213">
        <f t="shared" si="723"/>
        <v>0.98275862068965514</v>
      </c>
      <c r="I8611" s="232"/>
      <c r="J8611" s="231"/>
    </row>
    <row r="8612" spans="1:10" ht="16.5" thickTop="1" thickBot="1" x14ac:dyDescent="0.3">
      <c r="A8612" s="84" t="s">
        <v>36</v>
      </c>
      <c r="B8612" s="2">
        <v>44251</v>
      </c>
      <c r="C8612" s="1">
        <v>32</v>
      </c>
      <c r="D8612" s="47">
        <f t="shared" si="724"/>
        <v>20585</v>
      </c>
      <c r="F8612" s="47">
        <f t="shared" si="722"/>
        <v>353</v>
      </c>
      <c r="G8612" s="203">
        <f>SUM(C8612,C8588,C8564,C8540,C8516,C8492,C8468,C8444,C8420,C8396,C8372,C8348,C8324,C8300)/POBLA!$B$19*100000</f>
        <v>287.41285154467192</v>
      </c>
      <c r="H8612" s="213">
        <f t="shared" si="723"/>
        <v>5.963265306122449</v>
      </c>
      <c r="I8612" s="232"/>
      <c r="J8612" s="231"/>
    </row>
    <row r="8613" spans="1:10" ht="16.5" thickTop="1" thickBot="1" x14ac:dyDescent="0.3">
      <c r="A8613" s="84" t="s">
        <v>37</v>
      </c>
      <c r="B8613" s="2">
        <v>44251</v>
      </c>
      <c r="C8613" s="1">
        <v>201</v>
      </c>
      <c r="D8613" s="47">
        <f t="shared" si="724"/>
        <v>35631</v>
      </c>
      <c r="E8613" s="1">
        <v>1</v>
      </c>
      <c r="F8613" s="47">
        <f t="shared" si="722"/>
        <v>570</v>
      </c>
      <c r="G8613" s="203">
        <f>SUM(C8613,C8589,C8565,C8541,C8517,C8493,C8469,C8445,C8421,C8397,C8373,C8349,C8325,C8301)/POBLA!$B$20*100000</f>
        <v>397.59583043932423</v>
      </c>
      <c r="H8613" s="213">
        <f t="shared" si="723"/>
        <v>0.66575091575091572</v>
      </c>
      <c r="I8613" s="229"/>
      <c r="J8613" s="231"/>
    </row>
    <row r="8614" spans="1:10" ht="16.5" thickTop="1" thickBot="1" x14ac:dyDescent="0.3">
      <c r="A8614" s="84" t="s">
        <v>22</v>
      </c>
      <c r="B8614" s="2">
        <v>44251</v>
      </c>
      <c r="C8614" s="1">
        <v>482</v>
      </c>
      <c r="D8614" s="47">
        <f t="shared" si="724"/>
        <v>215264</v>
      </c>
      <c r="E8614" s="1">
        <v>19</v>
      </c>
      <c r="F8614" s="47">
        <f t="shared" si="722"/>
        <v>3887</v>
      </c>
      <c r="G8614" s="203">
        <f>SUM(C8614,C8590,C8566,C8542,C8518,C8494,C8470,C8446,C8422,C8398,C8374,C8350,C8326,C8302)/POBLA!$B$21*100000</f>
        <v>134.31670124968261</v>
      </c>
      <c r="H8614" s="213">
        <f t="shared" si="723"/>
        <v>0.70758230299419034</v>
      </c>
      <c r="I8614" s="227"/>
      <c r="J8614" s="228"/>
    </row>
    <row r="8615" spans="1:10" ht="16.5" thickTop="1" thickBot="1" x14ac:dyDescent="0.3">
      <c r="A8615" s="84" t="s">
        <v>38</v>
      </c>
      <c r="B8615" s="2">
        <v>44251</v>
      </c>
      <c r="C8615" s="1">
        <v>65</v>
      </c>
      <c r="D8615" s="47">
        <f t="shared" si="724"/>
        <v>22340</v>
      </c>
      <c r="F8615" s="47">
        <f t="shared" si="722"/>
        <v>265</v>
      </c>
      <c r="G8615" s="203">
        <f>SUM(C8615,C8591,C8567,C8543,C8519,C8495,C8471,C8447,C8423,C8399,C8375,C8351,C8327,C8303)/POBLA!$B$22*100000</f>
        <v>72.26726006911899</v>
      </c>
      <c r="H8615" s="213">
        <f t="shared" si="723"/>
        <v>0.72069317023445467</v>
      </c>
      <c r="I8615" s="232"/>
      <c r="J8615" s="231"/>
    </row>
    <row r="8616" spans="1:10" ht="16.5" thickTop="1" thickBot="1" x14ac:dyDescent="0.3">
      <c r="A8616" s="84" t="s">
        <v>39</v>
      </c>
      <c r="B8616" s="2">
        <v>44251</v>
      </c>
      <c r="C8616" s="1">
        <v>38</v>
      </c>
      <c r="D8616" s="47">
        <f t="shared" si="724"/>
        <v>22833</v>
      </c>
      <c r="E8616" s="1">
        <v>1</v>
      </c>
      <c r="F8616" s="47">
        <f t="shared" si="722"/>
        <v>350</v>
      </c>
      <c r="G8616" s="203">
        <f>SUM(C8616,C8592,C8568,C8544,C8520,C8496,C8472,C8448,C8424,C8400,C8376,C8352,C8328,C8304)/POBLA!$B$23*100000</f>
        <v>291.2401741785896</v>
      </c>
      <c r="H8616" s="213">
        <f t="shared" si="723"/>
        <v>0.77912254160363081</v>
      </c>
      <c r="I8616" s="232"/>
      <c r="J8616" s="231"/>
    </row>
    <row r="8617" spans="1:10" ht="16.5" thickTop="1" thickBot="1" x14ac:dyDescent="0.3">
      <c r="A8617" s="85" t="s">
        <v>40</v>
      </c>
      <c r="B8617" s="355">
        <v>44251</v>
      </c>
      <c r="C8617" s="300">
        <v>219</v>
      </c>
      <c r="D8617" s="214">
        <f t="shared" si="724"/>
        <v>79274</v>
      </c>
      <c r="E8617" s="54">
        <v>5</v>
      </c>
      <c r="F8617" s="214">
        <f t="shared" si="722"/>
        <v>1471</v>
      </c>
      <c r="G8617" s="215">
        <f>SUM(C8617,C8593,C8569,C8545,C8521,C8497,C8473,C8449,C8425,C8401,C8377,C8353,C8329,C8305)/POBLA!$B$24*100000</f>
        <v>97.659938064126294</v>
      </c>
      <c r="H8617" s="216">
        <f t="shared" si="723"/>
        <v>0.96165020337013363</v>
      </c>
      <c r="I8617" s="229"/>
      <c r="J8617" s="228"/>
    </row>
    <row r="8618" spans="1:10" x14ac:dyDescent="0.25">
      <c r="A8618" s="36" t="s">
        <v>16</v>
      </c>
      <c r="B8618" s="356">
        <v>44252</v>
      </c>
      <c r="C8618" s="1">
        <v>3254</v>
      </c>
      <c r="D8618" s="211">
        <f t="shared" si="724"/>
        <v>874028</v>
      </c>
      <c r="E8618" s="293">
        <v>32</v>
      </c>
      <c r="F8618" s="211">
        <f t="shared" ref="F8618:F8624" si="725">E8618+F8594</f>
        <v>26174</v>
      </c>
      <c r="G8618" s="212">
        <f>SUM(C8618,C8594,C8570,C8546,C8522,C8498,C8474,C8450,C8426,C8402,C8378,C8354,C8330,C8306)/POBLA!$B$1*100000</f>
        <v>203.3733153390649</v>
      </c>
      <c r="H8618" s="196">
        <f t="shared" ref="H8618:H8624" si="726">SUM(C8618,C8594,C8570,C8546,C8522,C8498,C8474,C8450,C8426,C8402,C8378,C8354,C8330,C8306)/SUM(C8282,C8258,C8234,C8210,C8186,C8162,C8138,C8114,C8090,C8066,C8042,C8018,C7994,C7970)</f>
        <v>0.81480973916221278</v>
      </c>
    </row>
    <row r="8619" spans="1:10" x14ac:dyDescent="0.25">
      <c r="A8619" s="84" t="s">
        <v>43</v>
      </c>
      <c r="B8619" s="356">
        <v>44252</v>
      </c>
      <c r="C8619" s="1">
        <v>884</v>
      </c>
      <c r="D8619" s="47">
        <f t="shared" si="724"/>
        <v>230265</v>
      </c>
      <c r="E8619" s="1">
        <v>12</v>
      </c>
      <c r="F8619" s="47">
        <f t="shared" si="725"/>
        <v>6484</v>
      </c>
      <c r="G8619" s="203">
        <f>SUM(C8619,C8595,C8571,C8547,C8523,C8499,C8475,C8451,C8427,C8403,C8379,C8355,C8331,C8307)/POBLA!$B$2*100000</f>
        <v>319.67268014589456</v>
      </c>
      <c r="H8619" s="213">
        <f t="shared" si="726"/>
        <v>0.7512224938875306</v>
      </c>
    </row>
    <row r="8620" spans="1:10" x14ac:dyDescent="0.25">
      <c r="A8620" s="84" t="s">
        <v>28</v>
      </c>
      <c r="B8620" s="356">
        <v>44252</v>
      </c>
      <c r="C8620" s="1">
        <v>127</v>
      </c>
      <c r="D8620" s="47">
        <f t="shared" si="724"/>
        <v>7639</v>
      </c>
      <c r="F8620" s="47">
        <f t="shared" si="725"/>
        <v>17</v>
      </c>
      <c r="G8620" s="203">
        <f>SUM(C8620,C8596,C8572,C8548,C8524,C8500,C8476,C8452,C8428,C8404,C8380,C8356,C8332,C8308)/POBLA!$B$3*100000</f>
        <v>259.48516986890945</v>
      </c>
      <c r="H8620" s="213">
        <f t="shared" si="726"/>
        <v>0.70874424720578566</v>
      </c>
    </row>
    <row r="8621" spans="1:10" x14ac:dyDescent="0.25">
      <c r="A8621" s="84" t="s">
        <v>15</v>
      </c>
      <c r="B8621" s="356">
        <v>44252</v>
      </c>
      <c r="C8621" s="1">
        <v>174</v>
      </c>
      <c r="D8621" s="47">
        <f t="shared" si="724"/>
        <v>33851</v>
      </c>
      <c r="E8621" s="1">
        <v>1</v>
      </c>
      <c r="F8621" s="47">
        <f t="shared" si="725"/>
        <v>862</v>
      </c>
      <c r="G8621" s="203">
        <f>SUM(C8621,C8597,C8573,C8549,C8525,C8501,C8477,C8453,C8429,C8405,C8381,C8357,C8333,C8309)/POBLA!$B$4*100000</f>
        <v>139.38919472230501</v>
      </c>
      <c r="H8621" s="213">
        <f t="shared" si="726"/>
        <v>0.92151481888035125</v>
      </c>
    </row>
    <row r="8622" spans="1:10" x14ac:dyDescent="0.25">
      <c r="A8622" s="84" t="s">
        <v>29</v>
      </c>
      <c r="B8622" s="356">
        <v>44252</v>
      </c>
      <c r="C8622" s="1">
        <v>142</v>
      </c>
      <c r="D8622" s="47">
        <f t="shared" si="724"/>
        <v>46734</v>
      </c>
      <c r="E8622" s="1">
        <v>8</v>
      </c>
      <c r="F8622" s="47">
        <f t="shared" si="725"/>
        <v>768</v>
      </c>
      <c r="G8622" s="203">
        <f>SUM(C8622,C8598,C8574,C8550,C8526,C8502,C8478,C8454,C8430,C8406,C8382,C8358,C8334,C8310)/POBLA!$B$5*100000</f>
        <v>311.63468466576415</v>
      </c>
      <c r="H8622" s="213">
        <f t="shared" si="726"/>
        <v>0.60018668326073432</v>
      </c>
    </row>
    <row r="8623" spans="1:10" x14ac:dyDescent="0.25">
      <c r="A8623" s="84" t="s">
        <v>30</v>
      </c>
      <c r="B8623" s="356">
        <v>44252</v>
      </c>
      <c r="C8623" s="1">
        <v>95</v>
      </c>
      <c r="D8623" s="47">
        <f t="shared" si="724"/>
        <v>21403</v>
      </c>
      <c r="F8623" s="47">
        <f t="shared" si="725"/>
        <v>296</v>
      </c>
      <c r="G8623" s="203">
        <f>SUM(C8623,C8599,C8575,C8551,C8527,C8503,C8479,C8455,C8431,C8407,C8383,C8359,C8335,C8311)/POBLA!$B$7*100000</f>
        <v>59.859857197941736</v>
      </c>
      <c r="H8623" s="213">
        <f t="shared" si="726"/>
        <v>1.0278538812785387</v>
      </c>
    </row>
    <row r="8624" spans="1:10" x14ac:dyDescent="0.25">
      <c r="A8624" s="84" t="s">
        <v>20</v>
      </c>
      <c r="B8624" s="356">
        <v>44252</v>
      </c>
      <c r="C8624" s="1">
        <v>1076</v>
      </c>
      <c r="D8624" s="47">
        <f t="shared" si="724"/>
        <v>158595</v>
      </c>
      <c r="E8624" s="1">
        <v>10</v>
      </c>
      <c r="F8624" s="47">
        <f t="shared" si="725"/>
        <v>2824</v>
      </c>
      <c r="G8624" s="203">
        <f>SUM(C8624,C8600,C8576,C8552,C8528,C8504,C8480,C8456,C8432,C8408,C8384,C8360,C8336,C8312)/POBLA!$B$6*100000</f>
        <v>716.54111657644842</v>
      </c>
      <c r="H8624" s="213">
        <f t="shared" si="726"/>
        <v>1.1963354684939669</v>
      </c>
    </row>
    <row r="8625" spans="1:8" x14ac:dyDescent="0.25">
      <c r="A8625" s="84" t="s">
        <v>31</v>
      </c>
      <c r="B8625" s="356">
        <v>44252</v>
      </c>
      <c r="C8625" s="1">
        <v>160</v>
      </c>
      <c r="D8625" s="47">
        <f t="shared" si="724"/>
        <v>44911</v>
      </c>
      <c r="E8625" s="1">
        <v>6</v>
      </c>
      <c r="F8625" s="47">
        <f t="shared" ref="F8625:F8641" si="727">E8625+F8601</f>
        <v>834</v>
      </c>
      <c r="G8625" s="203">
        <f>SUM(C8625,C8601,C8577,C8553,C8529,C8505,C8481,C8457,C8433,C8409,C8385,C8361,C8337,C8313)/POBLA!$B$8*100000</f>
        <v>126.91554812869914</v>
      </c>
      <c r="H8625" s="213">
        <f t="shared" ref="H8625:H8641" si="728">SUM(C8625,C8601,C8577,C8553,C8529,C8505,C8481,C8457,C8433,C8409,C8385,C8361,C8337,C8313)/SUM(C8289,C8265,C8241,C8217,C8193,C8169,C8145,C8121,C8097,C8073,C8049,C8025,C8001,C7977)</f>
        <v>0.62023977433004229</v>
      </c>
    </row>
    <row r="8626" spans="1:8" x14ac:dyDescent="0.25">
      <c r="A8626" s="84" t="s">
        <v>41</v>
      </c>
      <c r="B8626" s="356">
        <v>44252</v>
      </c>
      <c r="C8626" s="1">
        <v>10</v>
      </c>
      <c r="D8626" s="47">
        <f t="shared" si="724"/>
        <v>1185</v>
      </c>
      <c r="F8626" s="47">
        <f t="shared" si="727"/>
        <v>19</v>
      </c>
      <c r="G8626" s="203">
        <f>SUM(C8626,C8602,C8578,C8554,C8530,C8506,C8482,C8458,C8434,C8410,C8386,C8362,C8338,C8314)/POBLA!$B$9*100000</f>
        <v>45.10957661440235</v>
      </c>
      <c r="H8626" s="213">
        <f t="shared" si="728"/>
        <v>3.4556962025316458</v>
      </c>
    </row>
    <row r="8627" spans="1:8" x14ac:dyDescent="0.25">
      <c r="A8627" s="84" t="s">
        <v>32</v>
      </c>
      <c r="B8627" s="356">
        <v>44252</v>
      </c>
      <c r="C8627" s="1">
        <v>106</v>
      </c>
      <c r="D8627" s="47">
        <f t="shared" si="724"/>
        <v>20491</v>
      </c>
      <c r="F8627" s="47">
        <f t="shared" si="727"/>
        <v>904</v>
      </c>
      <c r="G8627" s="203">
        <f>SUM(C8627,C8603,C8579,C8555,C8531,C8507,C8483,C8459,C8435,C8411,C8387,C8363,C8339,C8315)/POBLA!$B$10*100000</f>
        <v>107.79873936444147</v>
      </c>
      <c r="H8627" s="213">
        <f t="shared" si="728"/>
        <v>2.0072463768115942</v>
      </c>
    </row>
    <row r="8628" spans="1:8" x14ac:dyDescent="0.25">
      <c r="A8628" s="84" t="s">
        <v>33</v>
      </c>
      <c r="B8628" s="356">
        <v>44252</v>
      </c>
      <c r="C8628" s="1">
        <v>222</v>
      </c>
      <c r="D8628" s="47">
        <f t="shared" si="724"/>
        <v>18537</v>
      </c>
      <c r="E8628" s="1">
        <v>1</v>
      </c>
      <c r="F8628" s="47">
        <f t="shared" si="727"/>
        <v>285</v>
      </c>
      <c r="G8628" s="203">
        <f>SUM(C8628,C8604,C8580,C8556,C8532,C8508,C8484,C8460,C8436,C8412,C8388,C8364,C8340,C8316)/POBLA!$B$11*100000</f>
        <v>296.29381633131339</v>
      </c>
      <c r="H8628" s="213">
        <f t="shared" si="728"/>
        <v>0.85852869846402591</v>
      </c>
    </row>
    <row r="8629" spans="1:8" x14ac:dyDescent="0.25">
      <c r="A8629" s="84" t="s">
        <v>21</v>
      </c>
      <c r="B8629" s="356">
        <v>44252</v>
      </c>
      <c r="C8629" s="1">
        <v>23</v>
      </c>
      <c r="D8629" s="47">
        <f t="shared" si="724"/>
        <v>10148</v>
      </c>
      <c r="F8629" s="47">
        <f t="shared" si="727"/>
        <v>435</v>
      </c>
      <c r="G8629" s="203">
        <f>SUM(C8629,C8605,C8581,C8557,C8533,C8509,C8485,C8461,C8437,C8413,C8389,C8365,C8341,C8317)/POBLA!$B$12*100000</f>
        <v>99.865067809143369</v>
      </c>
      <c r="H8629" s="213">
        <f t="shared" si="728"/>
        <v>1.5291828793774318</v>
      </c>
    </row>
    <row r="8630" spans="1:8" x14ac:dyDescent="0.25">
      <c r="A8630" s="84" t="s">
        <v>17</v>
      </c>
      <c r="B8630" s="356">
        <v>44252</v>
      </c>
      <c r="C8630" s="1">
        <v>220</v>
      </c>
      <c r="D8630" s="47">
        <f t="shared" si="724"/>
        <v>66927</v>
      </c>
      <c r="E8630" s="1">
        <v>11</v>
      </c>
      <c r="F8630" s="47">
        <f t="shared" si="727"/>
        <v>1446</v>
      </c>
      <c r="G8630" s="203">
        <f>SUM(C8630,C8606,C8582,C8558,C8534,C8510,C8486,C8462,C8438,C8414,C8390,C8366,C8342,C8318)/POBLA!$B$13*100000</f>
        <v>77.976705464097051</v>
      </c>
      <c r="H8630" s="213">
        <f t="shared" si="728"/>
        <v>0.86078757626178592</v>
      </c>
    </row>
    <row r="8631" spans="1:8" x14ac:dyDescent="0.25">
      <c r="A8631" s="84" t="s">
        <v>23</v>
      </c>
      <c r="B8631" s="356">
        <v>44252</v>
      </c>
      <c r="C8631" s="1">
        <v>127</v>
      </c>
      <c r="D8631" s="47">
        <f t="shared" si="724"/>
        <v>7960</v>
      </c>
      <c r="E8631" s="1">
        <v>4</v>
      </c>
      <c r="F8631" s="47">
        <f t="shared" si="727"/>
        <v>138</v>
      </c>
      <c r="G8631" s="203">
        <f>SUM(C8631,C8607,C8583,C8559,C8535,C8511,C8487,C8463,C8439,C8415,C8391,C8367,C8343,C8319)/POBLA!$B$14*100000</f>
        <v>122.49324899666534</v>
      </c>
      <c r="H8631" s="213">
        <f t="shared" si="728"/>
        <v>0.68272205037560763</v>
      </c>
    </row>
    <row r="8632" spans="1:8" x14ac:dyDescent="0.25">
      <c r="A8632" s="84" t="s">
        <v>19</v>
      </c>
      <c r="B8632" s="356">
        <v>44252</v>
      </c>
      <c r="C8632" s="1">
        <v>201</v>
      </c>
      <c r="D8632" s="47">
        <f t="shared" si="724"/>
        <v>60841</v>
      </c>
      <c r="E8632" s="1">
        <v>1</v>
      </c>
      <c r="F8632" s="47">
        <f t="shared" si="727"/>
        <v>894</v>
      </c>
      <c r="G8632" s="203">
        <f>SUM(C8632,C8608,C8584,C8560,C8536,C8512,C8488,C8464,C8440,C8416,C8392,C8368,C8344,C8320)/POBLA!$B$15*100000</f>
        <v>437.16126778273554</v>
      </c>
      <c r="H8632" s="213">
        <f t="shared" si="728"/>
        <v>0.59317531671434409</v>
      </c>
    </row>
    <row r="8633" spans="1:8" x14ac:dyDescent="0.25">
      <c r="A8633" s="84" t="s">
        <v>18</v>
      </c>
      <c r="B8633" s="356">
        <v>44252</v>
      </c>
      <c r="C8633" s="1">
        <v>130</v>
      </c>
      <c r="D8633" s="47">
        <f t="shared" si="724"/>
        <v>52039</v>
      </c>
      <c r="E8633" s="1">
        <v>5</v>
      </c>
      <c r="F8633" s="47">
        <f t="shared" si="727"/>
        <v>1175</v>
      </c>
      <c r="G8633" s="203">
        <f>SUM(C8633,C8609,C8585,C8561,C8537,C8513,C8489,C8465,C8441,C8417,C8393,C8369,C8345,C8321)/POBLA!$B$16*100000</f>
        <v>240.63348537338987</v>
      </c>
      <c r="H8633" s="213">
        <f t="shared" si="728"/>
        <v>0.6123213070115725</v>
      </c>
    </row>
    <row r="8634" spans="1:8" x14ac:dyDescent="0.25">
      <c r="A8634" s="84" t="s">
        <v>34</v>
      </c>
      <c r="B8634" s="356">
        <v>44252</v>
      </c>
      <c r="C8634" s="1">
        <v>139</v>
      </c>
      <c r="D8634" s="47">
        <f t="shared" si="724"/>
        <v>25879</v>
      </c>
      <c r="E8634" s="1">
        <v>4</v>
      </c>
      <c r="F8634" s="47">
        <f t="shared" si="727"/>
        <v>1092</v>
      </c>
      <c r="G8634" s="203">
        <f>SUM(C8634,C8610,C8586,C8562,C8538,C8514,C8490,C8466,C8442,C8418,C8394,C8370,C8346,C8322)/POBLA!$B$17*100000</f>
        <v>89.160536002252186</v>
      </c>
      <c r="H8634" s="213">
        <f t="shared" si="728"/>
        <v>1.3670613562970937</v>
      </c>
    </row>
    <row r="8635" spans="1:8" x14ac:dyDescent="0.25">
      <c r="A8635" s="84" t="s">
        <v>35</v>
      </c>
      <c r="B8635" s="356">
        <v>44252</v>
      </c>
      <c r="C8635" s="1">
        <v>51</v>
      </c>
      <c r="D8635" s="47">
        <f t="shared" si="724"/>
        <v>15192</v>
      </c>
      <c r="F8635" s="47">
        <f t="shared" si="727"/>
        <v>207</v>
      </c>
      <c r="G8635" s="203">
        <f>SUM(C8635,C8611,C8587,C8563,C8539,C8515,C8491,C8467,C8443,C8419,C8395,C8371,C8347,C8323)/POBLA!$B$18*100000</f>
        <v>83.843541551195131</v>
      </c>
      <c r="H8635" s="213">
        <f t="shared" si="728"/>
        <v>0.9330484330484331</v>
      </c>
    </row>
    <row r="8636" spans="1:8" x14ac:dyDescent="0.25">
      <c r="A8636" s="84" t="s">
        <v>36</v>
      </c>
      <c r="B8636" s="356">
        <v>44252</v>
      </c>
      <c r="C8636" s="1">
        <v>168</v>
      </c>
      <c r="D8636" s="47">
        <f t="shared" si="724"/>
        <v>20753</v>
      </c>
      <c r="F8636" s="47">
        <f t="shared" si="727"/>
        <v>353</v>
      </c>
      <c r="G8636" s="203">
        <f>SUM(C8636,C8612,C8588,C8564,C8540,C8516,C8492,C8468,C8444,C8420,C8396,C8372,C8348,C8324)/POBLA!$B$19*100000</f>
        <v>316.33118773705166</v>
      </c>
      <c r="H8636" s="213">
        <f t="shared" si="728"/>
        <v>8.1212121212121211</v>
      </c>
    </row>
    <row r="8637" spans="1:8" x14ac:dyDescent="0.25">
      <c r="A8637" s="84" t="s">
        <v>37</v>
      </c>
      <c r="B8637" s="356">
        <v>44252</v>
      </c>
      <c r="C8637" s="1">
        <v>136</v>
      </c>
      <c r="D8637" s="47">
        <f t="shared" si="724"/>
        <v>35767</v>
      </c>
      <c r="E8637" s="1">
        <v>1</v>
      </c>
      <c r="F8637" s="47">
        <f t="shared" si="727"/>
        <v>571</v>
      </c>
      <c r="G8637" s="203">
        <f>SUM(C8637,C8613,C8589,C8565,C8541,C8517,C8493,C8469,C8445,C8421,C8397,C8373,C8349,C8325)/POBLA!$B$20*100000</f>
        <v>403.61172333455477</v>
      </c>
      <c r="H8637" s="213">
        <f t="shared" si="728"/>
        <v>0.68619246861924688</v>
      </c>
    </row>
    <row r="8638" spans="1:8" x14ac:dyDescent="0.25">
      <c r="A8638" s="84" t="s">
        <v>22</v>
      </c>
      <c r="B8638" s="356">
        <v>44252</v>
      </c>
      <c r="C8638" s="1">
        <v>438</v>
      </c>
      <c r="D8638" s="47">
        <f t="shared" si="724"/>
        <v>215702</v>
      </c>
      <c r="E8638" s="1">
        <v>47</v>
      </c>
      <c r="F8638" s="47">
        <f t="shared" si="727"/>
        <v>3934</v>
      </c>
      <c r="G8638" s="203">
        <f>SUM(C8638,C8614,C8590,C8566,C8542,C8518,C8494,C8470,C8446,C8422,C8398,C8374,C8350,C8326)/POBLA!$B$21*100000</f>
        <v>133.80771164494695</v>
      </c>
      <c r="H8638" s="213">
        <f t="shared" si="728"/>
        <v>0.72721684339941606</v>
      </c>
    </row>
    <row r="8639" spans="1:8" x14ac:dyDescent="0.25">
      <c r="A8639" s="84" t="s">
        <v>38</v>
      </c>
      <c r="B8639" s="356">
        <v>44252</v>
      </c>
      <c r="C8639" s="1">
        <v>78</v>
      </c>
      <c r="D8639" s="47">
        <f t="shared" si="724"/>
        <v>22418</v>
      </c>
      <c r="F8639" s="47">
        <f t="shared" si="727"/>
        <v>265</v>
      </c>
      <c r="G8639" s="203">
        <f>SUM(C8639,C8615,C8591,C8567,C8543,C8519,C8495,C8471,C8447,C8423,C8399,C8375,C8351,C8327)/POBLA!$B$22*100000</f>
        <v>71.142875541876677</v>
      </c>
      <c r="H8639" s="213">
        <f t="shared" si="728"/>
        <v>0.69669669669669665</v>
      </c>
    </row>
    <row r="8640" spans="1:8" x14ac:dyDescent="0.25">
      <c r="A8640" s="84" t="s">
        <v>39</v>
      </c>
      <c r="B8640" s="356">
        <v>44252</v>
      </c>
      <c r="C8640" s="1">
        <v>34</v>
      </c>
      <c r="D8640" s="47">
        <f t="shared" si="724"/>
        <v>22867</v>
      </c>
      <c r="F8640" s="47">
        <f t="shared" si="727"/>
        <v>350</v>
      </c>
      <c r="G8640" s="203">
        <f>SUM(C8640,C8616,C8592,C8568,C8544,C8520,C8496,C8472,C8448,C8424,C8400,C8376,C8352,C8328)/POBLA!$B$23*100000</f>
        <v>283.32296556014251</v>
      </c>
      <c r="H8640" s="213">
        <f t="shared" si="728"/>
        <v>0.7455357142857143</v>
      </c>
    </row>
    <row r="8641" spans="1:8" ht="15.75" thickBot="1" x14ac:dyDescent="0.3">
      <c r="A8641" s="85" t="s">
        <v>40</v>
      </c>
      <c r="B8641" s="356">
        <v>44252</v>
      </c>
      <c r="C8641" s="1">
        <v>239</v>
      </c>
      <c r="D8641" s="214">
        <f t="shared" si="724"/>
        <v>79513</v>
      </c>
      <c r="E8641" s="1">
        <v>2</v>
      </c>
      <c r="F8641" s="214">
        <f t="shared" si="727"/>
        <v>1473</v>
      </c>
      <c r="G8641" s="215">
        <f>SUM(C8641,C8617,C8593,C8569,C8545,C8521,C8497,C8473,C8449,C8425,C8401,C8377,C8353,C8329)/POBLA!$B$24*100000</f>
        <v>104.50498508251822</v>
      </c>
      <c r="H8641" s="216">
        <f t="shared" si="728"/>
        <v>1.0986352357320099</v>
      </c>
    </row>
    <row r="8642" spans="1:8" x14ac:dyDescent="0.25">
      <c r="A8642" s="36" t="s">
        <v>16</v>
      </c>
      <c r="B8642" s="356">
        <v>44253</v>
      </c>
      <c r="C8642" s="1">
        <v>2088</v>
      </c>
      <c r="D8642" s="211">
        <f t="shared" ref="D8642:D8705" si="729">C8642+D8618</f>
        <v>876116</v>
      </c>
      <c r="E8642" s="1">
        <v>30</v>
      </c>
      <c r="F8642" s="211">
        <f t="shared" ref="F8642:F8648" si="730">E8642+F8618</f>
        <v>26204</v>
      </c>
      <c r="G8642" s="212">
        <f>SUM(C8642,C8618,C8594,C8570,C8546,C8522,C8498,C8474,C8450,C8426,C8402,C8378,C8354,C8330)/POBLA!$B$1*100000</f>
        <v>196.99402678537274</v>
      </c>
      <c r="H8642" s="196">
        <f t="shared" ref="H8642:H8665" si="731">SUM(C8642,C8618,C8594,C8570,C8546,C8522,C8498,C8474,C8450,C8426,C8402,C8378,C8354,C8330)/SUM(C8306,C8282,C8258,C8234,C8210,C8186,C8162,C8138,C8114,C8090,C8066,C8042,C8018,C7994)</f>
        <v>0.81294405495694722</v>
      </c>
    </row>
    <row r="8643" spans="1:8" x14ac:dyDescent="0.25">
      <c r="A8643" s="84" t="s">
        <v>43</v>
      </c>
      <c r="B8643" s="356">
        <v>44253</v>
      </c>
      <c r="C8643" s="1">
        <v>607</v>
      </c>
      <c r="D8643" s="47">
        <f t="shared" si="729"/>
        <v>230872</v>
      </c>
      <c r="E8643" s="1">
        <v>24</v>
      </c>
      <c r="F8643" s="47">
        <f t="shared" si="730"/>
        <v>6508</v>
      </c>
      <c r="G8643" s="203">
        <f>SUM(C8643,C8619,C8595,C8571,C8547,C8523,C8499,C8475,C8451,C8427,C8403,C8379,C8355,C8331)/POBLA!$B$2*100000</f>
        <v>313.00741372706739</v>
      </c>
      <c r="H8643" s="213">
        <f t="shared" si="731"/>
        <v>0.75773317591499412</v>
      </c>
    </row>
    <row r="8644" spans="1:8" x14ac:dyDescent="0.25">
      <c r="A8644" s="84" t="s">
        <v>28</v>
      </c>
      <c r="B8644" s="356">
        <v>44253</v>
      </c>
      <c r="C8644" s="1">
        <v>83</v>
      </c>
      <c r="D8644" s="47">
        <f t="shared" si="729"/>
        <v>7722</v>
      </c>
      <c r="F8644" s="47">
        <f t="shared" si="730"/>
        <v>17</v>
      </c>
      <c r="G8644" s="203">
        <f>SUM(C8644,C8620,C8596,C8572,C8548,C8524,C8500,C8476,C8452,C8428,C8404,C8380,C8356,C8332)/POBLA!$B$3*100000</f>
        <v>250.09748747105465</v>
      </c>
      <c r="H8644" s="213">
        <f t="shared" si="731"/>
        <v>0.67997382198952883</v>
      </c>
    </row>
    <row r="8645" spans="1:8" x14ac:dyDescent="0.25">
      <c r="A8645" s="84" t="s">
        <v>15</v>
      </c>
      <c r="B8645" s="356">
        <v>44253</v>
      </c>
      <c r="C8645" s="1">
        <v>103</v>
      </c>
      <c r="D8645" s="47">
        <f t="shared" si="729"/>
        <v>33954</v>
      </c>
      <c r="E8645" s="1">
        <v>1</v>
      </c>
      <c r="F8645" s="47">
        <f t="shared" si="730"/>
        <v>863</v>
      </c>
      <c r="G8645" s="203">
        <f>SUM(C8645,C8621,C8597,C8573,C8549,C8525,C8501,C8477,C8453,C8429,C8405,C8381,C8357,C8333)/POBLA!$B$4*100000</f>
        <v>138.06088792328364</v>
      </c>
      <c r="H8645" s="213">
        <f t="shared" si="731"/>
        <v>0.95629672225416906</v>
      </c>
    </row>
    <row r="8646" spans="1:8" x14ac:dyDescent="0.25">
      <c r="A8646" s="84" t="s">
        <v>29</v>
      </c>
      <c r="B8646" s="356">
        <v>44253</v>
      </c>
      <c r="C8646" s="1">
        <v>71</v>
      </c>
      <c r="D8646" s="47">
        <f t="shared" si="729"/>
        <v>46805</v>
      </c>
      <c r="F8646" s="47">
        <f t="shared" si="730"/>
        <v>768</v>
      </c>
      <c r="G8646" s="203">
        <f>SUM(C8646,C8622,C8598,C8574,C8550,C8526,C8502,C8478,C8454,C8430,C8406,C8382,C8358,C8334)/POBLA!$B$5*100000</f>
        <v>285.62473949666719</v>
      </c>
      <c r="H8646" s="213">
        <f t="shared" si="731"/>
        <v>0.57891290111329408</v>
      </c>
    </row>
    <row r="8647" spans="1:8" x14ac:dyDescent="0.25">
      <c r="A8647" s="84" t="s">
        <v>30</v>
      </c>
      <c r="B8647" s="356">
        <v>44253</v>
      </c>
      <c r="C8647" s="1">
        <v>223</v>
      </c>
      <c r="D8647" s="47">
        <f t="shared" si="729"/>
        <v>21626</v>
      </c>
      <c r="E8647" s="1">
        <v>4</v>
      </c>
      <c r="F8647" s="47">
        <f t="shared" si="730"/>
        <v>300</v>
      </c>
      <c r="G8647" s="203">
        <f>SUM(C8647,C8623,C8599,C8575,C8551,C8527,C8503,C8479,C8455,C8431,C8407,C8383,C8359,C8335)/POBLA!$B$7*100000</f>
        <v>64.300815062027155</v>
      </c>
      <c r="H8647" s="213">
        <f t="shared" si="731"/>
        <v>1.1692456479690523</v>
      </c>
    </row>
    <row r="8648" spans="1:8" x14ac:dyDescent="0.25">
      <c r="A8648" s="84" t="s">
        <v>20</v>
      </c>
      <c r="B8648" s="356">
        <v>44253</v>
      </c>
      <c r="C8648" s="1">
        <v>416</v>
      </c>
      <c r="D8648" s="47">
        <f t="shared" si="729"/>
        <v>159011</v>
      </c>
      <c r="E8648" s="1">
        <v>4</v>
      </c>
      <c r="F8648" s="47">
        <f t="shared" si="730"/>
        <v>2828</v>
      </c>
      <c r="G8648" s="203">
        <f>SUM(C8648,C8624,C8600,C8576,C8552,C8528,C8504,C8480,C8456,C8432,C8408,C8384,C8360,C8336)/POBLA!$B$6*100000</f>
        <v>695.75241278335761</v>
      </c>
      <c r="H8648" s="213">
        <f t="shared" si="731"/>
        <v>1.1542332741267023</v>
      </c>
    </row>
    <row r="8649" spans="1:8" x14ac:dyDescent="0.25">
      <c r="A8649" s="84" t="s">
        <v>31</v>
      </c>
      <c r="B8649" s="356">
        <v>44253</v>
      </c>
      <c r="C8649" s="1">
        <v>92</v>
      </c>
      <c r="D8649" s="47">
        <f t="shared" si="729"/>
        <v>45003</v>
      </c>
      <c r="E8649" s="1">
        <v>2</v>
      </c>
      <c r="F8649" s="47">
        <f t="shared" ref="F8649:F8665" si="732">E8649+F8625</f>
        <v>836</v>
      </c>
      <c r="G8649" s="203">
        <f>SUM(C8649,C8625,C8601,C8577,C8553,C8529,C8505,C8481,C8457,C8433,C8409,C8385,C8361,C8337)/POBLA!$B$8*100000</f>
        <v>121.35983624358838</v>
      </c>
      <c r="H8649" s="213">
        <f t="shared" si="731"/>
        <v>0.62319377547239718</v>
      </c>
    </row>
    <row r="8650" spans="1:8" x14ac:dyDescent="0.25">
      <c r="A8650" s="84" t="s">
        <v>41</v>
      </c>
      <c r="B8650" s="356">
        <v>44253</v>
      </c>
      <c r="C8650" s="1">
        <v>23</v>
      </c>
      <c r="D8650" s="47">
        <f t="shared" si="729"/>
        <v>1208</v>
      </c>
      <c r="F8650" s="47">
        <f t="shared" si="732"/>
        <v>19</v>
      </c>
      <c r="G8650" s="203">
        <f>SUM(C8650,C8626,C8602,C8578,C8554,C8530,C8506,C8482,C8458,C8434,C8410,C8386,C8362,C8338)/POBLA!$B$9*100000</f>
        <v>44.779103525652147</v>
      </c>
      <c r="H8650" s="213">
        <f t="shared" si="731"/>
        <v>2.8229166666666665</v>
      </c>
    </row>
    <row r="8651" spans="1:8" x14ac:dyDescent="0.25">
      <c r="A8651" s="84" t="s">
        <v>32</v>
      </c>
      <c r="B8651" s="356">
        <v>44253</v>
      </c>
      <c r="C8651" s="1">
        <v>83</v>
      </c>
      <c r="D8651" s="47">
        <f t="shared" si="729"/>
        <v>20574</v>
      </c>
      <c r="F8651" s="47">
        <f t="shared" si="732"/>
        <v>904</v>
      </c>
      <c r="G8651" s="203">
        <f>SUM(C8651,C8627,C8603,C8579,C8555,C8531,C8507,C8483,C8459,C8435,C8411,C8387,C8363,C8339)/POBLA!$B$10*100000</f>
        <v>114.02538134939115</v>
      </c>
      <c r="H8651" s="213">
        <f t="shared" si="731"/>
        <v>2.092857142857143</v>
      </c>
    </row>
    <row r="8652" spans="1:8" x14ac:dyDescent="0.25">
      <c r="A8652" s="84" t="s">
        <v>33</v>
      </c>
      <c r="B8652" s="356">
        <v>44253</v>
      </c>
      <c r="C8652" s="1">
        <v>53</v>
      </c>
      <c r="D8652" s="47">
        <f t="shared" si="729"/>
        <v>18590</v>
      </c>
      <c r="F8652" s="47">
        <f t="shared" si="732"/>
        <v>285</v>
      </c>
      <c r="G8652" s="203">
        <f>SUM(C8652,C8628,C8604,C8580,C8556,C8532,C8508,C8484,C8460,C8436,C8412,C8388,C8364,C8340)/POBLA!$B$11*100000</f>
        <v>291.2718872409522</v>
      </c>
      <c r="H8652" s="213">
        <f t="shared" si="731"/>
        <v>0.85154975530179444</v>
      </c>
    </row>
    <row r="8653" spans="1:8" x14ac:dyDescent="0.25">
      <c r="A8653" s="84" t="s">
        <v>21</v>
      </c>
      <c r="B8653" s="356">
        <v>44253</v>
      </c>
      <c r="C8653" s="1">
        <v>21</v>
      </c>
      <c r="D8653" s="47">
        <f t="shared" si="729"/>
        <v>10169</v>
      </c>
      <c r="F8653" s="47">
        <f t="shared" si="732"/>
        <v>435</v>
      </c>
      <c r="G8653" s="203">
        <f>SUM(C8653,C8629,C8605,C8581,C8557,C8533,C8509,C8485,C8461,C8437,C8413,C8389,C8365,C8341)/POBLA!$B$12*100000</f>
        <v>97.832191110738407</v>
      </c>
      <c r="H8653" s="213">
        <f t="shared" si="731"/>
        <v>1.4312267657992566</v>
      </c>
    </row>
    <row r="8654" spans="1:8" x14ac:dyDescent="0.25">
      <c r="A8654" s="84" t="s">
        <v>17</v>
      </c>
      <c r="B8654" s="356">
        <v>44253</v>
      </c>
      <c r="C8654" s="1">
        <v>137</v>
      </c>
      <c r="D8654" s="47">
        <f t="shared" si="729"/>
        <v>67064</v>
      </c>
      <c r="E8654" s="1">
        <v>1</v>
      </c>
      <c r="F8654" s="47">
        <f t="shared" si="732"/>
        <v>1447</v>
      </c>
      <c r="G8654" s="203">
        <f>SUM(C8654,C8630,C8606,C8582,C8558,C8534,C8510,C8486,C8462,C8438,C8414,C8390,C8366,C8342)/POBLA!$B$13*100000</f>
        <v>77.625006405947133</v>
      </c>
      <c r="H8654" s="213">
        <f t="shared" si="731"/>
        <v>0.84472389283761617</v>
      </c>
    </row>
    <row r="8655" spans="1:8" x14ac:dyDescent="0.25">
      <c r="A8655" s="84" t="s">
        <v>23</v>
      </c>
      <c r="B8655" s="356">
        <v>44253</v>
      </c>
      <c r="C8655" s="1">
        <v>116</v>
      </c>
      <c r="D8655" s="47">
        <f t="shared" si="729"/>
        <v>8076</v>
      </c>
      <c r="E8655" s="1">
        <v>1</v>
      </c>
      <c r="F8655" s="47">
        <f t="shared" si="732"/>
        <v>139</v>
      </c>
      <c r="G8655" s="203">
        <f>SUM(C8655,C8631,C8607,C8583,C8559,C8535,C8511,C8487,C8463,C8439,C8415,C8391,C8367,C8343)/POBLA!$B$14*100000</f>
        <v>123.36536921605907</v>
      </c>
      <c r="H8655" s="213">
        <f t="shared" si="731"/>
        <v>0.72338447233844727</v>
      </c>
    </row>
    <row r="8656" spans="1:8" x14ac:dyDescent="0.25">
      <c r="A8656" s="84" t="s">
        <v>19</v>
      </c>
      <c r="B8656" s="356">
        <v>44253</v>
      </c>
      <c r="C8656" s="1">
        <v>173</v>
      </c>
      <c r="D8656" s="47">
        <f t="shared" si="729"/>
        <v>61014</v>
      </c>
      <c r="E8656" s="1">
        <v>2</v>
      </c>
      <c r="F8656" s="47">
        <f t="shared" si="732"/>
        <v>896</v>
      </c>
      <c r="G8656" s="203">
        <f>SUM(C8656,C8632,C8608,C8584,C8560,C8536,C8512,C8488,C8464,C8440,C8416,C8392,C8368,C8344)/POBLA!$B$15*100000</f>
        <v>416.53050867621306</v>
      </c>
      <c r="H8656" s="213">
        <f t="shared" si="731"/>
        <v>0.58614113159567705</v>
      </c>
    </row>
    <row r="8657" spans="1:8" x14ac:dyDescent="0.25">
      <c r="A8657" s="84" t="s">
        <v>18</v>
      </c>
      <c r="B8657" s="356">
        <v>44253</v>
      </c>
      <c r="C8657" s="1">
        <v>146</v>
      </c>
      <c r="D8657" s="47">
        <f t="shared" si="729"/>
        <v>52185</v>
      </c>
      <c r="E8657" s="1">
        <v>5</v>
      </c>
      <c r="F8657" s="47">
        <f t="shared" si="732"/>
        <v>1180</v>
      </c>
      <c r="G8657" s="203">
        <f>SUM(C8657,C8633,C8609,C8585,C8561,C8537,C8513,C8489,C8465,C8441,C8417,C8393,C8369,C8345)/POBLA!$B$16*100000</f>
        <v>239.42964914862026</v>
      </c>
      <c r="H8657" s="213">
        <f t="shared" si="731"/>
        <v>0.64784654361201588</v>
      </c>
    </row>
    <row r="8658" spans="1:8" x14ac:dyDescent="0.25">
      <c r="A8658" s="84" t="s">
        <v>34</v>
      </c>
      <c r="B8658" s="356">
        <v>44253</v>
      </c>
      <c r="C8658" s="1">
        <v>68</v>
      </c>
      <c r="D8658" s="47">
        <f t="shared" si="729"/>
        <v>25947</v>
      </c>
      <c r="F8658" s="47">
        <f t="shared" si="732"/>
        <v>1092</v>
      </c>
      <c r="G8658" s="203">
        <f>SUM(C8658,C8634,C8610,C8586,C8562,C8538,C8514,C8490,C8466,C8442,C8418,C8394,C8370,C8346)/POBLA!$B$17*100000</f>
        <v>87.545817633707458</v>
      </c>
      <c r="H8658" s="213">
        <f t="shared" si="731"/>
        <v>1.2776639344262295</v>
      </c>
    </row>
    <row r="8659" spans="1:8" x14ac:dyDescent="0.25">
      <c r="A8659" s="84" t="s">
        <v>35</v>
      </c>
      <c r="B8659" s="356">
        <v>44253</v>
      </c>
      <c r="C8659" s="1">
        <v>35</v>
      </c>
      <c r="D8659" s="47">
        <f t="shared" si="729"/>
        <v>15227</v>
      </c>
      <c r="E8659" s="1">
        <v>1</v>
      </c>
      <c r="F8659" s="47">
        <f t="shared" si="732"/>
        <v>208</v>
      </c>
      <c r="G8659" s="203">
        <f>SUM(C8659,C8635,C8611,C8587,C8563,C8539,C8515,C8491,C8467,C8443,C8419,C8395,C8371,C8347)/POBLA!$B$18*100000</f>
        <v>80.515400970537002</v>
      </c>
      <c r="H8659" s="213">
        <f t="shared" si="731"/>
        <v>0.90895953757225434</v>
      </c>
    </row>
    <row r="8660" spans="1:8" x14ac:dyDescent="0.25">
      <c r="A8660" s="84" t="s">
        <v>36</v>
      </c>
      <c r="B8660" s="356">
        <v>44253</v>
      </c>
      <c r="C8660" s="1">
        <v>3</v>
      </c>
      <c r="D8660" s="47">
        <f t="shared" si="729"/>
        <v>20756</v>
      </c>
      <c r="F8660" s="47">
        <f t="shared" si="732"/>
        <v>353</v>
      </c>
      <c r="G8660" s="203">
        <f>SUM(C8660,C8636,C8612,C8588,C8564,C8540,C8516,C8492,C8468,C8444,C8420,C8396,C8372,C8348)/POBLA!$B$19*100000</f>
        <v>314.95412410884308</v>
      </c>
      <c r="H8660" s="213">
        <f t="shared" si="731"/>
        <v>8.2525773195876297</v>
      </c>
    </row>
    <row r="8661" spans="1:8" x14ac:dyDescent="0.25">
      <c r="A8661" s="84" t="s">
        <v>37</v>
      </c>
      <c r="B8661" s="356">
        <v>44253</v>
      </c>
      <c r="C8661" s="1">
        <v>60</v>
      </c>
      <c r="D8661" s="47">
        <f t="shared" si="729"/>
        <v>35827</v>
      </c>
      <c r="E8661" s="1">
        <v>2</v>
      </c>
      <c r="F8661" s="47">
        <f t="shared" si="732"/>
        <v>573</v>
      </c>
      <c r="G8661" s="203">
        <f>SUM(C8661,C8637,C8613,C8589,C8565,C8541,C8517,C8493,C8469,C8445,C8421,C8397,C8373,C8349)/POBLA!$B$20*100000</f>
        <v>386.93129303414293</v>
      </c>
      <c r="H8661" s="213">
        <f t="shared" si="731"/>
        <v>0.67125237191650855</v>
      </c>
    </row>
    <row r="8662" spans="1:8" x14ac:dyDescent="0.25">
      <c r="A8662" s="84" t="s">
        <v>22</v>
      </c>
      <c r="B8662" s="356">
        <v>44253</v>
      </c>
      <c r="C8662" s="1">
        <v>261</v>
      </c>
      <c r="D8662" s="47">
        <f t="shared" si="729"/>
        <v>215963</v>
      </c>
      <c r="E8662" s="1">
        <v>10</v>
      </c>
      <c r="F8662" s="47">
        <f t="shared" si="732"/>
        <v>3944</v>
      </c>
      <c r="G8662" s="203">
        <f>SUM(C8662,C8638,C8614,C8590,C8566,C8542,C8518,C8494,C8470,C8446,C8422,C8398,C8374,C8350)/POBLA!$B$21*100000</f>
        <v>131.85658482679366</v>
      </c>
      <c r="H8662" s="213">
        <f t="shared" si="731"/>
        <v>0.75136964228166292</v>
      </c>
    </row>
    <row r="8663" spans="1:8" x14ac:dyDescent="0.25">
      <c r="A8663" s="84" t="s">
        <v>38</v>
      </c>
      <c r="B8663" s="356">
        <v>44253</v>
      </c>
      <c r="C8663" s="1">
        <v>67</v>
      </c>
      <c r="D8663" s="47">
        <f t="shared" si="729"/>
        <v>22485</v>
      </c>
      <c r="E8663" s="1">
        <v>2</v>
      </c>
      <c r="F8663" s="47">
        <f t="shared" si="732"/>
        <v>267</v>
      </c>
      <c r="G8663" s="203">
        <f>SUM(C8663,C8639,C8615,C8591,C8567,C8543,C8519,C8495,C8471,C8447,C8423,C8399,C8375,C8351)/POBLA!$B$22*100000</f>
        <v>72.676127169934375</v>
      </c>
      <c r="H8663" s="213">
        <f t="shared" si="731"/>
        <v>0.64402173913043481</v>
      </c>
    </row>
    <row r="8664" spans="1:8" x14ac:dyDescent="0.25">
      <c r="A8664" s="84" t="s">
        <v>39</v>
      </c>
      <c r="B8664" s="356">
        <v>44253</v>
      </c>
      <c r="C8664" s="1">
        <v>27</v>
      </c>
      <c r="D8664" s="47">
        <f t="shared" si="729"/>
        <v>22894</v>
      </c>
      <c r="E8664" s="1">
        <v>3</v>
      </c>
      <c r="F8664" s="47">
        <f t="shared" si="732"/>
        <v>353</v>
      </c>
      <c r="G8664" s="203">
        <f>SUM(C8664,C8640,C8616,C8592,C8568,C8544,C8520,C8496,C8472,C8448,C8424,C8400,C8376,C8352)/POBLA!$B$23*100000</f>
        <v>272.01266753378951</v>
      </c>
      <c r="H8664" s="213">
        <f t="shared" si="731"/>
        <v>0.73660030627871365</v>
      </c>
    </row>
    <row r="8665" spans="1:8" ht="15.75" thickBot="1" x14ac:dyDescent="0.3">
      <c r="A8665" s="85" t="s">
        <v>40</v>
      </c>
      <c r="B8665" s="356">
        <v>44253</v>
      </c>
      <c r="C8665" s="1">
        <v>127</v>
      </c>
      <c r="D8665" s="214">
        <f t="shared" si="729"/>
        <v>79640</v>
      </c>
      <c r="F8665" s="214">
        <f t="shared" si="732"/>
        <v>1473</v>
      </c>
      <c r="G8665" s="215">
        <f>SUM(C8665,C8641,C8617,C8593,C8569,C8545,C8521,C8497,C8473,C8449,C8425,C8401,C8377,C8353)/POBLA!$B$24*100000</f>
        <v>100.25633520903358</v>
      </c>
      <c r="H8665" s="216">
        <f t="shared" si="731"/>
        <v>1.0155409444112373</v>
      </c>
    </row>
    <row r="8666" spans="1:8" x14ac:dyDescent="0.25">
      <c r="A8666" s="36" t="s">
        <v>16</v>
      </c>
      <c r="B8666" s="356">
        <v>44254</v>
      </c>
      <c r="C8666" s="1">
        <v>2409</v>
      </c>
      <c r="D8666" s="211">
        <f t="shared" si="729"/>
        <v>878525</v>
      </c>
      <c r="E8666" s="1">
        <v>12</v>
      </c>
      <c r="F8666" s="211">
        <f t="shared" ref="F8666:F8672" si="733">E8666+F8642</f>
        <v>26216</v>
      </c>
      <c r="G8666" s="212">
        <f>SUM(C8666,C8642,C8618,C8594,C8570,C8546,C8522,C8498,C8474,C8450,C8426,C8402,C8378,C8354)/POBLA!$B$1*100000</f>
        <v>196.77169233175883</v>
      </c>
      <c r="H8666" s="196">
        <f t="shared" ref="H8666:H8689" si="734">SUM(C8666,C8642,C8618,C8594,C8570,C8546,C8522,C8498,C8474,C8450,C8426,C8402,C8378,C8354)/SUM(C8330,C8306,C8282,C8258,C8234,C8210,C8186,C8162,C8138,C8114,C8090,C8066,C8042,C8018)</f>
        <v>0.82400687547746376</v>
      </c>
    </row>
    <row r="8667" spans="1:8" x14ac:dyDescent="0.25">
      <c r="A8667" s="84" t="s">
        <v>43</v>
      </c>
      <c r="B8667" s="356">
        <v>44254</v>
      </c>
      <c r="C8667" s="1">
        <v>583</v>
      </c>
      <c r="D8667" s="47">
        <f t="shared" si="729"/>
        <v>231455</v>
      </c>
      <c r="E8667" s="1">
        <v>13</v>
      </c>
      <c r="F8667" s="47">
        <f t="shared" si="733"/>
        <v>6521</v>
      </c>
      <c r="G8667" s="203">
        <f>SUM(C8667,C8643,C8619,C8595,C8571,C8547,C8523,C8499,C8475,C8451,C8427,C8403,C8379,C8355)/POBLA!$B$2*100000</f>
        <v>314.37298050555881</v>
      </c>
      <c r="H8667" s="213">
        <f t="shared" si="734"/>
        <v>0.78641724278161851</v>
      </c>
    </row>
    <row r="8668" spans="1:8" x14ac:dyDescent="0.25">
      <c r="A8668" s="84" t="s">
        <v>28</v>
      </c>
      <c r="B8668" s="356">
        <v>44254</v>
      </c>
      <c r="C8668" s="1">
        <v>118</v>
      </c>
      <c r="D8668" s="47">
        <f t="shared" si="729"/>
        <v>7840</v>
      </c>
      <c r="F8668" s="47">
        <f t="shared" si="733"/>
        <v>17</v>
      </c>
      <c r="G8668" s="203">
        <f>SUM(C8668,C8644,C8620,C8596,C8572,C8548,C8524,C8500,C8476,C8452,C8428,C8404,C8380,C8356)/POBLA!$B$3*100000</f>
        <v>259.7258796739826</v>
      </c>
      <c r="H8668" s="213">
        <f t="shared" si="734"/>
        <v>0.70986842105263159</v>
      </c>
    </row>
    <row r="8669" spans="1:8" x14ac:dyDescent="0.25">
      <c r="A8669" s="84" t="s">
        <v>15</v>
      </c>
      <c r="B8669" s="356">
        <v>44254</v>
      </c>
      <c r="C8669" s="1">
        <v>105</v>
      </c>
      <c r="D8669" s="47">
        <f t="shared" si="729"/>
        <v>34059</v>
      </c>
      <c r="E8669" s="1">
        <v>2</v>
      </c>
      <c r="F8669" s="47">
        <f t="shared" si="733"/>
        <v>865</v>
      </c>
      <c r="G8669" s="203">
        <f>SUM(C8669,C8645,C8621,C8597,C8573,C8549,C8525,C8501,C8477,C8453,C8429,C8405,C8381,C8357)/POBLA!$B$4*100000</f>
        <v>140.55146317144869</v>
      </c>
      <c r="H8669" s="213">
        <f t="shared" si="734"/>
        <v>0.99705535924617195</v>
      </c>
    </row>
    <row r="8670" spans="1:8" x14ac:dyDescent="0.25">
      <c r="A8670" s="84" t="s">
        <v>29</v>
      </c>
      <c r="B8670" s="356">
        <v>44254</v>
      </c>
      <c r="C8670" s="1">
        <v>77</v>
      </c>
      <c r="D8670" s="47">
        <f t="shared" si="729"/>
        <v>46882</v>
      </c>
      <c r="E8670" s="1">
        <v>2</v>
      </c>
      <c r="F8670" s="47">
        <f t="shared" si="733"/>
        <v>770</v>
      </c>
      <c r="G8670" s="203">
        <f>SUM(C8670,C8646,C8622,C8598,C8574,C8550,C8526,C8502,C8478,C8454,C8430,C8406,C8382,C8358)/POBLA!$B$5*100000</f>
        <v>279.97040359034173</v>
      </c>
      <c r="H8670" s="213">
        <f t="shared" si="734"/>
        <v>0.59086259802250252</v>
      </c>
    </row>
    <row r="8671" spans="1:8" x14ac:dyDescent="0.25">
      <c r="A8671" s="84" t="s">
        <v>30</v>
      </c>
      <c r="B8671" s="356">
        <v>44254</v>
      </c>
      <c r="C8671" s="1">
        <v>172</v>
      </c>
      <c r="D8671" s="47">
        <f t="shared" si="729"/>
        <v>21798</v>
      </c>
      <c r="F8671" s="47">
        <f t="shared" si="733"/>
        <v>300</v>
      </c>
      <c r="G8671" s="203">
        <f>SUM(C8671,C8647,C8623,C8599,C8575,C8551,C8527,C8503,C8479,C8455,C8431,C8407,C8383,C8359)/POBLA!$B$7*100000</f>
        <v>67.46532994721376</v>
      </c>
      <c r="H8671" s="213">
        <f t="shared" si="734"/>
        <v>1.3151892172109902</v>
      </c>
    </row>
    <row r="8672" spans="1:8" x14ac:dyDescent="0.25">
      <c r="A8672" s="84" t="s">
        <v>20</v>
      </c>
      <c r="B8672" s="356">
        <v>44254</v>
      </c>
      <c r="C8672" s="1">
        <v>533</v>
      </c>
      <c r="D8672" s="47">
        <f t="shared" si="729"/>
        <v>159544</v>
      </c>
      <c r="E8672" s="1">
        <v>4</v>
      </c>
      <c r="F8672" s="47">
        <f t="shared" si="733"/>
        <v>2832</v>
      </c>
      <c r="G8672" s="203">
        <f>SUM(C8672,C8648,C8624,C8600,C8576,C8552,C8528,C8504,C8480,C8456,C8432,C8408,C8384,C8360)/POBLA!$B$6*100000</f>
        <v>693.87875278483864</v>
      </c>
      <c r="H8672" s="213">
        <f t="shared" si="734"/>
        <v>1.0998444350162637</v>
      </c>
    </row>
    <row r="8673" spans="1:8" x14ac:dyDescent="0.25">
      <c r="A8673" s="84" t="s">
        <v>31</v>
      </c>
      <c r="B8673" s="356">
        <v>44254</v>
      </c>
      <c r="C8673" s="1">
        <v>112</v>
      </c>
      <c r="D8673" s="47">
        <f t="shared" si="729"/>
        <v>45115</v>
      </c>
      <c r="E8673" s="1">
        <v>1</v>
      </c>
      <c r="F8673" s="47">
        <f t="shared" ref="F8673:F8689" si="735">E8673+F8649</f>
        <v>837</v>
      </c>
      <c r="G8673" s="203">
        <f>SUM(C8673,C8649,C8625,C8601,C8577,C8553,C8529,C8505,C8481,C8457,C8433,C8409,C8385,C8361)/POBLA!$B$8*100000</f>
        <v>121.50414044839646</v>
      </c>
      <c r="H8673" s="213">
        <f t="shared" si="734"/>
        <v>0.65550797975866093</v>
      </c>
    </row>
    <row r="8674" spans="1:8" x14ac:dyDescent="0.25">
      <c r="A8674" s="84" t="s">
        <v>41</v>
      </c>
      <c r="B8674" s="356">
        <v>44254</v>
      </c>
      <c r="C8674" s="1">
        <v>12</v>
      </c>
      <c r="D8674" s="47">
        <f t="shared" si="729"/>
        <v>1220</v>
      </c>
      <c r="F8674" s="47">
        <f t="shared" si="735"/>
        <v>19</v>
      </c>
      <c r="G8674" s="203">
        <f>SUM(C8674,C8650,C8626,C8602,C8578,C8554,C8530,C8506,C8482,C8458,C8434,C8410,C8386,C8362)/POBLA!$B$9*100000</f>
        <v>43.291974626276243</v>
      </c>
      <c r="H8674" s="213">
        <f t="shared" si="734"/>
        <v>2.2782608695652176</v>
      </c>
    </row>
    <row r="8675" spans="1:8" x14ac:dyDescent="0.25">
      <c r="A8675" s="84" t="s">
        <v>32</v>
      </c>
      <c r="B8675" s="356">
        <v>44254</v>
      </c>
      <c r="C8675" s="1">
        <v>93</v>
      </c>
      <c r="D8675" s="47">
        <f t="shared" si="729"/>
        <v>20667</v>
      </c>
      <c r="F8675" s="47">
        <f t="shared" si="735"/>
        <v>904</v>
      </c>
      <c r="G8675" s="203">
        <f>SUM(C8675,C8651,C8627,C8603,C8579,C8555,C8531,C8507,C8483,C8459,C8435,C8411,C8387,C8363)/POBLA!$B$10*100000</f>
        <v>122.84645749473654</v>
      </c>
      <c r="H8675" s="213">
        <f t="shared" si="734"/>
        <v>2.2126168224299065</v>
      </c>
    </row>
    <row r="8676" spans="1:8" x14ac:dyDescent="0.25">
      <c r="A8676" s="84" t="s">
        <v>33</v>
      </c>
      <c r="B8676" s="356">
        <v>44254</v>
      </c>
      <c r="C8676" s="1">
        <v>53</v>
      </c>
      <c r="D8676" s="47">
        <f t="shared" si="729"/>
        <v>18643</v>
      </c>
      <c r="F8676" s="47">
        <f t="shared" si="735"/>
        <v>285</v>
      </c>
      <c r="G8676" s="203">
        <f>SUM(C8676,C8652,C8628,C8604,C8580,C8556,C8532,C8508,C8484,C8460,C8436,C8412,C8388,C8364)/POBLA!$B$11*100000</f>
        <v>272.02115906123402</v>
      </c>
      <c r="H8676" s="213">
        <f t="shared" si="734"/>
        <v>0.76291079812206575</v>
      </c>
    </row>
    <row r="8677" spans="1:8" x14ac:dyDescent="0.25">
      <c r="A8677" s="84" t="s">
        <v>21</v>
      </c>
      <c r="B8677" s="356">
        <v>44254</v>
      </c>
      <c r="C8677" s="1">
        <v>5</v>
      </c>
      <c r="D8677" s="47">
        <f t="shared" si="729"/>
        <v>10174</v>
      </c>
      <c r="F8677" s="47">
        <f t="shared" si="735"/>
        <v>435</v>
      </c>
      <c r="G8677" s="203">
        <f>SUM(C8677,C8653,C8629,C8605,C8581,C8557,C8533,C8509,C8485,C8461,C8437,C8413,C8389,C8365)/POBLA!$B$12*100000</f>
        <v>90.971232253621693</v>
      </c>
      <c r="H8677" s="213">
        <f t="shared" si="734"/>
        <v>1.2605633802816902</v>
      </c>
    </row>
    <row r="8678" spans="1:8" x14ac:dyDescent="0.25">
      <c r="A8678" s="84" t="s">
        <v>17</v>
      </c>
      <c r="B8678" s="356">
        <v>44254</v>
      </c>
      <c r="C8678" s="1">
        <v>121</v>
      </c>
      <c r="D8678" s="47">
        <f t="shared" si="729"/>
        <v>67185</v>
      </c>
      <c r="F8678" s="47">
        <f t="shared" si="735"/>
        <v>1447</v>
      </c>
      <c r="G8678" s="203">
        <f>SUM(C8678,C8654,C8630,C8606,C8582,C8558,C8534,C8510,C8486,C8462,C8438,C8414,C8390,C8366)/POBLA!$B$13*100000</f>
        <v>78.629860857804061</v>
      </c>
      <c r="H8678" s="213">
        <f t="shared" si="734"/>
        <v>0.84503239740820735</v>
      </c>
    </row>
    <row r="8679" spans="1:8" x14ac:dyDescent="0.25">
      <c r="A8679" s="84" t="s">
        <v>23</v>
      </c>
      <c r="B8679" s="356">
        <v>44254</v>
      </c>
      <c r="C8679" s="1">
        <v>125</v>
      </c>
      <c r="D8679" s="47">
        <f t="shared" si="729"/>
        <v>8201</v>
      </c>
      <c r="E8679" s="1">
        <v>1</v>
      </c>
      <c r="F8679" s="47">
        <f t="shared" si="735"/>
        <v>140</v>
      </c>
      <c r="G8679" s="203">
        <f>SUM(C8679,C8655,C8631,C8607,C8583,C8559,C8535,C8511,C8487,C8463,C8439,C8415,C8391,C8367)/POBLA!$B$14*100000</f>
        <v>125.42674428008061</v>
      </c>
      <c r="H8679" s="213">
        <f t="shared" si="734"/>
        <v>0.77473065621939274</v>
      </c>
    </row>
    <row r="8680" spans="1:8" x14ac:dyDescent="0.25">
      <c r="A8680" s="84" t="s">
        <v>19</v>
      </c>
      <c r="B8680" s="356">
        <v>44254</v>
      </c>
      <c r="C8680" s="1">
        <v>83</v>
      </c>
      <c r="D8680" s="47">
        <f t="shared" si="729"/>
        <v>61097</v>
      </c>
      <c r="E8680" s="1">
        <v>4</v>
      </c>
      <c r="F8680" s="47">
        <f t="shared" si="735"/>
        <v>900</v>
      </c>
      <c r="G8680" s="203">
        <f>SUM(C8680,C8656,C8632,C8608,C8584,C8560,C8536,C8512,C8488,C8464,C8440,C8416,C8392,C8368)/POBLA!$B$15*100000</f>
        <v>401.47156042327691</v>
      </c>
      <c r="H8680" s="213">
        <f t="shared" si="734"/>
        <v>0.57618327209855202</v>
      </c>
    </row>
    <row r="8681" spans="1:8" x14ac:dyDescent="0.25">
      <c r="A8681" s="84" t="s">
        <v>18</v>
      </c>
      <c r="B8681" s="356">
        <v>44254</v>
      </c>
      <c r="C8681" s="1">
        <v>85</v>
      </c>
      <c r="D8681" s="47">
        <f t="shared" si="729"/>
        <v>52270</v>
      </c>
      <c r="E8681" s="1">
        <v>2</v>
      </c>
      <c r="F8681" s="47">
        <f t="shared" si="735"/>
        <v>1182</v>
      </c>
      <c r="G8681" s="203">
        <f>SUM(C8681,C8657,C8633,C8609,C8585,C8561,C8537,C8513,C8489,C8465,C8441,C8417,C8393,C8369)/POBLA!$B$16*100000</f>
        <v>235.4168617327216</v>
      </c>
      <c r="H8681" s="213">
        <f t="shared" si="734"/>
        <v>0.65281899109792285</v>
      </c>
    </row>
    <row r="8682" spans="1:8" x14ac:dyDescent="0.25">
      <c r="A8682" s="84" t="s">
        <v>34</v>
      </c>
      <c r="B8682" s="356">
        <v>44254</v>
      </c>
      <c r="C8682" s="1">
        <v>112</v>
      </c>
      <c r="D8682" s="47">
        <f t="shared" si="729"/>
        <v>26059</v>
      </c>
      <c r="E8682" s="1">
        <v>3</v>
      </c>
      <c r="F8682" s="47">
        <f t="shared" si="735"/>
        <v>1095</v>
      </c>
      <c r="G8682" s="203">
        <f>SUM(C8682,C8658,C8634,C8610,C8586,C8562,C8538,C8514,C8490,C8466,C8442,C8418,C8394,C8370)/POBLA!$B$17*100000</f>
        <v>88.177663951833651</v>
      </c>
      <c r="H8682" s="213">
        <f t="shared" si="734"/>
        <v>1.2253658536585366</v>
      </c>
    </row>
    <row r="8683" spans="1:8" x14ac:dyDescent="0.25">
      <c r="A8683" s="84" t="s">
        <v>35</v>
      </c>
      <c r="B8683" s="356">
        <v>44254</v>
      </c>
      <c r="C8683" s="1">
        <v>12</v>
      </c>
      <c r="D8683" s="47">
        <f t="shared" si="729"/>
        <v>15239</v>
      </c>
      <c r="F8683" s="47">
        <f t="shared" si="735"/>
        <v>208</v>
      </c>
      <c r="G8683" s="203">
        <f>SUM(C8683,C8659,C8635,C8611,C8587,C8563,C8539,C8515,C8491,C8467,C8443,C8419,C8395,C8371)/POBLA!$B$18*100000</f>
        <v>81.283433412227339</v>
      </c>
      <c r="H8683" s="213">
        <f t="shared" si="734"/>
        <v>0.95488721804511278</v>
      </c>
    </row>
    <row r="8684" spans="1:8" x14ac:dyDescent="0.25">
      <c r="A8684" s="84" t="s">
        <v>36</v>
      </c>
      <c r="B8684" s="356">
        <v>44254</v>
      </c>
      <c r="C8684" s="1">
        <v>16</v>
      </c>
      <c r="D8684" s="47">
        <f t="shared" si="729"/>
        <v>20772</v>
      </c>
      <c r="F8684" s="47">
        <f t="shared" si="735"/>
        <v>353</v>
      </c>
      <c r="G8684" s="203">
        <f>SUM(C8684,C8660,C8636,C8612,C8588,C8564,C8540,C8516,C8492,C8468,C8444,C8420,C8396,C8372)/POBLA!$B$19*100000</f>
        <v>194.75614170378182</v>
      </c>
      <c r="H8684" s="213">
        <f t="shared" si="734"/>
        <v>1.2468513853904282</v>
      </c>
    </row>
    <row r="8685" spans="1:8" x14ac:dyDescent="0.25">
      <c r="A8685" s="84" t="s">
        <v>37</v>
      </c>
      <c r="B8685" s="356">
        <v>44254</v>
      </c>
      <c r="C8685" s="1">
        <v>69</v>
      </c>
      <c r="D8685" s="47">
        <f t="shared" si="729"/>
        <v>35896</v>
      </c>
      <c r="F8685" s="47">
        <f t="shared" si="735"/>
        <v>573</v>
      </c>
      <c r="G8685" s="203">
        <f>SUM(C8685,C8661,C8637,C8613,C8589,C8565,C8541,C8517,C8493,C8469,C8445,C8421,C8397,C8373)/POBLA!$B$20*100000</f>
        <v>388.02509174236667</v>
      </c>
      <c r="H8685" s="213">
        <f t="shared" si="734"/>
        <v>0.69695481335952847</v>
      </c>
    </row>
    <row r="8686" spans="1:8" x14ac:dyDescent="0.25">
      <c r="A8686" s="84" t="s">
        <v>22</v>
      </c>
      <c r="B8686" s="356">
        <v>44254</v>
      </c>
      <c r="C8686" s="1">
        <v>379</v>
      </c>
      <c r="D8686" s="47">
        <f t="shared" si="729"/>
        <v>216342</v>
      </c>
      <c r="E8686" s="1">
        <v>14</v>
      </c>
      <c r="F8686" s="47">
        <f t="shared" si="735"/>
        <v>3958</v>
      </c>
      <c r="G8686" s="203">
        <f>SUM(C8686,C8662,C8638,C8614,C8590,C8566,C8542,C8518,C8494,C8470,C8446,C8422,C8398,C8374)/POBLA!$B$21*100000</f>
        <v>130.58411081495456</v>
      </c>
      <c r="H8686" s="213">
        <f t="shared" si="734"/>
        <v>0.75519215044971377</v>
      </c>
    </row>
    <row r="8687" spans="1:8" x14ac:dyDescent="0.25">
      <c r="A8687" s="84" t="s">
        <v>38</v>
      </c>
      <c r="B8687" s="356">
        <v>44254</v>
      </c>
      <c r="C8687" s="1">
        <v>83</v>
      </c>
      <c r="D8687" s="47">
        <f t="shared" si="729"/>
        <v>22568</v>
      </c>
      <c r="E8687" s="1">
        <v>1</v>
      </c>
      <c r="F8687" s="47">
        <f t="shared" si="735"/>
        <v>268</v>
      </c>
      <c r="G8687" s="203">
        <f>SUM(C8687,C8663,C8639,C8615,C8591,C8567,C8543,C8519,C8495,C8471,C8447,C8423,C8399,C8375)/POBLA!$B$22*100000</f>
        <v>75.129329774826672</v>
      </c>
      <c r="H8687" s="213">
        <f t="shared" si="734"/>
        <v>0.68627450980392157</v>
      </c>
    </row>
    <row r="8688" spans="1:8" x14ac:dyDescent="0.25">
      <c r="A8688" s="84" t="s">
        <v>39</v>
      </c>
      <c r="B8688" s="356">
        <v>44254</v>
      </c>
      <c r="C8688" s="1">
        <v>39</v>
      </c>
      <c r="D8688" s="47">
        <f t="shared" si="729"/>
        <v>22933</v>
      </c>
      <c r="F8688" s="47">
        <f t="shared" si="735"/>
        <v>353</v>
      </c>
      <c r="G8688" s="203">
        <f>SUM(C8688,C8664,C8640,C8616,C8592,C8568,C8544,C8520,C8496,C8472,C8448,C8424,C8400,C8376)/POBLA!$B$23*100000</f>
        <v>286.1505400667308</v>
      </c>
      <c r="H8688" s="213">
        <f t="shared" si="734"/>
        <v>0.7760736196319018</v>
      </c>
    </row>
    <row r="8689" spans="1:8" ht="15.75" thickBot="1" x14ac:dyDescent="0.3">
      <c r="A8689" s="85" t="s">
        <v>40</v>
      </c>
      <c r="B8689" s="356">
        <v>44254</v>
      </c>
      <c r="C8689" s="1">
        <v>73</v>
      </c>
      <c r="D8689" s="214">
        <f t="shared" si="729"/>
        <v>79713</v>
      </c>
      <c r="F8689" s="214">
        <f t="shared" si="735"/>
        <v>1473</v>
      </c>
      <c r="G8689" s="215">
        <f>SUM(C8689,C8665,C8641,C8617,C8593,C8569,C8545,C8521,C8497,C8473,C8449,C8425,C8401,C8377)/POBLA!$B$24*100000</f>
        <v>99.253181766683042</v>
      </c>
      <c r="H8689" s="216">
        <f t="shared" si="734"/>
        <v>0.98593200468933173</v>
      </c>
    </row>
    <row r="8690" spans="1:8" x14ac:dyDescent="0.25">
      <c r="A8690" s="36" t="s">
        <v>16</v>
      </c>
      <c r="B8690" s="356">
        <v>44255</v>
      </c>
      <c r="C8690" s="1">
        <v>1282</v>
      </c>
      <c r="D8690" s="211">
        <f t="shared" si="729"/>
        <v>879807</v>
      </c>
      <c r="E8690" s="1">
        <v>1</v>
      </c>
      <c r="F8690" s="211">
        <f t="shared" ref="F8690:F8696" si="736">E8690+F8666</f>
        <v>26217</v>
      </c>
      <c r="G8690" s="212">
        <f>SUM(C8690,C8666,C8642,C8618,C8594,C8570,C8546,C8522,C8498,C8474,C8450,C8426,C8402,C8378)/POBLA!$B$1*100000</f>
        <v>195.01582023655132</v>
      </c>
      <c r="H8690" s="196">
        <f t="shared" ref="H8690:H8713" si="737">SUM(C8690,C8666,C8642,C8618,C8594,C8570,C8546,C8522,C8498,C8474,C8450,C8426,C8402,C8378)/SUM(C8354,C8330,C8306,C8282,C8258,C8234,C8210,C8186,C8162,C8138,C8114,C8090,C8066,C8042)</f>
        <v>0.82926474509708858</v>
      </c>
    </row>
    <row r="8691" spans="1:8" x14ac:dyDescent="0.25">
      <c r="A8691" s="84" t="s">
        <v>43</v>
      </c>
      <c r="B8691" s="356">
        <v>44255</v>
      </c>
      <c r="C8691" s="1">
        <v>437</v>
      </c>
      <c r="D8691" s="47">
        <f t="shared" si="729"/>
        <v>231892</v>
      </c>
      <c r="E8691" s="1">
        <v>1</v>
      </c>
      <c r="F8691" s="47">
        <f t="shared" si="736"/>
        <v>6522</v>
      </c>
      <c r="G8691" s="203">
        <f>SUM(C8691,C8667,C8643,C8619,C8595,C8571,C8547,C8523,C8499,C8475,C8451,C8427,C8403,C8379)/POBLA!$B$2*100000</f>
        <v>307.22001166584192</v>
      </c>
      <c r="H8691" s="213">
        <f t="shared" si="737"/>
        <v>0.77482574825748263</v>
      </c>
    </row>
    <row r="8692" spans="1:8" x14ac:dyDescent="0.25">
      <c r="A8692" s="84" t="s">
        <v>28</v>
      </c>
      <c r="B8692" s="356">
        <v>44255</v>
      </c>
      <c r="C8692" s="1">
        <v>44</v>
      </c>
      <c r="D8692" s="47">
        <f t="shared" si="729"/>
        <v>7884</v>
      </c>
      <c r="F8692" s="47">
        <f t="shared" si="736"/>
        <v>17</v>
      </c>
      <c r="G8692" s="203">
        <f>SUM(C8692,C8668,C8644,C8620,C8596,C8572,C8548,C8524,C8500,C8476,C8452,C8428,C8404,C8380)/POBLA!$B$3*100000</f>
        <v>262.61439733486105</v>
      </c>
      <c r="H8692" s="213">
        <f t="shared" si="737"/>
        <v>0.7737588652482269</v>
      </c>
    </row>
    <row r="8693" spans="1:8" x14ac:dyDescent="0.25">
      <c r="A8693" s="84" t="s">
        <v>15</v>
      </c>
      <c r="B8693" s="356">
        <v>44255</v>
      </c>
      <c r="C8693" s="1">
        <v>84</v>
      </c>
      <c r="D8693" s="47">
        <f t="shared" si="729"/>
        <v>34143</v>
      </c>
      <c r="F8693" s="47">
        <f t="shared" si="736"/>
        <v>865</v>
      </c>
      <c r="G8693" s="203">
        <f>SUM(C8693,C8669,C8645,C8621,C8597,C8573,C8549,C8525,C8501,C8477,C8453,C8429,C8405,C8381)/POBLA!$B$4*100000</f>
        <v>140.88353987120405</v>
      </c>
      <c r="H8693" s="213">
        <f t="shared" si="737"/>
        <v>1.0029550827423168</v>
      </c>
    </row>
    <row r="8694" spans="1:8" x14ac:dyDescent="0.25">
      <c r="A8694" s="84" t="s">
        <v>29</v>
      </c>
      <c r="B8694" s="356">
        <v>44255</v>
      </c>
      <c r="C8694" s="1">
        <v>9</v>
      </c>
      <c r="D8694" s="47">
        <f t="shared" si="729"/>
        <v>46891</v>
      </c>
      <c r="F8694" s="47">
        <f t="shared" si="736"/>
        <v>770</v>
      </c>
      <c r="G8694" s="203">
        <f>SUM(C8694,C8670,C8646,C8622,C8598,C8574,C8550,C8526,C8502,C8478,C8454,C8430,C8406,C8382)/POBLA!$B$5*100000</f>
        <v>268.17707441429155</v>
      </c>
      <c r="H8694" s="213">
        <f t="shared" si="737"/>
        <v>0.5675213675213675</v>
      </c>
    </row>
    <row r="8695" spans="1:8" x14ac:dyDescent="0.25">
      <c r="A8695" s="84" t="s">
        <v>30</v>
      </c>
      <c r="B8695" s="356">
        <v>44255</v>
      </c>
      <c r="C8695" s="1">
        <v>58</v>
      </c>
      <c r="D8695" s="47">
        <f t="shared" si="729"/>
        <v>21856</v>
      </c>
      <c r="F8695" s="47">
        <f t="shared" si="736"/>
        <v>300</v>
      </c>
      <c r="G8695" s="203">
        <f>SUM(C8695,C8671,C8647,C8623,C8599,C8575,C8551,C8527,C8503,C8479,C8455,C8431,C8407,C8383)/POBLA!$B$7*100000</f>
        <v>66.66755308540202</v>
      </c>
      <c r="H8695" s="213">
        <f t="shared" si="737"/>
        <v>1.2687246963562753</v>
      </c>
    </row>
    <row r="8696" spans="1:8" x14ac:dyDescent="0.25">
      <c r="A8696" s="84" t="s">
        <v>20</v>
      </c>
      <c r="B8696" s="356">
        <v>44255</v>
      </c>
      <c r="C8696" s="1">
        <v>334</v>
      </c>
      <c r="D8696" s="47">
        <f t="shared" si="729"/>
        <v>159878</v>
      </c>
      <c r="E8696" s="1">
        <v>1</v>
      </c>
      <c r="F8696" s="47">
        <f t="shared" si="736"/>
        <v>2833</v>
      </c>
      <c r="G8696" s="203">
        <f>SUM(C8696,C8672,C8648,C8624,C8600,C8576,C8552,C8528,C8504,C8480,C8456,C8432,C8408,C8384)/POBLA!$B$6*100000</f>
        <v>698.87517944755575</v>
      </c>
      <c r="H8696" s="213">
        <f t="shared" si="737"/>
        <v>1.1182012847965739</v>
      </c>
    </row>
    <row r="8697" spans="1:8" x14ac:dyDescent="0.25">
      <c r="A8697" s="84" t="s">
        <v>31</v>
      </c>
      <c r="B8697" s="356">
        <v>44255</v>
      </c>
      <c r="C8697" s="1">
        <v>52</v>
      </c>
      <c r="D8697" s="47">
        <f t="shared" si="729"/>
        <v>45167</v>
      </c>
      <c r="E8697" s="1">
        <v>4</v>
      </c>
      <c r="F8697" s="47">
        <f t="shared" ref="F8697:F8713" si="738">E8697+F8673</f>
        <v>841</v>
      </c>
      <c r="G8697" s="203">
        <f>SUM(C8697,C8673,C8649,C8625,C8601,C8577,C8553,C8529,C8505,C8481,C8457,C8433,C8409,C8385)/POBLA!$B$8*100000</f>
        <v>116.9585579969422</v>
      </c>
      <c r="H8697" s="213">
        <f t="shared" si="737"/>
        <v>0.63394603050449749</v>
      </c>
    </row>
    <row r="8698" spans="1:8" x14ac:dyDescent="0.25">
      <c r="A8698" s="84" t="s">
        <v>41</v>
      </c>
      <c r="B8698" s="356">
        <v>44255</v>
      </c>
      <c r="C8698" s="1">
        <v>1</v>
      </c>
      <c r="D8698" s="47">
        <f t="shared" si="729"/>
        <v>1221</v>
      </c>
      <c r="F8698" s="47">
        <f t="shared" si="738"/>
        <v>19</v>
      </c>
      <c r="G8698" s="203">
        <f>SUM(C8698,C8674,C8650,C8626,C8602,C8578,C8554,C8530,C8506,C8482,C8458,C8434,C8410,C8386)/POBLA!$B$9*100000</f>
        <v>41.804845726900346</v>
      </c>
      <c r="H8698" s="213">
        <f t="shared" si="737"/>
        <v>2.024</v>
      </c>
    </row>
    <row r="8699" spans="1:8" x14ac:dyDescent="0.25">
      <c r="A8699" s="84" t="s">
        <v>32</v>
      </c>
      <c r="B8699" s="356">
        <v>44255</v>
      </c>
      <c r="C8699" s="1">
        <v>85</v>
      </c>
      <c r="D8699" s="47">
        <f t="shared" si="729"/>
        <v>20752</v>
      </c>
      <c r="E8699" s="1">
        <v>1</v>
      </c>
      <c r="F8699" s="47">
        <f t="shared" si="738"/>
        <v>905</v>
      </c>
      <c r="G8699" s="203">
        <f>SUM(C8699,C8675,C8651,C8627,C8603,C8579,C8555,C8531,C8507,C8483,C8459,C8435,C8411,C8387)/POBLA!$B$10*100000</f>
        <v>127.51643898344881</v>
      </c>
      <c r="H8699" s="213">
        <f t="shared" si="737"/>
        <v>2.1369565217391306</v>
      </c>
    </row>
    <row r="8700" spans="1:8" x14ac:dyDescent="0.25">
      <c r="A8700" s="84" t="s">
        <v>33</v>
      </c>
      <c r="B8700" s="356">
        <v>44255</v>
      </c>
      <c r="C8700" s="1">
        <v>47</v>
      </c>
      <c r="D8700" s="47">
        <f t="shared" si="729"/>
        <v>18690</v>
      </c>
      <c r="F8700" s="47">
        <f t="shared" si="738"/>
        <v>285</v>
      </c>
      <c r="G8700" s="203">
        <f>SUM(C8700,C8676,C8652,C8628,C8604,C8580,C8556,C8532,C8508,C8484,C8460,C8436,C8412,C8388)/POBLA!$B$11*100000</f>
        <v>272.30015512180967</v>
      </c>
      <c r="H8700" s="213">
        <f t="shared" si="737"/>
        <v>0.76549019607843138</v>
      </c>
    </row>
    <row r="8701" spans="1:8" x14ac:dyDescent="0.25">
      <c r="A8701" s="84" t="s">
        <v>21</v>
      </c>
      <c r="B8701" s="356">
        <v>44255</v>
      </c>
      <c r="C8701" s="1">
        <v>50</v>
      </c>
      <c r="D8701" s="47">
        <f t="shared" si="729"/>
        <v>10224</v>
      </c>
      <c r="E8701" s="1">
        <v>3</v>
      </c>
      <c r="F8701" s="47">
        <f t="shared" si="738"/>
        <v>438</v>
      </c>
      <c r="G8701" s="203">
        <f>SUM(C8701,C8677,C8653,C8629,C8605,C8581,C8557,C8533,C8509,C8485,C8461,C8437,C8413,C8389)/POBLA!$B$12*100000</f>
        <v>95.799314412333473</v>
      </c>
      <c r="H8701" s="213">
        <f t="shared" si="737"/>
        <v>1.2608695652173914</v>
      </c>
    </row>
    <row r="8702" spans="1:8" x14ac:dyDescent="0.25">
      <c r="A8702" s="84" t="s">
        <v>17</v>
      </c>
      <c r="B8702" s="356">
        <v>44255</v>
      </c>
      <c r="C8702" s="1">
        <v>51</v>
      </c>
      <c r="D8702" s="47">
        <f t="shared" si="729"/>
        <v>67236</v>
      </c>
      <c r="E8702" s="1">
        <v>1</v>
      </c>
      <c r="F8702" s="47">
        <f t="shared" si="738"/>
        <v>1448</v>
      </c>
      <c r="G8702" s="203">
        <f>SUM(C8702,C8678,C8654,C8630,C8606,C8582,C8558,C8534,C8510,C8486,C8462,C8438,C8414,C8390)/POBLA!$B$13*100000</f>
        <v>79.031802638546822</v>
      </c>
      <c r="H8702" s="213">
        <f t="shared" si="737"/>
        <v>0.85027027027027025</v>
      </c>
    </row>
    <row r="8703" spans="1:8" x14ac:dyDescent="0.25">
      <c r="A8703" s="84" t="s">
        <v>23</v>
      </c>
      <c r="B8703" s="356">
        <v>44255</v>
      </c>
      <c r="C8703" s="1">
        <v>73</v>
      </c>
      <c r="D8703" s="47">
        <f t="shared" si="729"/>
        <v>8274</v>
      </c>
      <c r="F8703" s="47">
        <f t="shared" si="738"/>
        <v>140</v>
      </c>
      <c r="G8703" s="203">
        <f>SUM(C8703,C8679,C8655,C8631,C8607,C8583,C8559,C8535,C8511,C8487,C8463,C8439,C8415,C8391)/POBLA!$B$14*100000</f>
        <v>121.93826340250568</v>
      </c>
      <c r="H8703" s="213">
        <f t="shared" si="737"/>
        <v>0.75875678342377895</v>
      </c>
    </row>
    <row r="8704" spans="1:8" x14ac:dyDescent="0.25">
      <c r="A8704" s="84" t="s">
        <v>19</v>
      </c>
      <c r="B8704" s="356">
        <v>44255</v>
      </c>
      <c r="C8704" s="1">
        <v>79</v>
      </c>
      <c r="D8704" s="47">
        <f t="shared" si="729"/>
        <v>61176</v>
      </c>
      <c r="E8704" s="1">
        <v>2</v>
      </c>
      <c r="F8704" s="47">
        <f t="shared" si="738"/>
        <v>902</v>
      </c>
      <c r="G8704" s="203">
        <f>SUM(C8704,C8680,C8656,C8632,C8608,C8584,C8560,C8536,C8512,C8488,C8464,C8440,C8416,C8392)/POBLA!$B$15*100000</f>
        <v>378.43136959628464</v>
      </c>
      <c r="H8704" s="213">
        <f t="shared" si="737"/>
        <v>0.54559270516717329</v>
      </c>
    </row>
    <row r="8705" spans="1:8" x14ac:dyDescent="0.25">
      <c r="A8705" s="84" t="s">
        <v>18</v>
      </c>
      <c r="B8705" s="356">
        <v>44255</v>
      </c>
      <c r="C8705" s="1">
        <v>56</v>
      </c>
      <c r="D8705" s="47">
        <f t="shared" si="729"/>
        <v>52326</v>
      </c>
      <c r="F8705" s="47">
        <f t="shared" si="738"/>
        <v>1182</v>
      </c>
      <c r="G8705" s="203">
        <f>SUM(C8705,C8681,C8657,C8633,C8609,C8585,C8561,C8537,C8513,C8489,C8465,C8441,C8417,C8393)/POBLA!$B$16*100000</f>
        <v>231.27031473629296</v>
      </c>
      <c r="H8705" s="213">
        <f t="shared" si="737"/>
        <v>0.63824289405684753</v>
      </c>
    </row>
    <row r="8706" spans="1:8" x14ac:dyDescent="0.25">
      <c r="A8706" s="84" t="s">
        <v>34</v>
      </c>
      <c r="B8706" s="356">
        <v>44255</v>
      </c>
      <c r="C8706" s="1">
        <v>82</v>
      </c>
      <c r="D8706" s="47">
        <f t="shared" ref="D8706:D8769" si="739">C8706+D8682</f>
        <v>26141</v>
      </c>
      <c r="F8706" s="47">
        <f t="shared" si="738"/>
        <v>1095</v>
      </c>
      <c r="G8706" s="203">
        <f>SUM(C8706,C8682,C8658,C8634,C8610,C8586,C8562,C8538,C8514,C8490,C8466,C8442,C8418,C8394)/POBLA!$B$17*100000</f>
        <v>91.547510981840034</v>
      </c>
      <c r="H8706" s="213">
        <f t="shared" si="737"/>
        <v>1.2647914645974783</v>
      </c>
    </row>
    <row r="8707" spans="1:8" x14ac:dyDescent="0.25">
      <c r="A8707" s="84" t="s">
        <v>35</v>
      </c>
      <c r="B8707" s="356">
        <v>44255</v>
      </c>
      <c r="C8707" s="1">
        <v>5</v>
      </c>
      <c r="D8707" s="47">
        <f t="shared" si="739"/>
        <v>15244</v>
      </c>
      <c r="F8707" s="47">
        <f t="shared" si="738"/>
        <v>208</v>
      </c>
      <c r="G8707" s="203">
        <f>SUM(C8707,C8683,C8659,C8635,C8611,C8587,C8563,C8539,C8515,C8491,C8467,C8443,C8419,C8395)/POBLA!$B$18*100000</f>
        <v>81.02742259833056</v>
      </c>
      <c r="H8707" s="213">
        <f t="shared" si="737"/>
        <v>0.95763993948562787</v>
      </c>
    </row>
    <row r="8708" spans="1:8" x14ac:dyDescent="0.25">
      <c r="A8708" s="84" t="s">
        <v>36</v>
      </c>
      <c r="B8708" s="356">
        <v>44255</v>
      </c>
      <c r="C8708" s="1">
        <v>1</v>
      </c>
      <c r="D8708" s="47">
        <f t="shared" si="739"/>
        <v>20773</v>
      </c>
      <c r="F8708" s="47">
        <f t="shared" si="738"/>
        <v>353</v>
      </c>
      <c r="G8708" s="203">
        <f>SUM(C8708,C8684,C8660,C8636,C8612,C8588,C8564,C8540,C8516,C8492,C8468,C8444,C8420,C8396)/POBLA!$B$19*100000</f>
        <v>137.31291606993909</v>
      </c>
      <c r="H8708" s="213">
        <f t="shared" si="737"/>
        <v>0.65539906103286383</v>
      </c>
    </row>
    <row r="8709" spans="1:8" x14ac:dyDescent="0.25">
      <c r="A8709" s="84" t="s">
        <v>37</v>
      </c>
      <c r="B8709" s="356">
        <v>44255</v>
      </c>
      <c r="C8709" s="1">
        <v>35</v>
      </c>
      <c r="D8709" s="47">
        <f t="shared" si="739"/>
        <v>35931</v>
      </c>
      <c r="E8709" s="1">
        <v>5</v>
      </c>
      <c r="F8709" s="47">
        <f t="shared" si="738"/>
        <v>578</v>
      </c>
      <c r="G8709" s="203">
        <f>SUM(C8709,C8685,C8661,C8637,C8613,C8589,C8565,C8541,C8517,C8493,C8469,C8445,C8421,C8397)/POBLA!$B$20*100000</f>
        <v>381.18884981596835</v>
      </c>
      <c r="H8709" s="213">
        <f t="shared" si="737"/>
        <v>0.69734867433716863</v>
      </c>
    </row>
    <row r="8710" spans="1:8" x14ac:dyDescent="0.25">
      <c r="A8710" s="84" t="s">
        <v>22</v>
      </c>
      <c r="B8710" s="356">
        <v>44255</v>
      </c>
      <c r="C8710" s="1">
        <v>123</v>
      </c>
      <c r="D8710" s="47">
        <f t="shared" si="739"/>
        <v>216465</v>
      </c>
      <c r="F8710" s="47">
        <f t="shared" si="738"/>
        <v>3958</v>
      </c>
      <c r="G8710" s="203">
        <f>SUM(C8710,C8686,C8662,C8638,C8614,C8590,C8566,C8542,C8518,C8494,C8470,C8446,C8422,C8398)/POBLA!$B$21*100000</f>
        <v>128.60470679653818</v>
      </c>
      <c r="H8710" s="213">
        <f t="shared" si="737"/>
        <v>0.7466754227548843</v>
      </c>
    </row>
    <row r="8711" spans="1:8" x14ac:dyDescent="0.25">
      <c r="A8711" s="84" t="s">
        <v>38</v>
      </c>
      <c r="B8711" s="356">
        <v>44255</v>
      </c>
      <c r="C8711" s="1">
        <v>90</v>
      </c>
      <c r="D8711" s="47">
        <f t="shared" si="739"/>
        <v>22658</v>
      </c>
      <c r="F8711" s="47">
        <f t="shared" si="738"/>
        <v>268</v>
      </c>
      <c r="G8711" s="203">
        <f>SUM(C8711,C8687,C8663,C8639,C8615,C8591,C8567,C8543,C8519,C8495,C8471,C8447,C8423,C8399)/POBLA!$B$22*100000</f>
        <v>81.364553062261251</v>
      </c>
      <c r="H8711" s="213">
        <f t="shared" si="737"/>
        <v>0.7865612648221344</v>
      </c>
    </row>
    <row r="8712" spans="1:8" x14ac:dyDescent="0.25">
      <c r="A8712" s="84" t="s">
        <v>39</v>
      </c>
      <c r="B8712" s="356">
        <v>44255</v>
      </c>
      <c r="C8712" s="1">
        <v>6</v>
      </c>
      <c r="D8712" s="47">
        <f t="shared" si="739"/>
        <v>22939</v>
      </c>
      <c r="F8712" s="47">
        <f t="shared" si="738"/>
        <v>353</v>
      </c>
      <c r="G8712" s="203">
        <f>SUM(C8712,C8688,C8664,C8640,C8616,C8592,C8568,C8544,C8520,C8496,C8472,C8448,C8424,C8400)/POBLA!$B$23*100000</f>
        <v>274.27472713906013</v>
      </c>
      <c r="H8712" s="213">
        <f t="shared" si="737"/>
        <v>0.7601880877742947</v>
      </c>
    </row>
    <row r="8713" spans="1:8" ht="15.75" thickBot="1" x14ac:dyDescent="0.3">
      <c r="A8713" s="85" t="s">
        <v>40</v>
      </c>
      <c r="B8713" s="356">
        <v>44255</v>
      </c>
      <c r="C8713" s="1">
        <v>84</v>
      </c>
      <c r="D8713" s="214">
        <f t="shared" si="739"/>
        <v>79797</v>
      </c>
      <c r="F8713" s="214">
        <f t="shared" si="738"/>
        <v>1473</v>
      </c>
      <c r="G8713" s="215">
        <f>SUM(C8713,C8689,C8665,C8641,C8617,C8593,C8569,C8545,C8521,C8497,C8473,C8449,C8425,C8401)/POBLA!$B$24*100000</f>
        <v>100.37435326107482</v>
      </c>
      <c r="H8713" s="216">
        <f t="shared" si="737"/>
        <v>1.0005882352941176</v>
      </c>
    </row>
    <row r="8714" spans="1:8" x14ac:dyDescent="0.25">
      <c r="A8714" s="36" t="s">
        <v>16</v>
      </c>
      <c r="B8714" s="356">
        <v>44256</v>
      </c>
      <c r="C8714" s="1">
        <v>2004</v>
      </c>
      <c r="D8714" s="211">
        <f t="shared" si="739"/>
        <v>881811</v>
      </c>
      <c r="E8714" s="1">
        <v>26</v>
      </c>
      <c r="F8714" s="211">
        <f t="shared" ref="F8714:F8720" si="740">E8714+F8690</f>
        <v>26243</v>
      </c>
      <c r="G8714" s="212">
        <f>SUM(C8714,C8690,C8666,C8642,C8618,C8594,C8570,C8546,C8522,C8498,C8474,C8450,C8426,C8402)/POBLA!$B$1*100000</f>
        <v>198.63588121206027</v>
      </c>
      <c r="H8714" s="196">
        <f t="shared" ref="H8714:H8737" si="741">SUM(C8714,C8690,C8666,C8642,C8618,C8594,C8570,C8546,C8522,C8498,C8474,C8450,C8426,C8402)/SUM(C8378,C8354,C8330,C8306,C8282,C8258,C8234,C8210,C8186,C8162,C8138,C8114,C8090,C8066)</f>
        <v>0.86990063414390573</v>
      </c>
    </row>
    <row r="8715" spans="1:8" x14ac:dyDescent="0.25">
      <c r="A8715" s="84" t="s">
        <v>43</v>
      </c>
      <c r="B8715" s="356">
        <v>44256</v>
      </c>
      <c r="C8715" s="1">
        <v>432</v>
      </c>
      <c r="D8715" s="47">
        <f t="shared" si="739"/>
        <v>232324</v>
      </c>
      <c r="E8715" s="1">
        <v>6</v>
      </c>
      <c r="F8715" s="47">
        <f t="shared" si="740"/>
        <v>6528</v>
      </c>
      <c r="G8715" s="203">
        <f>SUM(C8715,C8691,C8667,C8643,C8619,C8595,C8571,C8547,C8523,C8499,C8475,C8451,C8427,C8403)/POBLA!$B$2*100000</f>
        <v>305.30171547700871</v>
      </c>
      <c r="H8715" s="213">
        <f t="shared" si="741"/>
        <v>0.79455068539515994</v>
      </c>
    </row>
    <row r="8716" spans="1:8" x14ac:dyDescent="0.25">
      <c r="A8716" s="84" t="s">
        <v>28</v>
      </c>
      <c r="B8716" s="356">
        <v>44256</v>
      </c>
      <c r="C8716" s="1">
        <v>154</v>
      </c>
      <c r="D8716" s="47">
        <f t="shared" si="739"/>
        <v>8038</v>
      </c>
      <c r="F8716" s="47">
        <f t="shared" si="740"/>
        <v>17</v>
      </c>
      <c r="G8716" s="203">
        <f>SUM(C8716,C8692,C8668,C8644,C8620,C8596,C8572,C8548,C8524,C8500,C8476,C8452,C8428,C8404)/POBLA!$B$3*100000</f>
        <v>279.22337388491184</v>
      </c>
      <c r="H8716" s="213">
        <f t="shared" si="741"/>
        <v>0.86891385767790263</v>
      </c>
    </row>
    <row r="8717" spans="1:8" x14ac:dyDescent="0.25">
      <c r="A8717" s="84" t="s">
        <v>15</v>
      </c>
      <c r="B8717" s="356">
        <v>44256</v>
      </c>
      <c r="C8717" s="1">
        <v>74</v>
      </c>
      <c r="D8717" s="47">
        <f t="shared" si="739"/>
        <v>34217</v>
      </c>
      <c r="E8717" s="1">
        <v>2</v>
      </c>
      <c r="F8717" s="47">
        <f t="shared" si="740"/>
        <v>867</v>
      </c>
      <c r="G8717" s="203">
        <f>SUM(C8717,C8693,C8669,C8645,C8621,C8597,C8573,C8549,C8525,C8501,C8477,C8453,C8429,C8405)/POBLA!$B$4*100000</f>
        <v>141.79675079553124</v>
      </c>
      <c r="H8717" s="213">
        <f t="shared" si="741"/>
        <v>1.0276774969915765</v>
      </c>
    </row>
    <row r="8718" spans="1:8" x14ac:dyDescent="0.25">
      <c r="A8718" s="84" t="s">
        <v>29</v>
      </c>
      <c r="B8718" s="356">
        <v>44256</v>
      </c>
      <c r="C8718" s="1">
        <v>117</v>
      </c>
      <c r="D8718" s="47">
        <f t="shared" si="739"/>
        <v>47008</v>
      </c>
      <c r="E8718" s="1">
        <v>5</v>
      </c>
      <c r="F8718" s="47">
        <f t="shared" si="740"/>
        <v>775</v>
      </c>
      <c r="G8718" s="203">
        <f>SUM(C8718,C8694,C8670,C8646,C8622,C8598,C8574,C8550,C8526,C8502,C8478,C8454,C8430,C8406)/POBLA!$B$5*100000</f>
        <v>277.22401186441226</v>
      </c>
      <c r="H8718" s="213">
        <f t="shared" si="741"/>
        <v>0.61949458483754516</v>
      </c>
    </row>
    <row r="8719" spans="1:8" x14ac:dyDescent="0.25">
      <c r="A8719" s="84" t="s">
        <v>30</v>
      </c>
      <c r="B8719" s="356">
        <v>44256</v>
      </c>
      <c r="C8719" s="1">
        <v>93</v>
      </c>
      <c r="D8719" s="47">
        <f t="shared" si="739"/>
        <v>21949</v>
      </c>
      <c r="F8719" s="47">
        <f t="shared" si="740"/>
        <v>300</v>
      </c>
      <c r="G8719" s="203">
        <f>SUM(C8719,C8695,C8671,C8647,C8623,C8599,C8575,C8551,C8527,C8503,C8479,C8455,C8431,C8407)/POBLA!$B$7*100000</f>
        <v>61.24267042508211</v>
      </c>
      <c r="H8719" s="213">
        <f t="shared" si="741"/>
        <v>1.1056168987037926</v>
      </c>
    </row>
    <row r="8720" spans="1:8" x14ac:dyDescent="0.25">
      <c r="A8720" s="84" t="s">
        <v>20</v>
      </c>
      <c r="B8720" s="356">
        <v>44256</v>
      </c>
      <c r="C8720" s="1">
        <v>393</v>
      </c>
      <c r="D8720" s="47">
        <f t="shared" si="739"/>
        <v>160271</v>
      </c>
      <c r="E8720" s="1">
        <v>12</v>
      </c>
      <c r="F8720" s="47">
        <f t="shared" si="740"/>
        <v>2845</v>
      </c>
      <c r="G8720" s="203">
        <f>SUM(C8720,C8696,C8672,C8648,C8624,C8600,C8576,C8552,C8528,C8504,C8480,C8456,C8432,C8408)/POBLA!$B$6*100000</f>
        <v>722.78664990484492</v>
      </c>
      <c r="H8720" s="213">
        <f t="shared" si="741"/>
        <v>1.1857435597189696</v>
      </c>
    </row>
    <row r="8721" spans="1:8" x14ac:dyDescent="0.25">
      <c r="A8721" s="84" t="s">
        <v>31</v>
      </c>
      <c r="B8721" s="356">
        <v>44256</v>
      </c>
      <c r="C8721" s="1">
        <v>92</v>
      </c>
      <c r="D8721" s="47">
        <f t="shared" si="739"/>
        <v>45259</v>
      </c>
      <c r="E8721" s="1">
        <v>12</v>
      </c>
      <c r="F8721" s="47">
        <f t="shared" ref="F8721:F8737" si="742">E8721+F8697</f>
        <v>853</v>
      </c>
      <c r="G8721" s="203">
        <f>SUM(C8721,C8697,C8673,C8649,C8625,C8601,C8577,C8553,C8529,C8505,C8481,C8457,C8433,C8409)/POBLA!$B$8*100000</f>
        <v>121.21553203878032</v>
      </c>
      <c r="H8721" s="213">
        <f t="shared" si="741"/>
        <v>0.69680630443799252</v>
      </c>
    </row>
    <row r="8722" spans="1:8" x14ac:dyDescent="0.25">
      <c r="A8722" s="84" t="s">
        <v>41</v>
      </c>
      <c r="B8722" s="356">
        <v>44256</v>
      </c>
      <c r="C8722" s="1">
        <v>22</v>
      </c>
      <c r="D8722" s="47">
        <f t="shared" si="739"/>
        <v>1243</v>
      </c>
      <c r="F8722" s="47">
        <f t="shared" si="742"/>
        <v>19</v>
      </c>
      <c r="G8722" s="203">
        <f>SUM(C8722,C8698,C8674,C8650,C8626,C8602,C8578,C8554,C8530,C8506,C8482,C8458,C8434,C8410)/POBLA!$B$9*100000</f>
        <v>44.448630436901951</v>
      </c>
      <c r="H8722" s="213">
        <f t="shared" si="741"/>
        <v>2.1181102362204722</v>
      </c>
    </row>
    <row r="8723" spans="1:8" x14ac:dyDescent="0.25">
      <c r="A8723" s="84" t="s">
        <v>32</v>
      </c>
      <c r="B8723" s="356">
        <v>44256</v>
      </c>
      <c r="C8723" s="1">
        <v>44</v>
      </c>
      <c r="D8723" s="47">
        <f t="shared" si="739"/>
        <v>20796</v>
      </c>
      <c r="F8723" s="47">
        <f t="shared" si="742"/>
        <v>905</v>
      </c>
      <c r="G8723" s="203">
        <f>SUM(C8723,C8699,C8675,C8651,C8627,C8603,C8579,C8555,C8531,C8507,C8483,C8459,C8435,C8411)/POBLA!$B$10*100000</f>
        <v>129.46226460374558</v>
      </c>
      <c r="H8723" s="213">
        <f t="shared" si="741"/>
        <v>2.22271714922049</v>
      </c>
    </row>
    <row r="8724" spans="1:8" x14ac:dyDescent="0.25">
      <c r="A8724" s="84" t="s">
        <v>33</v>
      </c>
      <c r="B8724" s="356">
        <v>44256</v>
      </c>
      <c r="C8724" s="1">
        <v>75</v>
      </c>
      <c r="D8724" s="47">
        <f t="shared" si="739"/>
        <v>18765</v>
      </c>
      <c r="E8724" s="1">
        <v>4</v>
      </c>
      <c r="F8724" s="47">
        <f t="shared" si="742"/>
        <v>289</v>
      </c>
      <c r="G8724" s="203">
        <f>SUM(C8724,C8700,C8676,C8652,C8628,C8604,C8580,C8556,C8532,C8508,C8484,C8460,C8436,C8412)/POBLA!$B$11*100000</f>
        <v>284.57598178713715</v>
      </c>
      <c r="H8724" s="213">
        <f t="shared" si="741"/>
        <v>0.82792207792207795</v>
      </c>
    </row>
    <row r="8725" spans="1:8" x14ac:dyDescent="0.25">
      <c r="A8725" s="84" t="s">
        <v>21</v>
      </c>
      <c r="B8725" s="356">
        <v>44256</v>
      </c>
      <c r="C8725" s="1">
        <v>17</v>
      </c>
      <c r="D8725" s="47">
        <f t="shared" si="739"/>
        <v>10241</v>
      </c>
      <c r="E8725" s="1">
        <v>1</v>
      </c>
      <c r="F8725" s="47">
        <f t="shared" si="742"/>
        <v>439</v>
      </c>
      <c r="G8725" s="203">
        <f>SUM(C8725,C8701,C8677,C8653,C8629,C8605,C8581,C8557,C8533,C8509,C8485,C8461,C8437,C8413)/POBLA!$B$12*100000</f>
        <v>96.561643174235329</v>
      </c>
      <c r="H8725" s="213">
        <f t="shared" si="741"/>
        <v>1.2582781456953642</v>
      </c>
    </row>
    <row r="8726" spans="1:8" x14ac:dyDescent="0.25">
      <c r="A8726" s="84" t="s">
        <v>17</v>
      </c>
      <c r="B8726" s="356">
        <v>44256</v>
      </c>
      <c r="C8726" s="1">
        <v>98</v>
      </c>
      <c r="D8726" s="47">
        <f t="shared" si="739"/>
        <v>67334</v>
      </c>
      <c r="E8726" s="1">
        <v>1</v>
      </c>
      <c r="F8726" s="47">
        <f t="shared" si="742"/>
        <v>1449</v>
      </c>
      <c r="G8726" s="203">
        <f>SUM(C8726,C8702,C8678,C8654,C8630,C8606,C8582,C8558,C8534,C8510,C8486,C8462,C8438,C8414)/POBLA!$B$13*100000</f>
        <v>82.900492278195955</v>
      </c>
      <c r="H8726" s="213">
        <f t="shared" si="741"/>
        <v>0.92230296254890998</v>
      </c>
    </row>
    <row r="8727" spans="1:8" x14ac:dyDescent="0.25">
      <c r="A8727" s="84" t="s">
        <v>23</v>
      </c>
      <c r="B8727" s="356">
        <v>44256</v>
      </c>
      <c r="C8727" s="1">
        <v>106</v>
      </c>
      <c r="D8727" s="47">
        <f t="shared" si="739"/>
        <v>8380</v>
      </c>
      <c r="E8727" s="1">
        <v>3</v>
      </c>
      <c r="F8727" s="47">
        <f t="shared" si="742"/>
        <v>143</v>
      </c>
      <c r="G8727" s="203">
        <f>SUM(C8727,C8703,C8679,C8655,C8631,C8607,C8583,C8559,C8535,C8511,C8487,C8463,C8439,C8415)/POBLA!$B$14*100000</f>
        <v>121.38327780834602</v>
      </c>
      <c r="H8727" s="213">
        <f t="shared" si="741"/>
        <v>0.76934673366834172</v>
      </c>
    </row>
    <row r="8728" spans="1:8" x14ac:dyDescent="0.25">
      <c r="A8728" s="84" t="s">
        <v>19</v>
      </c>
      <c r="B8728" s="356">
        <v>44256</v>
      </c>
      <c r="C8728" s="1">
        <v>147</v>
      </c>
      <c r="D8728" s="47">
        <f t="shared" si="739"/>
        <v>61323</v>
      </c>
      <c r="E8728" s="1">
        <v>4</v>
      </c>
      <c r="F8728" s="47">
        <f t="shared" si="742"/>
        <v>906</v>
      </c>
      <c r="G8728" s="203">
        <f>SUM(C8728,C8704,C8680,C8656,C8632,C8608,C8584,C8560,C8536,C8512,C8488,C8464,C8440,C8416)/POBLA!$B$15*100000</f>
        <v>378.28078011375533</v>
      </c>
      <c r="H8728" s="213">
        <f t="shared" si="741"/>
        <v>0.57338507190139243</v>
      </c>
    </row>
    <row r="8729" spans="1:8" x14ac:dyDescent="0.25">
      <c r="A8729" s="84" t="s">
        <v>18</v>
      </c>
      <c r="B8729" s="356">
        <v>44256</v>
      </c>
      <c r="C8729" s="1">
        <v>111</v>
      </c>
      <c r="D8729" s="47">
        <f t="shared" si="739"/>
        <v>52437</v>
      </c>
      <c r="E8729" s="1">
        <v>6</v>
      </c>
      <c r="F8729" s="47">
        <f t="shared" si="742"/>
        <v>1188</v>
      </c>
      <c r="G8729" s="203">
        <f>SUM(C8729,C8705,C8681,C8657,C8633,C8609,C8585,C8561,C8537,C8513,C8489,C8465,C8441,C8417)/POBLA!$B$16*100000</f>
        <v>234.48054466901192</v>
      </c>
      <c r="H8729" s="213">
        <f t="shared" si="741"/>
        <v>0.70176140912730189</v>
      </c>
    </row>
    <row r="8730" spans="1:8" x14ac:dyDescent="0.25">
      <c r="A8730" s="84" t="s">
        <v>34</v>
      </c>
      <c r="B8730" s="356">
        <v>44256</v>
      </c>
      <c r="C8730" s="1">
        <v>56</v>
      </c>
      <c r="D8730" s="47">
        <f t="shared" si="739"/>
        <v>26197</v>
      </c>
      <c r="E8730" s="1">
        <v>2</v>
      </c>
      <c r="F8730" s="47">
        <f t="shared" si="742"/>
        <v>1097</v>
      </c>
      <c r="G8730" s="203">
        <f>SUM(C8730,C8706,C8682,C8658,C8634,C8610,C8586,C8562,C8538,C8514,C8490,C8466,C8442,C8418)/POBLA!$B$17*100000</f>
        <v>94.215306547261747</v>
      </c>
      <c r="H8730" s="213">
        <f t="shared" si="741"/>
        <v>1.3041788143828961</v>
      </c>
    </row>
    <row r="8731" spans="1:8" x14ac:dyDescent="0.25">
      <c r="A8731" s="84" t="s">
        <v>35</v>
      </c>
      <c r="B8731" s="356">
        <v>44256</v>
      </c>
      <c r="C8731" s="1">
        <v>48</v>
      </c>
      <c r="D8731" s="47">
        <f t="shared" si="739"/>
        <v>15292</v>
      </c>
      <c r="E8731" s="1">
        <v>3</v>
      </c>
      <c r="F8731" s="47">
        <f t="shared" si="742"/>
        <v>211</v>
      </c>
      <c r="G8731" s="203">
        <f>SUM(C8731,C8707,C8683,C8659,C8635,C8611,C8587,C8563,C8539,C8515,C8491,C8467,C8443,C8419)/POBLA!$B$18*100000</f>
        <v>86.531655097111297</v>
      </c>
      <c r="H8731" s="213">
        <f t="shared" si="741"/>
        <v>1.0920840064620356</v>
      </c>
    </row>
    <row r="8732" spans="1:8" x14ac:dyDescent="0.25">
      <c r="A8732" s="84" t="s">
        <v>36</v>
      </c>
      <c r="B8732" s="356">
        <v>44256</v>
      </c>
      <c r="C8732" s="1">
        <v>3</v>
      </c>
      <c r="D8732" s="47">
        <f t="shared" si="739"/>
        <v>20776</v>
      </c>
      <c r="E8732" s="1">
        <v>2</v>
      </c>
      <c r="F8732" s="47">
        <f t="shared" si="742"/>
        <v>355</v>
      </c>
      <c r="G8732" s="203">
        <f>SUM(C8732,C8708,C8684,C8660,C8636,C8612,C8588,C8564,C8540,C8516,C8492,C8468,C8444,C8420)/POBLA!$B$19*100000</f>
        <v>136.32929919264728</v>
      </c>
      <c r="H8732" s="213">
        <f t="shared" si="741"/>
        <v>0.64948453608247425</v>
      </c>
    </row>
    <row r="8733" spans="1:8" x14ac:dyDescent="0.25">
      <c r="A8733" s="84" t="s">
        <v>37</v>
      </c>
      <c r="B8733" s="356">
        <v>44256</v>
      </c>
      <c r="C8733" s="1">
        <v>63</v>
      </c>
      <c r="D8733" s="47">
        <f t="shared" si="739"/>
        <v>35994</v>
      </c>
      <c r="E8733" s="1">
        <v>6</v>
      </c>
      <c r="F8733" s="47">
        <f t="shared" si="742"/>
        <v>584</v>
      </c>
      <c r="G8733" s="203">
        <f>SUM(C8733,C8709,C8685,C8661,C8637,C8613,C8589,C8565,C8541,C8517,C8493,C8469,C8445,C8421)/POBLA!$B$20*100000</f>
        <v>386.38439368003105</v>
      </c>
      <c r="H8733" s="213">
        <f t="shared" si="741"/>
        <v>0.74251182343667887</v>
      </c>
    </row>
    <row r="8734" spans="1:8" x14ac:dyDescent="0.25">
      <c r="A8734" s="84" t="s">
        <v>22</v>
      </c>
      <c r="B8734" s="356">
        <v>44256</v>
      </c>
      <c r="C8734" s="1">
        <v>314</v>
      </c>
      <c r="D8734" s="47">
        <f t="shared" si="739"/>
        <v>216779</v>
      </c>
      <c r="E8734" s="1">
        <v>11</v>
      </c>
      <c r="F8734" s="47">
        <f t="shared" si="742"/>
        <v>3969</v>
      </c>
      <c r="G8734" s="203">
        <f>SUM(C8734,C8710,C8686,C8662,C8638,C8614,C8590,C8566,C8542,C8518,C8494,C8470,C8446,C8422)/POBLA!$B$21*100000</f>
        <v>133.24216763968514</v>
      </c>
      <c r="H8734" s="213">
        <f t="shared" si="741"/>
        <v>0.82406435816719137</v>
      </c>
    </row>
    <row r="8735" spans="1:8" x14ac:dyDescent="0.25">
      <c r="A8735" s="84" t="s">
        <v>38</v>
      </c>
      <c r="B8735" s="356">
        <v>44256</v>
      </c>
      <c r="C8735" s="1">
        <v>34</v>
      </c>
      <c r="D8735" s="47">
        <f t="shared" si="739"/>
        <v>22692</v>
      </c>
      <c r="E8735" s="1">
        <v>1</v>
      </c>
      <c r="F8735" s="47">
        <f t="shared" si="742"/>
        <v>269</v>
      </c>
      <c r="G8735" s="203">
        <f>SUM(C8735,C8711,C8687,C8663,C8639,C8615,C8591,C8567,C8543,C8519,C8495,C8471,C8447,C8423)/POBLA!$B$22*100000</f>
        <v>82.488937589503564</v>
      </c>
      <c r="H8735" s="213">
        <f t="shared" si="741"/>
        <v>0.86680988184747587</v>
      </c>
    </row>
    <row r="8736" spans="1:8" x14ac:dyDescent="0.25">
      <c r="A8736" s="84" t="s">
        <v>39</v>
      </c>
      <c r="B8736" s="356">
        <v>44256</v>
      </c>
      <c r="C8736" s="1">
        <v>32</v>
      </c>
      <c r="D8736" s="47">
        <f t="shared" si="739"/>
        <v>22971</v>
      </c>
      <c r="E8736" s="1">
        <v>2</v>
      </c>
      <c r="F8736" s="47">
        <f t="shared" si="742"/>
        <v>355</v>
      </c>
      <c r="G8736" s="203">
        <f>SUM(C8736,C8712,C8688,C8664,C8640,C8616,C8592,C8568,C8544,C8520,C8496,C8472,C8448,C8424)/POBLA!$B$23*100000</f>
        <v>288.41259967200136</v>
      </c>
      <c r="H8736" s="213">
        <f t="shared" si="741"/>
        <v>0.83743842364532017</v>
      </c>
    </row>
    <row r="8737" spans="1:8" ht="15.75" thickBot="1" x14ac:dyDescent="0.3">
      <c r="A8737" s="85" t="s">
        <v>40</v>
      </c>
      <c r="B8737" s="356">
        <v>44256</v>
      </c>
      <c r="C8737" s="1">
        <v>129</v>
      </c>
      <c r="D8737" s="214">
        <f t="shared" si="739"/>
        <v>79926</v>
      </c>
      <c r="E8737" s="1">
        <v>3</v>
      </c>
      <c r="F8737" s="214">
        <f t="shared" si="742"/>
        <v>1476</v>
      </c>
      <c r="G8737" s="215">
        <f>SUM(C8737,C8713,C8689,C8665,C8641,C8617,C8593,C8569,C8545,C8521,C8497,C8473,C8449,C8425)/POBLA!$B$24*100000</f>
        <v>106.1572378110956</v>
      </c>
      <c r="H8737" s="216">
        <f t="shared" si="741"/>
        <v>1.1278996865203761</v>
      </c>
    </row>
    <row r="8738" spans="1:8" x14ac:dyDescent="0.25">
      <c r="A8738" s="36" t="s">
        <v>16</v>
      </c>
      <c r="B8738" s="356">
        <v>44257</v>
      </c>
      <c r="C8738" s="1">
        <v>2926</v>
      </c>
      <c r="D8738" s="211">
        <f t="shared" si="739"/>
        <v>884737</v>
      </c>
      <c r="E8738" s="1">
        <v>36</v>
      </c>
      <c r="F8738" s="211">
        <f t="shared" ref="F8738:F8744" si="743">E8738+F8714</f>
        <v>26279</v>
      </c>
      <c r="G8738" s="212">
        <f>SUM(C8738,C8714,C8690,C8666,C8642,C8618,C8594,C8570,C8546,C8522,C8498,C8474,C8450,C8426)/POBLA!$B$1*100000</f>
        <v>206.84515334549786</v>
      </c>
      <c r="H8738" s="196">
        <f t="shared" ref="H8738:H8761" si="744">SUM(C8738,C8714,C8690,C8666,C8642,C8618,C8594,C8570,C8546,C8522,C8498,C8474,C8450,C8426)/SUM(C8402,C8378,C8354,C8330,C8306,C8282,C8258,C8234,C8210,C8186,C8162,C8138,C8114,C8090)</f>
        <v>0.97281282676890901</v>
      </c>
    </row>
    <row r="8739" spans="1:8" x14ac:dyDescent="0.25">
      <c r="A8739" s="84" t="s">
        <v>43</v>
      </c>
      <c r="B8739" s="356">
        <v>44257</v>
      </c>
      <c r="C8739" s="1">
        <v>652</v>
      </c>
      <c r="D8739" s="47">
        <f t="shared" si="739"/>
        <v>232976</v>
      </c>
      <c r="E8739" s="1">
        <v>9</v>
      </c>
      <c r="F8739" s="47">
        <f t="shared" si="743"/>
        <v>6537</v>
      </c>
      <c r="G8739" s="203">
        <f>SUM(C8739,C8715,C8691,C8667,C8643,C8619,C8595,C8571,C8547,C8523,C8499,C8475,C8451,C8427)/POBLA!$B$2*100000</f>
        <v>312.22708985364375</v>
      </c>
      <c r="H8739" s="213">
        <f t="shared" si="744"/>
        <v>0.87403294802948939</v>
      </c>
    </row>
    <row r="8740" spans="1:8" x14ac:dyDescent="0.25">
      <c r="A8740" s="84" t="s">
        <v>28</v>
      </c>
      <c r="B8740" s="356">
        <v>44257</v>
      </c>
      <c r="C8740" s="1">
        <v>93</v>
      </c>
      <c r="D8740" s="47">
        <f t="shared" si="739"/>
        <v>8131</v>
      </c>
      <c r="F8740" s="47">
        <f t="shared" si="743"/>
        <v>17</v>
      </c>
      <c r="G8740" s="203">
        <f>SUM(C8740,C8716,C8692,C8668,C8644,C8620,C8596,C8572,C8548,C8524,C8500,C8476,C8452,C8428)/POBLA!$B$3*100000</f>
        <v>300.64654653642663</v>
      </c>
      <c r="H8740" s="213">
        <f t="shared" si="744"/>
        <v>1.037375415282392</v>
      </c>
    </row>
    <row r="8741" spans="1:8" x14ac:dyDescent="0.25">
      <c r="A8741" s="84" t="s">
        <v>15</v>
      </c>
      <c r="B8741" s="356">
        <v>44257</v>
      </c>
      <c r="C8741" s="1">
        <v>113</v>
      </c>
      <c r="D8741" s="47">
        <f t="shared" si="739"/>
        <v>34330</v>
      </c>
      <c r="E8741" s="1">
        <v>2</v>
      </c>
      <c r="F8741" s="47">
        <f t="shared" si="743"/>
        <v>869</v>
      </c>
      <c r="G8741" s="203">
        <f>SUM(C8741,C8717,C8693,C8669,C8645,C8621,C8597,C8573,C8549,C8525,C8501,C8477,C8453,C8429)/POBLA!$B$4*100000</f>
        <v>145.28355614296234</v>
      </c>
      <c r="H8741" s="213">
        <f t="shared" si="744"/>
        <v>1.11323155216285</v>
      </c>
    </row>
    <row r="8742" spans="1:8" x14ac:dyDescent="0.25">
      <c r="A8742" s="84" t="s">
        <v>29</v>
      </c>
      <c r="B8742" s="356">
        <v>44257</v>
      </c>
      <c r="C8742" s="1">
        <v>131</v>
      </c>
      <c r="D8742" s="47">
        <f t="shared" si="739"/>
        <v>47139</v>
      </c>
      <c r="F8742" s="47">
        <f t="shared" si="743"/>
        <v>775</v>
      </c>
      <c r="G8742" s="203">
        <f>SUM(C8742,C8718,C8694,C8670,C8646,C8622,C8598,C8574,C8550,C8526,C8502,C8478,C8454,C8430)/POBLA!$B$5*100000</f>
        <v>291.76373276639191</v>
      </c>
      <c r="H8742" s="213">
        <f t="shared" si="744"/>
        <v>0.72705314009661837</v>
      </c>
    </row>
    <row r="8743" spans="1:8" x14ac:dyDescent="0.25">
      <c r="A8743" s="84" t="s">
        <v>30</v>
      </c>
      <c r="B8743" s="356">
        <v>44257</v>
      </c>
      <c r="C8743" s="1">
        <v>111</v>
      </c>
      <c r="D8743" s="47">
        <f t="shared" si="739"/>
        <v>22060</v>
      </c>
      <c r="F8743" s="47">
        <f t="shared" si="743"/>
        <v>300</v>
      </c>
      <c r="G8743" s="203">
        <f>SUM(C8743,C8719,C8695,C8671,C8647,C8623,C8599,C8575,C8551,C8527,C8503,C8479,C8455,C8431)/POBLA!$B$7*100000</f>
        <v>51.270459652435214</v>
      </c>
      <c r="H8743" s="213">
        <f t="shared" si="744"/>
        <v>0.80534670008354214</v>
      </c>
    </row>
    <row r="8744" spans="1:8" x14ac:dyDescent="0.25">
      <c r="A8744" s="84" t="s">
        <v>20</v>
      </c>
      <c r="B8744" s="356">
        <v>44257</v>
      </c>
      <c r="C8744" s="1">
        <v>778</v>
      </c>
      <c r="D8744" s="47">
        <f t="shared" si="739"/>
        <v>161049</v>
      </c>
      <c r="E8744" s="1">
        <v>8</v>
      </c>
      <c r="F8744" s="47">
        <f t="shared" si="743"/>
        <v>2853</v>
      </c>
      <c r="G8744" s="203">
        <f>SUM(C8744,C8720,C8696,C8672,C8648,C8624,C8600,C8576,C8552,C8528,C8504,C8480,C8456,C8432)/POBLA!$B$6*100000</f>
        <v>765.16705463324888</v>
      </c>
      <c r="H8744" s="213">
        <f t="shared" si="744"/>
        <v>1.3065204143814748</v>
      </c>
    </row>
    <row r="8745" spans="1:8" x14ac:dyDescent="0.25">
      <c r="A8745" s="84" t="s">
        <v>31</v>
      </c>
      <c r="B8745" s="356">
        <v>44257</v>
      </c>
      <c r="C8745" s="1">
        <v>99</v>
      </c>
      <c r="D8745" s="47">
        <f t="shared" si="739"/>
        <v>45358</v>
      </c>
      <c r="E8745" s="1">
        <v>13</v>
      </c>
      <c r="F8745" s="47">
        <f t="shared" ref="F8745:F8761" si="745">E8745+F8721</f>
        <v>866</v>
      </c>
      <c r="G8745" s="203">
        <f>SUM(C8745,C8721,C8697,C8673,C8649,C8625,C8601,C8577,C8553,C8529,C8505,C8481,C8457,C8433)/POBLA!$B$8*100000</f>
        <v>120.92692362916416</v>
      </c>
      <c r="H8745" s="213">
        <f t="shared" si="744"/>
        <v>0.75156950672645739</v>
      </c>
    </row>
    <row r="8746" spans="1:8" x14ac:dyDescent="0.25">
      <c r="A8746" s="84" t="s">
        <v>41</v>
      </c>
      <c r="B8746" s="356">
        <v>44257</v>
      </c>
      <c r="C8746" s="1">
        <v>14</v>
      </c>
      <c r="D8746" s="47">
        <f t="shared" si="739"/>
        <v>1257</v>
      </c>
      <c r="F8746" s="47">
        <f t="shared" si="745"/>
        <v>19</v>
      </c>
      <c r="G8746" s="203">
        <f>SUM(C8746,C8722,C8698,C8674,C8650,C8626,C8602,C8578,C8554,C8530,C8506,C8482,C8458,C8434)/POBLA!$B$9*100000</f>
        <v>46.100995880652945</v>
      </c>
      <c r="H8746" s="213">
        <f t="shared" si="744"/>
        <v>2.1968503937007875</v>
      </c>
    </row>
    <row r="8747" spans="1:8" x14ac:dyDescent="0.25">
      <c r="A8747" s="84" t="s">
        <v>32</v>
      </c>
      <c r="B8747" s="356">
        <v>44257</v>
      </c>
      <c r="C8747" s="1">
        <v>92</v>
      </c>
      <c r="D8747" s="47">
        <f t="shared" si="739"/>
        <v>20888</v>
      </c>
      <c r="E8747" s="1">
        <v>4</v>
      </c>
      <c r="F8747" s="47">
        <f t="shared" si="745"/>
        <v>909</v>
      </c>
      <c r="G8747" s="203">
        <f>SUM(C8747,C8723,C8699,C8675,C8651,C8627,C8603,C8579,C8555,C8531,C8507,C8483,C8459,C8435)/POBLA!$B$10*100000</f>
        <v>137.63473220899203</v>
      </c>
      <c r="H8747" s="213">
        <f t="shared" si="744"/>
        <v>2.3267543859649122</v>
      </c>
    </row>
    <row r="8748" spans="1:8" x14ac:dyDescent="0.25">
      <c r="A8748" s="84" t="s">
        <v>33</v>
      </c>
      <c r="B8748" s="356">
        <v>44257</v>
      </c>
      <c r="C8748" s="1">
        <v>84</v>
      </c>
      <c r="D8748" s="47">
        <f t="shared" si="739"/>
        <v>18849</v>
      </c>
      <c r="F8748" s="47">
        <f t="shared" si="745"/>
        <v>289</v>
      </c>
      <c r="G8748" s="203">
        <f>SUM(C8748,C8724,C8700,C8676,C8652,C8628,C8604,C8580,C8556,C8532,C8508,C8484,C8460,C8436)/POBLA!$B$11*100000</f>
        <v>293.22485966498152</v>
      </c>
      <c r="H8748" s="213">
        <f t="shared" si="744"/>
        <v>0.87802840434419382</v>
      </c>
    </row>
    <row r="8749" spans="1:8" x14ac:dyDescent="0.25">
      <c r="A8749" s="84" t="s">
        <v>21</v>
      </c>
      <c r="B8749" s="356">
        <v>44257</v>
      </c>
      <c r="C8749" s="1">
        <v>23</v>
      </c>
      <c r="D8749" s="47">
        <f t="shared" si="739"/>
        <v>10264</v>
      </c>
      <c r="F8749" s="47">
        <f t="shared" si="745"/>
        <v>439</v>
      </c>
      <c r="G8749" s="203">
        <f>SUM(C8749,C8725,C8701,C8677,C8653,C8629,C8605,C8581,C8557,C8533,C8509,C8485,C8461,C8437)/POBLA!$B$12*100000</f>
        <v>97.323971936137184</v>
      </c>
      <c r="H8749" s="213">
        <f t="shared" si="744"/>
        <v>1.2120253164556962</v>
      </c>
    </row>
    <row r="8750" spans="1:8" x14ac:dyDescent="0.25">
      <c r="A8750" s="84" t="s">
        <v>17</v>
      </c>
      <c r="B8750" s="356">
        <v>44257</v>
      </c>
      <c r="C8750" s="1">
        <v>146</v>
      </c>
      <c r="D8750" s="47">
        <f t="shared" si="739"/>
        <v>67480</v>
      </c>
      <c r="F8750" s="47">
        <f t="shared" si="745"/>
        <v>1449</v>
      </c>
      <c r="G8750" s="203">
        <f>SUM(C8750,C8726,C8702,C8678,C8654,C8630,C8606,C8582,C8558,C8534,C8510,C8486,C8462,C8438)/POBLA!$B$13*100000</f>
        <v>87.92476453748057</v>
      </c>
      <c r="H8750" s="213">
        <f t="shared" si="744"/>
        <v>1.0361160449970397</v>
      </c>
    </row>
    <row r="8751" spans="1:8" x14ac:dyDescent="0.25">
      <c r="A8751" s="84" t="s">
        <v>23</v>
      </c>
      <c r="B8751" s="356">
        <v>44257</v>
      </c>
      <c r="C8751" s="1">
        <v>154</v>
      </c>
      <c r="D8751" s="47">
        <f t="shared" si="739"/>
        <v>8534</v>
      </c>
      <c r="E8751" s="1">
        <v>3</v>
      </c>
      <c r="F8751" s="47">
        <f t="shared" si="745"/>
        <v>146</v>
      </c>
      <c r="G8751" s="203">
        <f>SUM(C8751,C8727,C8703,C8679,C8655,C8631,C8607,C8583,C8559,C8535,C8511,C8487,C8463,C8439)/POBLA!$B$14*100000</f>
        <v>124.47534040437836</v>
      </c>
      <c r="H8751" s="213">
        <f t="shared" si="744"/>
        <v>0.86216364634816034</v>
      </c>
    </row>
    <row r="8752" spans="1:8" x14ac:dyDescent="0.25">
      <c r="A8752" s="84" t="s">
        <v>19</v>
      </c>
      <c r="B8752" s="356">
        <v>44257</v>
      </c>
      <c r="C8752" s="1">
        <v>176</v>
      </c>
      <c r="D8752" s="47">
        <f t="shared" si="739"/>
        <v>61499</v>
      </c>
      <c r="E8752" s="1">
        <v>4</v>
      </c>
      <c r="F8752" s="47">
        <f t="shared" si="745"/>
        <v>910</v>
      </c>
      <c r="G8752" s="203">
        <f>SUM(C8752,C8728,C8704,C8680,C8656,C8632,C8608,C8584,C8560,C8536,C8512,C8488,C8464,C8440)/POBLA!$B$15*100000</f>
        <v>387.9185069956344</v>
      </c>
      <c r="H8752" s="213">
        <f t="shared" si="744"/>
        <v>0.64496745117676513</v>
      </c>
    </row>
    <row r="8753" spans="1:8" x14ac:dyDescent="0.25">
      <c r="A8753" s="84" t="s">
        <v>18</v>
      </c>
      <c r="B8753" s="356">
        <v>44257</v>
      </c>
      <c r="C8753" s="1">
        <v>120</v>
      </c>
      <c r="D8753" s="47">
        <f t="shared" si="739"/>
        <v>52557</v>
      </c>
      <c r="E8753" s="1">
        <v>5</v>
      </c>
      <c r="F8753" s="47">
        <f t="shared" si="745"/>
        <v>1193</v>
      </c>
      <c r="G8753" s="203">
        <f>SUM(C8753,C8729,C8705,C8681,C8657,C8633,C8609,C8585,C8561,C8537,C8513,C8489,C8465,C8441)/POBLA!$B$16*100000</f>
        <v>235.4168617327216</v>
      </c>
      <c r="H8753" s="213">
        <f t="shared" si="744"/>
        <v>0.7596029348295209</v>
      </c>
    </row>
    <row r="8754" spans="1:8" x14ac:dyDescent="0.25">
      <c r="A8754" s="84" t="s">
        <v>34</v>
      </c>
      <c r="B8754" s="356">
        <v>44257</v>
      </c>
      <c r="C8754" s="1">
        <v>103</v>
      </c>
      <c r="D8754" s="47">
        <f t="shared" si="739"/>
        <v>26300</v>
      </c>
      <c r="E8754" s="1">
        <v>5</v>
      </c>
      <c r="F8754" s="47">
        <f t="shared" si="745"/>
        <v>1102</v>
      </c>
      <c r="G8754" s="203">
        <f>SUM(C8754,C8730,C8706,C8682,C8658,C8634,C8610,C8586,C8562,C8538,C8514,C8490,C8466,C8442)/POBLA!$B$17*100000</f>
        <v>98.216999895394338</v>
      </c>
      <c r="H8754" s="213">
        <f t="shared" si="744"/>
        <v>1.3742632612966601</v>
      </c>
    </row>
    <row r="8755" spans="1:8" x14ac:dyDescent="0.25">
      <c r="A8755" s="84" t="s">
        <v>35</v>
      </c>
      <c r="B8755" s="356">
        <v>44257</v>
      </c>
      <c r="C8755" s="1">
        <v>51</v>
      </c>
      <c r="D8755" s="47">
        <f t="shared" si="739"/>
        <v>15343</v>
      </c>
      <c r="E8755" s="1">
        <v>1</v>
      </c>
      <c r="F8755" s="47">
        <f t="shared" si="745"/>
        <v>212</v>
      </c>
      <c r="G8755" s="203">
        <f>SUM(C8755,C8731,C8707,C8683,C8659,C8635,C8611,C8587,C8563,C8539,C8515,C8491,C8467,C8443)/POBLA!$B$18*100000</f>
        <v>87.427692945750039</v>
      </c>
      <c r="H8755" s="213">
        <f t="shared" si="744"/>
        <v>1.1775862068965517</v>
      </c>
    </row>
    <row r="8756" spans="1:8" x14ac:dyDescent="0.25">
      <c r="A8756" s="84" t="s">
        <v>36</v>
      </c>
      <c r="B8756" s="356">
        <v>44257</v>
      </c>
      <c r="C8756" s="1">
        <v>6</v>
      </c>
      <c r="D8756" s="47">
        <f t="shared" si="739"/>
        <v>20782</v>
      </c>
      <c r="E8756" s="1">
        <v>1</v>
      </c>
      <c r="F8756" s="47">
        <f t="shared" si="745"/>
        <v>356</v>
      </c>
      <c r="G8756" s="203">
        <f>SUM(C8756,C8732,C8708,C8684,C8660,C8636,C8612,C8588,C8564,C8540,C8516,C8492,C8468,C8444)/POBLA!$B$19*100000</f>
        <v>110.36181363214303</v>
      </c>
      <c r="H8756" s="213">
        <f t="shared" si="744"/>
        <v>0.49124343257443082</v>
      </c>
    </row>
    <row r="8757" spans="1:8" x14ac:dyDescent="0.25">
      <c r="A8757" s="84" t="s">
        <v>37</v>
      </c>
      <c r="B8757" s="356">
        <v>44257</v>
      </c>
      <c r="C8757" s="1">
        <v>104</v>
      </c>
      <c r="D8757" s="47">
        <f t="shared" si="739"/>
        <v>36098</v>
      </c>
      <c r="E8757" s="1">
        <v>4</v>
      </c>
      <c r="F8757" s="47">
        <f t="shared" si="745"/>
        <v>588</v>
      </c>
      <c r="G8757" s="203">
        <f>SUM(C8757,C8733,C8709,C8685,C8661,C8637,C8613,C8589,C8565,C8541,C8517,C8493,C8469,C8445)/POBLA!$B$20*100000</f>
        <v>400.6037768869395</v>
      </c>
      <c r="H8757" s="213">
        <f t="shared" si="744"/>
        <v>0.81524763494713415</v>
      </c>
    </row>
    <row r="8758" spans="1:8" x14ac:dyDescent="0.25">
      <c r="A8758" s="84" t="s">
        <v>22</v>
      </c>
      <c r="B8758" s="356">
        <v>44257</v>
      </c>
      <c r="C8758" s="1">
        <v>409</v>
      </c>
      <c r="D8758" s="47">
        <f t="shared" si="739"/>
        <v>217188</v>
      </c>
      <c r="E8758" s="1">
        <v>20</v>
      </c>
      <c r="F8758" s="47">
        <f t="shared" si="745"/>
        <v>3989</v>
      </c>
      <c r="G8758" s="203">
        <f>SUM(C8758,C8734,C8710,C8686,C8662,C8638,C8614,C8590,C8566,C8542,C8518,C8494,C8470,C8446)/POBLA!$B$21*100000</f>
        <v>139.71764649993298</v>
      </c>
      <c r="H8758" s="213">
        <f t="shared" si="744"/>
        <v>0.91788965261006872</v>
      </c>
    </row>
    <row r="8759" spans="1:8" x14ac:dyDescent="0.25">
      <c r="A8759" s="84" t="s">
        <v>38</v>
      </c>
      <c r="B8759" s="356">
        <v>44257</v>
      </c>
      <c r="C8759" s="1">
        <v>40</v>
      </c>
      <c r="D8759" s="47">
        <f t="shared" si="739"/>
        <v>22732</v>
      </c>
      <c r="F8759" s="47">
        <f t="shared" si="745"/>
        <v>269</v>
      </c>
      <c r="G8759" s="203">
        <f>SUM(C8759,C8735,C8711,C8687,C8663,C8639,C8615,C8591,C8567,C8543,C8519,C8495,C8471,C8447)/POBLA!$B$22*100000</f>
        <v>83.613322116745863</v>
      </c>
      <c r="H8759" s="213">
        <f t="shared" si="744"/>
        <v>0.91806958473625144</v>
      </c>
    </row>
    <row r="8760" spans="1:8" x14ac:dyDescent="0.25">
      <c r="A8760" s="84" t="s">
        <v>39</v>
      </c>
      <c r="B8760" s="356">
        <v>44257</v>
      </c>
      <c r="C8760" s="1">
        <v>55</v>
      </c>
      <c r="D8760" s="47">
        <f t="shared" si="739"/>
        <v>23026</v>
      </c>
      <c r="E8760" s="1">
        <v>1</v>
      </c>
      <c r="F8760" s="47">
        <f t="shared" si="745"/>
        <v>356</v>
      </c>
      <c r="G8760" s="203">
        <f>SUM(C8760,C8736,C8712,C8688,C8664,C8640,C8616,C8592,C8568,C8544,C8520,C8496,C8472,C8448)/POBLA!$B$23*100000</f>
        <v>307.07459141548378</v>
      </c>
      <c r="H8760" s="213">
        <f t="shared" si="744"/>
        <v>0.94764397905759157</v>
      </c>
    </row>
    <row r="8761" spans="1:8" ht="15.75" thickBot="1" x14ac:dyDescent="0.3">
      <c r="A8761" s="85" t="s">
        <v>40</v>
      </c>
      <c r="B8761" s="356">
        <v>44257</v>
      </c>
      <c r="C8761" s="1">
        <v>173</v>
      </c>
      <c r="D8761" s="214">
        <f t="shared" si="739"/>
        <v>80099</v>
      </c>
      <c r="F8761" s="214">
        <f t="shared" si="745"/>
        <v>1476</v>
      </c>
      <c r="G8761" s="215">
        <f>SUM(C8761,C8737,C8713,C8689,C8665,C8641,C8617,C8593,C8569,C8545,C8521,C8497,C8473,C8449)/POBLA!$B$24*100000</f>
        <v>112.41219456928131</v>
      </c>
      <c r="H8761" s="216">
        <f t="shared" si="744"/>
        <v>1.2880324543610548</v>
      </c>
    </row>
    <row r="8762" spans="1:8" x14ac:dyDescent="0.25">
      <c r="A8762" s="36" t="s">
        <v>16</v>
      </c>
      <c r="B8762" s="356">
        <v>44258</v>
      </c>
      <c r="C8762" s="1">
        <v>3460</v>
      </c>
      <c r="D8762" s="211">
        <f t="shared" si="739"/>
        <v>888197</v>
      </c>
      <c r="E8762" s="1">
        <v>169</v>
      </c>
      <c r="F8762" s="211">
        <f t="shared" ref="F8762:F8768" si="746">E8762+F8738</f>
        <v>26448</v>
      </c>
      <c r="G8762" s="212">
        <f>SUM(C8762,C8738,C8714,C8690,C8666,C8642,C8618,C8594,C8570,C8546,C8522,C8498,C8474,C8450)/POBLA!$B$1*100000</f>
        <v>211.73651132500447</v>
      </c>
      <c r="H8762" s="196">
        <f t="shared" ref="H8762:H8785" si="747">SUM(C8762,C8738,C8714,C8690,C8666,C8642,C8618,C8594,C8570,C8546,C8522,C8498,C8474,C8450)/SUM(C8426,C8402,C8378,C8354,C8330,C8306,C8282,C8258,C8234,C8210,C8186,C8162,C8138,C8114)</f>
        <v>1.0256828035679766</v>
      </c>
    </row>
    <row r="8763" spans="1:8" x14ac:dyDescent="0.25">
      <c r="A8763" s="84" t="s">
        <v>43</v>
      </c>
      <c r="B8763" s="356">
        <v>44258</v>
      </c>
      <c r="C8763" s="1">
        <v>859</v>
      </c>
      <c r="D8763" s="47">
        <f t="shared" si="739"/>
        <v>233835</v>
      </c>
      <c r="E8763" s="1">
        <v>18</v>
      </c>
      <c r="F8763" s="47">
        <f t="shared" si="746"/>
        <v>6555</v>
      </c>
      <c r="G8763" s="203">
        <f>SUM(C8763,C8739,C8715,C8691,C8667,C8643,C8619,C8595,C8571,C8547,C8523,C8499,C8475,C8451)/POBLA!$B$2*100000</f>
        <v>315.31587185261242</v>
      </c>
      <c r="H8763" s="213">
        <f t="shared" si="747"/>
        <v>0.90805243445692885</v>
      </c>
    </row>
    <row r="8764" spans="1:8" x14ac:dyDescent="0.25">
      <c r="A8764" s="84" t="s">
        <v>28</v>
      </c>
      <c r="B8764" s="356">
        <v>44258</v>
      </c>
      <c r="C8764" s="1">
        <v>53</v>
      </c>
      <c r="D8764" s="47">
        <f t="shared" si="739"/>
        <v>8184</v>
      </c>
      <c r="F8764" s="47">
        <f t="shared" si="746"/>
        <v>17</v>
      </c>
      <c r="G8764" s="203">
        <f>SUM(C8764,C8740,C8716,C8692,C8668,C8644,C8620,C8596,C8572,C8548,C8524,C8500,C8476,C8452)/POBLA!$B$3*100000</f>
        <v>293.90667199437701</v>
      </c>
      <c r="H8764" s="213">
        <f t="shared" si="747"/>
        <v>1.0654450261780104</v>
      </c>
    </row>
    <row r="8765" spans="1:8" x14ac:dyDescent="0.25">
      <c r="A8765" s="84" t="s">
        <v>15</v>
      </c>
      <c r="B8765" s="356">
        <v>44258</v>
      </c>
      <c r="C8765" s="1">
        <v>174</v>
      </c>
      <c r="D8765" s="47">
        <f t="shared" si="739"/>
        <v>34504</v>
      </c>
      <c r="E8765" s="1">
        <v>1</v>
      </c>
      <c r="F8765" s="47">
        <f t="shared" si="746"/>
        <v>870</v>
      </c>
      <c r="G8765" s="203">
        <f>SUM(C8765,C8741,C8717,C8693,C8669,C8645,C8621,C8597,C8573,C8549,C8525,C8501,C8477,C8453)/POBLA!$B$4*100000</f>
        <v>151.09489838868083</v>
      </c>
      <c r="H8765" s="213">
        <f t="shared" si="747"/>
        <v>1.1674150096215523</v>
      </c>
    </row>
    <row r="8766" spans="1:8" x14ac:dyDescent="0.25">
      <c r="A8766" s="84" t="s">
        <v>29</v>
      </c>
      <c r="B8766" s="356">
        <v>44258</v>
      </c>
      <c r="C8766" s="1">
        <v>131</v>
      </c>
      <c r="D8766" s="47">
        <f t="shared" si="739"/>
        <v>47270</v>
      </c>
      <c r="E8766" s="1">
        <v>2</v>
      </c>
      <c r="F8766" s="47">
        <f t="shared" si="746"/>
        <v>777</v>
      </c>
      <c r="G8766" s="203">
        <f>SUM(C8766,C8742,C8718,C8694,C8670,C8646,C8622,C8598,C8574,C8550,C8526,C8502,C8478,C8454)/POBLA!$B$5*100000</f>
        <v>284.65542476986855</v>
      </c>
      <c r="H8766" s="213">
        <f t="shared" si="747"/>
        <v>0.74661016949152548</v>
      </c>
    </row>
    <row r="8767" spans="1:8" x14ac:dyDescent="0.25">
      <c r="A8767" s="84" t="s">
        <v>30</v>
      </c>
      <c r="B8767" s="356">
        <v>44258</v>
      </c>
      <c r="C8767" s="1">
        <v>253</v>
      </c>
      <c r="D8767" s="47">
        <f t="shared" si="739"/>
        <v>22313</v>
      </c>
      <c r="F8767" s="47">
        <f t="shared" si="746"/>
        <v>300</v>
      </c>
      <c r="G8767" s="203">
        <f>SUM(C8767,C8743,C8719,C8695,C8671,C8647,C8623,C8599,C8575,C8551,C8527,C8503,C8479,C8455)/POBLA!$B$7*100000</f>
        <v>50.313127418261118</v>
      </c>
      <c r="H8767" s="213">
        <f t="shared" si="747"/>
        <v>0.77192982456140347</v>
      </c>
    </row>
    <row r="8768" spans="1:8" x14ac:dyDescent="0.25">
      <c r="A8768" s="84" t="s">
        <v>20</v>
      </c>
      <c r="B8768" s="356">
        <v>44258</v>
      </c>
      <c r="C8768" s="1">
        <v>699</v>
      </c>
      <c r="D8768" s="47">
        <f t="shared" si="739"/>
        <v>161748</v>
      </c>
      <c r="E8768" s="1">
        <v>9</v>
      </c>
      <c r="F8768" s="47">
        <f t="shared" si="746"/>
        <v>2862</v>
      </c>
      <c r="G8768" s="203">
        <f>SUM(C8768,C8744,C8720,C8696,C8672,C8648,C8624,C8600,C8576,C8552,C8528,C8504,C8480,C8456)/POBLA!$B$6*100000</f>
        <v>788.45397175769835</v>
      </c>
      <c r="H8768" s="213">
        <f t="shared" si="747"/>
        <v>1.3809970307860604</v>
      </c>
    </row>
    <row r="8769" spans="1:8" x14ac:dyDescent="0.25">
      <c r="A8769" s="84" t="s">
        <v>31</v>
      </c>
      <c r="B8769" s="356">
        <v>44258</v>
      </c>
      <c r="C8769" s="1">
        <v>161</v>
      </c>
      <c r="D8769" s="47">
        <f t="shared" si="739"/>
        <v>45519</v>
      </c>
      <c r="E8769" s="1">
        <v>3</v>
      </c>
      <c r="F8769" s="47">
        <f t="shared" ref="F8769:F8792" si="748">E8769+F8745</f>
        <v>869</v>
      </c>
      <c r="G8769" s="203">
        <f>SUM(C8769,C8745,C8721,C8697,C8673,C8649,C8625,C8601,C8577,C8553,C8529,C8505,C8481,C8457)/POBLA!$B$8*100000</f>
        <v>126.4104834118709</v>
      </c>
      <c r="H8769" s="213">
        <f t="shared" si="747"/>
        <v>0.8546341463414634</v>
      </c>
    </row>
    <row r="8770" spans="1:8" x14ac:dyDescent="0.25">
      <c r="A8770" s="84" t="s">
        <v>41</v>
      </c>
      <c r="B8770" s="356">
        <v>44258</v>
      </c>
      <c r="C8770" s="1">
        <v>29</v>
      </c>
      <c r="D8770" s="47">
        <f t="shared" ref="D8770:D8809" si="749">C8770+D8746</f>
        <v>1286</v>
      </c>
      <c r="F8770" s="47">
        <f t="shared" si="748"/>
        <v>19</v>
      </c>
      <c r="G8770" s="203">
        <f>SUM(C8770,C8746,C8722,C8698,C8674,C8650,C8626,C8602,C8578,C8554,C8530,C8506,C8482,C8458)/POBLA!$B$9*100000</f>
        <v>49.240490223779844</v>
      </c>
      <c r="H8770" s="213">
        <f t="shared" si="747"/>
        <v>2.2406015037593985</v>
      </c>
    </row>
    <row r="8771" spans="1:8" x14ac:dyDescent="0.25">
      <c r="A8771" s="84" t="s">
        <v>32</v>
      </c>
      <c r="B8771" s="356">
        <v>44258</v>
      </c>
      <c r="C8771" s="1">
        <v>94</v>
      </c>
      <c r="D8771" s="47">
        <f t="shared" si="749"/>
        <v>20982</v>
      </c>
      <c r="E8771" s="1">
        <v>2</v>
      </c>
      <c r="F8771" s="47">
        <f t="shared" si="748"/>
        <v>911</v>
      </c>
      <c r="G8771" s="203">
        <f>SUM(C8771,C8747,C8723,C8699,C8675,C8651,C8627,C8603,C8579,C8555,C8531,C8507,C8483,C8459)/POBLA!$B$10*100000</f>
        <v>143.21276565384281</v>
      </c>
      <c r="H8771" s="213">
        <f t="shared" si="747"/>
        <v>2.3340380549682873</v>
      </c>
    </row>
    <row r="8772" spans="1:8" x14ac:dyDescent="0.25">
      <c r="A8772" s="84" t="s">
        <v>33</v>
      </c>
      <c r="B8772" s="356">
        <v>44258</v>
      </c>
      <c r="C8772" s="1">
        <v>104</v>
      </c>
      <c r="D8772" s="47">
        <f t="shared" si="749"/>
        <v>18953</v>
      </c>
      <c r="F8772" s="47">
        <f t="shared" si="748"/>
        <v>289</v>
      </c>
      <c r="G8772" s="203">
        <f>SUM(C8772,C8748,C8724,C8700,C8676,C8652,C8628,C8604,C8580,C8556,C8532,C8508,C8484,C8460)/POBLA!$B$11*100000</f>
        <v>310.24361936009467</v>
      </c>
      <c r="H8772" s="213">
        <f t="shared" si="747"/>
        <v>0.9754385964912281</v>
      </c>
    </row>
    <row r="8773" spans="1:8" x14ac:dyDescent="0.25">
      <c r="A8773" s="84" t="s">
        <v>21</v>
      </c>
      <c r="B8773" s="356">
        <v>44258</v>
      </c>
      <c r="C8773" s="1">
        <v>23</v>
      </c>
      <c r="D8773" s="47">
        <f t="shared" si="749"/>
        <v>10287</v>
      </c>
      <c r="F8773" s="47">
        <f t="shared" si="748"/>
        <v>439</v>
      </c>
      <c r="G8773" s="203">
        <f>SUM(C8773,C8749,C8725,C8701,C8677,C8653,C8629,C8605,C8581,C8557,C8533,C8509,C8485,C8461)/POBLA!$B$12*100000</f>
        <v>94.274656888529748</v>
      </c>
      <c r="H8773" s="213">
        <f t="shared" si="747"/>
        <v>1.1208459214501512</v>
      </c>
    </row>
    <row r="8774" spans="1:8" x14ac:dyDescent="0.25">
      <c r="A8774" s="84" t="s">
        <v>17</v>
      </c>
      <c r="B8774" s="356">
        <v>44258</v>
      </c>
      <c r="C8774" s="1">
        <v>207</v>
      </c>
      <c r="D8774" s="47">
        <f t="shared" si="749"/>
        <v>67687</v>
      </c>
      <c r="E8774" s="1">
        <v>4</v>
      </c>
      <c r="F8774" s="47">
        <f t="shared" si="748"/>
        <v>1453</v>
      </c>
      <c r="G8774" s="203">
        <f>SUM(C8774,C8750,C8726,C8702,C8678,C8654,C8630,C8606,C8582,C8558,C8534,C8510,C8486,C8462)/POBLA!$B$13*100000</f>
        <v>91.592483286758338</v>
      </c>
      <c r="H8774" s="213">
        <f t="shared" si="747"/>
        <v>1.0948948948948949</v>
      </c>
    </row>
    <row r="8775" spans="1:8" x14ac:dyDescent="0.25">
      <c r="A8775" s="84" t="s">
        <v>23</v>
      </c>
      <c r="B8775" s="356">
        <v>44258</v>
      </c>
      <c r="C8775" s="1">
        <v>116</v>
      </c>
      <c r="D8775" s="47">
        <f t="shared" si="749"/>
        <v>8650</v>
      </c>
      <c r="E8775" s="1">
        <v>2</v>
      </c>
      <c r="F8775" s="47">
        <f t="shared" si="748"/>
        <v>148</v>
      </c>
      <c r="G8775" s="203">
        <f>SUM(C8775,C8751,C8727,C8703,C8679,C8655,C8631,C8607,C8583,C8559,C8535,C8511,C8487,C8463)/POBLA!$B$14*100000</f>
        <v>126.14029718685731</v>
      </c>
      <c r="H8775" s="213">
        <f t="shared" si="747"/>
        <v>0.921784472769409</v>
      </c>
    </row>
    <row r="8776" spans="1:8" x14ac:dyDescent="0.25">
      <c r="A8776" s="84" t="s">
        <v>19</v>
      </c>
      <c r="B8776" s="356">
        <v>44258</v>
      </c>
      <c r="C8776" s="1">
        <v>176</v>
      </c>
      <c r="D8776" s="47">
        <f t="shared" si="749"/>
        <v>61675</v>
      </c>
      <c r="E8776" s="1">
        <v>28</v>
      </c>
      <c r="F8776" s="47">
        <f t="shared" si="748"/>
        <v>938</v>
      </c>
      <c r="G8776" s="203">
        <f>SUM(C8776,C8752,C8728,C8704,C8680,C8656,C8632,C8608,C8584,C8560,C8536,C8512,C8488,C8464)/POBLA!$B$15*100000</f>
        <v>380.5396223516957</v>
      </c>
      <c r="H8776" s="213">
        <f t="shared" si="747"/>
        <v>0.67153866595801226</v>
      </c>
    </row>
    <row r="8777" spans="1:8" x14ac:dyDescent="0.25">
      <c r="A8777" s="84" t="s">
        <v>18</v>
      </c>
      <c r="B8777" s="356">
        <v>44258</v>
      </c>
      <c r="C8777" s="1">
        <v>185</v>
      </c>
      <c r="D8777" s="47">
        <f t="shared" si="749"/>
        <v>52742</v>
      </c>
      <c r="E8777" s="1">
        <v>4</v>
      </c>
      <c r="F8777" s="47">
        <f t="shared" si="748"/>
        <v>1197</v>
      </c>
      <c r="G8777" s="203">
        <f>SUM(C8777,C8753,C8729,C8705,C8681,C8657,C8633,C8609,C8585,C8561,C8537,C8513,C8489,C8465)/POBLA!$B$16*100000</f>
        <v>239.96468747074007</v>
      </c>
      <c r="H8777" s="213">
        <f t="shared" si="747"/>
        <v>0.81992687385740404</v>
      </c>
    </row>
    <row r="8778" spans="1:8" x14ac:dyDescent="0.25">
      <c r="A8778" s="84" t="s">
        <v>34</v>
      </c>
      <c r="B8778" s="356">
        <v>44258</v>
      </c>
      <c r="C8778" s="1">
        <v>140</v>
      </c>
      <c r="D8778" s="47">
        <f t="shared" si="749"/>
        <v>26440</v>
      </c>
      <c r="E8778" s="1">
        <v>3</v>
      </c>
      <c r="F8778" s="47">
        <f t="shared" si="748"/>
        <v>1105</v>
      </c>
      <c r="G8778" s="203">
        <f>SUM(C8778,C8754,C8730,C8706,C8682,C8658,C8634,C8610,C8586,C8562,C8538,C8514,C8490,C8466)/POBLA!$B$17*100000</f>
        <v>105.65874541999176</v>
      </c>
      <c r="H8778" s="213">
        <f t="shared" si="747"/>
        <v>1.5644490644490645</v>
      </c>
    </row>
    <row r="8779" spans="1:8" x14ac:dyDescent="0.25">
      <c r="A8779" s="84" t="s">
        <v>35</v>
      </c>
      <c r="B8779" s="356">
        <v>44258</v>
      </c>
      <c r="C8779" s="1">
        <v>61</v>
      </c>
      <c r="D8779" s="47">
        <f t="shared" si="749"/>
        <v>15404</v>
      </c>
      <c r="F8779" s="47">
        <f t="shared" si="748"/>
        <v>212</v>
      </c>
      <c r="G8779" s="203">
        <f>SUM(C8779,C8755,C8731,C8707,C8683,C8659,C8635,C8611,C8587,C8563,C8539,C8515,C8491,C8467)/POBLA!$B$18*100000</f>
        <v>84.739579399833843</v>
      </c>
      <c r="H8779" s="213">
        <f t="shared" si="747"/>
        <v>1.097844112769486</v>
      </c>
    </row>
    <row r="8780" spans="1:8" x14ac:dyDescent="0.25">
      <c r="A8780" s="84" t="s">
        <v>36</v>
      </c>
      <c r="B8780" s="356">
        <v>44258</v>
      </c>
      <c r="C8780" s="1">
        <v>6</v>
      </c>
      <c r="D8780" s="47">
        <f t="shared" si="749"/>
        <v>20788</v>
      </c>
      <c r="F8780" s="47">
        <f t="shared" si="748"/>
        <v>356</v>
      </c>
      <c r="G8780" s="203">
        <f>SUM(C8780,C8756,C8732,C8708,C8684,C8660,C8636,C8612,C8588,C8564,C8540,C8516,C8492,C8468)/POBLA!$B$19*100000</f>
        <v>110.36181363214303</v>
      </c>
      <c r="H8780" s="213">
        <f t="shared" si="747"/>
        <v>0.4925373134328358</v>
      </c>
    </row>
    <row r="8781" spans="1:8" x14ac:dyDescent="0.25">
      <c r="A8781" s="84" t="s">
        <v>37</v>
      </c>
      <c r="B8781" s="356">
        <v>44258</v>
      </c>
      <c r="C8781" s="1">
        <v>139</v>
      </c>
      <c r="D8781" s="47">
        <f t="shared" si="749"/>
        <v>36237</v>
      </c>
      <c r="E8781" s="1">
        <v>5</v>
      </c>
      <c r="F8781" s="47">
        <f t="shared" si="748"/>
        <v>593</v>
      </c>
      <c r="G8781" s="203">
        <f>SUM(C8781,C8757,C8733,C8709,C8685,C8661,C8637,C8613,C8589,C8565,C8541,C8517,C8493,C8469)/POBLA!$B$20*100000</f>
        <v>406.61966978216998</v>
      </c>
      <c r="H8781" s="213">
        <f t="shared" si="747"/>
        <v>0.99598124581379777</v>
      </c>
    </row>
    <row r="8782" spans="1:8" x14ac:dyDescent="0.25">
      <c r="A8782" s="84" t="s">
        <v>22</v>
      </c>
      <c r="B8782" s="356">
        <v>44258</v>
      </c>
      <c r="C8782" s="1">
        <v>503</v>
      </c>
      <c r="D8782" s="47">
        <f t="shared" si="749"/>
        <v>217691</v>
      </c>
      <c r="E8782" s="1">
        <v>10</v>
      </c>
      <c r="F8782" s="47">
        <f t="shared" si="748"/>
        <v>3999</v>
      </c>
      <c r="G8782" s="203">
        <f>SUM(C8782,C8758,C8734,C8710,C8686,C8662,C8638,C8614,C8590,C8566,C8542,C8518,C8494,C8470)/POBLA!$B$21*100000</f>
        <v>144.89237414807866</v>
      </c>
      <c r="H8782" s="213">
        <f t="shared" si="747"/>
        <v>1.0217347956131606</v>
      </c>
    </row>
    <row r="8783" spans="1:8" x14ac:dyDescent="0.25">
      <c r="A8783" s="84" t="s">
        <v>38</v>
      </c>
      <c r="B8783" s="356">
        <v>44258</v>
      </c>
      <c r="C8783" s="1">
        <v>55</v>
      </c>
      <c r="D8783" s="47">
        <f t="shared" si="749"/>
        <v>22787</v>
      </c>
      <c r="F8783" s="47">
        <f t="shared" si="748"/>
        <v>269</v>
      </c>
      <c r="G8783" s="203">
        <f>SUM(C8783,C8759,C8735,C8711,C8687,C8663,C8639,C8615,C8591,C8567,C8543,C8519,C8495,C8471)/POBLA!$B$22*100000</f>
        <v>84.328839543172791</v>
      </c>
      <c r="H8783" s="213">
        <f t="shared" si="747"/>
        <v>0.972877358490566</v>
      </c>
    </row>
    <row r="8784" spans="1:8" x14ac:dyDescent="0.25">
      <c r="A8784" s="84" t="s">
        <v>39</v>
      </c>
      <c r="B8784" s="356">
        <v>44258</v>
      </c>
      <c r="C8784" s="1">
        <v>22</v>
      </c>
      <c r="D8784" s="47">
        <f t="shared" si="749"/>
        <v>23048</v>
      </c>
      <c r="F8784" s="47">
        <f t="shared" si="748"/>
        <v>356</v>
      </c>
      <c r="G8784" s="203">
        <f>SUM(C8784,C8760,C8736,C8712,C8688,C8664,C8640,C8616,C8592,C8568,C8544,C8520,C8496,C8472)/POBLA!$B$23*100000</f>
        <v>293.50223378386022</v>
      </c>
      <c r="H8784" s="213">
        <f t="shared" si="747"/>
        <v>0.92348754448398573</v>
      </c>
    </row>
    <row r="8785" spans="1:8" ht="15.75" thickBot="1" x14ac:dyDescent="0.3">
      <c r="A8785" s="85" t="s">
        <v>40</v>
      </c>
      <c r="B8785" s="356">
        <v>44258</v>
      </c>
      <c r="C8785" s="1">
        <v>205</v>
      </c>
      <c r="D8785" s="214">
        <f t="shared" si="749"/>
        <v>80304</v>
      </c>
      <c r="E8785" s="1">
        <v>2</v>
      </c>
      <c r="F8785" s="214">
        <f t="shared" si="748"/>
        <v>1478</v>
      </c>
      <c r="G8785" s="215">
        <f>SUM(C8785,C8761,C8737,C8713,C8689,C8665,C8641,C8617,C8593,C8569,C8545,C8521,C8497,C8473)/POBLA!$B$24*100000</f>
        <v>116.89688054684845</v>
      </c>
      <c r="H8785" s="216">
        <f t="shared" si="747"/>
        <v>1.3358057990559675</v>
      </c>
    </row>
    <row r="8786" spans="1:8" x14ac:dyDescent="0.25">
      <c r="A8786" s="36" t="s">
        <v>16</v>
      </c>
      <c r="B8786" s="356">
        <v>44259</v>
      </c>
      <c r="C8786" s="1">
        <v>3066</v>
      </c>
      <c r="D8786" s="211">
        <f t="shared" si="749"/>
        <v>891263</v>
      </c>
      <c r="E8786" s="1">
        <v>113</v>
      </c>
      <c r="F8786" s="211">
        <f t="shared" si="748"/>
        <v>26561</v>
      </c>
      <c r="G8786" s="212">
        <f>SUM(C8786,C8762,C8738,C8714,C8690,C8666,C8642,C8618,C8594,C8570,C8546,C8522,C8498,C8474)/POBLA!$B$1*100000</f>
        <v>210.66474524091674</v>
      </c>
      <c r="H8786" s="196">
        <f t="shared" ref="H8786:H8809" si="750">SUM(C8786,C8762,C8738,C8714,C8690,C8666,C8642,C8618,C8594,C8570,C8546,C8522,C8498,C8474)/SUM(C8450,C8426,C8402,C8378,C8354,C8330,C8306,C8282,C8258,C8234,C8210,C8186,C8162,C8138)</f>
        <v>1.0334768989819891</v>
      </c>
    </row>
    <row r="8787" spans="1:8" x14ac:dyDescent="0.25">
      <c r="A8787" s="84" t="s">
        <v>43</v>
      </c>
      <c r="B8787" s="356">
        <v>44259</v>
      </c>
      <c r="C8787" s="1">
        <v>668</v>
      </c>
      <c r="D8787" s="47">
        <f t="shared" si="749"/>
        <v>234503</v>
      </c>
      <c r="E8787" s="1">
        <v>18</v>
      </c>
      <c r="F8787" s="47">
        <f t="shared" si="748"/>
        <v>6573</v>
      </c>
      <c r="G8787" s="203">
        <f>SUM(C8787,C8763,C8739,C8715,C8691,C8667,C8643,C8619,C8595,C8571,C8547,C8523,C8499,C8475)/POBLA!$B$2*100000</f>
        <v>311.21917151713819</v>
      </c>
      <c r="H8787" s="213">
        <f t="shared" si="750"/>
        <v>0.93294346978557507</v>
      </c>
    </row>
    <row r="8788" spans="1:8" x14ac:dyDescent="0.25">
      <c r="A8788" s="84" t="s">
        <v>28</v>
      </c>
      <c r="B8788" s="356">
        <v>44259</v>
      </c>
      <c r="C8788" s="1">
        <v>59</v>
      </c>
      <c r="D8788" s="47">
        <f t="shared" si="749"/>
        <v>8243</v>
      </c>
      <c r="F8788" s="47">
        <f t="shared" si="748"/>
        <v>17</v>
      </c>
      <c r="G8788" s="203">
        <f>SUM(C8788,C8764,C8740,C8716,C8692,C8668,C8644,C8620,C8596,C8572,C8548,C8524,C8500,C8476)/POBLA!$B$3*100000</f>
        <v>291.74028374871824</v>
      </c>
      <c r="H8788" s="213">
        <f t="shared" si="750"/>
        <v>1.1119266055045871</v>
      </c>
    </row>
    <row r="8789" spans="1:8" x14ac:dyDescent="0.25">
      <c r="A8789" s="84" t="s">
        <v>15</v>
      </c>
      <c r="B8789" s="356">
        <v>44259</v>
      </c>
      <c r="C8789" s="1">
        <v>181</v>
      </c>
      <c r="D8789" s="47">
        <f t="shared" si="749"/>
        <v>34685</v>
      </c>
      <c r="E8789" s="1">
        <v>1</v>
      </c>
      <c r="F8789" s="47">
        <f t="shared" si="748"/>
        <v>871</v>
      </c>
      <c r="G8789" s="203">
        <f>SUM(C8789,C8765,C8741,C8717,C8693,C8669,C8645,C8621,C8597,C8573,C8549,C8525,C8501,C8477)/POBLA!$B$4*100000</f>
        <v>157.81945155872651</v>
      </c>
      <c r="H8789" s="213">
        <f t="shared" si="750"/>
        <v>1.245740498034076</v>
      </c>
    </row>
    <row r="8790" spans="1:8" x14ac:dyDescent="0.25">
      <c r="A8790" s="84" t="s">
        <v>29</v>
      </c>
      <c r="B8790" s="356">
        <v>44259</v>
      </c>
      <c r="C8790" s="1">
        <v>83</v>
      </c>
      <c r="D8790" s="47">
        <f t="shared" si="749"/>
        <v>47353</v>
      </c>
      <c r="F8790" s="47">
        <f t="shared" si="748"/>
        <v>777</v>
      </c>
      <c r="G8790" s="203">
        <f>SUM(C8790,C8766,C8742,C8718,C8694,C8670,C8646,C8622,C8598,C8574,C8550,C8526,C8502,C8478)/POBLA!$B$5*100000</f>
        <v>247.33680778812072</v>
      </c>
      <c r="H8790" s="213">
        <f t="shared" si="750"/>
        <v>0.63791666666666669</v>
      </c>
    </row>
    <row r="8791" spans="1:8" x14ac:dyDescent="0.25">
      <c r="A8791" s="84" t="s">
        <v>30</v>
      </c>
      <c r="B8791" s="356">
        <v>44259</v>
      </c>
      <c r="C8791" s="1">
        <v>396</v>
      </c>
      <c r="D8791" s="47">
        <f t="shared" si="749"/>
        <v>22709</v>
      </c>
      <c r="F8791" s="47">
        <f t="shared" si="748"/>
        <v>300</v>
      </c>
      <c r="G8791" s="203">
        <f>SUM(C8791,C8767,C8743,C8719,C8695,C8671,C8647,C8623,C8599,C8575,C8551,C8527,C8503,C8479)/POBLA!$B$7*100000</f>
        <v>56.934675371298646</v>
      </c>
      <c r="H8791" s="213">
        <f t="shared" si="750"/>
        <v>0.89134054954204833</v>
      </c>
    </row>
    <row r="8792" spans="1:8" x14ac:dyDescent="0.25">
      <c r="A8792" s="84" t="s">
        <v>20</v>
      </c>
      <c r="B8792" s="356">
        <v>44259</v>
      </c>
      <c r="C8792" s="1">
        <v>696</v>
      </c>
      <c r="D8792" s="47">
        <f t="shared" si="749"/>
        <v>162444</v>
      </c>
      <c r="E8792" s="1">
        <v>2</v>
      </c>
      <c r="F8792" s="47">
        <f t="shared" si="748"/>
        <v>2864</v>
      </c>
      <c r="G8792" s="203">
        <f>SUM(C8792,C8768,C8744,C8720,C8696,C8672,C8648,C8624,C8600,C8576,C8552,C8528,C8504,C8480)/POBLA!$B$6*100000</f>
        <v>774.89224224460895</v>
      </c>
      <c r="H8792" s="213">
        <f t="shared" si="750"/>
        <v>1.2933730454207</v>
      </c>
    </row>
    <row r="8793" spans="1:8" x14ac:dyDescent="0.25">
      <c r="A8793" s="84" t="s">
        <v>31</v>
      </c>
      <c r="B8793" s="356">
        <v>44259</v>
      </c>
      <c r="C8793" s="1">
        <v>197</v>
      </c>
      <c r="D8793" s="47">
        <f t="shared" si="749"/>
        <v>45716</v>
      </c>
      <c r="E8793" s="1">
        <v>1</v>
      </c>
      <c r="F8793" s="47">
        <f t="shared" ref="F8793:F8816" si="751">E8793+F8769</f>
        <v>870</v>
      </c>
      <c r="G8793" s="203">
        <f>SUM(C8793,C8769,C8745,C8721,C8697,C8673,C8649,C8625,C8601,C8577,C8553,C8529,C8505,C8481)/POBLA!$B$8*100000</f>
        <v>126.69909182148704</v>
      </c>
      <c r="H8793" s="213">
        <f t="shared" si="750"/>
        <v>0.86716049382716054</v>
      </c>
    </row>
    <row r="8794" spans="1:8" x14ac:dyDescent="0.25">
      <c r="A8794" s="84" t="s">
        <v>41</v>
      </c>
      <c r="B8794" s="356">
        <v>44259</v>
      </c>
      <c r="C8794" s="1">
        <v>23</v>
      </c>
      <c r="D8794" s="47">
        <f t="shared" si="749"/>
        <v>1309</v>
      </c>
      <c r="E8794" s="1">
        <v>1</v>
      </c>
      <c r="F8794" s="47">
        <f t="shared" si="751"/>
        <v>20</v>
      </c>
      <c r="G8794" s="203">
        <f>SUM(C8794,C8770,C8746,C8722,C8698,C8674,C8650,C8626,C8602,C8578,C8554,C8530,C8506,C8482)/POBLA!$B$9*100000</f>
        <v>44.448630436901951</v>
      </c>
      <c r="H8794" s="213">
        <f t="shared" si="750"/>
        <v>1.4780219780219781</v>
      </c>
    </row>
    <row r="8795" spans="1:8" x14ac:dyDescent="0.25">
      <c r="A8795" s="84" t="s">
        <v>32</v>
      </c>
      <c r="B8795" s="356">
        <v>44259</v>
      </c>
      <c r="C8795" s="1">
        <v>87</v>
      </c>
      <c r="D8795" s="47">
        <f t="shared" si="749"/>
        <v>21069</v>
      </c>
      <c r="F8795" s="47">
        <f t="shared" si="751"/>
        <v>911</v>
      </c>
      <c r="G8795" s="203">
        <f>SUM(C8795,C8771,C8747,C8723,C8699,C8675,C8651,C8627,C8603,C8579,C8555,C8531,C8507,C8483)/POBLA!$B$10*100000</f>
        <v>148.6610773906738</v>
      </c>
      <c r="H8795" s="213">
        <f t="shared" si="750"/>
        <v>2.3387755102040817</v>
      </c>
    </row>
    <row r="8796" spans="1:8" x14ac:dyDescent="0.25">
      <c r="A8796" s="84" t="s">
        <v>33</v>
      </c>
      <c r="B8796" s="356">
        <v>44259</v>
      </c>
      <c r="C8796" s="1">
        <v>101</v>
      </c>
      <c r="D8796" s="47">
        <f t="shared" si="749"/>
        <v>19054</v>
      </c>
      <c r="F8796" s="47">
        <f t="shared" si="751"/>
        <v>289</v>
      </c>
      <c r="G8796" s="203">
        <f>SUM(C8796,C8772,C8748,C8724,C8700,C8676,C8652,C8628,C8604,C8580,C8556,C8532,C8508,C8484)/POBLA!$B$11*100000</f>
        <v>310.52261542067026</v>
      </c>
      <c r="H8796" s="213">
        <f t="shared" si="750"/>
        <v>1.0440900562851783</v>
      </c>
    </row>
    <row r="8797" spans="1:8" x14ac:dyDescent="0.25">
      <c r="A8797" s="84" t="s">
        <v>21</v>
      </c>
      <c r="B8797" s="356">
        <v>44259</v>
      </c>
      <c r="C8797" s="1">
        <v>19</v>
      </c>
      <c r="D8797" s="47">
        <f t="shared" si="749"/>
        <v>10306</v>
      </c>
      <c r="F8797" s="47">
        <f t="shared" si="751"/>
        <v>439</v>
      </c>
      <c r="G8797" s="203">
        <f>SUM(C8797,C8773,C8749,C8725,C8701,C8677,C8653,C8629,C8605,C8581,C8557,C8533,C8509,C8485)/POBLA!$B$12*100000</f>
        <v>91.733561015523549</v>
      </c>
      <c r="H8797" s="213">
        <f t="shared" si="750"/>
        <v>1.0403458213256485</v>
      </c>
    </row>
    <row r="8798" spans="1:8" x14ac:dyDescent="0.25">
      <c r="A8798" s="84" t="s">
        <v>17</v>
      </c>
      <c r="B8798" s="356">
        <v>44259</v>
      </c>
      <c r="C8798" s="1">
        <v>199</v>
      </c>
      <c r="D8798" s="47">
        <f t="shared" si="749"/>
        <v>67886</v>
      </c>
      <c r="E8798" s="1">
        <v>3</v>
      </c>
      <c r="F8798" s="47">
        <f t="shared" si="751"/>
        <v>1456</v>
      </c>
      <c r="G8798" s="203">
        <f>SUM(C8798,C8774,C8750,C8726,C8702,C8678,C8654,C8630,C8606,C8582,C8558,C8534,C8510,C8486)/POBLA!$B$13*100000</f>
        <v>93.350978577507945</v>
      </c>
      <c r="H8798" s="213">
        <f t="shared" si="750"/>
        <v>1.1336180597925565</v>
      </c>
    </row>
    <row r="8799" spans="1:8" x14ac:dyDescent="0.25">
      <c r="A8799" s="84" t="s">
        <v>23</v>
      </c>
      <c r="B8799" s="356">
        <v>44259</v>
      </c>
      <c r="C8799" s="1">
        <v>145</v>
      </c>
      <c r="D8799" s="47">
        <f t="shared" si="749"/>
        <v>8795</v>
      </c>
      <c r="E8799" s="1">
        <v>3</v>
      </c>
      <c r="F8799" s="47">
        <f t="shared" si="751"/>
        <v>151</v>
      </c>
      <c r="G8799" s="203">
        <f>SUM(C8799,C8775,C8751,C8727,C8703,C8679,C8655,C8631,C8607,C8583,C8559,C8535,C8511,C8487)/POBLA!$B$14*100000</f>
        <v>129.54949440812371</v>
      </c>
      <c r="H8799" s="213">
        <f t="shared" si="750"/>
        <v>1.0036855036855037</v>
      </c>
    </row>
    <row r="8800" spans="1:8" x14ac:dyDescent="0.25">
      <c r="A8800" s="84" t="s">
        <v>19</v>
      </c>
      <c r="B8800" s="356">
        <v>44259</v>
      </c>
      <c r="C8800" s="1">
        <v>214</v>
      </c>
      <c r="D8800" s="47">
        <f t="shared" si="749"/>
        <v>61889</v>
      </c>
      <c r="F8800" s="47">
        <f t="shared" si="751"/>
        <v>938</v>
      </c>
      <c r="G8800" s="203">
        <f>SUM(C8800,C8776,C8752,C8728,C8704,C8680,C8656,C8632,C8608,C8584,C8560,C8536,C8512,C8488)/POBLA!$B$15*100000</f>
        <v>368.49246374934683</v>
      </c>
      <c r="H8800" s="213">
        <f t="shared" si="750"/>
        <v>0.68581838565022424</v>
      </c>
    </row>
    <row r="8801" spans="1:8" x14ac:dyDescent="0.25">
      <c r="A8801" s="84" t="s">
        <v>18</v>
      </c>
      <c r="B8801" s="356">
        <v>44259</v>
      </c>
      <c r="C8801" s="1">
        <v>132</v>
      </c>
      <c r="D8801" s="47">
        <f t="shared" si="749"/>
        <v>52874</v>
      </c>
      <c r="E8801" s="1">
        <v>7</v>
      </c>
      <c r="F8801" s="47">
        <f t="shared" si="751"/>
        <v>1204</v>
      </c>
      <c r="G8801" s="203">
        <f>SUM(C8801,C8777,C8753,C8729,C8705,C8681,C8657,C8633,C8609,C8585,C8561,C8537,C8513,C8489)/POBLA!$B$16*100000</f>
        <v>228.06008480357403</v>
      </c>
      <c r="H8801" s="213">
        <f t="shared" si="750"/>
        <v>0.76801801801801806</v>
      </c>
    </row>
    <row r="8802" spans="1:8" x14ac:dyDescent="0.25">
      <c r="A8802" s="84" t="s">
        <v>34</v>
      </c>
      <c r="B8802" s="356">
        <v>44259</v>
      </c>
      <c r="C8802" s="1">
        <v>169</v>
      </c>
      <c r="D8802" s="47">
        <f t="shared" si="749"/>
        <v>26609</v>
      </c>
      <c r="E8802" s="1">
        <v>5</v>
      </c>
      <c r="F8802" s="47">
        <f t="shared" si="751"/>
        <v>1110</v>
      </c>
      <c r="G8802" s="203">
        <f>SUM(C8802,C8778,C8754,C8730,C8706,C8682,C8658,C8634,C8610,C8586,C8562,C8538,C8514,C8490)/POBLA!$B$17*100000</f>
        <v>111.27515713666907</v>
      </c>
      <c r="H8802" s="213">
        <f t="shared" si="750"/>
        <v>1.6562173458725182</v>
      </c>
    </row>
    <row r="8803" spans="1:8" x14ac:dyDescent="0.25">
      <c r="A8803" s="84" t="s">
        <v>35</v>
      </c>
      <c r="B8803" s="356">
        <v>44259</v>
      </c>
      <c r="C8803" s="1">
        <v>53</v>
      </c>
      <c r="D8803" s="47">
        <f t="shared" si="749"/>
        <v>15457</v>
      </c>
      <c r="E8803" s="1">
        <v>2</v>
      </c>
      <c r="F8803" s="47">
        <f t="shared" si="751"/>
        <v>214</v>
      </c>
      <c r="G8803" s="203">
        <f>SUM(C8803,C8779,C8755,C8731,C8707,C8683,C8659,C8635,C8611,C8587,C8563,C8539,C8515,C8491)/POBLA!$B$18*100000</f>
        <v>81.411438819175714</v>
      </c>
      <c r="H8803" s="213">
        <f t="shared" si="750"/>
        <v>1.0635451505016722</v>
      </c>
    </row>
    <row r="8804" spans="1:8" x14ac:dyDescent="0.25">
      <c r="A8804" s="84" t="s">
        <v>36</v>
      </c>
      <c r="B8804" s="356">
        <v>44259</v>
      </c>
      <c r="C8804" s="1">
        <v>8</v>
      </c>
      <c r="D8804" s="47">
        <f t="shared" si="749"/>
        <v>20796</v>
      </c>
      <c r="E8804" s="1">
        <v>2</v>
      </c>
      <c r="F8804" s="47">
        <f t="shared" si="751"/>
        <v>358</v>
      </c>
      <c r="G8804" s="203">
        <f>SUM(C8804,C8780,C8756,C8732,C8708,C8684,C8660,C8636,C8612,C8588,C8564,C8540,C8516,C8492)/POBLA!$B$19*100000</f>
        <v>108.59130325301773</v>
      </c>
      <c r="H8804" s="213">
        <f t="shared" si="750"/>
        <v>0.47916666666666669</v>
      </c>
    </row>
    <row r="8805" spans="1:8" x14ac:dyDescent="0.25">
      <c r="A8805" s="84" t="s">
        <v>37</v>
      </c>
      <c r="B8805" s="356">
        <v>44259</v>
      </c>
      <c r="C8805" s="1">
        <v>194</v>
      </c>
      <c r="D8805" s="47">
        <f t="shared" si="749"/>
        <v>36431</v>
      </c>
      <c r="E8805" s="1">
        <v>3</v>
      </c>
      <c r="F8805" s="47">
        <f t="shared" si="751"/>
        <v>596</v>
      </c>
      <c r="G8805" s="203">
        <f>SUM(C8805,C8781,C8757,C8733,C8709,C8685,C8661,C8637,C8613,C8589,C8565,C8541,C8517,C8493)/POBLA!$B$20*100000</f>
        <v>428.49564394664452</v>
      </c>
      <c r="H8805" s="213">
        <f t="shared" si="750"/>
        <v>1.0988779803646564</v>
      </c>
    </row>
    <row r="8806" spans="1:8" x14ac:dyDescent="0.25">
      <c r="A8806" s="84" t="s">
        <v>22</v>
      </c>
      <c r="B8806" s="356">
        <v>44259</v>
      </c>
      <c r="C8806" s="1">
        <v>479</v>
      </c>
      <c r="D8806" s="47">
        <f t="shared" si="749"/>
        <v>218170</v>
      </c>
      <c r="E8806" s="1">
        <v>30</v>
      </c>
      <c r="F8806" s="47">
        <f t="shared" si="751"/>
        <v>4029</v>
      </c>
      <c r="G8806" s="203">
        <f>SUM(C8806,C8782,C8758,C8734,C8710,C8686,C8662,C8638,C8614,C8590,C8566,C8542,C8518,C8494)/POBLA!$B$21*100000</f>
        <v>147.06971856833667</v>
      </c>
      <c r="H8806" s="213">
        <f t="shared" si="750"/>
        <v>1.0730348669279968</v>
      </c>
    </row>
    <row r="8807" spans="1:8" x14ac:dyDescent="0.25">
      <c r="A8807" s="84" t="s">
        <v>38</v>
      </c>
      <c r="B8807" s="356">
        <v>44259</v>
      </c>
      <c r="C8807" s="1">
        <v>80</v>
      </c>
      <c r="D8807" s="47">
        <f t="shared" si="749"/>
        <v>22867</v>
      </c>
      <c r="F8807" s="47">
        <f t="shared" si="751"/>
        <v>269</v>
      </c>
      <c r="G8807" s="203">
        <f>SUM(C8807,C8783,C8759,C8735,C8711,C8687,C8663,C8639,C8615,C8591,C8567,C8543,C8519,C8495)/POBLA!$B$22*100000</f>
        <v>85.351007295211247</v>
      </c>
      <c r="H8807" s="213">
        <f t="shared" si="750"/>
        <v>0.99051008303677346</v>
      </c>
    </row>
    <row r="8808" spans="1:8" x14ac:dyDescent="0.25">
      <c r="A8808" s="84" t="s">
        <v>39</v>
      </c>
      <c r="B8808" s="356">
        <v>44259</v>
      </c>
      <c r="C8808" s="1">
        <v>33</v>
      </c>
      <c r="D8808" s="47">
        <f t="shared" si="749"/>
        <v>23081</v>
      </c>
      <c r="F8808" s="47">
        <f t="shared" si="751"/>
        <v>356</v>
      </c>
      <c r="G8808" s="203">
        <f>SUM(C8808,C8784,C8760,C8736,C8712,C8688,C8664,C8640,C8616,C8592,C8568,C8544,C8520,C8496)/POBLA!$B$23*100000</f>
        <v>281.06090595487194</v>
      </c>
      <c r="H8808" s="213">
        <f t="shared" si="750"/>
        <v>0.84523809523809523</v>
      </c>
    </row>
    <row r="8809" spans="1:8" ht="15.75" thickBot="1" x14ac:dyDescent="0.3">
      <c r="A8809" s="85" t="s">
        <v>40</v>
      </c>
      <c r="B8809" s="356">
        <v>44259</v>
      </c>
      <c r="C8809" s="1">
        <v>150</v>
      </c>
      <c r="D8809" s="214">
        <f t="shared" si="749"/>
        <v>80454</v>
      </c>
      <c r="F8809" s="214">
        <f t="shared" si="751"/>
        <v>1478</v>
      </c>
      <c r="G8809" s="215">
        <f>SUM(C8809,C8785,C8761,C8737,C8713,C8689,C8665,C8641,C8617,C8593,C8569,C8545,C8521,C8497)/POBLA!$B$24*100000</f>
        <v>118.66715132746704</v>
      </c>
      <c r="H8809" s="216">
        <f t="shared" si="750"/>
        <v>1.4013937282229965</v>
      </c>
    </row>
    <row r="8810" spans="1:8" x14ac:dyDescent="0.25">
      <c r="A8810" s="36" t="s">
        <v>16</v>
      </c>
      <c r="B8810" s="356">
        <v>44260</v>
      </c>
      <c r="C8810" s="1">
        <v>3494</v>
      </c>
      <c r="D8810" s="211">
        <f t="shared" ref="D8810:D8841" si="752">C8810+D8786</f>
        <v>894757</v>
      </c>
      <c r="E8810" s="1">
        <v>86</v>
      </c>
      <c r="F8810" s="211">
        <f t="shared" si="751"/>
        <v>26647</v>
      </c>
      <c r="G8810" s="212">
        <f>SUM(C8810,C8786,C8762,C8738,C8714,C8690,C8666,C8642,C8618,C8594,C8570,C8546,C8522,C8498)/POBLA!$B$1*100000</f>
        <v>210.35119665248686</v>
      </c>
      <c r="H8810" s="196">
        <f t="shared" ref="H8810:H8841" si="753">SUM(C8810,C8786,C8762,C8738,C8714,C8690,C8666,C8642,C8618,C8594,C8570,C8546,C8522,C8498)/SUM(C8474,C8450,C8426,C8402,C8378,C8354,C8330,C8306,C8282,C8258,C8234,C8210,C8186,C8162)</f>
        <v>1.0300374071799452</v>
      </c>
    </row>
    <row r="8811" spans="1:8" x14ac:dyDescent="0.25">
      <c r="A8811" s="84" t="s">
        <v>43</v>
      </c>
      <c r="B8811" s="356">
        <v>44260</v>
      </c>
      <c r="C8811" s="1">
        <v>863</v>
      </c>
      <c r="D8811" s="47">
        <f t="shared" si="752"/>
        <v>235366</v>
      </c>
      <c r="E8811" s="1">
        <v>7</v>
      </c>
      <c r="F8811" s="47">
        <f t="shared" si="751"/>
        <v>6580</v>
      </c>
      <c r="G8811" s="203">
        <f>SUM(C8811,C8787,C8763,C8739,C8715,C8691,C8667,C8643,C8619,C8595,C8571,C8547,C8523,C8499)/POBLA!$B$2*100000</f>
        <v>311.73938743275397</v>
      </c>
      <c r="H8811" s="213">
        <f t="shared" si="753"/>
        <v>0.95679073944716098</v>
      </c>
    </row>
    <row r="8812" spans="1:8" x14ac:dyDescent="0.25">
      <c r="A8812" s="84" t="s">
        <v>28</v>
      </c>
      <c r="B8812" s="356">
        <v>44260</v>
      </c>
      <c r="C8812" s="1">
        <v>117</v>
      </c>
      <c r="D8812" s="47">
        <f t="shared" si="752"/>
        <v>8360</v>
      </c>
      <c r="F8812" s="47">
        <f t="shared" si="751"/>
        <v>17</v>
      </c>
      <c r="G8812" s="203">
        <f>SUM(C8812,C8788,C8764,C8740,C8716,C8692,C8668,C8644,C8620,C8596,C8572,C8548,C8524,C8500)/POBLA!$B$3*100000</f>
        <v>296.31377004510904</v>
      </c>
      <c r="H8812" s="213">
        <f t="shared" si="753"/>
        <v>1.1419294990723563</v>
      </c>
    </row>
    <row r="8813" spans="1:8" x14ac:dyDescent="0.25">
      <c r="A8813" s="84" t="s">
        <v>15</v>
      </c>
      <c r="B8813" s="356">
        <v>44260</v>
      </c>
      <c r="C8813" s="1">
        <v>172</v>
      </c>
      <c r="D8813" s="47">
        <f t="shared" si="752"/>
        <v>34857</v>
      </c>
      <c r="E8813" s="1">
        <v>1</v>
      </c>
      <c r="F8813" s="47">
        <f t="shared" si="751"/>
        <v>872</v>
      </c>
      <c r="G8813" s="203">
        <f>SUM(C8813,C8789,C8765,C8741,C8717,C8693,C8669,C8645,C8621,C8597,C8573,C8549,C8525,C8501)/POBLA!$B$4*100000</f>
        <v>158.40058578329837</v>
      </c>
      <c r="H8813" s="213">
        <f t="shared" si="753"/>
        <v>1.2454308093994777</v>
      </c>
    </row>
    <row r="8814" spans="1:8" x14ac:dyDescent="0.25">
      <c r="A8814" s="84" t="s">
        <v>29</v>
      </c>
      <c r="B8814" s="356">
        <v>44260</v>
      </c>
      <c r="C8814" s="1">
        <v>108</v>
      </c>
      <c r="D8814" s="47">
        <f t="shared" si="752"/>
        <v>47461</v>
      </c>
      <c r="F8814" s="47">
        <f t="shared" si="751"/>
        <v>777</v>
      </c>
      <c r="G8814" s="203">
        <f>SUM(C8814,C8790,C8766,C8742,C8718,C8694,C8670,C8646,C8622,C8598,C8574,C8550,C8526,C8502)/POBLA!$B$5*100000</f>
        <v>236.1896884299363</v>
      </c>
      <c r="H8814" s="213">
        <f t="shared" si="753"/>
        <v>0.63454861111111116</v>
      </c>
    </row>
    <row r="8815" spans="1:8" x14ac:dyDescent="0.25">
      <c r="A8815" s="84" t="s">
        <v>30</v>
      </c>
      <c r="B8815" s="356">
        <v>44260</v>
      </c>
      <c r="C8815" s="1">
        <v>155</v>
      </c>
      <c r="D8815" s="47">
        <f t="shared" si="752"/>
        <v>22864</v>
      </c>
      <c r="F8815" s="47">
        <f t="shared" si="751"/>
        <v>300</v>
      </c>
      <c r="G8815" s="203">
        <f>SUM(C8815,C8791,C8767,C8743,C8719,C8695,C8671,C8647,C8623,C8599,C8575,C8551,C8527,C8503)/POBLA!$B$7*100000</f>
        <v>57.838822481351968</v>
      </c>
      <c r="H8815" s="213">
        <f t="shared" si="753"/>
        <v>0.95941773268636965</v>
      </c>
    </row>
    <row r="8816" spans="1:8" x14ac:dyDescent="0.25">
      <c r="A8816" s="84" t="s">
        <v>20</v>
      </c>
      <c r="B8816" s="356">
        <v>44260</v>
      </c>
      <c r="C8816" s="1">
        <v>728</v>
      </c>
      <c r="D8816" s="47">
        <f t="shared" si="752"/>
        <v>163172</v>
      </c>
      <c r="E8816" s="1">
        <v>10</v>
      </c>
      <c r="F8816" s="47">
        <f t="shared" si="751"/>
        <v>2874</v>
      </c>
      <c r="G8816" s="203">
        <f>SUM(C8816,C8792,C8768,C8744,C8720,C8696,C8672,C8648,C8624,C8600,C8576,C8552,C8528,C8504)/POBLA!$B$6*100000</f>
        <v>766.2377174895455</v>
      </c>
      <c r="H8816" s="213">
        <f t="shared" si="753"/>
        <v>1.2284365612930912</v>
      </c>
    </row>
    <row r="8817" spans="1:8" x14ac:dyDescent="0.25">
      <c r="A8817" s="84" t="s">
        <v>31</v>
      </c>
      <c r="B8817" s="356">
        <v>44260</v>
      </c>
      <c r="C8817" s="1">
        <v>120</v>
      </c>
      <c r="D8817" s="47">
        <f t="shared" si="752"/>
        <v>45836</v>
      </c>
      <c r="F8817" s="47">
        <f t="shared" ref="F8817:F8840" si="754">E8817+F8793</f>
        <v>870</v>
      </c>
      <c r="G8817" s="203">
        <f>SUM(C8817,C8793,C8769,C8745,C8721,C8697,C8673,C8649,C8625,C8601,C8577,C8553,C8529,C8505)/POBLA!$B$8*100000</f>
        <v>124.17376823734578</v>
      </c>
      <c r="H8817" s="213">
        <f t="shared" si="753"/>
        <v>0.89356178608515058</v>
      </c>
    </row>
    <row r="8818" spans="1:8" x14ac:dyDescent="0.25">
      <c r="A8818" s="84" t="s">
        <v>41</v>
      </c>
      <c r="B8818" s="356">
        <v>44260</v>
      </c>
      <c r="C8818" s="1">
        <v>28</v>
      </c>
      <c r="D8818" s="47">
        <f t="shared" si="752"/>
        <v>1337</v>
      </c>
      <c r="F8818" s="47">
        <f t="shared" si="754"/>
        <v>20</v>
      </c>
      <c r="G8818" s="203">
        <f>SUM(C8818,C8794,C8770,C8746,C8722,C8698,C8674,C8650,C8626,C8602,C8578,C8554,C8530,C8506)/POBLA!$B$9*100000</f>
        <v>46.266232425028051</v>
      </c>
      <c r="H8818" s="213">
        <f t="shared" si="753"/>
        <v>1.4736842105263157</v>
      </c>
    </row>
    <row r="8819" spans="1:8" x14ac:dyDescent="0.25">
      <c r="A8819" s="84" t="s">
        <v>32</v>
      </c>
      <c r="B8819" s="356">
        <v>44260</v>
      </c>
      <c r="C8819" s="1">
        <v>80</v>
      </c>
      <c r="D8819" s="47">
        <f t="shared" si="752"/>
        <v>21149</v>
      </c>
      <c r="E8819" s="1">
        <v>1</v>
      </c>
      <c r="F8819" s="47">
        <f t="shared" si="754"/>
        <v>912</v>
      </c>
      <c r="G8819" s="203">
        <f>SUM(C8819,C8795,C8771,C8747,C8723,C8699,C8675,C8651,C8627,C8603,C8579,C8555,C8531,C8507)/POBLA!$B$10*100000</f>
        <v>152.42300692324756</v>
      </c>
      <c r="H8819" s="213">
        <f t="shared" si="753"/>
        <v>2.3594377510040161</v>
      </c>
    </row>
    <row r="8820" spans="1:8" x14ac:dyDescent="0.25">
      <c r="A8820" s="84" t="s">
        <v>33</v>
      </c>
      <c r="B8820" s="356">
        <v>44260</v>
      </c>
      <c r="C8820" s="1">
        <v>110</v>
      </c>
      <c r="D8820" s="47">
        <f t="shared" si="752"/>
        <v>19164</v>
      </c>
      <c r="F8820" s="47">
        <f t="shared" si="754"/>
        <v>289</v>
      </c>
      <c r="G8820" s="203">
        <f>SUM(C8820,C8796,C8772,C8748,C8724,C8700,C8676,C8652,C8628,C8604,C8580,C8556,C8532,C8508)/POBLA!$B$11*100000</f>
        <v>321.68245784369526</v>
      </c>
      <c r="H8820" s="213">
        <f t="shared" si="753"/>
        <v>1.1022944550669216</v>
      </c>
    </row>
    <row r="8821" spans="1:8" x14ac:dyDescent="0.25">
      <c r="A8821" s="84" t="s">
        <v>21</v>
      </c>
      <c r="B8821" s="356">
        <v>44260</v>
      </c>
      <c r="C8821" s="1">
        <v>23</v>
      </c>
      <c r="D8821" s="47">
        <f t="shared" si="752"/>
        <v>10329</v>
      </c>
      <c r="F8821" s="47">
        <f t="shared" si="754"/>
        <v>439</v>
      </c>
      <c r="G8821" s="203">
        <f>SUM(C8821,C8797,C8773,C8749,C8725,C8701,C8677,C8653,C8629,C8605,C8581,C8557,C8533,C8509)/POBLA!$B$12*100000</f>
        <v>89.192465142517364</v>
      </c>
      <c r="H8821" s="213">
        <f t="shared" si="753"/>
        <v>0.9859550561797753</v>
      </c>
    </row>
    <row r="8822" spans="1:8" x14ac:dyDescent="0.25">
      <c r="A8822" s="84" t="s">
        <v>17</v>
      </c>
      <c r="B8822" s="356">
        <v>44260</v>
      </c>
      <c r="C8822" s="1">
        <v>161</v>
      </c>
      <c r="D8822" s="47">
        <f t="shared" si="752"/>
        <v>68047</v>
      </c>
      <c r="E8822" s="1">
        <v>3</v>
      </c>
      <c r="F8822" s="47">
        <f t="shared" si="754"/>
        <v>1459</v>
      </c>
      <c r="G8822" s="203">
        <f>SUM(C8822,C8798,C8774,C8750,C8726,C8702,C8678,C8654,C8630,C8606,C8582,C8558,C8534,C8510)/POBLA!$B$13*100000</f>
        <v>94.456318474550557</v>
      </c>
      <c r="H8822" s="213">
        <f t="shared" si="753"/>
        <v>1.1764705882352942</v>
      </c>
    </row>
    <row r="8823" spans="1:8" x14ac:dyDescent="0.25">
      <c r="A8823" s="84" t="s">
        <v>23</v>
      </c>
      <c r="B8823" s="356">
        <v>44260</v>
      </c>
      <c r="C8823" s="1">
        <v>110</v>
      </c>
      <c r="D8823" s="47">
        <f t="shared" si="752"/>
        <v>8905</v>
      </c>
      <c r="F8823" s="47">
        <f t="shared" si="754"/>
        <v>151</v>
      </c>
      <c r="G8823" s="203">
        <f>SUM(C8823,C8799,C8775,C8751,C8727,C8703,C8679,C8655,C8631,C8607,C8583,C8559,C8535,C8511)/POBLA!$B$14*100000</f>
        <v>130.02519634597485</v>
      </c>
      <c r="H8823" s="213">
        <f t="shared" si="753"/>
        <v>1.0691003911342893</v>
      </c>
    </row>
    <row r="8824" spans="1:8" x14ac:dyDescent="0.25">
      <c r="A8824" s="84" t="s">
        <v>19</v>
      </c>
      <c r="B8824" s="356">
        <v>44260</v>
      </c>
      <c r="C8824" s="1">
        <v>182</v>
      </c>
      <c r="D8824" s="47">
        <f t="shared" si="752"/>
        <v>62071</v>
      </c>
      <c r="F8824" s="47">
        <f t="shared" si="754"/>
        <v>938</v>
      </c>
      <c r="G8824" s="203">
        <f>SUM(C8824,C8800,C8776,C8752,C8728,C8704,C8680,C8656,C8632,C8608,C8584,C8560,C8536,C8512)/POBLA!$B$15*100000</f>
        <v>356.44530514699795</v>
      </c>
      <c r="H8824" s="213">
        <f t="shared" si="753"/>
        <v>0.67416690401594992</v>
      </c>
    </row>
    <row r="8825" spans="1:8" x14ac:dyDescent="0.25">
      <c r="A8825" s="84" t="s">
        <v>18</v>
      </c>
      <c r="B8825" s="356">
        <v>44260</v>
      </c>
      <c r="C8825" s="1">
        <v>157</v>
      </c>
      <c r="D8825" s="47">
        <f t="shared" si="752"/>
        <v>53031</v>
      </c>
      <c r="E8825" s="1">
        <v>3</v>
      </c>
      <c r="F8825" s="47">
        <f t="shared" si="754"/>
        <v>1207</v>
      </c>
      <c r="G8825" s="203">
        <f>SUM(C8825,C8801,C8777,C8753,C8729,C8705,C8681,C8657,C8633,C8609,C8585,C8561,C8537,C8513)/POBLA!$B$16*100000</f>
        <v>230.73527641417317</v>
      </c>
      <c r="H8825" s="213">
        <f t="shared" si="753"/>
        <v>0.81214689265536721</v>
      </c>
    </row>
    <row r="8826" spans="1:8" x14ac:dyDescent="0.25">
      <c r="A8826" s="84" t="s">
        <v>34</v>
      </c>
      <c r="B8826" s="356">
        <v>44260</v>
      </c>
      <c r="C8826" s="1">
        <v>173</v>
      </c>
      <c r="D8826" s="47">
        <f t="shared" si="752"/>
        <v>26782</v>
      </c>
      <c r="E8826" s="1">
        <v>2</v>
      </c>
      <c r="F8826" s="47">
        <f t="shared" si="754"/>
        <v>1112</v>
      </c>
      <c r="G8826" s="203">
        <f>SUM(C8826,C8802,C8778,C8754,C8730,C8706,C8682,C8658,C8634,C8610,C8586,C8562,C8538,C8514)/POBLA!$B$17*100000</f>
        <v>112.74946521229687</v>
      </c>
      <c r="H8826" s="213">
        <f t="shared" si="753"/>
        <v>1.576054955839058</v>
      </c>
    </row>
    <row r="8827" spans="1:8" x14ac:dyDescent="0.25">
      <c r="A8827" s="84" t="s">
        <v>35</v>
      </c>
      <c r="B8827" s="356">
        <v>44260</v>
      </c>
      <c r="C8827" s="1">
        <v>62</v>
      </c>
      <c r="D8827" s="47">
        <f t="shared" si="752"/>
        <v>15519</v>
      </c>
      <c r="F8827" s="47">
        <f t="shared" si="754"/>
        <v>214</v>
      </c>
      <c r="G8827" s="203">
        <f>SUM(C8827,C8803,C8779,C8755,C8731,C8707,C8683,C8659,C8635,C8611,C8587,C8563,C8539,C8515)/POBLA!$B$18*100000</f>
        <v>80.515400970537002</v>
      </c>
      <c r="H8827" s="213">
        <f t="shared" si="753"/>
        <v>1.0112540192926045</v>
      </c>
    </row>
    <row r="8828" spans="1:8" x14ac:dyDescent="0.25">
      <c r="A8828" s="84" t="s">
        <v>36</v>
      </c>
      <c r="B8828" s="356">
        <v>44260</v>
      </c>
      <c r="C8828" s="1">
        <v>5</v>
      </c>
      <c r="D8828" s="47">
        <f t="shared" si="752"/>
        <v>20801</v>
      </c>
      <c r="F8828" s="47">
        <f t="shared" si="754"/>
        <v>358</v>
      </c>
      <c r="G8828" s="203">
        <f>SUM(C8828,C8804,C8780,C8756,C8732,C8708,C8684,C8660,C8636,C8612,C8588,C8564,C8540,C8516)/POBLA!$B$19*100000</f>
        <v>107.80440975118428</v>
      </c>
      <c r="H8828" s="213">
        <f t="shared" si="753"/>
        <v>0.47610773240660298</v>
      </c>
    </row>
    <row r="8829" spans="1:8" x14ac:dyDescent="0.25">
      <c r="A8829" s="84" t="s">
        <v>37</v>
      </c>
      <c r="B8829" s="356">
        <v>44260</v>
      </c>
      <c r="C8829" s="1">
        <v>150</v>
      </c>
      <c r="D8829" s="47">
        <f t="shared" si="752"/>
        <v>36581</v>
      </c>
      <c r="F8829" s="47">
        <f t="shared" si="754"/>
        <v>596</v>
      </c>
      <c r="G8829" s="203">
        <f>SUM(C8829,C8805,C8781,C8757,C8733,C8709,C8685,C8661,C8637,C8613,C8589,C8565,C8541,C8517)/POBLA!$B$20*100000</f>
        <v>431.77704007131564</v>
      </c>
      <c r="H8829" s="213">
        <f t="shared" si="753"/>
        <v>1.145032632342277</v>
      </c>
    </row>
    <row r="8830" spans="1:8" x14ac:dyDescent="0.25">
      <c r="A8830" s="84" t="s">
        <v>22</v>
      </c>
      <c r="B8830" s="356">
        <v>44260</v>
      </c>
      <c r="C8830" s="1">
        <v>527</v>
      </c>
      <c r="D8830" s="47">
        <f t="shared" si="752"/>
        <v>218697</v>
      </c>
      <c r="E8830" s="1">
        <v>20</v>
      </c>
      <c r="F8830" s="47">
        <f t="shared" si="754"/>
        <v>4049</v>
      </c>
      <c r="G8830" s="203">
        <f>SUM(C8830,C8806,C8782,C8758,C8734,C8710,C8686,C8662,C8638,C8614,C8590,C8566,C8542,C8518)/POBLA!$B$21*100000</f>
        <v>147.63526257359848</v>
      </c>
      <c r="H8830" s="213">
        <f t="shared" si="753"/>
        <v>1.0745009261164848</v>
      </c>
    </row>
    <row r="8831" spans="1:8" x14ac:dyDescent="0.25">
      <c r="A8831" s="84" t="s">
        <v>38</v>
      </c>
      <c r="B8831" s="356">
        <v>44260</v>
      </c>
      <c r="C8831" s="1">
        <v>91</v>
      </c>
      <c r="D8831" s="47">
        <f t="shared" si="752"/>
        <v>22958</v>
      </c>
      <c r="E8831" s="1">
        <v>2</v>
      </c>
      <c r="F8831" s="47">
        <f t="shared" si="754"/>
        <v>271</v>
      </c>
      <c r="G8831" s="203">
        <f>SUM(C8831,C8807,C8783,C8759,C8735,C8711,C8687,C8663,C8639,C8615,C8591,C8567,C8543,C8519)/POBLA!$B$22*100000</f>
        <v>89.133027977753542</v>
      </c>
      <c r="H8831" s="213">
        <f t="shared" si="753"/>
        <v>1.080545229244114</v>
      </c>
    </row>
    <row r="8832" spans="1:8" x14ac:dyDescent="0.25">
      <c r="A8832" s="84" t="s">
        <v>39</v>
      </c>
      <c r="B8832" s="356">
        <v>44260</v>
      </c>
      <c r="C8832" s="1">
        <v>48</v>
      </c>
      <c r="D8832" s="47">
        <f t="shared" si="752"/>
        <v>23129</v>
      </c>
      <c r="F8832" s="47">
        <f t="shared" si="754"/>
        <v>356</v>
      </c>
      <c r="G8832" s="203">
        <f>SUM(C8832,C8808,C8784,C8760,C8736,C8712,C8688,C8664,C8640,C8616,C8592,C8568,C8544,C8520)/POBLA!$B$23*100000</f>
        <v>280.49539105355427</v>
      </c>
      <c r="H8832" s="213">
        <f t="shared" si="753"/>
        <v>0.84353741496598644</v>
      </c>
    </row>
    <row r="8833" spans="1:8" ht="15.75" thickBot="1" x14ac:dyDescent="0.3">
      <c r="A8833" s="85" t="s">
        <v>40</v>
      </c>
      <c r="B8833" s="356">
        <v>44260</v>
      </c>
      <c r="C8833" s="1">
        <v>227</v>
      </c>
      <c r="D8833" s="214">
        <f t="shared" si="752"/>
        <v>80681</v>
      </c>
      <c r="E8833" s="1">
        <v>5</v>
      </c>
      <c r="F8833" s="214">
        <f t="shared" si="754"/>
        <v>1483</v>
      </c>
      <c r="G8833" s="215">
        <f>SUM(C8833,C8809,C8785,C8761,C8737,C8713,C8689,C8665,C8641,C8617,C8593,C8569,C8545,C8521)/POBLA!$B$24*100000</f>
        <v>122.73877412288982</v>
      </c>
      <c r="H8833" s="216">
        <f t="shared" si="753"/>
        <v>1.435472739820566</v>
      </c>
    </row>
    <row r="8834" spans="1:8" x14ac:dyDescent="0.25">
      <c r="A8834" s="36" t="s">
        <v>16</v>
      </c>
      <c r="B8834" s="356">
        <v>44261</v>
      </c>
      <c r="C8834" s="17">
        <v>2215</v>
      </c>
      <c r="D8834" s="211">
        <f t="shared" si="752"/>
        <v>896972</v>
      </c>
      <c r="E8834" s="1">
        <v>65</v>
      </c>
      <c r="F8834" s="211">
        <f t="shared" si="754"/>
        <v>26712</v>
      </c>
      <c r="G8834" s="212">
        <f>SUM(C8834,C8810,C8786,C8762,C8738,C8714,C8690,C8666,C8642,C8618,C8594,C8570,C8546,C8522)/POBLA!$B$1*100000</f>
        <v>208.66943604181736</v>
      </c>
      <c r="H8834" s="196">
        <f t="shared" si="753"/>
        <v>1.0343921324817724</v>
      </c>
    </row>
    <row r="8835" spans="1:8" x14ac:dyDescent="0.25">
      <c r="A8835" s="84" t="s">
        <v>43</v>
      </c>
      <c r="B8835" s="356">
        <v>44261</v>
      </c>
      <c r="C8835" s="17">
        <v>651</v>
      </c>
      <c r="D8835" s="47">
        <f t="shared" si="752"/>
        <v>236017</v>
      </c>
      <c r="E8835" s="1">
        <v>3</v>
      </c>
      <c r="F8835" s="47">
        <f t="shared" si="754"/>
        <v>6583</v>
      </c>
      <c r="G8835" s="203">
        <f>SUM(C8835,C8811,C8787,C8763,C8739,C8715,C8691,C8667,C8643,C8619,C8595,C8571,C8547,C8523)/POBLA!$B$2*100000</f>
        <v>313.52762964268322</v>
      </c>
      <c r="H8835" s="213">
        <f t="shared" si="753"/>
        <v>0.97561715904492108</v>
      </c>
    </row>
    <row r="8836" spans="1:8" x14ac:dyDescent="0.25">
      <c r="A8836" s="84" t="s">
        <v>28</v>
      </c>
      <c r="B8836" s="356">
        <v>44261</v>
      </c>
      <c r="C8836" s="17">
        <v>46</v>
      </c>
      <c r="D8836" s="47">
        <f t="shared" si="752"/>
        <v>8406</v>
      </c>
      <c r="F8836" s="47">
        <f t="shared" si="754"/>
        <v>17</v>
      </c>
      <c r="G8836" s="203">
        <f>SUM(C8836,C8812,C8788,C8764,C8740,C8716,C8692,C8668,C8644,C8620,C8596,C8572,C8548,C8524)/POBLA!$B$3*100000</f>
        <v>294.86951121466979</v>
      </c>
      <c r="H8836" s="213">
        <f t="shared" si="753"/>
        <v>1.1633428300094968</v>
      </c>
    </row>
    <row r="8837" spans="1:8" x14ac:dyDescent="0.25">
      <c r="A8837" s="84" t="s">
        <v>15</v>
      </c>
      <c r="B8837" s="356">
        <v>44261</v>
      </c>
      <c r="C8837" s="17">
        <v>122</v>
      </c>
      <c r="D8837" s="47">
        <f t="shared" si="752"/>
        <v>34979</v>
      </c>
      <c r="E8837" s="1">
        <v>1</v>
      </c>
      <c r="F8837" s="47">
        <f t="shared" si="754"/>
        <v>873</v>
      </c>
      <c r="G8837" s="203">
        <f>SUM(C8837,C8813,C8789,C8765,C8741,C8717,C8693,C8669,C8645,C8621,C8597,C8573,C8549,C8525)/POBLA!$B$4*100000</f>
        <v>153.91755033660127</v>
      </c>
      <c r="H8837" s="213">
        <f t="shared" si="753"/>
        <v>1.1854219948849105</v>
      </c>
    </row>
    <row r="8838" spans="1:8" x14ac:dyDescent="0.25">
      <c r="A8838" s="84" t="s">
        <v>29</v>
      </c>
      <c r="B8838" s="356">
        <v>44261</v>
      </c>
      <c r="C8838" s="17">
        <v>41</v>
      </c>
      <c r="D8838" s="47">
        <f t="shared" si="752"/>
        <v>47502</v>
      </c>
      <c r="F8838" s="47">
        <f t="shared" si="754"/>
        <v>777</v>
      </c>
      <c r="G8838" s="203">
        <f>SUM(C8838,C8814,C8790,C8766,C8742,C8718,C8694,C8670,C8646,C8622,C8598,C8574,C8550,C8526)/POBLA!$B$5*100000</f>
        <v>233.76640161293969</v>
      </c>
      <c r="H8838" s="213">
        <f t="shared" si="753"/>
        <v>0.65623582766439914</v>
      </c>
    </row>
    <row r="8839" spans="1:8" x14ac:dyDescent="0.25">
      <c r="A8839" s="84" t="s">
        <v>30</v>
      </c>
      <c r="B8839" s="356">
        <v>44261</v>
      </c>
      <c r="C8839" s="17">
        <v>177</v>
      </c>
      <c r="D8839" s="47">
        <f t="shared" si="752"/>
        <v>23041</v>
      </c>
      <c r="F8839" s="47">
        <f t="shared" si="754"/>
        <v>300</v>
      </c>
      <c r="G8839" s="203">
        <f>SUM(C8839,C8815,C8791,C8767,C8743,C8719,C8695,C8671,C8647,C8623,C8599,C8575,C8551,C8527)/POBLA!$B$7*100000</f>
        <v>59.221635708492336</v>
      </c>
      <c r="H8839" s="213">
        <f t="shared" si="753"/>
        <v>1.0630071599045345</v>
      </c>
    </row>
    <row r="8840" spans="1:8" x14ac:dyDescent="0.25">
      <c r="A8840" s="84" t="s">
        <v>20</v>
      </c>
      <c r="B8840" s="356">
        <v>44261</v>
      </c>
      <c r="C8840" s="17">
        <v>412</v>
      </c>
      <c r="D8840" s="47">
        <f t="shared" si="752"/>
        <v>163584</v>
      </c>
      <c r="E8840" s="1">
        <v>2</v>
      </c>
      <c r="F8840" s="47">
        <f t="shared" si="754"/>
        <v>2876</v>
      </c>
      <c r="G8840" s="203">
        <f>SUM(C8840,C8816,C8792,C8768,C8744,C8720,C8696,C8672,C8648,C8624,C8600,C8576,C8552,C8528)/POBLA!$B$6*100000</f>
        <v>750.26699654978893</v>
      </c>
      <c r="H8840" s="213">
        <f t="shared" si="753"/>
        <v>1.1795483237480713</v>
      </c>
    </row>
    <row r="8841" spans="1:8" x14ac:dyDescent="0.25">
      <c r="A8841" s="84" t="s">
        <v>31</v>
      </c>
      <c r="B8841" s="356">
        <v>44261</v>
      </c>
      <c r="C8841" s="17">
        <v>101</v>
      </c>
      <c r="D8841" s="47">
        <f t="shared" si="752"/>
        <v>45937</v>
      </c>
      <c r="E8841" s="1">
        <v>2</v>
      </c>
      <c r="F8841" s="47">
        <f t="shared" ref="F8841:F8864" si="755">E8841+F8817</f>
        <v>872</v>
      </c>
      <c r="G8841" s="203">
        <f>SUM(C8841,C8817,C8793,C8769,C8745,C8721,C8697,C8673,C8649,C8625,C8601,C8577,C8553,C8529)/POBLA!$B$8*100000</f>
        <v>123.09148670128523</v>
      </c>
      <c r="H8841" s="213">
        <f t="shared" si="753"/>
        <v>0.94046306504961408</v>
      </c>
    </row>
    <row r="8842" spans="1:8" x14ac:dyDescent="0.25">
      <c r="A8842" s="84" t="s">
        <v>41</v>
      </c>
      <c r="B8842" s="356">
        <v>44261</v>
      </c>
      <c r="C8842" s="17">
        <v>3</v>
      </c>
      <c r="D8842" s="47">
        <f t="shared" ref="D8842:D8873" si="756">C8842+D8818</f>
        <v>1340</v>
      </c>
      <c r="F8842" s="47">
        <f t="shared" si="755"/>
        <v>20</v>
      </c>
      <c r="G8842" s="203">
        <f>SUM(C8842,C8818,C8794,C8770,C8746,C8722,C8698,C8674,C8650,C8626,C8602,C8578,C8554,C8530)/POBLA!$B$9*100000</f>
        <v>44.613866981277049</v>
      </c>
      <c r="H8842" s="213">
        <f t="shared" ref="H8842:H8873" si="757">SUM(C8842,C8818,C8794,C8770,C8746,C8722,C8698,C8674,C8650,C8626,C8602,C8578,C8554,C8530)/SUM(C8506,C8482,C8458,C8434,C8410,C8386,C8362,C8338,C8314,C8290,C8266,C8242,C8218,C8194)</f>
        <v>1.3366336633663367</v>
      </c>
    </row>
    <row r="8843" spans="1:8" x14ac:dyDescent="0.25">
      <c r="A8843" s="84" t="s">
        <v>32</v>
      </c>
      <c r="B8843" s="356">
        <v>44261</v>
      </c>
      <c r="C8843" s="17">
        <v>56</v>
      </c>
      <c r="D8843" s="47">
        <f t="shared" si="756"/>
        <v>21205</v>
      </c>
      <c r="F8843" s="47">
        <f t="shared" si="755"/>
        <v>912</v>
      </c>
      <c r="G8843" s="203">
        <f>SUM(C8843,C8819,C8795,C8771,C8747,C8723,C8699,C8675,C8651,C8627,C8603,C8579,C8555,C8531)/POBLA!$B$10*100000</f>
        <v>150.86634642701011</v>
      </c>
      <c r="H8843" s="213">
        <f t="shared" si="757"/>
        <v>2.1576994434137293</v>
      </c>
    </row>
    <row r="8844" spans="1:8" x14ac:dyDescent="0.25">
      <c r="A8844" s="84" t="s">
        <v>33</v>
      </c>
      <c r="B8844" s="356">
        <v>44261</v>
      </c>
      <c r="C8844" s="17">
        <v>34</v>
      </c>
      <c r="D8844" s="47">
        <f t="shared" si="756"/>
        <v>19198</v>
      </c>
      <c r="F8844" s="47">
        <f t="shared" si="755"/>
        <v>289</v>
      </c>
      <c r="G8844" s="203">
        <f>SUM(C8844,C8820,C8796,C8772,C8748,C8724,C8700,C8676,C8652,C8628,C8604,C8580,C8556,C8532)/POBLA!$B$11*100000</f>
        <v>314.42856026872897</v>
      </c>
      <c r="H8844" s="213">
        <f t="shared" si="757"/>
        <v>1.0826128722382324</v>
      </c>
    </row>
    <row r="8845" spans="1:8" x14ac:dyDescent="0.25">
      <c r="A8845" s="84" t="s">
        <v>21</v>
      </c>
      <c r="B8845" s="356">
        <v>44261</v>
      </c>
      <c r="C8845" s="17">
        <v>22</v>
      </c>
      <c r="D8845" s="47">
        <f t="shared" si="756"/>
        <v>10351</v>
      </c>
      <c r="E8845" s="1">
        <v>5</v>
      </c>
      <c r="F8845" s="47">
        <f t="shared" si="755"/>
        <v>444</v>
      </c>
      <c r="G8845" s="203">
        <f>SUM(C8845,C8821,C8797,C8773,C8749,C8725,C8701,C8677,C8653,C8629,C8605,C8581,C8557,C8533)/POBLA!$B$12*100000</f>
        <v>90.717122666321075</v>
      </c>
      <c r="H8845" s="213">
        <f t="shared" si="757"/>
        <v>1.0469208211143695</v>
      </c>
    </row>
    <row r="8846" spans="1:8" x14ac:dyDescent="0.25">
      <c r="A8846" s="84" t="s">
        <v>17</v>
      </c>
      <c r="B8846" s="356">
        <v>44261</v>
      </c>
      <c r="C8846" s="17">
        <v>124</v>
      </c>
      <c r="D8846" s="47">
        <f t="shared" si="756"/>
        <v>68171</v>
      </c>
      <c r="F8846" s="47">
        <f t="shared" si="755"/>
        <v>1459</v>
      </c>
      <c r="G8846" s="203">
        <f>SUM(C8846,C8822,C8798,C8774,C8750,C8726,C8702,C8678,C8654,C8630,C8606,C8582,C8558,C8534)/POBLA!$B$13*100000</f>
        <v>94.305590306772018</v>
      </c>
      <c r="H8846" s="213">
        <f t="shared" si="757"/>
        <v>1.1701995012468829</v>
      </c>
    </row>
    <row r="8847" spans="1:8" x14ac:dyDescent="0.25">
      <c r="A8847" s="84" t="s">
        <v>23</v>
      </c>
      <c r="B8847" s="356">
        <v>44261</v>
      </c>
      <c r="C8847" s="17">
        <v>108</v>
      </c>
      <c r="D8847" s="47">
        <f t="shared" si="756"/>
        <v>9013</v>
      </c>
      <c r="F8847" s="47">
        <f t="shared" si="755"/>
        <v>151</v>
      </c>
      <c r="G8847" s="203">
        <f>SUM(C8847,C8823,C8799,C8775,C8751,C8727,C8703,C8679,C8655,C8631,C8607,C8583,C8559,C8535)/POBLA!$B$14*100000</f>
        <v>130.65946559644303</v>
      </c>
      <c r="H8847" s="213">
        <f t="shared" si="757"/>
        <v>1.0935633709356336</v>
      </c>
    </row>
    <row r="8848" spans="1:8" x14ac:dyDescent="0.25">
      <c r="A8848" s="84" t="s">
        <v>19</v>
      </c>
      <c r="B8848" s="356">
        <v>44261</v>
      </c>
      <c r="C8848" s="17">
        <v>91</v>
      </c>
      <c r="D8848" s="47">
        <f t="shared" si="756"/>
        <v>62162</v>
      </c>
      <c r="E8848" s="1">
        <v>1</v>
      </c>
      <c r="F8848" s="47">
        <f t="shared" si="755"/>
        <v>939</v>
      </c>
      <c r="G8848" s="203">
        <f>SUM(C8848,C8824,C8800,C8776,C8752,C8728,C8704,C8680,C8656,C8632,C8608,C8584,C8560,C8536)/POBLA!$B$15*100000</f>
        <v>345.75345188741329</v>
      </c>
      <c r="H8848" s="213">
        <f t="shared" si="757"/>
        <v>0.68069967388081831</v>
      </c>
    </row>
    <row r="8849" spans="1:8" x14ac:dyDescent="0.25">
      <c r="A8849" s="84" t="s">
        <v>18</v>
      </c>
      <c r="B8849" s="356">
        <v>44261</v>
      </c>
      <c r="C8849" s="17">
        <v>71</v>
      </c>
      <c r="D8849" s="47">
        <f t="shared" si="756"/>
        <v>53102</v>
      </c>
      <c r="E8849" s="1">
        <v>3</v>
      </c>
      <c r="F8849" s="47">
        <f t="shared" si="755"/>
        <v>1210</v>
      </c>
      <c r="G8849" s="203">
        <f>SUM(C8849,C8825,C8801,C8777,C8753,C8729,C8705,C8681,C8657,C8633,C8609,C8585,C8561,C8537)/POBLA!$B$16*100000</f>
        <v>229.66519976993354</v>
      </c>
      <c r="H8849" s="213">
        <f t="shared" si="757"/>
        <v>0.8306724721819061</v>
      </c>
    </row>
    <row r="8850" spans="1:8" x14ac:dyDescent="0.25">
      <c r="A8850" s="84" t="s">
        <v>34</v>
      </c>
      <c r="B8850" s="356">
        <v>44261</v>
      </c>
      <c r="C8850" s="17">
        <v>62</v>
      </c>
      <c r="D8850" s="47">
        <f t="shared" si="756"/>
        <v>26844</v>
      </c>
      <c r="E8850" s="1">
        <v>4</v>
      </c>
      <c r="F8850" s="47">
        <f t="shared" si="755"/>
        <v>1116</v>
      </c>
      <c r="G8850" s="203">
        <f>SUM(C8850,C8826,C8802,C8778,C8754,C8730,C8706,C8682,C8658,C8634,C8610,C8586,C8562,C8538)/POBLA!$B$17*100000</f>
        <v>106.85223290978567</v>
      </c>
      <c r="H8850" s="213">
        <f t="shared" si="757"/>
        <v>1.418452935694315</v>
      </c>
    </row>
    <row r="8851" spans="1:8" x14ac:dyDescent="0.25">
      <c r="A8851" s="84" t="s">
        <v>35</v>
      </c>
      <c r="B8851" s="356">
        <v>44261</v>
      </c>
      <c r="C8851" s="17">
        <v>5</v>
      </c>
      <c r="D8851" s="47">
        <f t="shared" si="756"/>
        <v>15524</v>
      </c>
      <c r="F8851" s="47">
        <f t="shared" si="755"/>
        <v>214</v>
      </c>
      <c r="G8851" s="203">
        <f>SUM(C8851,C8827,C8803,C8779,C8755,C8731,C8707,C8683,C8659,C8635,C8611,C8587,C8563,C8539)/POBLA!$B$18*100000</f>
        <v>77.82728742462082</v>
      </c>
      <c r="H8851" s="213">
        <f t="shared" si="757"/>
        <v>0.95597484276729561</v>
      </c>
    </row>
    <row r="8852" spans="1:8" x14ac:dyDescent="0.25">
      <c r="A8852" s="84" t="s">
        <v>36</v>
      </c>
      <c r="B8852" s="356">
        <v>44261</v>
      </c>
      <c r="C8852" s="17">
        <v>1</v>
      </c>
      <c r="D8852" s="47">
        <f t="shared" si="756"/>
        <v>20802</v>
      </c>
      <c r="F8852" s="47">
        <f t="shared" si="755"/>
        <v>358</v>
      </c>
      <c r="G8852" s="203">
        <f>SUM(C8852,C8828,C8804,C8780,C8756,C8732,C8708,C8684,C8660,C8636,C8612,C8588,C8564,C8540)/POBLA!$B$19*100000</f>
        <v>56.066162005634162</v>
      </c>
      <c r="H8852" s="213">
        <f t="shared" si="757"/>
        <v>0.20184135977337112</v>
      </c>
    </row>
    <row r="8853" spans="1:8" x14ac:dyDescent="0.25">
      <c r="A8853" s="84" t="s">
        <v>37</v>
      </c>
      <c r="B8853" s="356">
        <v>44261</v>
      </c>
      <c r="C8853" s="17">
        <v>31</v>
      </c>
      <c r="D8853" s="47">
        <f t="shared" si="756"/>
        <v>36612</v>
      </c>
      <c r="F8853" s="47">
        <f t="shared" si="755"/>
        <v>596</v>
      </c>
      <c r="G8853" s="203">
        <f>SUM(C8853,C8829,C8805,C8781,C8757,C8733,C8709,C8685,C8661,C8637,C8613,C8589,C8565,C8541)/POBLA!$B$20*100000</f>
        <v>411.26831429212086</v>
      </c>
      <c r="H8853" s="213">
        <f t="shared" si="757"/>
        <v>1.103448275862069</v>
      </c>
    </row>
    <row r="8854" spans="1:8" x14ac:dyDescent="0.25">
      <c r="A8854" s="84" t="s">
        <v>22</v>
      </c>
      <c r="B8854" s="356">
        <v>44261</v>
      </c>
      <c r="C8854" s="17">
        <v>337</v>
      </c>
      <c r="D8854" s="47">
        <f t="shared" si="756"/>
        <v>219034</v>
      </c>
      <c r="F8854" s="47">
        <f t="shared" si="755"/>
        <v>4049</v>
      </c>
      <c r="G8854" s="203">
        <f>SUM(C8854,C8830,C8806,C8782,C8758,C8734,C8710,C8686,C8662,C8638,C8614,C8590,C8566,C8542)/POBLA!$B$21*100000</f>
        <v>146.53245176333795</v>
      </c>
      <c r="H8854" s="213">
        <f t="shared" si="757"/>
        <v>1.0786844296419651</v>
      </c>
    </row>
    <row r="8855" spans="1:8" x14ac:dyDescent="0.25">
      <c r="A8855" s="84" t="s">
        <v>38</v>
      </c>
      <c r="B8855" s="356">
        <v>44261</v>
      </c>
      <c r="C8855" s="17">
        <v>54</v>
      </c>
      <c r="D8855" s="47">
        <f t="shared" si="756"/>
        <v>23012</v>
      </c>
      <c r="F8855" s="47">
        <f t="shared" si="755"/>
        <v>271</v>
      </c>
      <c r="G8855" s="203">
        <f>SUM(C8855,C8831,C8807,C8783,C8759,C8735,C8711,C8687,C8663,C8639,C8615,C8591,C8567,C8543)/POBLA!$B$22*100000</f>
        <v>89.133027977753542</v>
      </c>
      <c r="H8855" s="213">
        <f t="shared" si="757"/>
        <v>1.102402022756005</v>
      </c>
    </row>
    <row r="8856" spans="1:8" x14ac:dyDescent="0.25">
      <c r="A8856" s="84" t="s">
        <v>39</v>
      </c>
      <c r="B8856" s="356">
        <v>44261</v>
      </c>
      <c r="C8856" s="17">
        <v>10</v>
      </c>
      <c r="D8856" s="47">
        <f t="shared" si="756"/>
        <v>23139</v>
      </c>
      <c r="F8856" s="47">
        <f t="shared" si="755"/>
        <v>356</v>
      </c>
      <c r="G8856" s="203">
        <f>SUM(C8856,C8832,C8808,C8784,C8760,C8736,C8712,C8688,C8664,C8640,C8616,C8592,C8568,C8544)/POBLA!$B$23*100000</f>
        <v>267.48854832324832</v>
      </c>
      <c r="H8856" s="213">
        <f t="shared" si="757"/>
        <v>0.7831125827814569</v>
      </c>
    </row>
    <row r="8857" spans="1:8" ht="15.75" thickBot="1" x14ac:dyDescent="0.3">
      <c r="A8857" s="85" t="s">
        <v>40</v>
      </c>
      <c r="B8857" s="356">
        <v>44261</v>
      </c>
      <c r="C8857" s="17">
        <v>86</v>
      </c>
      <c r="D8857" s="214">
        <f t="shared" si="756"/>
        <v>80767</v>
      </c>
      <c r="F8857" s="214">
        <f t="shared" si="755"/>
        <v>1483</v>
      </c>
      <c r="G8857" s="215">
        <f>SUM(C8857,C8833,C8809,C8785,C8761,C8737,C8713,C8689,C8665,C8641,C8617,C8593,C8569,C8545)/POBLA!$B$24*100000</f>
        <v>122.38471996676613</v>
      </c>
      <c r="H8857" s="216">
        <f t="shared" si="757"/>
        <v>1.4313319530710835</v>
      </c>
    </row>
    <row r="8858" spans="1:8" x14ac:dyDescent="0.25">
      <c r="A8858" s="36" t="s">
        <v>16</v>
      </c>
      <c r="B8858" s="356">
        <v>44262</v>
      </c>
      <c r="C8858" s="1">
        <v>990</v>
      </c>
      <c r="D8858" s="211">
        <f t="shared" si="756"/>
        <v>897962</v>
      </c>
      <c r="E8858" s="1">
        <v>3</v>
      </c>
      <c r="F8858" s="211">
        <f t="shared" si="755"/>
        <v>26715</v>
      </c>
      <c r="G8858" s="212">
        <f>SUM(C8858,C8834,C8810,C8786,C8762,C8738,C8714,C8690,C8666,C8642,C8618,C8594,C8570,C8546)/POBLA!$B$1*100000</f>
        <v>205.7448828442802</v>
      </c>
      <c r="H8858" s="196">
        <f t="shared" si="757"/>
        <v>1.0197507840976519</v>
      </c>
    </row>
    <row r="8859" spans="1:8" x14ac:dyDescent="0.25">
      <c r="A8859" s="84" t="s">
        <v>43</v>
      </c>
      <c r="B8859" s="356">
        <v>44262</v>
      </c>
      <c r="C8859" s="1">
        <v>429</v>
      </c>
      <c r="D8859" s="47">
        <f t="shared" si="756"/>
        <v>236446</v>
      </c>
      <c r="E8859" s="1">
        <v>1</v>
      </c>
      <c r="F8859" s="47">
        <f t="shared" si="755"/>
        <v>6584</v>
      </c>
      <c r="G8859" s="203">
        <f>SUM(C8859,C8835,C8811,C8787,C8763,C8739,C8715,C8691,C8667,C8643,C8619,C8595,C8571,C8547)/POBLA!$B$2*100000</f>
        <v>316.06368223131011</v>
      </c>
      <c r="H8859" s="213">
        <f t="shared" si="757"/>
        <v>1.0065230896665975</v>
      </c>
    </row>
    <row r="8860" spans="1:8" x14ac:dyDescent="0.25">
      <c r="A8860" s="84" t="s">
        <v>28</v>
      </c>
      <c r="B8860" s="356">
        <v>44262</v>
      </c>
      <c r="C8860" s="1">
        <v>46</v>
      </c>
      <c r="D8860" s="47">
        <f t="shared" si="756"/>
        <v>8452</v>
      </c>
      <c r="F8860" s="47">
        <f t="shared" si="755"/>
        <v>17</v>
      </c>
      <c r="G8860" s="203">
        <f>SUM(C8860,C8836,C8812,C8788,C8764,C8740,C8716,C8692,C8668,C8644,C8620,C8596,C8572,C8548)/POBLA!$B$3*100000</f>
        <v>279.46408368998505</v>
      </c>
      <c r="H8860" s="213">
        <f t="shared" si="757"/>
        <v>1.0554545454545454</v>
      </c>
    </row>
    <row r="8861" spans="1:8" x14ac:dyDescent="0.25">
      <c r="A8861" s="84" t="s">
        <v>15</v>
      </c>
      <c r="B8861" s="356">
        <v>44262</v>
      </c>
      <c r="C8861" s="1">
        <v>84</v>
      </c>
      <c r="D8861" s="47">
        <f t="shared" si="756"/>
        <v>35063</v>
      </c>
      <c r="F8861" s="47">
        <f t="shared" si="755"/>
        <v>873</v>
      </c>
      <c r="G8861" s="203">
        <f>SUM(C8861,C8837,C8813,C8789,C8765,C8741,C8717,C8693,C8669,C8645,C8621,C8597,C8573,C8549)/POBLA!$B$4*100000</f>
        <v>154.16660786141776</v>
      </c>
      <c r="H8861" s="213">
        <f t="shared" si="757"/>
        <v>1.2058441558441559</v>
      </c>
    </row>
    <row r="8862" spans="1:8" x14ac:dyDescent="0.25">
      <c r="A8862" s="84" t="s">
        <v>29</v>
      </c>
      <c r="B8862" s="356">
        <v>44262</v>
      </c>
      <c r="C8862" s="1">
        <v>42</v>
      </c>
      <c r="D8862" s="47">
        <f t="shared" si="756"/>
        <v>47544</v>
      </c>
      <c r="F8862" s="47">
        <f t="shared" si="755"/>
        <v>777</v>
      </c>
      <c r="G8862" s="203">
        <f>SUM(C8862,C8838,C8814,C8790,C8766,C8742,C8718,C8694,C8670,C8646,C8622,C8598,C8574,C8550)/POBLA!$B$5*100000</f>
        <v>234.73571633973833</v>
      </c>
      <c r="H8862" s="213">
        <f t="shared" si="757"/>
        <v>0.66681964203763189</v>
      </c>
    </row>
    <row r="8863" spans="1:8" x14ac:dyDescent="0.25">
      <c r="A8863" s="84" t="s">
        <v>30</v>
      </c>
      <c r="B8863" s="356">
        <v>44262</v>
      </c>
      <c r="C8863" s="1">
        <v>139</v>
      </c>
      <c r="D8863" s="47">
        <f t="shared" si="756"/>
        <v>23180</v>
      </c>
      <c r="F8863" s="47">
        <f t="shared" si="755"/>
        <v>300</v>
      </c>
      <c r="G8863" s="203">
        <f>SUM(C8863,C8839,C8815,C8791,C8767,C8743,C8719,C8695,C8671,C8647,C8623,C8599,C8575,C8551)/POBLA!$B$7*100000</f>
        <v>59.035487774069594</v>
      </c>
      <c r="H8863" s="213">
        <f t="shared" si="757"/>
        <v>0.99685675797036377</v>
      </c>
    </row>
    <row r="8864" spans="1:8" x14ac:dyDescent="0.25">
      <c r="A8864" s="84" t="s">
        <v>20</v>
      </c>
      <c r="B8864" s="356">
        <v>44262</v>
      </c>
      <c r="C8864" s="1">
        <v>256</v>
      </c>
      <c r="D8864" s="47">
        <f t="shared" si="756"/>
        <v>163840</v>
      </c>
      <c r="F8864" s="47">
        <f t="shared" si="755"/>
        <v>2876</v>
      </c>
      <c r="G8864" s="203">
        <f>SUM(C8864,C8840,C8816,C8792,C8768,C8744,C8720,C8696,C8672,C8648,C8624,C8600,C8576,C8552)/POBLA!$B$6*100000</f>
        <v>737.5082641789221</v>
      </c>
      <c r="H8864" s="213">
        <f t="shared" si="757"/>
        <v>1.1318636176913597</v>
      </c>
    </row>
    <row r="8865" spans="1:8" x14ac:dyDescent="0.25">
      <c r="A8865" s="84" t="s">
        <v>31</v>
      </c>
      <c r="B8865" s="356">
        <v>44262</v>
      </c>
      <c r="C8865" s="1">
        <v>56</v>
      </c>
      <c r="D8865" s="47">
        <f t="shared" si="756"/>
        <v>45993</v>
      </c>
      <c r="F8865" s="47">
        <f t="shared" ref="F8865:F8888" si="758">E8865+F8841</f>
        <v>872</v>
      </c>
      <c r="G8865" s="203">
        <f>SUM(C8865,C8841,C8817,C8793,C8769,C8745,C8721,C8697,C8673,C8649,C8625,C8601,C8577,C8553)/POBLA!$B$8*100000</f>
        <v>120.85477152676013</v>
      </c>
      <c r="H8865" s="213">
        <f t="shared" si="757"/>
        <v>0.93262806236080176</v>
      </c>
    </row>
    <row r="8866" spans="1:8" x14ac:dyDescent="0.25">
      <c r="A8866" s="84" t="s">
        <v>41</v>
      </c>
      <c r="B8866" s="356">
        <v>44262</v>
      </c>
      <c r="C8866" s="1">
        <v>28</v>
      </c>
      <c r="D8866" s="47">
        <f t="shared" si="756"/>
        <v>1368</v>
      </c>
      <c r="F8866" s="47">
        <f t="shared" si="758"/>
        <v>20</v>
      </c>
      <c r="G8866" s="203">
        <f>SUM(C8866,C8842,C8818,C8794,C8770,C8746,C8722,C8698,C8674,C8650,C8626,C8602,C8578,C8554)/POBLA!$B$9*100000</f>
        <v>47.753361324403954</v>
      </c>
      <c r="H8866" s="213">
        <f t="shared" si="757"/>
        <v>1.4378109452736318</v>
      </c>
    </row>
    <row r="8867" spans="1:8" x14ac:dyDescent="0.25">
      <c r="A8867" s="84" t="s">
        <v>32</v>
      </c>
      <c r="B8867" s="356">
        <v>44262</v>
      </c>
      <c r="C8867" s="1">
        <v>56</v>
      </c>
      <c r="D8867" s="47">
        <f t="shared" si="756"/>
        <v>21261</v>
      </c>
      <c r="E8867" s="1">
        <v>1</v>
      </c>
      <c r="F8867" s="47">
        <f t="shared" si="758"/>
        <v>913</v>
      </c>
      <c r="G8867" s="203">
        <f>SUM(C8867,C8843,C8819,C8795,C8771,C8747,C8723,C8699,C8675,C8651,C8627,C8603,C8579,C8555)/POBLA!$B$10*100000</f>
        <v>148.6610773906738</v>
      </c>
      <c r="H8867" s="213">
        <f t="shared" si="757"/>
        <v>1.9260504201680673</v>
      </c>
    </row>
    <row r="8868" spans="1:8" x14ac:dyDescent="0.25">
      <c r="A8868" s="84" t="s">
        <v>33</v>
      </c>
      <c r="B8868" s="356">
        <v>44262</v>
      </c>
      <c r="C8868" s="1">
        <v>43</v>
      </c>
      <c r="D8868" s="47">
        <f t="shared" si="756"/>
        <v>19241</v>
      </c>
      <c r="F8868" s="47">
        <f t="shared" si="758"/>
        <v>289</v>
      </c>
      <c r="G8868" s="203">
        <f>SUM(C8868,C8844,C8820,C8796,C8772,C8748,C8724,C8700,C8676,C8652,C8628,C8604,C8580,C8556)/POBLA!$B$11*100000</f>
        <v>321.12446572254402</v>
      </c>
      <c r="H8868" s="213">
        <f t="shared" si="757"/>
        <v>1.1487025948103793</v>
      </c>
    </row>
    <row r="8869" spans="1:8" x14ac:dyDescent="0.25">
      <c r="A8869" s="84" t="s">
        <v>21</v>
      </c>
      <c r="B8869" s="356">
        <v>44262</v>
      </c>
      <c r="C8869" s="1">
        <v>12</v>
      </c>
      <c r="D8869" s="47">
        <f t="shared" si="756"/>
        <v>10363</v>
      </c>
      <c r="F8869" s="47">
        <f t="shared" si="758"/>
        <v>444</v>
      </c>
      <c r="G8869" s="203">
        <f>SUM(C8869,C8845,C8821,C8797,C8773,C8749,C8725,C8701,C8677,C8653,C8629,C8605,C8581,C8557)/POBLA!$B$12*100000</f>
        <v>87.413698031413034</v>
      </c>
      <c r="H8869" s="213">
        <f t="shared" si="757"/>
        <v>1.0299401197604789</v>
      </c>
    </row>
    <row r="8870" spans="1:8" x14ac:dyDescent="0.25">
      <c r="A8870" s="84" t="s">
        <v>17</v>
      </c>
      <c r="B8870" s="356">
        <v>44262</v>
      </c>
      <c r="C8870" s="1">
        <v>56</v>
      </c>
      <c r="D8870" s="47">
        <f t="shared" si="756"/>
        <v>68227</v>
      </c>
      <c r="E8870" s="1">
        <v>2</v>
      </c>
      <c r="F8870" s="47">
        <f t="shared" si="758"/>
        <v>1461</v>
      </c>
      <c r="G8870" s="203">
        <f>SUM(C8870,C8846,C8822,C8798,C8774,C8750,C8726,C8702,C8678,C8654,C8630,C8606,C8582,C8558)/POBLA!$B$13*100000</f>
        <v>95.159716590850394</v>
      </c>
      <c r="H8870" s="213">
        <f t="shared" si="757"/>
        <v>1.1800623052959502</v>
      </c>
    </row>
    <row r="8871" spans="1:8" x14ac:dyDescent="0.25">
      <c r="A8871" s="84" t="s">
        <v>23</v>
      </c>
      <c r="B8871" s="356">
        <v>44262</v>
      </c>
      <c r="C8871" s="1">
        <v>109</v>
      </c>
      <c r="D8871" s="47">
        <f t="shared" si="756"/>
        <v>9122</v>
      </c>
      <c r="F8871" s="47">
        <f t="shared" si="758"/>
        <v>151</v>
      </c>
      <c r="G8871" s="203">
        <f>SUM(C8871,C8847,C8823,C8799,C8775,C8751,C8727,C8703,C8679,C8655,C8631,C8607,C8583,C8559)/POBLA!$B$14*100000</f>
        <v>130.02519634597485</v>
      </c>
      <c r="H8871" s="213">
        <f t="shared" si="757"/>
        <v>1.1549295774647887</v>
      </c>
    </row>
    <row r="8872" spans="1:8" x14ac:dyDescent="0.25">
      <c r="A8872" s="84" t="s">
        <v>19</v>
      </c>
      <c r="B8872" s="356">
        <v>44262</v>
      </c>
      <c r="C8872" s="1">
        <v>133</v>
      </c>
      <c r="D8872" s="47">
        <f t="shared" si="756"/>
        <v>62295</v>
      </c>
      <c r="E8872" s="1">
        <v>1</v>
      </c>
      <c r="F8872" s="47">
        <f t="shared" si="758"/>
        <v>940</v>
      </c>
      <c r="G8872" s="203">
        <f>SUM(C8872,C8848,C8824,C8800,C8776,C8752,C8728,C8704,C8680,C8656,C8632,C8608,C8584,C8560)/POBLA!$B$15*100000</f>
        <v>348.3134730904124</v>
      </c>
      <c r="H8872" s="213">
        <f t="shared" si="757"/>
        <v>0.69522091974752032</v>
      </c>
    </row>
    <row r="8873" spans="1:8" x14ac:dyDescent="0.25">
      <c r="A8873" s="84" t="s">
        <v>18</v>
      </c>
      <c r="B8873" s="356">
        <v>44262</v>
      </c>
      <c r="C8873" s="1">
        <v>14</v>
      </c>
      <c r="D8873" s="47">
        <f t="shared" si="756"/>
        <v>53116</v>
      </c>
      <c r="F8873" s="47">
        <f t="shared" si="758"/>
        <v>1210</v>
      </c>
      <c r="G8873" s="203">
        <f>SUM(C8873,C8849,C8825,C8801,C8777,C8753,C8729,C8705,C8681,C8657,C8633,C8609,C8585,C8561)/POBLA!$B$16*100000</f>
        <v>222.30842284078597</v>
      </c>
      <c r="H8873" s="213">
        <f t="shared" si="757"/>
        <v>0.80019258545979777</v>
      </c>
    </row>
    <row r="8874" spans="1:8" x14ac:dyDescent="0.25">
      <c r="A8874" s="84" t="s">
        <v>34</v>
      </c>
      <c r="B8874" s="356">
        <v>44262</v>
      </c>
      <c r="C8874" s="1">
        <v>17</v>
      </c>
      <c r="D8874" s="47">
        <f t="shared" ref="D8874:D8905" si="759">C8874+D8850</f>
        <v>26861</v>
      </c>
      <c r="F8874" s="47">
        <f t="shared" si="758"/>
        <v>1116</v>
      </c>
      <c r="G8874" s="203">
        <f>SUM(C8874,C8850,C8826,C8802,C8778,C8754,C8730,C8706,C8682,C8658,C8634,C8610,C8586,C8562)/POBLA!$B$17*100000</f>
        <v>102.21869324352691</v>
      </c>
      <c r="H8874" s="213">
        <f t="shared" ref="H8874:H8905" si="760">SUM(C8874,C8850,C8826,C8802,C8778,C8754,C8730,C8706,C8682,C8658,C8634,C8610,C8586,C8562)/SUM(C8538,C8514,C8490,C8466,C8442,C8418,C8394,C8370,C8346,C8322,C8298,C8274,C8250,C8226)</f>
        <v>1.3081761006289307</v>
      </c>
    </row>
    <row r="8875" spans="1:8" x14ac:dyDescent="0.25">
      <c r="A8875" s="84" t="s">
        <v>35</v>
      </c>
      <c r="B8875" s="356">
        <v>44262</v>
      </c>
      <c r="C8875" s="1">
        <v>10</v>
      </c>
      <c r="D8875" s="47">
        <f t="shared" si="759"/>
        <v>15534</v>
      </c>
      <c r="F8875" s="47">
        <f t="shared" si="758"/>
        <v>214</v>
      </c>
      <c r="G8875" s="203">
        <f>SUM(C8875,C8851,C8827,C8803,C8779,C8755,C8731,C8707,C8683,C8659,C8635,C8611,C8587,C8563)/POBLA!$B$18*100000</f>
        <v>78.723325273259547</v>
      </c>
      <c r="H8875" s="213">
        <f t="shared" si="760"/>
        <v>0.97619047619047616</v>
      </c>
    </row>
    <row r="8876" spans="1:8" x14ac:dyDescent="0.25">
      <c r="A8876" s="84" t="s">
        <v>36</v>
      </c>
      <c r="B8876" s="356">
        <v>44262</v>
      </c>
      <c r="C8876" s="1">
        <v>0</v>
      </c>
      <c r="D8876" s="47">
        <f t="shared" si="759"/>
        <v>20802</v>
      </c>
      <c r="F8876" s="47">
        <f t="shared" si="758"/>
        <v>358</v>
      </c>
      <c r="G8876" s="203">
        <f>SUM(C8876,C8852,C8828,C8804,C8780,C8756,C8732,C8708,C8684,C8660,C8636,C8612,C8588,C8564)/POBLA!$B$19*100000</f>
        <v>55.672715254717424</v>
      </c>
      <c r="H8876" s="213">
        <f t="shared" si="760"/>
        <v>0.20028308563340411</v>
      </c>
    </row>
    <row r="8877" spans="1:8" x14ac:dyDescent="0.25">
      <c r="A8877" s="84" t="s">
        <v>37</v>
      </c>
      <c r="B8877" s="356">
        <v>44262</v>
      </c>
      <c r="C8877" s="1">
        <v>51</v>
      </c>
      <c r="D8877" s="47">
        <f t="shared" si="759"/>
        <v>36663</v>
      </c>
      <c r="E8877" s="1">
        <v>1</v>
      </c>
      <c r="F8877" s="47">
        <f t="shared" si="758"/>
        <v>597</v>
      </c>
      <c r="G8877" s="203">
        <f>SUM(C8877,C8853,C8829,C8805,C8781,C8757,C8733,C8709,C8685,C8661,C8637,C8613,C8589,C8565)/POBLA!$B$20*100000</f>
        <v>403.06482398044284</v>
      </c>
      <c r="H8877" s="213">
        <f t="shared" si="760"/>
        <v>1.0566308243727598</v>
      </c>
    </row>
    <row r="8878" spans="1:8" x14ac:dyDescent="0.25">
      <c r="A8878" s="84" t="s">
        <v>22</v>
      </c>
      <c r="B8878" s="356">
        <v>44262</v>
      </c>
      <c r="C8878" s="1">
        <v>229</v>
      </c>
      <c r="D8878" s="47">
        <f t="shared" si="759"/>
        <v>219263</v>
      </c>
      <c r="E8878" s="1">
        <v>1</v>
      </c>
      <c r="F8878" s="47">
        <f t="shared" si="758"/>
        <v>4050</v>
      </c>
      <c r="G8878" s="203">
        <f>SUM(C8878,C8854,C8830,C8806,C8782,C8758,C8734,C8710,C8686,C8662,C8638,C8614,C8590,C8566)/POBLA!$B$21*100000</f>
        <v>147.18282736938903</v>
      </c>
      <c r="H8878" s="213">
        <f t="shared" si="760"/>
        <v>1.0725324541520709</v>
      </c>
    </row>
    <row r="8879" spans="1:8" x14ac:dyDescent="0.25">
      <c r="A8879" s="84" t="s">
        <v>38</v>
      </c>
      <c r="B8879" s="356">
        <v>44262</v>
      </c>
      <c r="C8879" s="1">
        <v>27</v>
      </c>
      <c r="D8879" s="47">
        <f t="shared" si="759"/>
        <v>23039</v>
      </c>
      <c r="F8879" s="47">
        <f t="shared" si="758"/>
        <v>271</v>
      </c>
      <c r="G8879" s="203">
        <f>SUM(C8879,C8855,C8831,C8807,C8783,C8759,C8735,C8711,C8687,C8663,C8639,C8615,C8591,C8567)/POBLA!$B$22*100000</f>
        <v>87.701993124899701</v>
      </c>
      <c r="H8879" s="213">
        <f t="shared" si="760"/>
        <v>1.1470588235294117</v>
      </c>
    </row>
    <row r="8880" spans="1:8" x14ac:dyDescent="0.25">
      <c r="A8880" s="84" t="s">
        <v>39</v>
      </c>
      <c r="B8880" s="356">
        <v>44262</v>
      </c>
      <c r="C8880" s="1">
        <v>37</v>
      </c>
      <c r="D8880" s="47">
        <f t="shared" si="759"/>
        <v>23176</v>
      </c>
      <c r="F8880" s="47">
        <f t="shared" si="758"/>
        <v>356</v>
      </c>
      <c r="G8880" s="203">
        <f>SUM(C8880,C8856,C8832,C8808,C8784,C8760,C8736,C8712,C8688,C8664,C8640,C8616,C8592,C8568)/POBLA!$B$23*100000</f>
        <v>265.79200361929537</v>
      </c>
      <c r="H8880" s="213">
        <f t="shared" si="760"/>
        <v>0.75320512820512819</v>
      </c>
    </row>
    <row r="8881" spans="1:8" ht="15.75" thickBot="1" x14ac:dyDescent="0.3">
      <c r="A8881" s="85" t="s">
        <v>40</v>
      </c>
      <c r="B8881" s="356">
        <v>44262</v>
      </c>
      <c r="C8881" s="1">
        <v>58</v>
      </c>
      <c r="D8881" s="214">
        <f t="shared" si="759"/>
        <v>80825</v>
      </c>
      <c r="F8881" s="214">
        <f t="shared" si="758"/>
        <v>1483</v>
      </c>
      <c r="G8881" s="215">
        <f>SUM(C8881,C8857,C8833,C8809,C8785,C8761,C8737,C8713,C8689,C8665,C8641,C8617,C8593,C8569)/POBLA!$B$24*100000</f>
        <v>121.49958457645681</v>
      </c>
      <c r="H8881" s="216">
        <f t="shared" si="760"/>
        <v>1.4141483516483517</v>
      </c>
    </row>
    <row r="8882" spans="1:8" x14ac:dyDescent="0.25">
      <c r="A8882" s="36" t="s">
        <v>16</v>
      </c>
      <c r="B8882" s="356">
        <v>44263</v>
      </c>
      <c r="C8882" s="1">
        <v>1991</v>
      </c>
      <c r="D8882" s="211">
        <f t="shared" si="759"/>
        <v>899953</v>
      </c>
      <c r="E8882" s="1">
        <v>130</v>
      </c>
      <c r="F8882" s="211">
        <f t="shared" si="758"/>
        <v>26845</v>
      </c>
      <c r="G8882" s="212">
        <f>SUM(C8882,C8858,C8834,C8810,C8786,C8762,C8738,C8714,C8690,C8666,C8642,C8618,C8594,C8570)/POBLA!$B$1*100000</f>
        <v>205.69927577687221</v>
      </c>
      <c r="H8882" s="196">
        <f t="shared" si="760"/>
        <v>1.022297775888936</v>
      </c>
    </row>
    <row r="8883" spans="1:8" x14ac:dyDescent="0.25">
      <c r="A8883" s="84" t="s">
        <v>43</v>
      </c>
      <c r="B8883" s="356">
        <v>44263</v>
      </c>
      <c r="C8883" s="1">
        <v>693</v>
      </c>
      <c r="D8883" s="47">
        <f t="shared" si="759"/>
        <v>237139</v>
      </c>
      <c r="E8883" s="1">
        <v>28</v>
      </c>
      <c r="F8883" s="47">
        <f t="shared" si="758"/>
        <v>6612</v>
      </c>
      <c r="G8883" s="203">
        <f>SUM(C8883,C8859,C8835,C8811,C8787,C8763,C8739,C8715,C8691,C8667,C8643,C8619,C8595,C8571)/POBLA!$B$2*100000</f>
        <v>311.77190092747992</v>
      </c>
      <c r="H8883" s="213">
        <f t="shared" si="760"/>
        <v>0.98006950122649228</v>
      </c>
    </row>
    <row r="8884" spans="1:8" x14ac:dyDescent="0.25">
      <c r="A8884" s="84" t="s">
        <v>28</v>
      </c>
      <c r="B8884" s="356">
        <v>44263</v>
      </c>
      <c r="C8884" s="1">
        <v>75</v>
      </c>
      <c r="D8884" s="47">
        <f t="shared" si="759"/>
        <v>8527</v>
      </c>
      <c r="F8884" s="47">
        <f t="shared" si="758"/>
        <v>17</v>
      </c>
      <c r="G8884" s="203">
        <f>SUM(C8884,C8860,C8836,C8812,C8788,C8764,C8740,C8716,C8692,C8668,C8644,C8620,C8596,C8572)/POBLA!$B$3*100000</f>
        <v>277.05698563925301</v>
      </c>
      <c r="H8884" s="213">
        <f t="shared" si="760"/>
        <v>1.0941064638783271</v>
      </c>
    </row>
    <row r="8885" spans="1:8" x14ac:dyDescent="0.25">
      <c r="A8885" s="84" t="s">
        <v>15</v>
      </c>
      <c r="B8885" s="356">
        <v>44263</v>
      </c>
      <c r="C8885" s="1">
        <v>119</v>
      </c>
      <c r="D8885" s="47">
        <f t="shared" si="759"/>
        <v>35182</v>
      </c>
      <c r="E8885" s="1">
        <v>4</v>
      </c>
      <c r="F8885" s="47">
        <f t="shared" si="758"/>
        <v>877</v>
      </c>
      <c r="G8885" s="203">
        <f>SUM(C8885,C8861,C8837,C8813,C8789,C8765,C8741,C8717,C8693,C8669,C8645,C8621,C8597,C8573)/POBLA!$B$4*100000</f>
        <v>153.75151198672356</v>
      </c>
      <c r="H8885" s="213">
        <f t="shared" si="760"/>
        <v>1.1575</v>
      </c>
    </row>
    <row r="8886" spans="1:8" x14ac:dyDescent="0.25">
      <c r="A8886" s="84" t="s">
        <v>29</v>
      </c>
      <c r="B8886" s="356">
        <v>44263</v>
      </c>
      <c r="C8886" s="1">
        <v>69</v>
      </c>
      <c r="D8886" s="47">
        <f t="shared" si="759"/>
        <v>47613</v>
      </c>
      <c r="E8886" s="1">
        <v>4</v>
      </c>
      <c r="F8886" s="47">
        <f t="shared" si="758"/>
        <v>781</v>
      </c>
      <c r="G8886" s="203">
        <f>SUM(C8886,C8862,C8838,C8814,C8790,C8766,C8742,C8718,C8694,C8670,C8646,C8622,C8598,C8574)/POBLA!$B$5*100000</f>
        <v>223.10393961815461</v>
      </c>
      <c r="H8886" s="213">
        <f t="shared" si="760"/>
        <v>0.66330451488952935</v>
      </c>
    </row>
    <row r="8887" spans="1:8" x14ac:dyDescent="0.25">
      <c r="A8887" s="84" t="s">
        <v>30</v>
      </c>
      <c r="B8887" s="356">
        <v>44263</v>
      </c>
      <c r="C8887" s="1">
        <v>198</v>
      </c>
      <c r="D8887" s="47">
        <f t="shared" si="759"/>
        <v>23378</v>
      </c>
      <c r="E8887" s="1">
        <v>1</v>
      </c>
      <c r="F8887" s="47">
        <f t="shared" si="758"/>
        <v>301</v>
      </c>
      <c r="G8887" s="203">
        <f>SUM(C8887,C8863,C8839,C8815,C8791,C8767,C8743,C8719,C8695,C8671,C8647,C8623,C8599,C8575)/POBLA!$B$7*100000</f>
        <v>60.524671249451522</v>
      </c>
      <c r="H8887" s="213">
        <f t="shared" si="760"/>
        <v>0.99519020550940096</v>
      </c>
    </row>
    <row r="8888" spans="1:8" x14ac:dyDescent="0.25">
      <c r="A8888" s="84" t="s">
        <v>20</v>
      </c>
      <c r="B8888" s="356">
        <v>44263</v>
      </c>
      <c r="C8888" s="1">
        <v>492</v>
      </c>
      <c r="D8888" s="47">
        <f t="shared" si="759"/>
        <v>164332</v>
      </c>
      <c r="E8888" s="1">
        <v>7</v>
      </c>
      <c r="F8888" s="47">
        <f t="shared" si="758"/>
        <v>2883</v>
      </c>
      <c r="G8888" s="203">
        <f>SUM(C8888,C8864,C8840,C8816,C8792,C8768,C8744,C8720,C8696,C8672,C8648,C8624,C8600,C8576)/POBLA!$B$6*100000</f>
        <v>745.53823560114597</v>
      </c>
      <c r="H8888" s="213">
        <f t="shared" si="760"/>
        <v>1.1130944451844944</v>
      </c>
    </row>
    <row r="8889" spans="1:8" x14ac:dyDescent="0.25">
      <c r="A8889" s="84" t="s">
        <v>31</v>
      </c>
      <c r="B8889" s="356">
        <v>44263</v>
      </c>
      <c r="C8889" s="1">
        <v>85</v>
      </c>
      <c r="D8889" s="47">
        <f t="shared" si="759"/>
        <v>46078</v>
      </c>
      <c r="E8889" s="1">
        <v>15</v>
      </c>
      <c r="F8889" s="47">
        <f t="shared" ref="F8889:F8912" si="761">E8889+F8865</f>
        <v>887</v>
      </c>
      <c r="G8889" s="203">
        <f>SUM(C8889,C8865,C8841,C8817,C8793,C8769,C8745,C8721,C8697,C8673,C8649,C8625,C8601,C8577)/POBLA!$B$8*100000</f>
        <v>119.05096896665923</v>
      </c>
      <c r="H8889" s="213">
        <f t="shared" si="760"/>
        <v>0.89869281045751637</v>
      </c>
    </row>
    <row r="8890" spans="1:8" x14ac:dyDescent="0.25">
      <c r="A8890" s="84" t="s">
        <v>41</v>
      </c>
      <c r="B8890" s="356">
        <v>44263</v>
      </c>
      <c r="C8890" s="1">
        <v>24</v>
      </c>
      <c r="D8890" s="47">
        <f t="shared" si="759"/>
        <v>1392</v>
      </c>
      <c r="F8890" s="47">
        <f t="shared" si="761"/>
        <v>20</v>
      </c>
      <c r="G8890" s="203">
        <f>SUM(C8890,C8866,C8842,C8818,C8794,C8770,C8746,C8722,C8698,C8674,C8650,C8626,C8602,C8578)/POBLA!$B$9*100000</f>
        <v>42.300555360025648</v>
      </c>
      <c r="H8890" s="213">
        <f t="shared" si="760"/>
        <v>1.0199203187250996</v>
      </c>
    </row>
    <row r="8891" spans="1:8" x14ac:dyDescent="0.25">
      <c r="A8891" s="84" t="s">
        <v>32</v>
      </c>
      <c r="B8891" s="356">
        <v>44263</v>
      </c>
      <c r="C8891" s="1">
        <v>35</v>
      </c>
      <c r="D8891" s="47">
        <f t="shared" si="759"/>
        <v>21296</v>
      </c>
      <c r="E8891" s="1">
        <v>2</v>
      </c>
      <c r="F8891" s="47">
        <f t="shared" si="761"/>
        <v>915</v>
      </c>
      <c r="G8891" s="203">
        <f>SUM(C8891,C8867,C8843,C8819,C8795,C8771,C8747,C8723,C8699,C8675,C8651,C8627,C8603,C8579)/POBLA!$B$10*100000</f>
        <v>146.9746951864166</v>
      </c>
      <c r="H8891" s="213">
        <f t="shared" si="760"/>
        <v>1.8392857142857142</v>
      </c>
    </row>
    <row r="8892" spans="1:8" x14ac:dyDescent="0.25">
      <c r="A8892" s="84" t="s">
        <v>33</v>
      </c>
      <c r="B8892" s="356">
        <v>44263</v>
      </c>
      <c r="C8892" s="1">
        <v>69</v>
      </c>
      <c r="D8892" s="47">
        <f t="shared" si="759"/>
        <v>19310</v>
      </c>
      <c r="E8892" s="1">
        <v>2</v>
      </c>
      <c r="F8892" s="47">
        <f t="shared" si="761"/>
        <v>291</v>
      </c>
      <c r="G8892" s="203">
        <f>SUM(C8892,C8868,C8844,C8820,C8796,C8772,C8748,C8724,C8700,C8676,C8652,C8628,C8604,C8580)/POBLA!$B$11*100000</f>
        <v>320.56647360139272</v>
      </c>
      <c r="H8892" s="213">
        <f t="shared" si="760"/>
        <v>1.1845360824742268</v>
      </c>
    </row>
    <row r="8893" spans="1:8" x14ac:dyDescent="0.25">
      <c r="A8893" s="84" t="s">
        <v>21</v>
      </c>
      <c r="B8893" s="356">
        <v>44263</v>
      </c>
      <c r="C8893" s="1">
        <v>17</v>
      </c>
      <c r="D8893" s="47">
        <f t="shared" si="759"/>
        <v>10380</v>
      </c>
      <c r="F8893" s="47">
        <f t="shared" si="761"/>
        <v>444</v>
      </c>
      <c r="G8893" s="203">
        <f>SUM(C8893,C8869,C8845,C8821,C8797,C8773,C8749,C8725,C8701,C8677,C8653,C8629,C8605,C8581)/POBLA!$B$12*100000</f>
        <v>84.618492571106216</v>
      </c>
      <c r="H8893" s="213">
        <f t="shared" si="760"/>
        <v>0.94602272727272729</v>
      </c>
    </row>
    <row r="8894" spans="1:8" x14ac:dyDescent="0.25">
      <c r="A8894" s="84" t="s">
        <v>17</v>
      </c>
      <c r="B8894" s="356">
        <v>44263</v>
      </c>
      <c r="C8894" s="1">
        <v>128</v>
      </c>
      <c r="D8894" s="47">
        <f t="shared" si="759"/>
        <v>68355</v>
      </c>
      <c r="E8894" s="1">
        <v>3</v>
      </c>
      <c r="F8894" s="47">
        <f t="shared" si="761"/>
        <v>1464</v>
      </c>
      <c r="G8894" s="203">
        <f>SUM(C8894,C8870,C8846,C8822,C8798,C8774,C8750,C8726,C8702,C8678,C8654,C8630,C8606,C8582)/POBLA!$B$13*100000</f>
        <v>97.671852720492694</v>
      </c>
      <c r="H8894" s="213">
        <f t="shared" si="760"/>
        <v>1.2421725239616614</v>
      </c>
    </row>
    <row r="8895" spans="1:8" x14ac:dyDescent="0.25">
      <c r="A8895" s="84" t="s">
        <v>23</v>
      </c>
      <c r="B8895" s="356">
        <v>44263</v>
      </c>
      <c r="C8895" s="1">
        <v>109</v>
      </c>
      <c r="D8895" s="47">
        <f t="shared" si="759"/>
        <v>9231</v>
      </c>
      <c r="E8895" s="1">
        <v>4</v>
      </c>
      <c r="F8895" s="47">
        <f t="shared" si="761"/>
        <v>155</v>
      </c>
      <c r="G8895" s="203">
        <f>SUM(C8895,C8871,C8847,C8823,C8799,C8775,C8751,C8727,C8703,C8679,C8655,C8631,C8607,C8583)/POBLA!$B$14*100000</f>
        <v>128.59809053242145</v>
      </c>
      <c r="H8895" s="213">
        <f t="shared" si="760"/>
        <v>1.0878604963112006</v>
      </c>
    </row>
    <row r="8896" spans="1:8" x14ac:dyDescent="0.25">
      <c r="A8896" s="84" t="s">
        <v>19</v>
      </c>
      <c r="B8896" s="356">
        <v>44263</v>
      </c>
      <c r="C8896" s="1">
        <v>128</v>
      </c>
      <c r="D8896" s="47">
        <f t="shared" si="759"/>
        <v>62423</v>
      </c>
      <c r="F8896" s="47">
        <f t="shared" si="761"/>
        <v>940</v>
      </c>
      <c r="G8896" s="203">
        <f>SUM(C8896,C8872,C8848,C8824,C8800,C8776,C8752,C8728,C8704,C8680,C8656,C8632,C8608,C8584)/POBLA!$B$15*100000</f>
        <v>335.96513552300479</v>
      </c>
      <c r="H8896" s="213">
        <f t="shared" si="760"/>
        <v>0.68330781010719754</v>
      </c>
    </row>
    <row r="8897" spans="1:8" x14ac:dyDescent="0.25">
      <c r="A8897" s="84" t="s">
        <v>18</v>
      </c>
      <c r="B8897" s="356">
        <v>44263</v>
      </c>
      <c r="C8897" s="1">
        <v>111</v>
      </c>
      <c r="D8897" s="47">
        <f t="shared" si="759"/>
        <v>53227</v>
      </c>
      <c r="E8897" s="1">
        <v>5</v>
      </c>
      <c r="F8897" s="47">
        <f t="shared" si="761"/>
        <v>1215</v>
      </c>
      <c r="G8897" s="203">
        <f>SUM(C8897,C8873,C8849,C8825,C8801,C8777,C8753,C8729,C8705,C8681,C8657,C8633,C8609,C8585)/POBLA!$B$16*100000</f>
        <v>221.23834619654633</v>
      </c>
      <c r="H8897" s="213">
        <f t="shared" si="760"/>
        <v>0.83408976298537574</v>
      </c>
    </row>
    <row r="8898" spans="1:8" x14ac:dyDescent="0.25">
      <c r="A8898" s="84" t="s">
        <v>34</v>
      </c>
      <c r="B8898" s="356">
        <v>44263</v>
      </c>
      <c r="C8898" s="1">
        <v>43</v>
      </c>
      <c r="D8898" s="47">
        <f t="shared" si="759"/>
        <v>26904</v>
      </c>
      <c r="E8898" s="1">
        <v>8</v>
      </c>
      <c r="F8898" s="47">
        <f t="shared" si="761"/>
        <v>1124</v>
      </c>
      <c r="G8898" s="203">
        <f>SUM(C8898,C8874,C8850,C8826,C8802,C8778,C8754,C8730,C8706,C8682,C8658,C8634,C8610,C8586)/POBLA!$B$17*100000</f>
        <v>100.04233370331445</v>
      </c>
      <c r="H8898" s="213">
        <f t="shared" si="760"/>
        <v>1.227390180878553</v>
      </c>
    </row>
    <row r="8899" spans="1:8" x14ac:dyDescent="0.25">
      <c r="A8899" s="84" t="s">
        <v>35</v>
      </c>
      <c r="B8899" s="356">
        <v>44263</v>
      </c>
      <c r="C8899" s="1">
        <v>78</v>
      </c>
      <c r="D8899" s="47">
        <f t="shared" si="759"/>
        <v>15612</v>
      </c>
      <c r="E8899" s="1">
        <v>1</v>
      </c>
      <c r="F8899" s="47">
        <f t="shared" si="761"/>
        <v>215</v>
      </c>
      <c r="G8899" s="203">
        <f>SUM(C8899,C8875,C8851,C8827,C8803,C8779,C8755,C8731,C8707,C8683,C8659,C8635,C8611,C8587)/POBLA!$B$18*100000</f>
        <v>79.619363121898274</v>
      </c>
      <c r="H8899" s="213">
        <f t="shared" si="760"/>
        <v>0.95252679938744256</v>
      </c>
    </row>
    <row r="8900" spans="1:8" x14ac:dyDescent="0.25">
      <c r="A8900" s="84" t="s">
        <v>36</v>
      </c>
      <c r="B8900" s="356">
        <v>44263</v>
      </c>
      <c r="C8900" s="1">
        <v>3</v>
      </c>
      <c r="D8900" s="47">
        <f t="shared" si="759"/>
        <v>20805</v>
      </c>
      <c r="F8900" s="47">
        <f t="shared" si="761"/>
        <v>358</v>
      </c>
      <c r="G8900" s="203">
        <f>SUM(C8900,C8876,C8852,C8828,C8804,C8780,C8756,C8732,C8708,C8684,C8660,C8636,C8612,C8588)/POBLA!$B$19*100000</f>
        <v>51.738247745550119</v>
      </c>
      <c r="H8900" s="213">
        <f t="shared" si="760"/>
        <v>0.18391608391608391</v>
      </c>
    </row>
    <row r="8901" spans="1:8" x14ac:dyDescent="0.25">
      <c r="A8901" s="84" t="s">
        <v>37</v>
      </c>
      <c r="B8901" s="356">
        <v>44263</v>
      </c>
      <c r="C8901" s="1">
        <v>94</v>
      </c>
      <c r="D8901" s="47">
        <f t="shared" si="759"/>
        <v>36757</v>
      </c>
      <c r="E8901" s="1">
        <v>1</v>
      </c>
      <c r="F8901" s="47">
        <f t="shared" si="761"/>
        <v>598</v>
      </c>
      <c r="G8901" s="203">
        <f>SUM(C8901,C8877,C8853,C8829,C8805,C8781,C8757,C8733,C8709,C8685,C8661,C8637,C8613,C8589)/POBLA!$B$20*100000</f>
        <v>394.86133366876493</v>
      </c>
      <c r="H8901" s="213">
        <f t="shared" si="760"/>
        <v>1.0418470418470418</v>
      </c>
    </row>
    <row r="8902" spans="1:8" x14ac:dyDescent="0.25">
      <c r="A8902" s="84" t="s">
        <v>22</v>
      </c>
      <c r="B8902" s="356">
        <v>44263</v>
      </c>
      <c r="C8902" s="1">
        <v>289</v>
      </c>
      <c r="D8902" s="47">
        <f t="shared" si="759"/>
        <v>219552</v>
      </c>
      <c r="E8902" s="1">
        <v>24</v>
      </c>
      <c r="F8902" s="47">
        <f t="shared" si="761"/>
        <v>4074</v>
      </c>
      <c r="G8902" s="203">
        <f>SUM(C8902,C8878,C8854,C8830,C8806,C8782,C8758,C8734,C8710,C8686,C8662,C8638,C8614,C8590)/POBLA!$B$21*100000</f>
        <v>146.02346215860229</v>
      </c>
      <c r="H8902" s="213">
        <f t="shared" si="760"/>
        <v>1.0568972574703235</v>
      </c>
    </row>
    <row r="8903" spans="1:8" x14ac:dyDescent="0.25">
      <c r="A8903" s="84" t="s">
        <v>38</v>
      </c>
      <c r="B8903" s="356">
        <v>44263</v>
      </c>
      <c r="C8903" s="1">
        <v>44</v>
      </c>
      <c r="D8903" s="47">
        <f t="shared" si="759"/>
        <v>23083</v>
      </c>
      <c r="F8903" s="47">
        <f t="shared" si="761"/>
        <v>271</v>
      </c>
      <c r="G8903" s="203">
        <f>SUM(C8903,C8879,C8855,C8831,C8807,C8783,C8759,C8735,C8711,C8687,C8663,C8639,C8615,C8591)/POBLA!$B$22*100000</f>
        <v>88.519727326530472</v>
      </c>
      <c r="H8903" s="213">
        <f t="shared" si="760"/>
        <v>1.1944827586206896</v>
      </c>
    </row>
    <row r="8904" spans="1:8" x14ac:dyDescent="0.25">
      <c r="A8904" s="84" t="s">
        <v>39</v>
      </c>
      <c r="B8904" s="356">
        <v>44263</v>
      </c>
      <c r="C8904" s="1">
        <v>34</v>
      </c>
      <c r="D8904" s="47">
        <f t="shared" si="759"/>
        <v>23210</v>
      </c>
      <c r="E8904" s="1">
        <v>2</v>
      </c>
      <c r="F8904" s="47">
        <f t="shared" si="761"/>
        <v>358</v>
      </c>
      <c r="G8904" s="203">
        <f>SUM(C8904,C8880,C8856,C8832,C8808,C8784,C8760,C8736,C8712,C8688,C8664,C8640,C8616,C8592)/POBLA!$B$23*100000</f>
        <v>261.26788440875418</v>
      </c>
      <c r="H8904" s="213">
        <f t="shared" si="760"/>
        <v>0.80628272251308897</v>
      </c>
    </row>
    <row r="8905" spans="1:8" ht="15.75" thickBot="1" x14ac:dyDescent="0.3">
      <c r="A8905" s="85" t="s">
        <v>40</v>
      </c>
      <c r="B8905" s="356">
        <v>44263</v>
      </c>
      <c r="C8905" s="1">
        <v>130</v>
      </c>
      <c r="D8905" s="214">
        <f t="shared" si="759"/>
        <v>80955</v>
      </c>
      <c r="F8905" s="214">
        <f t="shared" si="761"/>
        <v>1483</v>
      </c>
      <c r="G8905" s="215">
        <f>SUM(C8905,C8881,C8857,C8833,C8809,C8785,C8761,C8737,C8713,C8689,C8665,C8641,C8617,C8593)/POBLA!$B$24*100000</f>
        <v>120.2603950300238</v>
      </c>
      <c r="H8905" s="216">
        <f t="shared" si="760"/>
        <v>1.3586666666666667</v>
      </c>
    </row>
    <row r="8906" spans="1:8" x14ac:dyDescent="0.25">
      <c r="A8906" s="36" t="s">
        <v>16</v>
      </c>
      <c r="B8906" s="356">
        <v>44264</v>
      </c>
      <c r="C8906" s="1">
        <v>3146</v>
      </c>
      <c r="D8906" s="211">
        <f t="shared" ref="D8906:D8937" si="762">C8906+D8882</f>
        <v>903099</v>
      </c>
      <c r="E8906" s="1">
        <v>62</v>
      </c>
      <c r="F8906" s="211">
        <f t="shared" si="761"/>
        <v>26907</v>
      </c>
      <c r="G8906" s="212">
        <f>SUM(C8906,C8882,C8858,C8834,C8810,C8786,C8762,C8738,C8714,C8690,C8666,C8642,C8618,C8594)/POBLA!$B$1*100000</f>
        <v>204.23414873639061</v>
      </c>
      <c r="H8906" s="196">
        <f t="shared" ref="H8906:H8937" si="763">SUM(C8906,C8882,C8858,C8834,C8810,C8786,C8762,C8738,C8714,C8690,C8666,C8642,C8618,C8594)/SUM(C8570,C8546,C8522,C8498,C8474,C8450,C8426,C8402,C8378,C8354,C8330,C8306,C8282,C8258)</f>
        <v>1.013867270411773</v>
      </c>
    </row>
    <row r="8907" spans="1:8" x14ac:dyDescent="0.25">
      <c r="A8907" s="84" t="s">
        <v>43</v>
      </c>
      <c r="B8907" s="356">
        <v>44264</v>
      </c>
      <c r="C8907" s="1">
        <v>877</v>
      </c>
      <c r="D8907" s="47">
        <f t="shared" si="762"/>
        <v>238016</v>
      </c>
      <c r="E8907" s="1">
        <v>20</v>
      </c>
      <c r="F8907" s="47">
        <f t="shared" si="761"/>
        <v>6632</v>
      </c>
      <c r="G8907" s="203">
        <f>SUM(C8907,C8883,C8859,C8835,C8811,C8787,C8763,C8739,C8715,C8691,C8667,C8643,C8619,C8595)/POBLA!$B$2*100000</f>
        <v>313.36506216905326</v>
      </c>
      <c r="H8907" s="213">
        <f t="shared" si="763"/>
        <v>1.0012466237274049</v>
      </c>
    </row>
    <row r="8908" spans="1:8" x14ac:dyDescent="0.25">
      <c r="A8908" s="84" t="s">
        <v>28</v>
      </c>
      <c r="B8908" s="356">
        <v>44264</v>
      </c>
      <c r="C8908" s="1">
        <v>92</v>
      </c>
      <c r="D8908" s="47">
        <f t="shared" si="762"/>
        <v>8619</v>
      </c>
      <c r="F8908" s="47">
        <f t="shared" si="761"/>
        <v>17</v>
      </c>
      <c r="G8908" s="203">
        <f>SUM(C8908,C8884,C8860,C8836,C8812,C8788,C8764,C8740,C8716,C8692,C8668,C8644,C8620,C8596)/POBLA!$B$3*100000</f>
        <v>284.27827979144905</v>
      </c>
      <c r="H8908" s="213">
        <f t="shared" si="763"/>
        <v>1.1454898157129001</v>
      </c>
    </row>
    <row r="8909" spans="1:8" x14ac:dyDescent="0.25">
      <c r="A8909" s="84" t="s">
        <v>15</v>
      </c>
      <c r="B8909" s="356">
        <v>44264</v>
      </c>
      <c r="C8909" s="1">
        <v>98</v>
      </c>
      <c r="D8909" s="47">
        <f t="shared" si="762"/>
        <v>35280</v>
      </c>
      <c r="E8909" s="1">
        <v>1</v>
      </c>
      <c r="F8909" s="47">
        <f t="shared" si="761"/>
        <v>878</v>
      </c>
      <c r="G8909" s="203">
        <f>SUM(C8909,C8885,C8861,C8837,C8813,C8789,C8765,C8741,C8717,C8693,C8669,C8645,C8621,C8597)/POBLA!$B$4*100000</f>
        <v>146.03072871741185</v>
      </c>
      <c r="H8909" s="213">
        <f t="shared" si="763"/>
        <v>1.0791411042944785</v>
      </c>
    </row>
    <row r="8910" spans="1:8" x14ac:dyDescent="0.25">
      <c r="A8910" s="84" t="s">
        <v>29</v>
      </c>
      <c r="B8910" s="356">
        <v>44264</v>
      </c>
      <c r="C8910" s="1">
        <v>99</v>
      </c>
      <c r="D8910" s="47">
        <f t="shared" si="762"/>
        <v>47712</v>
      </c>
      <c r="E8910" s="1">
        <v>1</v>
      </c>
      <c r="F8910" s="47">
        <f t="shared" si="761"/>
        <v>782</v>
      </c>
      <c r="G8910" s="203">
        <f>SUM(C8910,C8886,C8862,C8838,C8814,C8790,C8766,C8742,C8718,C8694,C8670,C8646,C8622,C8598)/POBLA!$B$5*100000</f>
        <v>210.98750553317154</v>
      </c>
      <c r="H8910" s="213">
        <f t="shared" si="763"/>
        <v>0.65137157107231924</v>
      </c>
    </row>
    <row r="8911" spans="1:8" x14ac:dyDescent="0.25">
      <c r="A8911" s="84" t="s">
        <v>30</v>
      </c>
      <c r="B8911" s="356">
        <v>44264</v>
      </c>
      <c r="C8911" s="1">
        <v>246</v>
      </c>
      <c r="D8911" s="47">
        <f t="shared" si="762"/>
        <v>23624</v>
      </c>
      <c r="E8911" s="1">
        <v>1</v>
      </c>
      <c r="F8911" s="47">
        <f t="shared" si="761"/>
        <v>302</v>
      </c>
      <c r="G8911" s="203">
        <f>SUM(C8911,C8887,C8863,C8839,C8815,C8791,C8767,C8743,C8719,C8695,C8671,C8647,C8623,C8599)/POBLA!$B$7*100000</f>
        <v>64.965629113536949</v>
      </c>
      <c r="H8911" s="213">
        <f t="shared" si="763"/>
        <v>1.1069324875396467</v>
      </c>
    </row>
    <row r="8912" spans="1:8" x14ac:dyDescent="0.25">
      <c r="A8912" s="84" t="s">
        <v>20</v>
      </c>
      <c r="B8912" s="356">
        <v>44264</v>
      </c>
      <c r="C8912" s="1">
        <v>699</v>
      </c>
      <c r="D8912" s="47">
        <f t="shared" si="762"/>
        <v>165031</v>
      </c>
      <c r="E8912" s="1">
        <v>7</v>
      </c>
      <c r="F8912" s="47">
        <f t="shared" si="761"/>
        <v>2890</v>
      </c>
      <c r="G8912" s="203">
        <f>SUM(C8912,C8888,C8864,C8840,C8816,C8792,C8768,C8744,C8720,C8696,C8672,C8648,C8624,C8600)/POBLA!$B$6*100000</f>
        <v>734.1178318006497</v>
      </c>
      <c r="H8912" s="213">
        <f t="shared" si="763"/>
        <v>1.0749934674679906</v>
      </c>
    </row>
    <row r="8913" spans="1:8" x14ac:dyDescent="0.25">
      <c r="A8913" s="84" t="s">
        <v>31</v>
      </c>
      <c r="B8913" s="356">
        <v>44264</v>
      </c>
      <c r="C8913" s="1">
        <v>159</v>
      </c>
      <c r="D8913" s="47">
        <f t="shared" si="762"/>
        <v>46237</v>
      </c>
      <c r="E8913" s="1">
        <v>2</v>
      </c>
      <c r="F8913" s="47">
        <f t="shared" ref="F8913:F8936" si="764">E8913+F8889</f>
        <v>889</v>
      </c>
      <c r="G8913" s="203">
        <f>SUM(C8913,C8889,C8865,C8841,C8817,C8793,C8769,C8745,C8721,C8697,C8673,C8649,C8625,C8601)/POBLA!$B$8*100000</f>
        <v>120.13325050271976</v>
      </c>
      <c r="H8913" s="213">
        <f t="shared" si="763"/>
        <v>0.9353932584269663</v>
      </c>
    </row>
    <row r="8914" spans="1:8" x14ac:dyDescent="0.25">
      <c r="A8914" s="84" t="s">
        <v>41</v>
      </c>
      <c r="B8914" s="356">
        <v>44264</v>
      </c>
      <c r="C8914" s="1">
        <v>28</v>
      </c>
      <c r="D8914" s="47">
        <f t="shared" si="762"/>
        <v>1420</v>
      </c>
      <c r="F8914" s="47">
        <f t="shared" si="764"/>
        <v>20</v>
      </c>
      <c r="G8914" s="203">
        <f>SUM(C8914,C8890,C8866,C8842,C8818,C8794,C8770,C8746,C8722,C8698,C8674,C8650,C8626,C8602)/POBLA!$B$9*100000</f>
        <v>41.639609182525248</v>
      </c>
      <c r="H8914" s="213">
        <f t="shared" si="763"/>
        <v>0.9</v>
      </c>
    </row>
    <row r="8915" spans="1:8" x14ac:dyDescent="0.25">
      <c r="A8915" s="84" t="s">
        <v>32</v>
      </c>
      <c r="B8915" s="356">
        <v>44264</v>
      </c>
      <c r="C8915" s="1">
        <v>68</v>
      </c>
      <c r="D8915" s="47">
        <f t="shared" si="762"/>
        <v>21364</v>
      </c>
      <c r="E8915" s="1">
        <v>2</v>
      </c>
      <c r="F8915" s="47">
        <f t="shared" si="764"/>
        <v>917</v>
      </c>
      <c r="G8915" s="203">
        <f>SUM(C8915,C8891,C8867,C8843,C8819,C8795,C8771,C8747,C8723,C8699,C8675,C8651,C8627,C8603)/POBLA!$B$10*100000</f>
        <v>140.35888807740753</v>
      </c>
      <c r="H8915" s="213">
        <f t="shared" si="763"/>
        <v>1.5681159420289854</v>
      </c>
    </row>
    <row r="8916" spans="1:8" x14ac:dyDescent="0.25">
      <c r="A8916" s="84" t="s">
        <v>33</v>
      </c>
      <c r="B8916" s="356">
        <v>44264</v>
      </c>
      <c r="C8916" s="1">
        <v>110</v>
      </c>
      <c r="D8916" s="47">
        <f t="shared" si="762"/>
        <v>19420</v>
      </c>
      <c r="E8916" s="1">
        <v>7</v>
      </c>
      <c r="F8916" s="47">
        <f t="shared" si="764"/>
        <v>298</v>
      </c>
      <c r="G8916" s="203">
        <f>SUM(C8916,C8892,C8868,C8844,C8820,C8796,C8772,C8748,C8724,C8700,C8676,C8652,C8628,C8604)/POBLA!$B$11*100000</f>
        <v>333.6792884484471</v>
      </c>
      <c r="H8916" s="213">
        <f t="shared" si="763"/>
        <v>1.2805139186295502</v>
      </c>
    </row>
    <row r="8917" spans="1:8" x14ac:dyDescent="0.25">
      <c r="A8917" s="84" t="s">
        <v>21</v>
      </c>
      <c r="B8917" s="356">
        <v>44264</v>
      </c>
      <c r="C8917" s="1">
        <v>14</v>
      </c>
      <c r="D8917" s="47">
        <f t="shared" si="762"/>
        <v>10394</v>
      </c>
      <c r="F8917" s="47">
        <f t="shared" si="764"/>
        <v>444</v>
      </c>
      <c r="G8917" s="203">
        <f>SUM(C8917,C8893,C8869,C8845,C8821,C8797,C8773,C8749,C8725,C8701,C8677,C8653,C8629,C8605)/POBLA!$B$12*100000</f>
        <v>82.331506285400636</v>
      </c>
      <c r="H8917" s="213">
        <f t="shared" si="763"/>
        <v>0.88524590163934425</v>
      </c>
    </row>
    <row r="8918" spans="1:8" x14ac:dyDescent="0.25">
      <c r="A8918" s="84" t="s">
        <v>17</v>
      </c>
      <c r="B8918" s="356">
        <v>44264</v>
      </c>
      <c r="C8918" s="1">
        <v>204</v>
      </c>
      <c r="D8918" s="47">
        <f t="shared" si="762"/>
        <v>68559</v>
      </c>
      <c r="E8918" s="1">
        <v>2</v>
      </c>
      <c r="F8918" s="47">
        <f t="shared" si="764"/>
        <v>1466</v>
      </c>
      <c r="G8918" s="203">
        <f>SUM(C8918,C8894,C8870,C8846,C8822,C8798,C8774,C8750,C8726,C8702,C8678,C8654,C8630,C8606)/POBLA!$B$13*100000</f>
        <v>101.33957146977048</v>
      </c>
      <c r="H8918" s="213">
        <f t="shared" si="763"/>
        <v>1.3428761651131824</v>
      </c>
    </row>
    <row r="8919" spans="1:8" x14ac:dyDescent="0.25">
      <c r="A8919" s="84" t="s">
        <v>23</v>
      </c>
      <c r="B8919" s="356">
        <v>44264</v>
      </c>
      <c r="C8919" s="1">
        <v>123</v>
      </c>
      <c r="D8919" s="47">
        <f t="shared" si="762"/>
        <v>9354</v>
      </c>
      <c r="E8919" s="1">
        <v>1</v>
      </c>
      <c r="F8919" s="47">
        <f t="shared" si="764"/>
        <v>156</v>
      </c>
      <c r="G8919" s="203">
        <f>SUM(C8919,C8895,C8871,C8847,C8823,C8799,C8775,C8751,C8727,C8703,C8679,C8655,C8631,C8607)/POBLA!$B$14*100000</f>
        <v>129.62877806443223</v>
      </c>
      <c r="H8919" s="213">
        <f t="shared" si="763"/>
        <v>1.0871010638297873</v>
      </c>
    </row>
    <row r="8920" spans="1:8" x14ac:dyDescent="0.25">
      <c r="A8920" s="84" t="s">
        <v>19</v>
      </c>
      <c r="B8920" s="356">
        <v>44264</v>
      </c>
      <c r="C8920" s="1">
        <v>156</v>
      </c>
      <c r="D8920" s="47">
        <f t="shared" si="762"/>
        <v>62579</v>
      </c>
      <c r="E8920" s="1">
        <v>9</v>
      </c>
      <c r="F8920" s="47">
        <f t="shared" si="764"/>
        <v>949</v>
      </c>
      <c r="G8920" s="203">
        <f>SUM(C8920,C8896,C8872,C8848,C8824,C8800,C8776,C8752,C8728,C8704,C8680,C8656,C8632,C8608)/POBLA!$B$15*100000</f>
        <v>331.29686156459462</v>
      </c>
      <c r="H8920" s="213">
        <f t="shared" si="763"/>
        <v>0.69996818326439703</v>
      </c>
    </row>
    <row r="8921" spans="1:8" x14ac:dyDescent="0.25">
      <c r="A8921" s="84" t="s">
        <v>18</v>
      </c>
      <c r="B8921" s="356">
        <v>44264</v>
      </c>
      <c r="C8921" s="1">
        <v>140</v>
      </c>
      <c r="D8921" s="47">
        <f t="shared" si="762"/>
        <v>53367</v>
      </c>
      <c r="E8921" s="1">
        <v>4</v>
      </c>
      <c r="F8921" s="47">
        <f t="shared" si="764"/>
        <v>1219</v>
      </c>
      <c r="G8921" s="203">
        <f>SUM(C8921,C8897,C8873,C8849,C8825,C8801,C8777,C8753,C8729,C8705,C8681,C8657,C8633,C8609)/POBLA!$B$16*100000</f>
        <v>217.22555878064767</v>
      </c>
      <c r="H8921" s="213">
        <f t="shared" si="763"/>
        <v>0.8341037493579867</v>
      </c>
    </row>
    <row r="8922" spans="1:8" x14ac:dyDescent="0.25">
      <c r="A8922" s="84" t="s">
        <v>34</v>
      </c>
      <c r="B8922" s="356">
        <v>44264</v>
      </c>
      <c r="C8922" s="1">
        <v>131</v>
      </c>
      <c r="D8922" s="47">
        <f t="shared" si="762"/>
        <v>27035</v>
      </c>
      <c r="E8922" s="1">
        <v>3</v>
      </c>
      <c r="F8922" s="47">
        <f t="shared" si="764"/>
        <v>1127</v>
      </c>
      <c r="G8922" s="203">
        <f>SUM(C8922,C8898,C8874,C8850,C8826,C8802,C8778,C8754,C8730,C8706,C8682,C8658,C8634,C8610)/POBLA!$B$17*100000</f>
        <v>102.35910353644385</v>
      </c>
      <c r="H8922" s="213">
        <f t="shared" si="763"/>
        <v>1.2525773195876289</v>
      </c>
    </row>
    <row r="8923" spans="1:8" x14ac:dyDescent="0.25">
      <c r="A8923" s="84" t="s">
        <v>35</v>
      </c>
      <c r="B8923" s="356">
        <v>44264</v>
      </c>
      <c r="C8923" s="1">
        <v>64</v>
      </c>
      <c r="D8923" s="47">
        <f t="shared" si="762"/>
        <v>15676</v>
      </c>
      <c r="F8923" s="47">
        <f t="shared" si="764"/>
        <v>215</v>
      </c>
      <c r="G8923" s="203">
        <f>SUM(C8923,C8899,C8875,C8851,C8827,C8803,C8779,C8755,C8731,C8707,C8683,C8659,C8635,C8611)/POBLA!$B$18*100000</f>
        <v>78.723325273259547</v>
      </c>
      <c r="H8923" s="213">
        <f t="shared" si="763"/>
        <v>0.9375</v>
      </c>
    </row>
    <row r="8924" spans="1:8" x14ac:dyDescent="0.25">
      <c r="A8924" s="84" t="s">
        <v>36</v>
      </c>
      <c r="B8924" s="356">
        <v>44264</v>
      </c>
      <c r="C8924" s="1">
        <v>6</v>
      </c>
      <c r="D8924" s="47">
        <f t="shared" si="762"/>
        <v>20811</v>
      </c>
      <c r="F8924" s="47">
        <f t="shared" si="764"/>
        <v>358</v>
      </c>
      <c r="G8924" s="203">
        <f>SUM(C8924,C8900,C8876,C8852,C8828,C8804,C8780,C8756,C8732,C8708,C8684,C8660,C8636,C8612)/POBLA!$B$19*100000</f>
        <v>50.754630868258282</v>
      </c>
      <c r="H8924" s="213">
        <f t="shared" si="763"/>
        <v>0.1799163179916318</v>
      </c>
    </row>
    <row r="8925" spans="1:8" x14ac:dyDescent="0.25">
      <c r="A8925" s="84" t="s">
        <v>37</v>
      </c>
      <c r="B8925" s="356">
        <v>44264</v>
      </c>
      <c r="C8925" s="1">
        <v>68</v>
      </c>
      <c r="D8925" s="47">
        <f t="shared" si="762"/>
        <v>36825</v>
      </c>
      <c r="E8925" s="1">
        <v>3</v>
      </c>
      <c r="F8925" s="47">
        <f t="shared" si="764"/>
        <v>601</v>
      </c>
      <c r="G8925" s="203">
        <f>SUM(C8925,C8901,C8877,C8853,C8829,C8805,C8781,C8757,C8733,C8709,C8685,C8661,C8637,C8613)/POBLA!$B$20*100000</f>
        <v>381.46229949302432</v>
      </c>
      <c r="H8925" s="213">
        <f t="shared" si="763"/>
        <v>1.0108695652173914</v>
      </c>
    </row>
    <row r="8926" spans="1:8" x14ac:dyDescent="0.25">
      <c r="A8926" s="84" t="s">
        <v>22</v>
      </c>
      <c r="B8926" s="356">
        <v>44264</v>
      </c>
      <c r="C8926" s="1">
        <v>514</v>
      </c>
      <c r="D8926" s="47">
        <f t="shared" si="762"/>
        <v>220066</v>
      </c>
      <c r="E8926" s="1">
        <v>4</v>
      </c>
      <c r="F8926" s="47">
        <f t="shared" si="764"/>
        <v>4078</v>
      </c>
      <c r="G8926" s="203">
        <f>SUM(C8926,C8902,C8878,C8854,C8830,C8806,C8782,C8758,C8734,C8710,C8686,C8662,C8638,C8614)/POBLA!$B$21*100000</f>
        <v>149.41672619017322</v>
      </c>
      <c r="H8926" s="213">
        <f t="shared" si="763"/>
        <v>1.1006040408248281</v>
      </c>
    </row>
    <row r="8927" spans="1:8" x14ac:dyDescent="0.25">
      <c r="A8927" s="84" t="s">
        <v>38</v>
      </c>
      <c r="B8927" s="356">
        <v>44264</v>
      </c>
      <c r="C8927" s="1">
        <v>42</v>
      </c>
      <c r="D8927" s="47">
        <f t="shared" si="762"/>
        <v>23125</v>
      </c>
      <c r="E8927" s="1">
        <v>1</v>
      </c>
      <c r="F8927" s="47">
        <f t="shared" si="764"/>
        <v>272</v>
      </c>
      <c r="G8927" s="203">
        <f>SUM(C8927,C8903,C8879,C8855,C8831,C8807,C8783,C8759,C8735,C8711,C8687,C8663,C8639,C8615)/POBLA!$B$22*100000</f>
        <v>86.884258923268931</v>
      </c>
      <c r="H8927" s="213">
        <f t="shared" si="763"/>
        <v>1.159618008185539</v>
      </c>
    </row>
    <row r="8928" spans="1:8" x14ac:dyDescent="0.25">
      <c r="A8928" s="84" t="s">
        <v>39</v>
      </c>
      <c r="B8928" s="356">
        <v>44264</v>
      </c>
      <c r="C8928" s="1">
        <v>31</v>
      </c>
      <c r="D8928" s="47">
        <f t="shared" si="762"/>
        <v>23241</v>
      </c>
      <c r="F8928" s="47">
        <f t="shared" si="764"/>
        <v>358</v>
      </c>
      <c r="G8928" s="203">
        <f>SUM(C8928,C8904,C8880,C8856,C8832,C8808,C8784,C8760,C8736,C8712,C8688,C8664,C8640,C8616)/POBLA!$B$23*100000</f>
        <v>252.21964598767178</v>
      </c>
      <c r="H8928" s="213">
        <f t="shared" si="763"/>
        <v>0.75979557069846682</v>
      </c>
    </row>
    <row r="8929" spans="1:8" ht="15.75" thickBot="1" x14ac:dyDescent="0.3">
      <c r="A8929" s="85" t="s">
        <v>40</v>
      </c>
      <c r="B8929" s="356">
        <v>44264</v>
      </c>
      <c r="C8929" s="1">
        <v>192</v>
      </c>
      <c r="D8929" s="214">
        <f t="shared" si="762"/>
        <v>81147</v>
      </c>
      <c r="E8929" s="1">
        <v>1</v>
      </c>
      <c r="F8929" s="214">
        <f t="shared" si="764"/>
        <v>1484</v>
      </c>
      <c r="G8929" s="215">
        <f>SUM(C8929,C8905,C8881,C8857,C8833,C8809,C8785,C8761,C8737,C8713,C8689,C8665,C8641,C8617)/POBLA!$B$24*100000</f>
        <v>123.44688243513728</v>
      </c>
      <c r="H8929" s="216">
        <f t="shared" si="763"/>
        <v>1.354922279792746</v>
      </c>
    </row>
    <row r="8930" spans="1:8" x14ac:dyDescent="0.25">
      <c r="A8930" s="36" t="s">
        <v>16</v>
      </c>
      <c r="B8930" s="356">
        <v>44265</v>
      </c>
      <c r="C8930" s="1">
        <v>3263</v>
      </c>
      <c r="D8930" s="211">
        <f t="shared" si="762"/>
        <v>906362</v>
      </c>
      <c r="E8930" s="1">
        <v>29</v>
      </c>
      <c r="F8930" s="211">
        <f t="shared" si="764"/>
        <v>26936</v>
      </c>
      <c r="G8930" s="212">
        <f>SUM(C8930,C8906,C8882,C8858,C8834,C8810,C8786,C8762,C8738,C8714,C8690,C8666,C8642,C8618)/POBLA!$B$1*100000</f>
        <v>202.88303936442904</v>
      </c>
      <c r="H8930" s="196">
        <f t="shared" si="763"/>
        <v>1.0005060444194547</v>
      </c>
    </row>
    <row r="8931" spans="1:8" x14ac:dyDescent="0.25">
      <c r="A8931" s="84" t="s">
        <v>43</v>
      </c>
      <c r="B8931" s="356">
        <v>44265</v>
      </c>
      <c r="C8931" s="1">
        <v>934</v>
      </c>
      <c r="D8931" s="47">
        <f t="shared" si="762"/>
        <v>238950</v>
      </c>
      <c r="E8931" s="1">
        <v>21</v>
      </c>
      <c r="F8931" s="47">
        <f t="shared" si="764"/>
        <v>6653</v>
      </c>
      <c r="G8931" s="203">
        <f>SUM(C8931,C8907,C8883,C8859,C8835,C8811,C8787,C8763,C8739,C8715,C8691,C8667,C8643,C8619)/POBLA!$B$2*100000</f>
        <v>311.12163103296024</v>
      </c>
      <c r="H8931" s="213">
        <f t="shared" si="763"/>
        <v>0.98507309038501134</v>
      </c>
    </row>
    <row r="8932" spans="1:8" x14ac:dyDescent="0.25">
      <c r="A8932" s="84" t="s">
        <v>28</v>
      </c>
      <c r="B8932" s="356">
        <v>44265</v>
      </c>
      <c r="C8932" s="1">
        <v>71</v>
      </c>
      <c r="D8932" s="47">
        <f t="shared" si="762"/>
        <v>8690</v>
      </c>
      <c r="F8932" s="47">
        <f t="shared" si="764"/>
        <v>17</v>
      </c>
      <c r="G8932" s="203">
        <f>SUM(C8932,C8908,C8884,C8860,C8836,C8812,C8788,C8764,C8740,C8716,C8692,C8668,C8644,C8620)/POBLA!$B$3*100000</f>
        <v>283.55615037622943</v>
      </c>
      <c r="H8932" s="213">
        <f t="shared" si="763"/>
        <v>1.1208372978116079</v>
      </c>
    </row>
    <row r="8933" spans="1:8" x14ac:dyDescent="0.25">
      <c r="A8933" s="84" t="s">
        <v>15</v>
      </c>
      <c r="B8933" s="356">
        <v>44265</v>
      </c>
      <c r="C8933" s="1">
        <v>139</v>
      </c>
      <c r="D8933" s="47">
        <f t="shared" si="762"/>
        <v>35419</v>
      </c>
      <c r="E8933" s="1">
        <v>1</v>
      </c>
      <c r="F8933" s="47">
        <f t="shared" si="764"/>
        <v>879</v>
      </c>
      <c r="G8933" s="203">
        <f>SUM(C8933,C8909,C8885,C8861,C8837,C8813,C8789,C8765,C8741,C8717,C8693,C8669,C8645,C8621)/POBLA!$B$4*100000</f>
        <v>144.61940274345164</v>
      </c>
      <c r="H8933" s="213">
        <f t="shared" si="763"/>
        <v>1.0602556299452222</v>
      </c>
    </row>
    <row r="8934" spans="1:8" x14ac:dyDescent="0.25">
      <c r="A8934" s="84" t="s">
        <v>29</v>
      </c>
      <c r="B8934" s="356">
        <v>44265</v>
      </c>
      <c r="C8934" s="1">
        <v>95</v>
      </c>
      <c r="D8934" s="47">
        <f t="shared" si="762"/>
        <v>47807</v>
      </c>
      <c r="E8934" s="1">
        <v>1</v>
      </c>
      <c r="F8934" s="47">
        <f t="shared" si="764"/>
        <v>783</v>
      </c>
      <c r="G8934" s="203">
        <f>SUM(C8934,C8910,C8886,C8862,C8838,C8814,C8790,C8766,C8742,C8718,C8694,C8670,C8646,C8622)/POBLA!$B$5*100000</f>
        <v>196.28623217672543</v>
      </c>
      <c r="H8934" s="213">
        <f t="shared" si="763"/>
        <v>0.59940799210656137</v>
      </c>
    </row>
    <row r="8935" spans="1:8" x14ac:dyDescent="0.25">
      <c r="A8935" s="84" t="s">
        <v>30</v>
      </c>
      <c r="B8935" s="356">
        <v>44265</v>
      </c>
      <c r="C8935" s="1">
        <v>334</v>
      </c>
      <c r="D8935" s="47">
        <f t="shared" si="762"/>
        <v>23958</v>
      </c>
      <c r="E8935" s="1">
        <v>4</v>
      </c>
      <c r="F8935" s="47">
        <f t="shared" si="764"/>
        <v>306</v>
      </c>
      <c r="G8935" s="203">
        <f>SUM(C8935,C8911,C8887,C8863,C8839,C8815,C8791,C8767,C8743,C8719,C8695,C8671,C8647,C8623)/POBLA!$B$7*100000</f>
        <v>70.470289460038032</v>
      </c>
      <c r="H8935" s="213">
        <f t="shared" si="763"/>
        <v>1.1910112359550562</v>
      </c>
    </row>
    <row r="8936" spans="1:8" x14ac:dyDescent="0.25">
      <c r="A8936" s="84" t="s">
        <v>20</v>
      </c>
      <c r="B8936" s="356">
        <v>44265</v>
      </c>
      <c r="C8936" s="1">
        <v>649</v>
      </c>
      <c r="D8936" s="47">
        <f t="shared" si="762"/>
        <v>165680</v>
      </c>
      <c r="E8936" s="1">
        <v>7</v>
      </c>
      <c r="F8936" s="47">
        <f t="shared" si="764"/>
        <v>2897</v>
      </c>
      <c r="G8936" s="203">
        <f>SUM(C8936,C8912,C8888,C8864,C8840,C8816,C8792,C8768,C8744,C8720,C8696,C8672,C8648,C8624)/POBLA!$B$6*100000</f>
        <v>728.13996418632746</v>
      </c>
      <c r="H8936" s="213">
        <f t="shared" si="763"/>
        <v>1.0722638286690316</v>
      </c>
    </row>
    <row r="8937" spans="1:8" x14ac:dyDescent="0.25">
      <c r="A8937" s="84" t="s">
        <v>31</v>
      </c>
      <c r="B8937" s="356">
        <v>44265</v>
      </c>
      <c r="C8937" s="1">
        <v>173</v>
      </c>
      <c r="D8937" s="47">
        <f t="shared" si="762"/>
        <v>46410</v>
      </c>
      <c r="E8937" s="1">
        <v>4</v>
      </c>
      <c r="F8937" s="47">
        <f t="shared" ref="F8937:F8960" si="765">E8937+F8913</f>
        <v>893</v>
      </c>
      <c r="G8937" s="203">
        <f>SUM(C8937,C8913,C8889,C8865,C8841,C8817,C8793,C8769,C8745,C8721,C8697,C8673,C8649,C8625)/POBLA!$B$8*100000</f>
        <v>119.70033788829555</v>
      </c>
      <c r="H8937" s="213">
        <f t="shared" si="763"/>
        <v>0.94047619047619047</v>
      </c>
    </row>
    <row r="8938" spans="1:8" x14ac:dyDescent="0.25">
      <c r="A8938" s="84" t="s">
        <v>41</v>
      </c>
      <c r="B8938" s="356">
        <v>44265</v>
      </c>
      <c r="C8938" s="1">
        <v>8</v>
      </c>
      <c r="D8938" s="47">
        <f t="shared" ref="D8938:D8969" si="766">C8938+D8914</f>
        <v>1428</v>
      </c>
      <c r="F8938" s="47">
        <f t="shared" si="765"/>
        <v>20</v>
      </c>
      <c r="G8938" s="203">
        <f>SUM(C8938,C8914,C8890,C8866,C8842,C8818,C8794,C8770,C8746,C8722,C8698,C8674,C8650,C8626)/POBLA!$B$9*100000</f>
        <v>41.804845726900346</v>
      </c>
      <c r="H8938" s="213">
        <f t="shared" ref="H8938:H8969" si="767">SUM(C8938,C8914,C8890,C8866,C8842,C8818,C8794,C8770,C8746,C8722,C8698,C8674,C8650,C8626)/SUM(C8602,C8578,C8554,C8530,C8506,C8482,C8458,C8434,C8410,C8386,C8362,C8338,C8314,C8290)</f>
        <v>0.8971631205673759</v>
      </c>
    </row>
    <row r="8939" spans="1:8" x14ac:dyDescent="0.25">
      <c r="A8939" s="84" t="s">
        <v>32</v>
      </c>
      <c r="B8939" s="356">
        <v>44265</v>
      </c>
      <c r="C8939" s="1">
        <v>81</v>
      </c>
      <c r="D8939" s="47">
        <f t="shared" si="766"/>
        <v>21445</v>
      </c>
      <c r="E8939" s="1">
        <v>1</v>
      </c>
      <c r="F8939" s="47">
        <f t="shared" si="765"/>
        <v>918</v>
      </c>
      <c r="G8939" s="203">
        <f>SUM(C8939,C8915,C8891,C8867,C8843,C8819,C8795,C8771,C8747,C8723,C8699,C8675,C8651,C8627)/POBLA!$B$10*100000</f>
        <v>137.50501050097225</v>
      </c>
      <c r="H8939" s="213">
        <f t="shared" si="767"/>
        <v>1.4095744680851063</v>
      </c>
    </row>
    <row r="8940" spans="1:8" x14ac:dyDescent="0.25">
      <c r="A8940" s="84" t="s">
        <v>33</v>
      </c>
      <c r="B8940" s="356">
        <v>44265</v>
      </c>
      <c r="C8940" s="1">
        <v>87</v>
      </c>
      <c r="D8940" s="47">
        <f t="shared" si="766"/>
        <v>19507</v>
      </c>
      <c r="F8940" s="47">
        <f t="shared" si="765"/>
        <v>298</v>
      </c>
      <c r="G8940" s="203">
        <f>SUM(C8940,C8916,C8892,C8868,C8844,C8820,C8796,C8772,C8748,C8724,C8700,C8676,C8652,C8628)/POBLA!$B$11*100000</f>
        <v>332.56330420614461</v>
      </c>
      <c r="H8940" s="213">
        <f t="shared" si="767"/>
        <v>1.2390852390852392</v>
      </c>
    </row>
    <row r="8941" spans="1:8" x14ac:dyDescent="0.25">
      <c r="A8941" s="84" t="s">
        <v>21</v>
      </c>
      <c r="B8941" s="356">
        <v>44265</v>
      </c>
      <c r="C8941" s="1">
        <v>27</v>
      </c>
      <c r="D8941" s="47">
        <f t="shared" si="766"/>
        <v>10421</v>
      </c>
      <c r="F8941" s="47">
        <f t="shared" si="765"/>
        <v>444</v>
      </c>
      <c r="G8941" s="203">
        <f>SUM(C8941,C8917,C8893,C8869,C8845,C8821,C8797,C8773,C8749,C8725,C8701,C8677,C8653,C8629)/POBLA!$B$12*100000</f>
        <v>75.216437840983303</v>
      </c>
      <c r="H8941" s="213">
        <f t="shared" si="767"/>
        <v>0.7531806615776081</v>
      </c>
    </row>
    <row r="8942" spans="1:8" x14ac:dyDescent="0.25">
      <c r="A8942" s="84" t="s">
        <v>17</v>
      </c>
      <c r="B8942" s="356">
        <v>44265</v>
      </c>
      <c r="C8942" s="1">
        <v>248</v>
      </c>
      <c r="D8942" s="47">
        <f t="shared" si="766"/>
        <v>68807</v>
      </c>
      <c r="E8942" s="1">
        <v>3</v>
      </c>
      <c r="F8942" s="47">
        <f t="shared" si="765"/>
        <v>1469</v>
      </c>
      <c r="G8942" s="203">
        <f>SUM(C8942,C8918,C8894,C8870,C8846,C8822,C8798,C8774,C8750,C8726,C8702,C8678,C8654,C8630)/POBLA!$B$13*100000</f>
        <v>105.50971744497667</v>
      </c>
      <c r="H8942" s="213">
        <f t="shared" si="767"/>
        <v>1.4189189189189189</v>
      </c>
    </row>
    <row r="8943" spans="1:8" x14ac:dyDescent="0.25">
      <c r="A8943" s="84" t="s">
        <v>23</v>
      </c>
      <c r="B8943" s="356">
        <v>44265</v>
      </c>
      <c r="C8943" s="1">
        <v>113</v>
      </c>
      <c r="D8943" s="47">
        <f t="shared" si="766"/>
        <v>9467</v>
      </c>
      <c r="E8943" s="1">
        <v>5</v>
      </c>
      <c r="F8943" s="47">
        <f t="shared" si="765"/>
        <v>161</v>
      </c>
      <c r="G8943" s="203">
        <f>SUM(C8943,C8919,C8895,C8871,C8847,C8823,C8799,C8775,C8751,C8727,C8703,C8679,C8655,C8631)/POBLA!$B$14*100000</f>
        <v>129.54949440812371</v>
      </c>
      <c r="H8943" s="213">
        <f t="shared" si="767"/>
        <v>1.061038961038961</v>
      </c>
    </row>
    <row r="8944" spans="1:8" x14ac:dyDescent="0.25">
      <c r="A8944" s="84" t="s">
        <v>19</v>
      </c>
      <c r="B8944" s="356">
        <v>44265</v>
      </c>
      <c r="C8944" s="1">
        <v>157</v>
      </c>
      <c r="D8944" s="47">
        <f t="shared" si="766"/>
        <v>62736</v>
      </c>
      <c r="E8944" s="1">
        <v>1</v>
      </c>
      <c r="F8944" s="47">
        <f t="shared" si="765"/>
        <v>950</v>
      </c>
      <c r="G8944" s="203">
        <f>SUM(C8944,C8920,C8896,C8872,C8848,C8824,C8800,C8776,C8752,C8728,C8704,C8680,C8656,C8632)/POBLA!$B$15*100000</f>
        <v>315.635555381541</v>
      </c>
      <c r="H8944" s="213">
        <f t="shared" si="767"/>
        <v>0.69449966865473822</v>
      </c>
    </row>
    <row r="8945" spans="1:8" x14ac:dyDescent="0.25">
      <c r="A8945" s="84" t="s">
        <v>18</v>
      </c>
      <c r="B8945" s="356">
        <v>44265</v>
      </c>
      <c r="C8945" s="1">
        <v>146</v>
      </c>
      <c r="D8945" s="47">
        <f t="shared" si="766"/>
        <v>53513</v>
      </c>
      <c r="E8945" s="1">
        <v>8</v>
      </c>
      <c r="F8945" s="47">
        <f t="shared" si="765"/>
        <v>1227</v>
      </c>
      <c r="G8945" s="203">
        <f>SUM(C8945,C8921,C8897,C8873,C8849,C8825,C8801,C8777,C8753,C8729,C8705,C8681,C8657,C8633)/POBLA!$B$16*100000</f>
        <v>214.55036717004856</v>
      </c>
      <c r="H8945" s="213">
        <f t="shared" si="767"/>
        <v>0.84778012684989434</v>
      </c>
    </row>
    <row r="8946" spans="1:8" x14ac:dyDescent="0.25">
      <c r="A8946" s="84" t="s">
        <v>34</v>
      </c>
      <c r="B8946" s="356">
        <v>44265</v>
      </c>
      <c r="C8946" s="1">
        <v>176</v>
      </c>
      <c r="D8946" s="47">
        <f t="shared" si="766"/>
        <v>27211</v>
      </c>
      <c r="E8946" s="1">
        <v>1</v>
      </c>
      <c r="F8946" s="47">
        <f t="shared" si="765"/>
        <v>1128</v>
      </c>
      <c r="G8946" s="203">
        <f>SUM(C8946,C8922,C8898,C8874,C8850,C8826,C8802,C8778,C8754,C8730,C8706,C8682,C8658,C8634)/POBLA!$B$17*100000</f>
        <v>103.27177044040391</v>
      </c>
      <c r="H8946" s="213">
        <f t="shared" si="767"/>
        <v>1.1988590057049715</v>
      </c>
    </row>
    <row r="8947" spans="1:8" x14ac:dyDescent="0.25">
      <c r="A8947" s="84" t="s">
        <v>35</v>
      </c>
      <c r="B8947" s="356">
        <v>44265</v>
      </c>
      <c r="C8947" s="1">
        <v>72</v>
      </c>
      <c r="D8947" s="47">
        <f t="shared" si="766"/>
        <v>15748</v>
      </c>
      <c r="E8947" s="1">
        <v>1</v>
      </c>
      <c r="F8947" s="47">
        <f t="shared" si="765"/>
        <v>216</v>
      </c>
      <c r="G8947" s="203">
        <f>SUM(C8947,C8923,C8899,C8875,C8851,C8827,C8803,C8779,C8755,C8731,C8707,C8683,C8659,C8635)/POBLA!$B$18*100000</f>
        <v>77.699282017672431</v>
      </c>
      <c r="H8947" s="213">
        <f t="shared" si="767"/>
        <v>0.88742690058479534</v>
      </c>
    </row>
    <row r="8948" spans="1:8" x14ac:dyDescent="0.25">
      <c r="A8948" s="84" t="s">
        <v>36</v>
      </c>
      <c r="B8948" s="356">
        <v>44265</v>
      </c>
      <c r="C8948" s="1">
        <v>2</v>
      </c>
      <c r="D8948" s="47">
        <f t="shared" si="766"/>
        <v>20813</v>
      </c>
      <c r="E8948" s="1">
        <v>1</v>
      </c>
      <c r="F8948" s="47">
        <f t="shared" si="765"/>
        <v>359</v>
      </c>
      <c r="G8948" s="203">
        <f>SUM(C8948,C8924,C8900,C8876,C8852,C8828,C8804,C8780,C8756,C8732,C8708,C8684,C8660,C8636)/POBLA!$B$19*100000</f>
        <v>44.852929604507324</v>
      </c>
      <c r="H8948" s="213">
        <f t="shared" si="767"/>
        <v>0.15605749486652978</v>
      </c>
    </row>
    <row r="8949" spans="1:8" x14ac:dyDescent="0.25">
      <c r="A8949" s="84" t="s">
        <v>37</v>
      </c>
      <c r="B8949" s="356">
        <v>44265</v>
      </c>
      <c r="C8949" s="1">
        <v>138</v>
      </c>
      <c r="D8949" s="47">
        <f t="shared" si="766"/>
        <v>36963</v>
      </c>
      <c r="E8949" s="1">
        <v>3</v>
      </c>
      <c r="F8949" s="47">
        <f t="shared" si="765"/>
        <v>604</v>
      </c>
      <c r="G8949" s="203">
        <f>SUM(C8949,C8925,C8901,C8877,C8853,C8829,C8805,C8781,C8757,C8733,C8709,C8685,C8661,C8637)/POBLA!$B$20*100000</f>
        <v>364.2349698385006</v>
      </c>
      <c r="H8949" s="213">
        <f t="shared" si="767"/>
        <v>0.91609353507565339</v>
      </c>
    </row>
    <row r="8950" spans="1:8" x14ac:dyDescent="0.25">
      <c r="A8950" s="84" t="s">
        <v>22</v>
      </c>
      <c r="B8950" s="356">
        <v>44265</v>
      </c>
      <c r="C8950" s="1">
        <v>509</v>
      </c>
      <c r="D8950" s="47">
        <f t="shared" si="766"/>
        <v>220575</v>
      </c>
      <c r="E8950" s="1">
        <v>12</v>
      </c>
      <c r="F8950" s="47">
        <f t="shared" si="765"/>
        <v>4090</v>
      </c>
      <c r="G8950" s="203">
        <f>SUM(C8950,C8926,C8902,C8878,C8854,C8830,C8806,C8782,C8758,C8734,C8710,C8686,C8662,C8638)/POBLA!$B$21*100000</f>
        <v>150.18021059727667</v>
      </c>
      <c r="H8950" s="213">
        <f t="shared" si="767"/>
        <v>1.1181052631578947</v>
      </c>
    </row>
    <row r="8951" spans="1:8" x14ac:dyDescent="0.25">
      <c r="A8951" s="84" t="s">
        <v>38</v>
      </c>
      <c r="B8951" s="356">
        <v>44265</v>
      </c>
      <c r="C8951" s="1">
        <v>51</v>
      </c>
      <c r="D8951" s="47">
        <f t="shared" si="766"/>
        <v>23176</v>
      </c>
      <c r="F8951" s="47">
        <f t="shared" si="765"/>
        <v>272</v>
      </c>
      <c r="G8951" s="203">
        <f>SUM(C8951,C8927,C8903,C8879,C8855,C8831,C8807,C8783,C8759,C8735,C8711,C8687,C8663,C8639)/POBLA!$B$22*100000</f>
        <v>85.453224070415089</v>
      </c>
      <c r="H8951" s="213">
        <f t="shared" si="767"/>
        <v>1.1824611032531824</v>
      </c>
    </row>
    <row r="8952" spans="1:8" x14ac:dyDescent="0.25">
      <c r="A8952" s="84" t="s">
        <v>39</v>
      </c>
      <c r="B8952" s="356">
        <v>44265</v>
      </c>
      <c r="C8952" s="1">
        <v>15</v>
      </c>
      <c r="D8952" s="47">
        <f t="shared" si="766"/>
        <v>23256</v>
      </c>
      <c r="F8952" s="47">
        <f t="shared" si="765"/>
        <v>358</v>
      </c>
      <c r="G8952" s="203">
        <f>SUM(C8952,C8928,C8904,C8880,C8856,C8832,C8808,C8784,C8760,C8736,C8712,C8688,C8664,C8640)/POBLA!$B$23*100000</f>
        <v>239.21280325736586</v>
      </c>
      <c r="H8952" s="213">
        <f t="shared" si="767"/>
        <v>0.82135922330097089</v>
      </c>
    </row>
    <row r="8953" spans="1:8" ht="15.75" thickBot="1" x14ac:dyDescent="0.3">
      <c r="A8953" s="85" t="s">
        <v>40</v>
      </c>
      <c r="B8953" s="356">
        <v>44265</v>
      </c>
      <c r="C8953" s="1">
        <v>205</v>
      </c>
      <c r="D8953" s="214">
        <f t="shared" si="766"/>
        <v>81352</v>
      </c>
      <c r="E8953" s="1">
        <v>4</v>
      </c>
      <c r="F8953" s="214">
        <f t="shared" si="765"/>
        <v>1488</v>
      </c>
      <c r="G8953" s="215">
        <f>SUM(C8953,C8929,C8905,C8881,C8857,C8833,C8809,C8785,C8761,C8737,C8713,C8689,C8665,C8641)/POBLA!$B$24*100000</f>
        <v>122.62075607084859</v>
      </c>
      <c r="H8953" s="216">
        <f t="shared" si="767"/>
        <v>1.2555891238670696</v>
      </c>
    </row>
    <row r="8954" spans="1:8" x14ac:dyDescent="0.25">
      <c r="A8954" s="36" t="s">
        <v>16</v>
      </c>
      <c r="B8954" s="356">
        <v>44266</v>
      </c>
      <c r="C8954" s="1">
        <v>3450</v>
      </c>
      <c r="D8954" s="211">
        <f t="shared" si="766"/>
        <v>909812</v>
      </c>
      <c r="E8954" s="1">
        <v>54</v>
      </c>
      <c r="F8954" s="211">
        <f t="shared" si="765"/>
        <v>26990</v>
      </c>
      <c r="G8954" s="212">
        <f>SUM(C8954,C8930,C8906,C8882,C8858,C8834,C8810,C8786,C8762,C8738,C8714,C8690,C8666,C8642)/POBLA!$B$1*100000</f>
        <v>204.00041251592469</v>
      </c>
      <c r="H8954" s="253">
        <f t="shared" si="767"/>
        <v>1.0030834781633682</v>
      </c>
    </row>
    <row r="8955" spans="1:8" x14ac:dyDescent="0.25">
      <c r="A8955" s="84" t="s">
        <v>43</v>
      </c>
      <c r="B8955" s="356">
        <v>44266</v>
      </c>
      <c r="C8955" s="1">
        <v>825</v>
      </c>
      <c r="D8955" s="47">
        <f t="shared" si="766"/>
        <v>239775</v>
      </c>
      <c r="E8955" s="1">
        <v>8</v>
      </c>
      <c r="F8955" s="47">
        <f t="shared" si="765"/>
        <v>6661</v>
      </c>
      <c r="G8955" s="203">
        <f>SUM(C8955,C8931,C8907,C8883,C8859,C8835,C8811,C8787,C8763,C8739,C8715,C8691,C8667,C8643)/POBLA!$B$2*100000</f>
        <v>309.20333484412708</v>
      </c>
      <c r="H8955" s="254">
        <f t="shared" si="767"/>
        <v>0.96724979658258747</v>
      </c>
    </row>
    <row r="8956" spans="1:8" x14ac:dyDescent="0.25">
      <c r="A8956" s="84" t="s">
        <v>28</v>
      </c>
      <c r="B8956" s="356">
        <v>44266</v>
      </c>
      <c r="C8956" s="1">
        <v>80</v>
      </c>
      <c r="D8956" s="47">
        <f t="shared" si="766"/>
        <v>8770</v>
      </c>
      <c r="F8956" s="47">
        <f t="shared" si="765"/>
        <v>17</v>
      </c>
      <c r="G8956" s="203">
        <f>SUM(C8956,C8932,C8908,C8884,C8860,C8836,C8812,C8788,C8764,C8740,C8716,C8692,C8668,C8644)/POBLA!$B$3*100000</f>
        <v>272.24278953778901</v>
      </c>
      <c r="H8956" s="254">
        <f t="shared" si="767"/>
        <v>1.049165120593692</v>
      </c>
    </row>
    <row r="8957" spans="1:8" x14ac:dyDescent="0.25">
      <c r="A8957" s="84" t="s">
        <v>15</v>
      </c>
      <c r="B8957" s="356">
        <v>44266</v>
      </c>
      <c r="C8957" s="1">
        <v>140</v>
      </c>
      <c r="D8957" s="47">
        <f t="shared" si="766"/>
        <v>35559</v>
      </c>
      <c r="E8957" s="1">
        <v>7</v>
      </c>
      <c r="F8957" s="47">
        <f t="shared" si="765"/>
        <v>886</v>
      </c>
      <c r="G8957" s="203">
        <f>SUM(C8957,C8933,C8909,C8885,C8861,C8837,C8813,C8789,C8765,C8741,C8717,C8693,C8669,C8645)/POBLA!$B$4*100000</f>
        <v>141.79675079553124</v>
      </c>
      <c r="H8957" s="254">
        <f t="shared" si="767"/>
        <v>1.0172721858248959</v>
      </c>
    </row>
    <row r="8958" spans="1:8" x14ac:dyDescent="0.25">
      <c r="A8958" s="84" t="s">
        <v>29</v>
      </c>
      <c r="B8958" s="356">
        <v>44266</v>
      </c>
      <c r="C8958" s="1">
        <v>105</v>
      </c>
      <c r="D8958" s="47">
        <f t="shared" si="766"/>
        <v>47912</v>
      </c>
      <c r="E8958" s="1">
        <v>24</v>
      </c>
      <c r="F8958" s="47">
        <f t="shared" si="765"/>
        <v>807</v>
      </c>
      <c r="G8958" s="203">
        <f>SUM(C8958,C8934,C8910,C8886,C8862,C8838,C8814,C8790,C8766,C8742,C8718,C8694,C8670,C8646)/POBLA!$B$5*100000</f>
        <v>190.30879136146714</v>
      </c>
      <c r="H8958" s="254">
        <f t="shared" si="767"/>
        <v>0.61067910834629346</v>
      </c>
    </row>
    <row r="8959" spans="1:8" x14ac:dyDescent="0.25">
      <c r="A8959" s="84" t="s">
        <v>30</v>
      </c>
      <c r="B8959" s="356">
        <v>44266</v>
      </c>
      <c r="C8959" s="1">
        <v>71</v>
      </c>
      <c r="D8959" s="47">
        <f t="shared" si="766"/>
        <v>24029</v>
      </c>
      <c r="F8959" s="47">
        <f t="shared" si="765"/>
        <v>306</v>
      </c>
      <c r="G8959" s="203">
        <f>SUM(C8959,C8935,C8911,C8887,C8863,C8839,C8815,C8791,C8767,C8743,C8719,C8695,C8671,C8647)/POBLA!$B$6*100000</f>
        <v>234.29672171955593</v>
      </c>
      <c r="H8959" s="254">
        <f t="shared" si="767"/>
        <v>1.1665926254997778</v>
      </c>
    </row>
    <row r="8960" spans="1:8" x14ac:dyDescent="0.25">
      <c r="A8960" s="84" t="s">
        <v>20</v>
      </c>
      <c r="B8960" s="356">
        <v>44266</v>
      </c>
      <c r="C8960" s="1">
        <v>698</v>
      </c>
      <c r="D8960" s="47">
        <f t="shared" si="766"/>
        <v>166378</v>
      </c>
      <c r="E8960" s="1">
        <v>10</v>
      </c>
      <c r="F8960" s="47">
        <f t="shared" si="765"/>
        <v>2907</v>
      </c>
      <c r="G8960" s="203">
        <f>SUM(C8960,C8936,C8912,C8888,C8864,C8840,C8816,C8792,C8768,C8744,C8720,C8696,C8672,C8648)/POBLA!$B$7*100000</f>
        <v>206.96991051602868</v>
      </c>
      <c r="H8960" s="254">
        <f t="shared" si="767"/>
        <v>0.96911966131241445</v>
      </c>
    </row>
    <row r="8961" spans="1:8" x14ac:dyDescent="0.25">
      <c r="A8961" s="84" t="s">
        <v>31</v>
      </c>
      <c r="B8961" s="356">
        <v>44266</v>
      </c>
      <c r="C8961" s="1">
        <v>141</v>
      </c>
      <c r="D8961" s="47">
        <f t="shared" si="766"/>
        <v>46551</v>
      </c>
      <c r="E8961" s="1">
        <v>1</v>
      </c>
      <c r="F8961" s="47">
        <f t="shared" ref="F8961:F8984" si="768">E8961+F8937</f>
        <v>894</v>
      </c>
      <c r="G8961" s="203">
        <f>SUM(C8961,C8937,C8913,C8889,C8865,C8841,C8817,C8793,C8769,C8745,C8721,C8697,C8673,C8649)/POBLA!$B$8*100000</f>
        <v>118.32944794261887</v>
      </c>
      <c r="H8961" s="254">
        <f t="shared" si="767"/>
        <v>0.93234792495736218</v>
      </c>
    </row>
    <row r="8962" spans="1:8" x14ac:dyDescent="0.25">
      <c r="A8962" s="84" t="s">
        <v>41</v>
      </c>
      <c r="B8962" s="356">
        <v>44266</v>
      </c>
      <c r="C8962" s="1">
        <v>49</v>
      </c>
      <c r="D8962" s="47">
        <f t="shared" si="766"/>
        <v>1477</v>
      </c>
      <c r="F8962" s="47">
        <f t="shared" si="768"/>
        <v>20</v>
      </c>
      <c r="G8962" s="203">
        <f>SUM(C8962,C8938,C8914,C8890,C8866,C8842,C8818,C8794,C8770,C8746,C8722,C8698,C8674,C8650)/POBLA!$B$9*100000</f>
        <v>48.249070957529256</v>
      </c>
      <c r="H8962" s="254">
        <f t="shared" si="767"/>
        <v>1.0695970695970696</v>
      </c>
    </row>
    <row r="8963" spans="1:8" x14ac:dyDescent="0.25">
      <c r="A8963" s="84" t="s">
        <v>32</v>
      </c>
      <c r="B8963" s="356">
        <v>44266</v>
      </c>
      <c r="C8963" s="1">
        <v>67</v>
      </c>
      <c r="D8963" s="47">
        <f t="shared" si="766"/>
        <v>21512</v>
      </c>
      <c r="F8963" s="47">
        <f t="shared" si="768"/>
        <v>918</v>
      </c>
      <c r="G8963" s="203">
        <f>SUM(C8963,C8939,C8915,C8891,C8867,C8843,C8819,C8795,C8771,C8747,C8723,C8699,C8675,C8651)/POBLA!$B$10*100000</f>
        <v>132.44586388820065</v>
      </c>
      <c r="H8963" s="254">
        <f t="shared" si="767"/>
        <v>1.2286401925391095</v>
      </c>
    </row>
    <row r="8964" spans="1:8" x14ac:dyDescent="0.25">
      <c r="A8964" s="84" t="s">
        <v>33</v>
      </c>
      <c r="B8964" s="356">
        <v>44266</v>
      </c>
      <c r="C8964" s="1">
        <v>101</v>
      </c>
      <c r="D8964" s="47">
        <f t="shared" si="766"/>
        <v>19608</v>
      </c>
      <c r="E8964" s="1">
        <v>1</v>
      </c>
      <c r="F8964" s="47">
        <f t="shared" si="768"/>
        <v>299</v>
      </c>
      <c r="G8964" s="203">
        <f>SUM(C8964,C8940,C8916,C8892,C8868,C8844,C8820,C8796,C8772,C8748,C8724,C8700,C8676,C8652)/POBLA!$B$11*100000</f>
        <v>298.80478087649402</v>
      </c>
      <c r="H8964" s="254">
        <f t="shared" si="767"/>
        <v>1.0084745762711864</v>
      </c>
    </row>
    <row r="8965" spans="1:8" x14ac:dyDescent="0.25">
      <c r="A8965" s="84" t="s">
        <v>21</v>
      </c>
      <c r="B8965" s="356">
        <v>44266</v>
      </c>
      <c r="C8965" s="1">
        <v>31</v>
      </c>
      <c r="D8965" s="47">
        <f t="shared" si="766"/>
        <v>10452</v>
      </c>
      <c r="F8965" s="47">
        <f t="shared" si="768"/>
        <v>444</v>
      </c>
      <c r="G8965" s="203">
        <f>SUM(C8965,C8941,C8917,C8893,C8869,C8845,C8821,C8797,C8773,C8749,C8725,C8701,C8677,C8653)/POBLA!$B$12*100000</f>
        <v>77.249314539388251</v>
      </c>
      <c r="H8965" s="254">
        <f t="shared" si="767"/>
        <v>0.77353689567430028</v>
      </c>
    </row>
    <row r="8966" spans="1:8" x14ac:dyDescent="0.25">
      <c r="A8966" s="84" t="s">
        <v>17</v>
      </c>
      <c r="B8966" s="356">
        <v>44266</v>
      </c>
      <c r="C8966" s="1">
        <v>198</v>
      </c>
      <c r="D8966" s="47">
        <f t="shared" si="766"/>
        <v>69005</v>
      </c>
      <c r="E8966" s="1">
        <v>4</v>
      </c>
      <c r="F8966" s="47">
        <f t="shared" si="768"/>
        <v>1473</v>
      </c>
      <c r="G8966" s="203">
        <f>SUM(C8966,C8942,C8918,C8894,C8870,C8846,C8822,C8798,C8774,C8750,C8726,C8702,C8678,C8654)/POBLA!$B$13*100000</f>
        <v>104.40437754793406</v>
      </c>
      <c r="H8966" s="254">
        <f t="shared" si="767"/>
        <v>1.3389175257731958</v>
      </c>
    </row>
    <row r="8967" spans="1:8" x14ac:dyDescent="0.25">
      <c r="A8967" s="84" t="s">
        <v>23</v>
      </c>
      <c r="B8967" s="356">
        <v>44266</v>
      </c>
      <c r="C8967" s="1">
        <v>127</v>
      </c>
      <c r="D8967" s="47">
        <f t="shared" si="766"/>
        <v>9594</v>
      </c>
      <c r="E8967" s="1">
        <v>3</v>
      </c>
      <c r="F8967" s="47">
        <f t="shared" si="768"/>
        <v>164</v>
      </c>
      <c r="G8967" s="203">
        <f>SUM(C8967,C8943,C8919,C8895,C8871,C8847,C8823,C8799,C8775,C8751,C8727,C8703,C8679,C8655)/POBLA!$B$14*100000</f>
        <v>129.54949440812371</v>
      </c>
      <c r="H8967" s="254">
        <f t="shared" si="767"/>
        <v>1.0576051779935276</v>
      </c>
    </row>
    <row r="8968" spans="1:8" x14ac:dyDescent="0.25">
      <c r="A8968" s="84" t="s">
        <v>19</v>
      </c>
      <c r="B8968" s="356">
        <v>44266</v>
      </c>
      <c r="C8968" s="1">
        <v>166</v>
      </c>
      <c r="D8968" s="47">
        <f t="shared" si="766"/>
        <v>62902</v>
      </c>
      <c r="E8968" s="1">
        <v>4</v>
      </c>
      <c r="F8968" s="47">
        <f t="shared" si="768"/>
        <v>954</v>
      </c>
      <c r="G8968" s="203">
        <f>SUM(C8968,C8944,C8920,C8896,C8872,C8848,C8824,C8800,C8776,C8752,C8728,C8704,C8680,C8656)/POBLA!$B$15*100000</f>
        <v>310.36492349301341</v>
      </c>
      <c r="H8968" s="254">
        <f t="shared" si="767"/>
        <v>0.70995521873923528</v>
      </c>
    </row>
    <row r="8969" spans="1:8" x14ac:dyDescent="0.25">
      <c r="A8969" s="84" t="s">
        <v>18</v>
      </c>
      <c r="B8969" s="356">
        <v>44266</v>
      </c>
      <c r="C8969" s="1">
        <v>89</v>
      </c>
      <c r="D8969" s="47">
        <f t="shared" si="766"/>
        <v>53602</v>
      </c>
      <c r="E8969" s="1">
        <v>3</v>
      </c>
      <c r="F8969" s="47">
        <f t="shared" si="768"/>
        <v>1230</v>
      </c>
      <c r="G8969" s="203">
        <f>SUM(C8969,C8945,C8921,C8897,C8873,C8849,C8825,C8801,C8777,C8753,C8729,C8705,C8681,C8657)/POBLA!$B$16*100000</f>
        <v>209.06622436832038</v>
      </c>
      <c r="H8969" s="254">
        <f t="shared" si="767"/>
        <v>0.86881600889382993</v>
      </c>
    </row>
    <row r="8970" spans="1:8" x14ac:dyDescent="0.25">
      <c r="A8970" s="84" t="s">
        <v>34</v>
      </c>
      <c r="B8970" s="356">
        <v>44266</v>
      </c>
      <c r="C8970" s="1">
        <v>141</v>
      </c>
      <c r="D8970" s="47">
        <f t="shared" ref="D8970:D9033" si="769">C8970+D8946</f>
        <v>27352</v>
      </c>
      <c r="E8970" s="1">
        <v>3</v>
      </c>
      <c r="F8970" s="47">
        <f t="shared" si="768"/>
        <v>1131</v>
      </c>
      <c r="G8970" s="203">
        <f>SUM(C8970,C8946,C8922,C8898,C8874,C8850,C8826,C8802,C8778,C8754,C8730,C8706,C8682,C8658)/POBLA!$B$17*100000</f>
        <v>103.41218073332084</v>
      </c>
      <c r="H8970" s="254">
        <f t="shared" ref="H8970:H8993" si="770">SUM(C8970,C8946,C8922,C8898,C8874,C8850,C8826,C8802,C8778,C8754,C8730,C8706,C8682,C8658)/SUM(C8634,C8610,C8586,C8562,C8538,C8514,C8490,C8466,C8442,C8418,C8394,C8370,C8346,C8322)</f>
        <v>1.1598425196850393</v>
      </c>
    </row>
    <row r="8971" spans="1:8" x14ac:dyDescent="0.25">
      <c r="A8971" s="84" t="s">
        <v>35</v>
      </c>
      <c r="B8971" s="356">
        <v>44266</v>
      </c>
      <c r="C8971" s="1">
        <v>60</v>
      </c>
      <c r="D8971" s="47">
        <f t="shared" si="769"/>
        <v>15808</v>
      </c>
      <c r="F8971" s="47">
        <f t="shared" si="768"/>
        <v>216</v>
      </c>
      <c r="G8971" s="203">
        <f>SUM(C8971,C8947,C8923,C8899,C8875,C8851,C8827,C8803,C8779,C8755,C8731,C8707,C8683,C8659)/POBLA!$B$18*100000</f>
        <v>78.851330680207937</v>
      </c>
      <c r="H8971" s="254">
        <f t="shared" si="770"/>
        <v>0.94045801526717554</v>
      </c>
    </row>
    <row r="8972" spans="1:8" x14ac:dyDescent="0.25">
      <c r="A8972" s="84" t="s">
        <v>36</v>
      </c>
      <c r="B8972" s="356">
        <v>44266</v>
      </c>
      <c r="C8972" s="1">
        <v>563</v>
      </c>
      <c r="D8972" s="47">
        <f t="shared" si="769"/>
        <v>21376</v>
      </c>
      <c r="E8972" s="1">
        <v>2</v>
      </c>
      <c r="F8972" s="47">
        <f t="shared" si="768"/>
        <v>361</v>
      </c>
      <c r="G8972" s="203">
        <f>SUM(C8972,C8948,C8924,C8900,C8876,C8852,C8828,C8804,C8780,C8756,C8732,C8708,C8684,C8660)/POBLA!$B$19*100000</f>
        <v>122.55866291056168</v>
      </c>
      <c r="H8972" s="254">
        <f t="shared" si="770"/>
        <v>0.38743781094527363</v>
      </c>
    </row>
    <row r="8973" spans="1:8" x14ac:dyDescent="0.25">
      <c r="A8973" s="84" t="s">
        <v>37</v>
      </c>
      <c r="B8973" s="356">
        <v>44266</v>
      </c>
      <c r="C8973" s="1">
        <v>115</v>
      </c>
      <c r="D8973" s="47">
        <f t="shared" si="769"/>
        <v>37078</v>
      </c>
      <c r="E8973" s="1">
        <v>2</v>
      </c>
      <c r="F8973" s="47">
        <f t="shared" si="768"/>
        <v>606</v>
      </c>
      <c r="G8973" s="203">
        <f>SUM(C8973,C8949,C8925,C8901,C8877,C8853,C8829,C8805,C8781,C8757,C8733,C8709,C8685,C8661)/POBLA!$B$20*100000</f>
        <v>358.49252662032603</v>
      </c>
      <c r="H8973" s="254">
        <f t="shared" si="770"/>
        <v>0.88821138211382111</v>
      </c>
    </row>
    <row r="8974" spans="1:8" x14ac:dyDescent="0.25">
      <c r="A8974" s="84" t="s">
        <v>22</v>
      </c>
      <c r="B8974" s="356">
        <v>44266</v>
      </c>
      <c r="C8974" s="1">
        <v>614</v>
      </c>
      <c r="D8974" s="47">
        <f t="shared" si="769"/>
        <v>221189</v>
      </c>
      <c r="E8974" s="1">
        <v>8</v>
      </c>
      <c r="F8974" s="47">
        <f t="shared" si="768"/>
        <v>4098</v>
      </c>
      <c r="G8974" s="203">
        <f>SUM(C8974,C8950,C8926,C8902,C8878,C8854,C8830,C8806,C8782,C8758,C8734,C8710,C8686,C8662)/POBLA!$B$21*100000</f>
        <v>155.15699784358071</v>
      </c>
      <c r="H8974" s="254">
        <f t="shared" si="770"/>
        <v>1.1595519864750634</v>
      </c>
    </row>
    <row r="8975" spans="1:8" x14ac:dyDescent="0.25">
      <c r="A8975" s="84" t="s">
        <v>38</v>
      </c>
      <c r="B8975" s="356">
        <v>44266</v>
      </c>
      <c r="C8975" s="1">
        <v>67</v>
      </c>
      <c r="D8975" s="47">
        <f t="shared" si="769"/>
        <v>23243</v>
      </c>
      <c r="F8975" s="47">
        <f t="shared" si="768"/>
        <v>272</v>
      </c>
      <c r="G8975" s="203">
        <f>SUM(C8975,C8951,C8927,C8903,C8879,C8855,C8831,C8807,C8783,C8759,C8735,C8711,C8687,C8663)/POBLA!$B$22*100000</f>
        <v>84.328839543172791</v>
      </c>
      <c r="H8975" s="254">
        <f t="shared" si="770"/>
        <v>1.1853448275862069</v>
      </c>
    </row>
    <row r="8976" spans="1:8" x14ac:dyDescent="0.25">
      <c r="A8976" s="84" t="s">
        <v>39</v>
      </c>
      <c r="B8976" s="356">
        <v>44266</v>
      </c>
      <c r="C8976" s="1">
        <v>36</v>
      </c>
      <c r="D8976" s="47">
        <f t="shared" si="769"/>
        <v>23292</v>
      </c>
      <c r="F8976" s="47">
        <f t="shared" si="768"/>
        <v>358</v>
      </c>
      <c r="G8976" s="203">
        <f>SUM(C8976,C8952,C8928,C8904,C8880,C8856,C8832,C8808,C8784,C8760,C8736,C8712,C8688,C8664)/POBLA!$B$23*100000</f>
        <v>240.34383306000112</v>
      </c>
      <c r="H8976" s="254">
        <f t="shared" si="770"/>
        <v>0.84830339321357284</v>
      </c>
    </row>
    <row r="8977" spans="1:8" ht="15.75" thickBot="1" x14ac:dyDescent="0.3">
      <c r="A8977" s="85" t="s">
        <v>40</v>
      </c>
      <c r="B8977" s="356">
        <v>44266</v>
      </c>
      <c r="C8977" s="1">
        <v>270</v>
      </c>
      <c r="D8977" s="214">
        <f t="shared" si="769"/>
        <v>81622</v>
      </c>
      <c r="F8977" s="214">
        <f t="shared" si="768"/>
        <v>1488</v>
      </c>
      <c r="G8977" s="215">
        <f>SUM(C8977,C8953,C8929,C8905,C8881,C8857,C8833,C8809,C8785,C8761,C8737,C8713,C8689,C8665)/POBLA!$B$24*100000</f>
        <v>124.45003587748782</v>
      </c>
      <c r="H8977" s="255">
        <f t="shared" si="770"/>
        <v>1.1908526256352343</v>
      </c>
    </row>
    <row r="8978" spans="1:8" x14ac:dyDescent="0.25">
      <c r="A8978" s="36" t="s">
        <v>16</v>
      </c>
      <c r="B8978" s="356">
        <v>44267</v>
      </c>
      <c r="C8978" s="1">
        <v>3257</v>
      </c>
      <c r="D8978" s="211">
        <f t="shared" si="769"/>
        <v>913069</v>
      </c>
      <c r="E8978" s="1">
        <v>28</v>
      </c>
      <c r="F8978" s="211">
        <f t="shared" si="768"/>
        <v>27018</v>
      </c>
      <c r="G8978" s="212">
        <f>SUM(C8978,C8954,C8930,C8906,C8882,C8858,C8834,C8810,C8786,C8762,C8738,C8714,C8690,C8666)/POBLA!$B$1*100000</f>
        <v>210.66474524091674</v>
      </c>
      <c r="H8978" s="253">
        <f t="shared" si="770"/>
        <v>1.0693966140934741</v>
      </c>
    </row>
    <row r="8979" spans="1:8" x14ac:dyDescent="0.25">
      <c r="A8979" s="84" t="s">
        <v>43</v>
      </c>
      <c r="B8979" s="356">
        <v>44267</v>
      </c>
      <c r="C8979" s="1">
        <v>829</v>
      </c>
      <c r="D8979" s="47">
        <f t="shared" si="769"/>
        <v>240604</v>
      </c>
      <c r="E8979" s="1">
        <v>10</v>
      </c>
      <c r="F8979" s="47">
        <f t="shared" si="768"/>
        <v>6671</v>
      </c>
      <c r="G8979" s="203">
        <f>SUM(C8979,C8955,C8931,C8907,C8883,C8859,C8835,C8811,C8787,C8763,C8739,C8715,C8691,C8667)/POBLA!$B$2*100000</f>
        <v>316.42133067329598</v>
      </c>
      <c r="H8979" s="254">
        <f t="shared" si="770"/>
        <v>1.0109068245559365</v>
      </c>
    </row>
    <row r="8980" spans="1:8" x14ac:dyDescent="0.25">
      <c r="A8980" s="84" t="s">
        <v>28</v>
      </c>
      <c r="B8980" s="356">
        <v>44267</v>
      </c>
      <c r="C8980" s="1">
        <v>101</v>
      </c>
      <c r="D8980" s="47">
        <f t="shared" si="769"/>
        <v>8871</v>
      </c>
      <c r="E8980" s="1">
        <v>1</v>
      </c>
      <c r="F8980" s="47">
        <f t="shared" si="768"/>
        <v>18</v>
      </c>
      <c r="G8980" s="203">
        <f>SUM(C8980,C8956,C8932,C8908,C8884,C8860,C8836,C8812,C8788,C8764,C8740,C8716,C8692,C8668)/POBLA!$B$3*100000</f>
        <v>276.5755660291066</v>
      </c>
      <c r="H8980" s="254">
        <f t="shared" si="770"/>
        <v>1.1058710298363812</v>
      </c>
    </row>
    <row r="8981" spans="1:8" x14ac:dyDescent="0.25">
      <c r="A8981" s="84" t="s">
        <v>15</v>
      </c>
      <c r="B8981" s="356">
        <v>44267</v>
      </c>
      <c r="C8981" s="1">
        <v>156</v>
      </c>
      <c r="D8981" s="47">
        <f t="shared" si="769"/>
        <v>35715</v>
      </c>
      <c r="E8981" s="1">
        <v>4</v>
      </c>
      <c r="F8981" s="47">
        <f t="shared" si="768"/>
        <v>890</v>
      </c>
      <c r="G8981" s="203">
        <f>SUM(C8981,C8957,C8933,C8909,C8885,C8861,C8837,C8813,C8789,C8765,C8741,C8717,C8693,C8669)/POBLA!$B$4*100000</f>
        <v>146.19676706728953</v>
      </c>
      <c r="H8981" s="254">
        <f t="shared" si="770"/>
        <v>1.058929645219483</v>
      </c>
    </row>
    <row r="8982" spans="1:8" x14ac:dyDescent="0.25">
      <c r="A8982" s="84" t="s">
        <v>29</v>
      </c>
      <c r="B8982" s="356">
        <v>44267</v>
      </c>
      <c r="C8982" s="1">
        <v>108</v>
      </c>
      <c r="D8982" s="47">
        <f t="shared" si="769"/>
        <v>48020</v>
      </c>
      <c r="E8982" s="1">
        <v>1</v>
      </c>
      <c r="F8982" s="47">
        <f t="shared" si="768"/>
        <v>808</v>
      </c>
      <c r="G8982" s="203">
        <f>SUM(C8982,C8958,C8934,C8910,C8886,C8862,C8838,C8814,C8790,C8766,C8742,C8718,C8694,C8670)/POBLA!$B$5*100000</f>
        <v>196.28623217672543</v>
      </c>
      <c r="H8982" s="254">
        <f t="shared" si="770"/>
        <v>0.68721719457013575</v>
      </c>
    </row>
    <row r="8983" spans="1:8" x14ac:dyDescent="0.25">
      <c r="A8983" s="84" t="s">
        <v>30</v>
      </c>
      <c r="B8983" s="356">
        <v>44267</v>
      </c>
      <c r="C8983" s="1">
        <v>512</v>
      </c>
      <c r="D8983" s="47">
        <f t="shared" si="769"/>
        <v>24541</v>
      </c>
      <c r="F8983" s="47">
        <f t="shared" si="768"/>
        <v>306</v>
      </c>
      <c r="G8983" s="203">
        <f>SUM(C8983,C8959,C8935,C8911,C8887,C8863,C8839,C8815,C8791,C8767,C8743,C8719,C8695,C8671)/POBLA!$B$6*100000</f>
        <v>260.08185217536385</v>
      </c>
      <c r="H8983" s="254">
        <f t="shared" si="770"/>
        <v>1.2055417700578992</v>
      </c>
    </row>
    <row r="8984" spans="1:8" x14ac:dyDescent="0.25">
      <c r="A8984" s="84" t="s">
        <v>20</v>
      </c>
      <c r="B8984" s="356">
        <v>44267</v>
      </c>
      <c r="C8984" s="1">
        <v>627</v>
      </c>
      <c r="D8984" s="47">
        <f t="shared" si="769"/>
        <v>167005</v>
      </c>
      <c r="E8984" s="1">
        <v>4</v>
      </c>
      <c r="F8984" s="47">
        <f t="shared" si="768"/>
        <v>2911</v>
      </c>
      <c r="G8984" s="203">
        <f>SUM(C8984,C8960,C8936,C8912,C8888,C8864,C8840,C8816,C8792,C8768,C8744,C8720,C8696,C8672)/POBLA!$B$7*100000</f>
        <v>212.58094111077131</v>
      </c>
      <c r="H8984" s="254">
        <f t="shared" si="770"/>
        <v>1.0251346499102334</v>
      </c>
    </row>
    <row r="8985" spans="1:8" x14ac:dyDescent="0.25">
      <c r="A8985" s="84" t="s">
        <v>31</v>
      </c>
      <c r="B8985" s="356">
        <v>44267</v>
      </c>
      <c r="C8985" s="1">
        <v>151</v>
      </c>
      <c r="D8985" s="47">
        <f t="shared" si="769"/>
        <v>46702</v>
      </c>
      <c r="E8985" s="1">
        <v>4</v>
      </c>
      <c r="F8985" s="47">
        <f t="shared" ref="F8985:F9008" si="771">E8985+F8961</f>
        <v>898</v>
      </c>
      <c r="G8985" s="203">
        <f>SUM(C8985,C8961,C8937,C8913,C8889,C8865,C8841,C8817,C8793,C8769,C8745,C8721,C8697,C8673)/POBLA!$B$8*100000</f>
        <v>122.58642198445699</v>
      </c>
      <c r="H8985" s="254">
        <f t="shared" si="770"/>
        <v>1.0101070154577882</v>
      </c>
    </row>
    <row r="8986" spans="1:8" x14ac:dyDescent="0.25">
      <c r="A8986" s="84" t="s">
        <v>41</v>
      </c>
      <c r="B8986" s="356">
        <v>44267</v>
      </c>
      <c r="C8986" s="1">
        <v>26</v>
      </c>
      <c r="D8986" s="47">
        <f t="shared" si="769"/>
        <v>1503</v>
      </c>
      <c r="F8986" s="47">
        <f t="shared" si="771"/>
        <v>20</v>
      </c>
      <c r="G8986" s="203">
        <f>SUM(C8986,C8962,C8938,C8914,C8890,C8866,C8842,C8818,C8794,C8770,C8746,C8722,C8698,C8674)/POBLA!$B$9*100000</f>
        <v>48.74478059065455</v>
      </c>
      <c r="H8986" s="254">
        <f t="shared" si="770"/>
        <v>1.088560885608856</v>
      </c>
    </row>
    <row r="8987" spans="1:8" x14ac:dyDescent="0.25">
      <c r="A8987" s="84" t="s">
        <v>32</v>
      </c>
      <c r="B8987" s="356">
        <v>44267</v>
      </c>
      <c r="C8987" s="1">
        <v>73</v>
      </c>
      <c r="D8987" s="47">
        <f t="shared" si="769"/>
        <v>21585</v>
      </c>
      <c r="E8987" s="1">
        <v>2</v>
      </c>
      <c r="F8987" s="47">
        <f t="shared" si="771"/>
        <v>920</v>
      </c>
      <c r="G8987" s="203">
        <f>SUM(C8987,C8963,C8939,C8915,C8891,C8867,C8843,C8819,C8795,C8771,C8747,C8723,C8699,C8675)/POBLA!$B$10*100000</f>
        <v>131.14864680800278</v>
      </c>
      <c r="H8987" s="254">
        <f t="shared" si="770"/>
        <v>1.1501706484641638</v>
      </c>
    </row>
    <row r="8988" spans="1:8" x14ac:dyDescent="0.25">
      <c r="A8988" s="84" t="s">
        <v>33</v>
      </c>
      <c r="B8988" s="356">
        <v>44267</v>
      </c>
      <c r="C8988" s="1">
        <v>110</v>
      </c>
      <c r="D8988" s="47">
        <f t="shared" si="769"/>
        <v>19718</v>
      </c>
      <c r="F8988" s="47">
        <f t="shared" si="771"/>
        <v>299</v>
      </c>
      <c r="G8988" s="203">
        <f>SUM(C8988,C8964,C8940,C8916,C8892,C8868,C8844,C8820,C8796,C8772,C8748,C8724,C8700,C8676)/POBLA!$B$11*100000</f>
        <v>314.70755632930462</v>
      </c>
      <c r="H8988" s="254">
        <f t="shared" si="770"/>
        <v>1.0804597701149425</v>
      </c>
    </row>
    <row r="8989" spans="1:8" x14ac:dyDescent="0.25">
      <c r="A8989" s="84" t="s">
        <v>21</v>
      </c>
      <c r="B8989" s="356">
        <v>44267</v>
      </c>
      <c r="C8989" s="1">
        <v>34</v>
      </c>
      <c r="D8989" s="47">
        <f t="shared" si="769"/>
        <v>10486</v>
      </c>
      <c r="F8989" s="47">
        <f t="shared" si="771"/>
        <v>444</v>
      </c>
      <c r="G8989" s="203">
        <f>SUM(C8989,C8965,C8941,C8917,C8893,C8869,C8845,C8821,C8797,C8773,C8749,C8725,C8701,C8677)/POBLA!$B$12*100000</f>
        <v>80.552739174296306</v>
      </c>
      <c r="H8989" s="254">
        <f t="shared" si="770"/>
        <v>0.82337662337662343</v>
      </c>
    </row>
    <row r="8990" spans="1:8" x14ac:dyDescent="0.25">
      <c r="A8990" s="84" t="s">
        <v>17</v>
      </c>
      <c r="B8990" s="356">
        <v>44267</v>
      </c>
      <c r="C8990" s="1">
        <v>168</v>
      </c>
      <c r="D8990" s="47">
        <f t="shared" si="769"/>
        <v>69173</v>
      </c>
      <c r="E8990" s="1">
        <v>2</v>
      </c>
      <c r="F8990" s="47">
        <f t="shared" si="771"/>
        <v>1475</v>
      </c>
      <c r="G8990" s="203">
        <f>SUM(C8990,C8966,C8942,C8918,C8894,C8870,C8846,C8822,C8798,C8774,C8750,C8726,C8702,C8678)/POBLA!$B$13*100000</f>
        <v>105.96190194831229</v>
      </c>
      <c r="H8990" s="254">
        <f t="shared" si="770"/>
        <v>1.3650485436893205</v>
      </c>
    </row>
    <row r="8991" spans="1:8" x14ac:dyDescent="0.25">
      <c r="A8991" s="84" t="s">
        <v>23</v>
      </c>
      <c r="B8991" s="356">
        <v>44267</v>
      </c>
      <c r="C8991" s="1">
        <v>135</v>
      </c>
      <c r="D8991" s="47">
        <f t="shared" si="769"/>
        <v>9729</v>
      </c>
      <c r="E8991" s="1">
        <v>1</v>
      </c>
      <c r="F8991" s="47">
        <f t="shared" si="771"/>
        <v>165</v>
      </c>
      <c r="G8991" s="203">
        <f>SUM(C8991,C8967,C8943,C8919,C8895,C8871,C8847,C8823,C8799,C8775,C8751,C8727,C8703,C8679)/POBLA!$B$14*100000</f>
        <v>131.05588387798562</v>
      </c>
      <c r="H8991" s="254">
        <f t="shared" si="770"/>
        <v>1.0623393316195373</v>
      </c>
    </row>
    <row r="8992" spans="1:8" x14ac:dyDescent="0.25">
      <c r="A8992" s="84" t="s">
        <v>19</v>
      </c>
      <c r="B8992" s="356">
        <v>44267</v>
      </c>
      <c r="C8992" s="1">
        <v>155</v>
      </c>
      <c r="D8992" s="47">
        <f t="shared" si="769"/>
        <v>63057</v>
      </c>
      <c r="E8992" s="1">
        <v>2</v>
      </c>
      <c r="F8992" s="47">
        <f t="shared" si="771"/>
        <v>956</v>
      </c>
      <c r="G8992" s="203">
        <f>SUM(C8992,C8968,C8944,C8920,C8896,C8872,C8848,C8824,C8800,C8776,C8752,C8728,C8704,C8680)/POBLA!$B$15*100000</f>
        <v>307.65431280748493</v>
      </c>
      <c r="H8992" s="254">
        <f t="shared" si="770"/>
        <v>0.73861171366594358</v>
      </c>
    </row>
    <row r="8993" spans="1:8" x14ac:dyDescent="0.25">
      <c r="A8993" s="84" t="s">
        <v>18</v>
      </c>
      <c r="B8993" s="356">
        <v>44267</v>
      </c>
      <c r="C8993" s="1">
        <v>112</v>
      </c>
      <c r="D8993" s="47">
        <f t="shared" si="769"/>
        <v>53714</v>
      </c>
      <c r="E8993" s="1">
        <v>7</v>
      </c>
      <c r="F8993" s="47">
        <f t="shared" si="771"/>
        <v>1237</v>
      </c>
      <c r="G8993" s="203">
        <f>SUM(C8993,C8969,C8945,C8921,C8897,C8873,C8849,C8825,C8801,C8777,C8753,C8729,C8705,C8681)/POBLA!$B$16*100000</f>
        <v>204.51839863030187</v>
      </c>
      <c r="H8993" s="254">
        <f t="shared" si="770"/>
        <v>0.85418994413407823</v>
      </c>
    </row>
    <row r="8994" spans="1:8" x14ac:dyDescent="0.25">
      <c r="A8994" s="84" t="s">
        <v>34</v>
      </c>
      <c r="B8994" s="356">
        <v>44267</v>
      </c>
      <c r="C8994" s="1">
        <v>100</v>
      </c>
      <c r="D8994" s="47">
        <f t="shared" si="769"/>
        <v>27452</v>
      </c>
      <c r="E8994" s="1">
        <v>7</v>
      </c>
      <c r="F8994" s="47">
        <f t="shared" si="771"/>
        <v>1138</v>
      </c>
      <c r="G8994" s="203">
        <f>SUM(C8994,C8970,C8946,C8922,C8898,C8874,C8850,C8826,C8802,C8778,C8754,C8730,C8706,C8682)/POBLA!$B$17*100000</f>
        <v>105.65874541999176</v>
      </c>
      <c r="H8994" s="254">
        <f t="shared" ref="H8994:H9017" si="772">SUM(C8994,C8970,C8946,C8922,C8898,C8874,C8850,C8826,C8802,C8778,C8754,C8730,C8706,C8682)/SUM(C8658,C8634,C8610,C8586,C8562,C8538,C8514,C8490,C8466,C8442,C8418,C8394,C8370,C8346)</f>
        <v>1.2068965517241379</v>
      </c>
    </row>
    <row r="8995" spans="1:8" x14ac:dyDescent="0.25">
      <c r="A8995" s="84" t="s">
        <v>35</v>
      </c>
      <c r="B8995" s="356">
        <v>44267</v>
      </c>
      <c r="C8995" s="1">
        <v>51</v>
      </c>
      <c r="D8995" s="47">
        <f t="shared" si="769"/>
        <v>15859</v>
      </c>
      <c r="E8995" s="1">
        <v>1</v>
      </c>
      <c r="F8995" s="47">
        <f t="shared" si="771"/>
        <v>217</v>
      </c>
      <c r="G8995" s="203">
        <f>SUM(C8995,C8971,C8947,C8923,C8899,C8875,C8851,C8827,C8803,C8779,C8755,C8731,C8707,C8683)/POBLA!$B$18*100000</f>
        <v>80.89941719138217</v>
      </c>
      <c r="H8995" s="254">
        <f t="shared" si="772"/>
        <v>1.0047694753577106</v>
      </c>
    </row>
    <row r="8996" spans="1:8" x14ac:dyDescent="0.25">
      <c r="A8996" s="84" t="s">
        <v>36</v>
      </c>
      <c r="B8996" s="356">
        <v>44267</v>
      </c>
      <c r="C8996" s="1">
        <v>139</v>
      </c>
      <c r="D8996" s="47">
        <f t="shared" si="769"/>
        <v>21515</v>
      </c>
      <c r="F8996" s="47">
        <f t="shared" si="771"/>
        <v>361</v>
      </c>
      <c r="G8996" s="203">
        <f>SUM(C8996,C8972,C8948,C8924,C8900,C8876,C8852,C8828,C8804,C8780,C8756,C8732,C8708,C8684)/POBLA!$B$19*100000</f>
        <v>149.31304197289938</v>
      </c>
      <c r="H8996" s="254">
        <f t="shared" si="772"/>
        <v>0.47407870081199249</v>
      </c>
    </row>
    <row r="8997" spans="1:8" x14ac:dyDescent="0.25">
      <c r="A8997" s="84" t="s">
        <v>37</v>
      </c>
      <c r="B8997" s="356">
        <v>44267</v>
      </c>
      <c r="C8997" s="1">
        <v>147</v>
      </c>
      <c r="D8997" s="47">
        <f t="shared" si="769"/>
        <v>37225</v>
      </c>
      <c r="E8997" s="1">
        <v>1</v>
      </c>
      <c r="F8997" s="47">
        <f t="shared" si="771"/>
        <v>607</v>
      </c>
      <c r="G8997" s="203">
        <f>SUM(C8997,C8973,C8949,C8925,C8901,C8877,C8853,C8829,C8805,C8781,C8757,C8733,C8709,C8685)/POBLA!$B$20*100000</f>
        <v>382.2826485241921</v>
      </c>
      <c r="H8997" s="254">
        <f t="shared" si="772"/>
        <v>0.98798586572438163</v>
      </c>
    </row>
    <row r="8998" spans="1:8" x14ac:dyDescent="0.25">
      <c r="A8998" s="84" t="s">
        <v>22</v>
      </c>
      <c r="B8998" s="356">
        <v>44267</v>
      </c>
      <c r="C8998" s="1">
        <v>464</v>
      </c>
      <c r="D8998" s="47">
        <f t="shared" si="769"/>
        <v>221653</v>
      </c>
      <c r="E8998" s="1">
        <v>6</v>
      </c>
      <c r="F8998" s="47">
        <f t="shared" si="771"/>
        <v>4104</v>
      </c>
      <c r="G8998" s="203">
        <f>SUM(C8998,C8974,C8950,C8926,C8902,C8878,C8854,C8830,C8806,C8782,C8758,C8734,C8710,C8686)/POBLA!$B$21*100000</f>
        <v>160.8972694969882</v>
      </c>
      <c r="H8998" s="254">
        <f t="shared" si="772"/>
        <v>1.2202444778039889</v>
      </c>
    </row>
    <row r="8999" spans="1:8" x14ac:dyDescent="0.25">
      <c r="A8999" s="84" t="s">
        <v>38</v>
      </c>
      <c r="B8999" s="356">
        <v>44267</v>
      </c>
      <c r="C8999" s="1">
        <v>68</v>
      </c>
      <c r="D8999" s="47">
        <f t="shared" si="769"/>
        <v>23311</v>
      </c>
      <c r="E8999" s="1">
        <v>2</v>
      </c>
      <c r="F8999" s="47">
        <f t="shared" si="771"/>
        <v>274</v>
      </c>
      <c r="G8999" s="203">
        <f>SUM(C8999,C8975,C8951,C8927,C8903,C8879,C8855,C8831,C8807,C8783,C8759,C8735,C8711,C8687)/POBLA!$B$22*100000</f>
        <v>84.431056318376633</v>
      </c>
      <c r="H8999" s="254">
        <f t="shared" si="772"/>
        <v>1.1617440225035163</v>
      </c>
    </row>
    <row r="9000" spans="1:8" x14ac:dyDescent="0.25">
      <c r="A9000" s="84" t="s">
        <v>39</v>
      </c>
      <c r="B9000" s="356">
        <v>44267</v>
      </c>
      <c r="C9000" s="1">
        <v>25</v>
      </c>
      <c r="D9000" s="47">
        <f t="shared" si="769"/>
        <v>23317</v>
      </c>
      <c r="F9000" s="47">
        <f t="shared" si="771"/>
        <v>358</v>
      </c>
      <c r="G9000" s="203">
        <f>SUM(C9000,C8976,C8952,C8928,C8904,C8880,C8856,C8832,C8808,C8784,C8760,C8736,C8712,C8688)/POBLA!$B$23*100000</f>
        <v>239.21280325736586</v>
      </c>
      <c r="H9000" s="254">
        <f t="shared" si="772"/>
        <v>0.87941787941787941</v>
      </c>
    </row>
    <row r="9001" spans="1:8" ht="15.75" thickBot="1" x14ac:dyDescent="0.3">
      <c r="A9001" s="85" t="s">
        <v>40</v>
      </c>
      <c r="B9001" s="356">
        <v>44267</v>
      </c>
      <c r="C9001" s="1">
        <v>301</v>
      </c>
      <c r="D9001" s="214">
        <f t="shared" si="769"/>
        <v>81923</v>
      </c>
      <c r="E9001" s="1">
        <v>3</v>
      </c>
      <c r="F9001" s="214">
        <f t="shared" si="771"/>
        <v>1491</v>
      </c>
      <c r="G9001" s="215">
        <f>SUM(C9001,C8977,C8953,C8929,C8905,C8881,C8857,C8833,C8809,C8785,C8761,C8737,C8713,C8689)/POBLA!$B$24*100000</f>
        <v>134.71760640507571</v>
      </c>
      <c r="H9001" s="255">
        <f t="shared" si="772"/>
        <v>1.3437316068275456</v>
      </c>
    </row>
    <row r="9002" spans="1:8" x14ac:dyDescent="0.25">
      <c r="A9002" s="36" t="s">
        <v>16</v>
      </c>
      <c r="B9002" s="356">
        <v>44268</v>
      </c>
      <c r="C9002" s="17">
        <v>2692</v>
      </c>
      <c r="D9002" s="211">
        <f t="shared" si="769"/>
        <v>915761</v>
      </c>
      <c r="E9002" s="1">
        <v>21</v>
      </c>
      <c r="F9002" s="211">
        <f t="shared" si="771"/>
        <v>27039</v>
      </c>
      <c r="G9002" s="212">
        <f>SUM(C9002,C8978,C8954,C8930,C8906,C8882,C8858,C8834,C8810,C8786,C8762,C8738,C8714,C8690)/POBLA!$B$1*100000</f>
        <v>212.27809525047428</v>
      </c>
      <c r="H9002" s="253">
        <f t="shared" si="772"/>
        <v>1.0788040329122726</v>
      </c>
    </row>
    <row r="9003" spans="1:8" x14ac:dyDescent="0.25">
      <c r="A9003" s="84" t="s">
        <v>43</v>
      </c>
      <c r="B9003" s="356">
        <v>44268</v>
      </c>
      <c r="C9003" s="17">
        <v>796</v>
      </c>
      <c r="D9003" s="47">
        <f t="shared" si="769"/>
        <v>241400</v>
      </c>
      <c r="E9003" s="1">
        <v>19</v>
      </c>
      <c r="F9003" s="47">
        <f t="shared" si="771"/>
        <v>6690</v>
      </c>
      <c r="G9003" s="203">
        <f>SUM(C9003,C8979,C8955,C8931,C8907,C8883,C8859,C8835,C8811,C8787,C8763,C8739,C8715,C8691)/POBLA!$B$2*100000</f>
        <v>323.34670504993096</v>
      </c>
      <c r="H9003" s="254">
        <f t="shared" si="772"/>
        <v>1.0285448340055849</v>
      </c>
    </row>
    <row r="9004" spans="1:8" x14ac:dyDescent="0.25">
      <c r="A9004" s="84" t="s">
        <v>28</v>
      </c>
      <c r="B9004" s="356">
        <v>44268</v>
      </c>
      <c r="C9004" s="17">
        <v>104</v>
      </c>
      <c r="D9004" s="47">
        <f t="shared" si="769"/>
        <v>8975</v>
      </c>
      <c r="F9004" s="47">
        <f t="shared" si="771"/>
        <v>18</v>
      </c>
      <c r="G9004" s="203">
        <f>SUM(C9004,C8980,C8956,C8932,C8908,C8884,C8860,C8836,C8812,C8788,C8764,C8740,C8716,C8692)/POBLA!$B$3*100000</f>
        <v>273.20562875808184</v>
      </c>
      <c r="H9004" s="254">
        <f t="shared" si="772"/>
        <v>1.051899907321594</v>
      </c>
    </row>
    <row r="9005" spans="1:8" x14ac:dyDescent="0.25">
      <c r="A9005" s="84" t="s">
        <v>15</v>
      </c>
      <c r="B9005" s="356">
        <v>44268</v>
      </c>
      <c r="C9005" s="17">
        <v>140</v>
      </c>
      <c r="D9005" s="47">
        <f t="shared" si="769"/>
        <v>35855</v>
      </c>
      <c r="E9005" s="1">
        <v>4</v>
      </c>
      <c r="F9005" s="47">
        <f t="shared" si="771"/>
        <v>894</v>
      </c>
      <c r="G9005" s="203">
        <f>SUM(C9005,C8981,C8957,C8933,C8909,C8885,C8861,C8837,C8813,C8789,C8765,C8741,C8717,C8693)/POBLA!$B$4*100000</f>
        <v>149.10243819014877</v>
      </c>
      <c r="H9005" s="254">
        <f t="shared" si="772"/>
        <v>1.060838747784997</v>
      </c>
    </row>
    <row r="9006" spans="1:8" x14ac:dyDescent="0.25">
      <c r="A9006" s="84" t="s">
        <v>29</v>
      </c>
      <c r="B9006" s="356">
        <v>44268</v>
      </c>
      <c r="C9006" s="17">
        <v>85</v>
      </c>
      <c r="D9006" s="47">
        <f t="shared" si="769"/>
        <v>48105</v>
      </c>
      <c r="F9006" s="47">
        <f t="shared" si="771"/>
        <v>808</v>
      </c>
      <c r="G9006" s="203">
        <f>SUM(C9006,C8982,C8958,C8934,C8910,C8886,C8862,C8838,C8814,C8790,C8766,C8742,C8718,C8694)/POBLA!$B$5*100000</f>
        <v>197.578651812457</v>
      </c>
      <c r="H9006" s="254">
        <f t="shared" si="772"/>
        <v>0.70571263704558573</v>
      </c>
    </row>
    <row r="9007" spans="1:8" x14ac:dyDescent="0.25">
      <c r="A9007" s="84" t="s">
        <v>30</v>
      </c>
      <c r="B9007" s="356">
        <v>44268</v>
      </c>
      <c r="C9007" s="17">
        <v>298</v>
      </c>
      <c r="D9007" s="47">
        <f t="shared" si="769"/>
        <v>24839</v>
      </c>
      <c r="F9007" s="47">
        <f t="shared" si="771"/>
        <v>306</v>
      </c>
      <c r="G9007" s="203">
        <f>SUM(C9007,C8983,C8959,C8935,C8911,C8887,C8863,C8839,C8815,C8791,C8767,C8743,C8719,C8695)/POBLA!$B$6*100000</f>
        <v>271.32381216647735</v>
      </c>
      <c r="H9007" s="254">
        <f t="shared" si="772"/>
        <v>1.198659834450138</v>
      </c>
    </row>
    <row r="9008" spans="1:8" x14ac:dyDescent="0.25">
      <c r="A9008" s="84" t="s">
        <v>20</v>
      </c>
      <c r="B9008" s="356">
        <v>44268</v>
      </c>
      <c r="C9008" s="17">
        <v>593</v>
      </c>
      <c r="D9008" s="47">
        <f t="shared" si="769"/>
        <v>167598</v>
      </c>
      <c r="E9008" s="1">
        <v>5</v>
      </c>
      <c r="F9008" s="47">
        <f t="shared" si="771"/>
        <v>2916</v>
      </c>
      <c r="G9008" s="203">
        <f>SUM(C9008,C8984,C8960,C8936,C8912,C8888,C8864,C8840,C8816,C8792,C8768,C8744,C8720,C8696)/POBLA!$B$7*100000</f>
        <v>214.17649483439482</v>
      </c>
      <c r="H9008" s="254">
        <f t="shared" si="772"/>
        <v>1.0356178474990356</v>
      </c>
    </row>
    <row r="9009" spans="1:8" x14ac:dyDescent="0.25">
      <c r="A9009" s="84" t="s">
        <v>31</v>
      </c>
      <c r="B9009" s="356">
        <v>44268</v>
      </c>
      <c r="C9009" s="17">
        <v>108</v>
      </c>
      <c r="D9009" s="47">
        <f t="shared" si="769"/>
        <v>46810</v>
      </c>
      <c r="F9009" s="47">
        <f t="shared" ref="F9009:F9032" si="773">E9009+F8985</f>
        <v>898</v>
      </c>
      <c r="G9009" s="203">
        <f>SUM(C9009,C8985,C8961,C8937,C8913,C8889,C8865,C8841,C8817,C8793,C8769,C8745,C8721,C8697)/POBLA!$B$8*100000</f>
        <v>122.29781357484086</v>
      </c>
      <c r="H9009" s="254">
        <f t="shared" si="772"/>
        <v>1.0065320665083135</v>
      </c>
    </row>
    <row r="9010" spans="1:8" x14ac:dyDescent="0.25">
      <c r="A9010" s="84" t="s">
        <v>41</v>
      </c>
      <c r="B9010" s="356">
        <v>44268</v>
      </c>
      <c r="C9010" s="17">
        <v>19</v>
      </c>
      <c r="D9010" s="47">
        <f t="shared" si="769"/>
        <v>1522</v>
      </c>
      <c r="F9010" s="47">
        <f t="shared" si="773"/>
        <v>20</v>
      </c>
      <c r="G9010" s="203">
        <f>SUM(C9010,C8986,C8962,C8938,C8914,C8890,C8866,C8842,C8818,C8794,C8770,C8746,C8722,C8698)/POBLA!$B$9*100000</f>
        <v>49.90143640128025</v>
      </c>
      <c r="H9010" s="254">
        <f t="shared" si="772"/>
        <v>1.1526717557251909</v>
      </c>
    </row>
    <row r="9011" spans="1:8" x14ac:dyDescent="0.25">
      <c r="A9011" s="84" t="s">
        <v>32</v>
      </c>
      <c r="B9011" s="356">
        <v>44268</v>
      </c>
      <c r="C9011" s="17">
        <v>27</v>
      </c>
      <c r="D9011" s="47">
        <f t="shared" si="769"/>
        <v>21612</v>
      </c>
      <c r="E9011" s="1">
        <v>3</v>
      </c>
      <c r="F9011" s="47">
        <f t="shared" si="773"/>
        <v>923</v>
      </c>
      <c r="G9011" s="203">
        <f>SUM(C9011,C8987,C8963,C8939,C8915,C8891,C8867,C8843,C8819,C8795,C8771,C8747,C8723,C8699)/POBLA!$B$10*100000</f>
        <v>122.58701407869698</v>
      </c>
      <c r="H9011" s="254">
        <f t="shared" si="772"/>
        <v>0.99788806758183735</v>
      </c>
    </row>
    <row r="9012" spans="1:8" x14ac:dyDescent="0.25">
      <c r="A9012" s="84" t="s">
        <v>33</v>
      </c>
      <c r="B9012" s="356">
        <v>44268</v>
      </c>
      <c r="C9012" s="17">
        <v>95</v>
      </c>
      <c r="D9012" s="47">
        <f t="shared" si="769"/>
        <v>19813</v>
      </c>
      <c r="F9012" s="47">
        <f t="shared" si="773"/>
        <v>299</v>
      </c>
      <c r="G9012" s="203">
        <f>SUM(C9012,C8988,C8964,C8940,C8916,C8892,C8868,C8844,C8820,C8796,C8772,C8748,C8724,C8700)/POBLA!$B$11*100000</f>
        <v>326.42539087348086</v>
      </c>
      <c r="H9012" s="254">
        <f t="shared" si="772"/>
        <v>1.2</v>
      </c>
    </row>
    <row r="9013" spans="1:8" x14ac:dyDescent="0.25">
      <c r="A9013" s="84" t="s">
        <v>21</v>
      </c>
      <c r="B9013" s="356">
        <v>44268</v>
      </c>
      <c r="C9013" s="17">
        <v>19</v>
      </c>
      <c r="D9013" s="47">
        <f t="shared" si="769"/>
        <v>10505</v>
      </c>
      <c r="E9013" s="1">
        <v>1</v>
      </c>
      <c r="F9013" s="47">
        <f t="shared" si="773"/>
        <v>445</v>
      </c>
      <c r="G9013" s="203">
        <f>SUM(C9013,C8989,C8965,C8941,C8917,C8893,C8869,C8845,C8821,C8797,C8773,C8749,C8725,C8701)/POBLA!$B$12*100000</f>
        <v>84.110273396504979</v>
      </c>
      <c r="H9013" s="254">
        <f t="shared" si="772"/>
        <v>0.92458100558659218</v>
      </c>
    </row>
    <row r="9014" spans="1:8" x14ac:dyDescent="0.25">
      <c r="A9014" s="84" t="s">
        <v>17</v>
      </c>
      <c r="B9014" s="356">
        <v>44268</v>
      </c>
      <c r="C9014" s="17">
        <v>135</v>
      </c>
      <c r="D9014" s="47">
        <f t="shared" si="769"/>
        <v>69308</v>
      </c>
      <c r="E9014" s="1">
        <v>2</v>
      </c>
      <c r="F9014" s="47">
        <f t="shared" si="773"/>
        <v>1477</v>
      </c>
      <c r="G9014" s="203">
        <f>SUM(C9014,C8990,C8966,C8942,C8918,C8894,C8870,C8846,C8822,C8798,C8774,C8750,C8726,C8702)/POBLA!$B$13*100000</f>
        <v>106.66530006461215</v>
      </c>
      <c r="H9014" s="254">
        <f t="shared" si="772"/>
        <v>1.3565495207667733</v>
      </c>
    </row>
    <row r="9015" spans="1:8" x14ac:dyDescent="0.25">
      <c r="A9015" s="84" t="s">
        <v>23</v>
      </c>
      <c r="B9015" s="356">
        <v>44268</v>
      </c>
      <c r="C9015" s="17">
        <v>119</v>
      </c>
      <c r="D9015" s="47">
        <f t="shared" si="769"/>
        <v>9848</v>
      </c>
      <c r="E9015" s="1">
        <v>3</v>
      </c>
      <c r="F9015" s="47">
        <f t="shared" si="773"/>
        <v>168</v>
      </c>
      <c r="G9015" s="203">
        <f>SUM(C9015,C8991,C8967,C8943,C8919,C8895,C8871,C8847,C8823,C8799,C8775,C8751,C8727,C8703)/POBLA!$B$14*100000</f>
        <v>130.58018194013451</v>
      </c>
      <c r="H9015" s="254">
        <f t="shared" si="772"/>
        <v>1.041087231352718</v>
      </c>
    </row>
    <row r="9016" spans="1:8" x14ac:dyDescent="0.25">
      <c r="A9016" s="84" t="s">
        <v>19</v>
      </c>
      <c r="B9016" s="356">
        <v>44268</v>
      </c>
      <c r="C9016" s="17">
        <v>83</v>
      </c>
      <c r="D9016" s="47">
        <f t="shared" si="769"/>
        <v>63140</v>
      </c>
      <c r="F9016" s="47">
        <f t="shared" si="773"/>
        <v>956</v>
      </c>
      <c r="G9016" s="203">
        <f>SUM(C9016,C8992,C8968,C8944,C8920,C8896,C8872,C8848,C8824,C8800,C8776,C8752,C8728,C8704)/POBLA!$B$15*100000</f>
        <v>307.65431280748493</v>
      </c>
      <c r="H9016" s="254">
        <f t="shared" si="772"/>
        <v>0.76631657914478624</v>
      </c>
    </row>
    <row r="9017" spans="1:8" x14ac:dyDescent="0.25">
      <c r="A9017" s="84" t="s">
        <v>18</v>
      </c>
      <c r="B9017" s="356">
        <v>44268</v>
      </c>
      <c r="C9017" s="17">
        <v>36</v>
      </c>
      <c r="D9017" s="47">
        <f t="shared" si="769"/>
        <v>53750</v>
      </c>
      <c r="F9017" s="47">
        <f t="shared" si="773"/>
        <v>1237</v>
      </c>
      <c r="G9017" s="203">
        <f>SUM(C9017,C8993,C8969,C8945,C8921,C8897,C8873,C8849,C8825,C8801,C8777,C8753,C8729,C8705)/POBLA!$B$16*100000</f>
        <v>197.96417918433409</v>
      </c>
      <c r="H9017" s="254">
        <f t="shared" si="772"/>
        <v>0.84090909090909094</v>
      </c>
    </row>
    <row r="9018" spans="1:8" x14ac:dyDescent="0.25">
      <c r="A9018" s="84" t="s">
        <v>34</v>
      </c>
      <c r="B9018" s="356">
        <v>44268</v>
      </c>
      <c r="C9018" s="17">
        <v>140</v>
      </c>
      <c r="D9018" s="47">
        <f t="shared" si="769"/>
        <v>27592</v>
      </c>
      <c r="E9018" s="1">
        <v>2</v>
      </c>
      <c r="F9018" s="47">
        <f t="shared" si="773"/>
        <v>1140</v>
      </c>
      <c r="G9018" s="203">
        <f>SUM(C9018,C8994,C8970,C8946,C8922,C8898,C8874,C8850,C8826,C8802,C8778,C8754,C8730,C8706)/POBLA!$B$17*100000</f>
        <v>107.62448952082882</v>
      </c>
      <c r="H9018" s="254">
        <f t="shared" ref="H9018:H9041" si="774">SUM(C9018,C8994,C8970,C8946,C8922,C8898,C8874,C8850,C8826,C8802,C8778,C8754,C8730,C8706)/SUM(C8682,C8658,C8634,C8610,C8586,C8562,C8538,C8514,C8490,C8466,C8442,C8418,C8394,C8370)</f>
        <v>1.2205414012738853</v>
      </c>
    </row>
    <row r="9019" spans="1:8" x14ac:dyDescent="0.25">
      <c r="A9019" s="84" t="s">
        <v>35</v>
      </c>
      <c r="B9019" s="356">
        <v>44268</v>
      </c>
      <c r="C9019" s="17">
        <v>11</v>
      </c>
      <c r="D9019" s="47">
        <f t="shared" si="769"/>
        <v>15870</v>
      </c>
      <c r="F9019" s="47">
        <f t="shared" si="773"/>
        <v>217</v>
      </c>
      <c r="G9019" s="203">
        <f>SUM(C9019,C8995,C8971,C8947,C8923,C8899,C8875,C8851,C8827,C8803,C8779,C8755,C8731,C8707)/POBLA!$B$18*100000</f>
        <v>80.771411784433781</v>
      </c>
      <c r="H9019" s="254">
        <f t="shared" si="774"/>
        <v>0.99370078740157475</v>
      </c>
    </row>
    <row r="9020" spans="1:8" x14ac:dyDescent="0.25">
      <c r="A9020" s="84" t="s">
        <v>36</v>
      </c>
      <c r="B9020" s="356">
        <v>44268</v>
      </c>
      <c r="C9020" s="17">
        <v>1</v>
      </c>
      <c r="D9020" s="47">
        <f t="shared" si="769"/>
        <v>21516</v>
      </c>
      <c r="F9020" s="47">
        <f t="shared" si="773"/>
        <v>361</v>
      </c>
      <c r="G9020" s="203">
        <f>SUM(C9020,C8996,C8972,C8948,C8924,C8900,C8876,C8852,C8828,C8804,C8780,C8756,C8732,C8708)/POBLA!$B$19*100000</f>
        <v>146.3621913410239</v>
      </c>
      <c r="H9020" s="254">
        <f t="shared" si="774"/>
        <v>0.75151515151515147</v>
      </c>
    </row>
    <row r="9021" spans="1:8" x14ac:dyDescent="0.25">
      <c r="A9021" s="84" t="s">
        <v>37</v>
      </c>
      <c r="B9021" s="356">
        <v>44268</v>
      </c>
      <c r="C9021" s="17">
        <v>99</v>
      </c>
      <c r="D9021" s="47">
        <f t="shared" si="769"/>
        <v>37324</v>
      </c>
      <c r="E9021" s="1">
        <v>3</v>
      </c>
      <c r="F9021" s="47">
        <f t="shared" si="773"/>
        <v>610</v>
      </c>
      <c r="G9021" s="203">
        <f>SUM(C9021,C8997,C8973,C8949,C8925,C8901,C8877,C8853,C8829,C8805,C8781,C8757,C8733,C8709)/POBLA!$B$20*100000</f>
        <v>390.48613883587001</v>
      </c>
      <c r="H9021" s="254">
        <f t="shared" si="774"/>
        <v>1.0063424947145878</v>
      </c>
    </row>
    <row r="9022" spans="1:8" x14ac:dyDescent="0.25">
      <c r="A9022" s="84" t="s">
        <v>22</v>
      </c>
      <c r="B9022" s="356">
        <v>44268</v>
      </c>
      <c r="C9022" s="17">
        <v>471</v>
      </c>
      <c r="D9022" s="47">
        <f t="shared" si="769"/>
        <v>222124</v>
      </c>
      <c r="E9022" s="1">
        <v>1</v>
      </c>
      <c r="F9022" s="47">
        <f t="shared" si="773"/>
        <v>4105</v>
      </c>
      <c r="G9022" s="203">
        <f>SUM(C9022,C8998,C8974,C8950,C8926,C8902,C8878,C8854,C8830,C8806,C8782,C8758,C8734,C8710)/POBLA!$B$21*100000</f>
        <v>163.49877192119257</v>
      </c>
      <c r="H9022" s="254">
        <f t="shared" si="774"/>
        <v>1.2520571676050238</v>
      </c>
    </row>
    <row r="9023" spans="1:8" x14ac:dyDescent="0.25">
      <c r="A9023" s="84" t="s">
        <v>38</v>
      </c>
      <c r="B9023" s="356">
        <v>44268</v>
      </c>
      <c r="C9023" s="17">
        <v>71</v>
      </c>
      <c r="D9023" s="47">
        <f t="shared" si="769"/>
        <v>23382</v>
      </c>
      <c r="E9023" s="1">
        <v>2</v>
      </c>
      <c r="F9023" s="47">
        <f t="shared" si="773"/>
        <v>276</v>
      </c>
      <c r="G9023" s="203">
        <f>SUM(C9023,C8999,C8975,C8951,C8927,C8903,C8879,C8855,C8831,C8807,C8783,C8759,C8735,C8711)/POBLA!$B$22*100000</f>
        <v>83.204455015930478</v>
      </c>
      <c r="H9023" s="254">
        <f t="shared" si="774"/>
        <v>1.1074829931972789</v>
      </c>
    </row>
    <row r="9024" spans="1:8" x14ac:dyDescent="0.25">
      <c r="A9024" s="84" t="s">
        <v>39</v>
      </c>
      <c r="B9024" s="356">
        <v>44268</v>
      </c>
      <c r="C9024" s="17">
        <v>12</v>
      </c>
      <c r="D9024" s="47">
        <f t="shared" si="769"/>
        <v>23329</v>
      </c>
      <c r="F9024" s="47">
        <f t="shared" si="773"/>
        <v>358</v>
      </c>
      <c r="G9024" s="203">
        <f>SUM(C9024,C9000,C8976,C8952,C8928,C8904,C8880,C8856,C8832,C8808,C8784,C8760,C8736,C8712)/POBLA!$B$23*100000</f>
        <v>223.94390092178926</v>
      </c>
      <c r="H9024" s="254">
        <f t="shared" si="774"/>
        <v>0.78260869565217395</v>
      </c>
    </row>
    <row r="9025" spans="1:8" ht="15.75" thickBot="1" x14ac:dyDescent="0.3">
      <c r="A9025" s="85" t="s">
        <v>40</v>
      </c>
      <c r="B9025" s="356">
        <v>44268</v>
      </c>
      <c r="C9025" s="17">
        <v>124</v>
      </c>
      <c r="D9025" s="214">
        <f t="shared" si="769"/>
        <v>82047</v>
      </c>
      <c r="F9025" s="214">
        <f t="shared" si="773"/>
        <v>1491</v>
      </c>
      <c r="G9025" s="215">
        <f>SUM(C9025,C9001,C8977,C8953,C8929,C8905,C8881,C8857,C8833,C8809,C8785,C8761,C8737,C8713)/POBLA!$B$24*100000</f>
        <v>137.72706673212735</v>
      </c>
      <c r="H9025" s="255">
        <f t="shared" si="774"/>
        <v>1.3876337693222354</v>
      </c>
    </row>
    <row r="9026" spans="1:8" x14ac:dyDescent="0.25">
      <c r="A9026" s="36" t="s">
        <v>16</v>
      </c>
      <c r="B9026" s="356">
        <v>44269</v>
      </c>
      <c r="C9026" s="1">
        <v>1539</v>
      </c>
      <c r="D9026" s="211">
        <f t="shared" si="769"/>
        <v>917300</v>
      </c>
      <c r="E9026" s="1">
        <v>12</v>
      </c>
      <c r="F9026" s="211">
        <f t="shared" si="773"/>
        <v>27051</v>
      </c>
      <c r="G9026" s="212">
        <f>SUM(C9026,C9002,C8978,C8954,C8930,C8906,C8882,C8858,C8834,C8810,C8786,C8762,C8738,C8714)/POBLA!$B$1*100000</f>
        <v>213.74322229095588</v>
      </c>
      <c r="H9026" s="253">
        <f t="shared" si="774"/>
        <v>1.0960301683816651</v>
      </c>
    </row>
    <row r="9027" spans="1:8" x14ac:dyDescent="0.25">
      <c r="A9027" s="84" t="s">
        <v>43</v>
      </c>
      <c r="B9027" s="356">
        <v>44269</v>
      </c>
      <c r="C9027" s="1">
        <v>556</v>
      </c>
      <c r="D9027" s="47">
        <f t="shared" si="769"/>
        <v>241956</v>
      </c>
      <c r="E9027" s="1">
        <v>3</v>
      </c>
      <c r="F9027" s="47">
        <f t="shared" si="773"/>
        <v>6693</v>
      </c>
      <c r="G9027" s="203">
        <f>SUM(C9027,C9003,C8979,C8955,C8931,C8907,C8883,C8859,C8835,C8811,C8787,C8763,C8739,C8715)/POBLA!$B$2*100000</f>
        <v>327.21581092232333</v>
      </c>
      <c r="H9027" s="254">
        <f t="shared" si="774"/>
        <v>1.0650862525134934</v>
      </c>
    </row>
    <row r="9028" spans="1:8" x14ac:dyDescent="0.25">
      <c r="A9028" s="84" t="s">
        <v>28</v>
      </c>
      <c r="B9028" s="356">
        <v>44269</v>
      </c>
      <c r="C9028" s="1">
        <v>53</v>
      </c>
      <c r="D9028" s="47">
        <f t="shared" si="769"/>
        <v>9028</v>
      </c>
      <c r="F9028" s="47">
        <f t="shared" si="773"/>
        <v>18</v>
      </c>
      <c r="G9028" s="203">
        <f>SUM(C9028,C9004,C8980,C8956,C8932,C8908,C8884,C8860,C8836,C8812,C8788,C8764,C8740,C8716)/POBLA!$B$3*100000</f>
        <v>275.37201700374061</v>
      </c>
      <c r="H9028" s="254">
        <f t="shared" si="774"/>
        <v>1.0485792850595783</v>
      </c>
    </row>
    <row r="9029" spans="1:8" x14ac:dyDescent="0.25">
      <c r="A9029" s="84" t="s">
        <v>15</v>
      </c>
      <c r="B9029" s="356">
        <v>44269</v>
      </c>
      <c r="C9029" s="1">
        <v>87</v>
      </c>
      <c r="D9029" s="47">
        <f t="shared" si="769"/>
        <v>35942</v>
      </c>
      <c r="F9029" s="47">
        <f t="shared" si="773"/>
        <v>894</v>
      </c>
      <c r="G9029" s="203">
        <f>SUM(C9029,C9005,C8981,C8957,C8933,C8909,C8885,C8861,C8837,C8813,C8789,C8765,C8741,C8717)/POBLA!$B$4*100000</f>
        <v>149.35149571496527</v>
      </c>
      <c r="H9029" s="254">
        <f t="shared" si="774"/>
        <v>1.0601060695344726</v>
      </c>
    </row>
    <row r="9030" spans="1:8" x14ac:dyDescent="0.25">
      <c r="A9030" s="84" t="s">
        <v>29</v>
      </c>
      <c r="B9030" s="356">
        <v>44269</v>
      </c>
      <c r="C9030" s="1">
        <v>23</v>
      </c>
      <c r="D9030" s="47">
        <f t="shared" si="769"/>
        <v>48128</v>
      </c>
      <c r="F9030" s="47">
        <f t="shared" si="773"/>
        <v>808</v>
      </c>
      <c r="G9030" s="203">
        <f>SUM(C9030,C9006,C8982,C8958,C8934,C8910,C8886,C8862,C8838,C8814,C8790,C8766,C8742,C8718)/POBLA!$B$5*100000</f>
        <v>199.84038617498717</v>
      </c>
      <c r="H9030" s="254">
        <f t="shared" si="774"/>
        <v>0.74518072289156623</v>
      </c>
    </row>
    <row r="9031" spans="1:8" x14ac:dyDescent="0.25">
      <c r="A9031" s="84" t="s">
        <v>30</v>
      </c>
      <c r="B9031" s="356">
        <v>44269</v>
      </c>
      <c r="C9031" s="1">
        <v>121</v>
      </c>
      <c r="D9031" s="47">
        <f t="shared" si="769"/>
        <v>24960</v>
      </c>
      <c r="F9031" s="47">
        <f t="shared" si="773"/>
        <v>306</v>
      </c>
      <c r="G9031" s="203">
        <f>SUM(C9031,C9007,C8983,C8959,C8935,C8911,C8887,C8863,C8839,C8815,C8791,C8767,C8743,C8719)/POBLA!$B$6*100000</f>
        <v>276.9447921620341</v>
      </c>
      <c r="H9031" s="254">
        <f t="shared" si="774"/>
        <v>1.2381332269644993</v>
      </c>
    </row>
    <row r="9032" spans="1:8" x14ac:dyDescent="0.25">
      <c r="A9032" s="84" t="s">
        <v>20</v>
      </c>
      <c r="B9032" s="356">
        <v>44269</v>
      </c>
      <c r="C9032" s="1">
        <v>281</v>
      </c>
      <c r="D9032" s="47">
        <f t="shared" si="769"/>
        <v>167879</v>
      </c>
      <c r="E9032" s="1">
        <v>2</v>
      </c>
      <c r="F9032" s="47">
        <f t="shared" si="773"/>
        <v>2918</v>
      </c>
      <c r="G9032" s="203">
        <f>SUM(C9032,C9008,C8984,C8960,C8936,C8912,C8888,C8864,C8840,C8816,C8792,C8768,C8744,C8720)/POBLA!$B$7*100000</f>
        <v>212.76708904519404</v>
      </c>
      <c r="H9032" s="254">
        <f t="shared" si="774"/>
        <v>1.0214477211796247</v>
      </c>
    </row>
    <row r="9033" spans="1:8" x14ac:dyDescent="0.25">
      <c r="A9033" s="84" t="s">
        <v>31</v>
      </c>
      <c r="B9033" s="356">
        <v>44269</v>
      </c>
      <c r="C9033" s="1">
        <v>62</v>
      </c>
      <c r="D9033" s="47">
        <f t="shared" si="769"/>
        <v>46872</v>
      </c>
      <c r="F9033" s="47">
        <f t="shared" ref="F9033:F9056" si="775">E9033+F9009</f>
        <v>898</v>
      </c>
      <c r="G9033" s="203">
        <f>SUM(C9033,C9009,C8985,C8961,C8937,C8913,C8889,C8865,C8841,C8817,C8793,C8769,C8745,C8721)/POBLA!$B$8*100000</f>
        <v>123.01933459888122</v>
      </c>
      <c r="H9033" s="254">
        <f t="shared" si="774"/>
        <v>1.0518198642813079</v>
      </c>
    </row>
    <row r="9034" spans="1:8" x14ac:dyDescent="0.25">
      <c r="A9034" s="84" t="s">
        <v>41</v>
      </c>
      <c r="B9034" s="356">
        <v>44269</v>
      </c>
      <c r="C9034" s="1">
        <v>45</v>
      </c>
      <c r="D9034" s="47">
        <f t="shared" ref="D9034:D9098" si="776">C9034+D9010</f>
        <v>1567</v>
      </c>
      <c r="F9034" s="47">
        <f t="shared" si="775"/>
        <v>20</v>
      </c>
      <c r="G9034" s="203">
        <f>SUM(C9034,C9010,C8986,C8962,C8938,C8914,C8890,C8866,C8842,C8818,C8794,C8770,C8746,C8722)/POBLA!$B$9*100000</f>
        <v>57.171844353784657</v>
      </c>
      <c r="H9034" s="254">
        <f t="shared" si="774"/>
        <v>1.3675889328063242</v>
      </c>
    </row>
    <row r="9035" spans="1:8" x14ac:dyDescent="0.25">
      <c r="A9035" s="84" t="s">
        <v>32</v>
      </c>
      <c r="B9035" s="356">
        <v>44269</v>
      </c>
      <c r="C9035" s="1">
        <v>69</v>
      </c>
      <c r="D9035" s="47">
        <f t="shared" si="776"/>
        <v>21681</v>
      </c>
      <c r="E9035" s="1">
        <v>4</v>
      </c>
      <c r="F9035" s="47">
        <f t="shared" si="775"/>
        <v>927</v>
      </c>
      <c r="G9035" s="203">
        <f>SUM(C9035,C9011,C8987,C8963,C8939,C8915,C8891,C8867,C8843,C8819,C8795,C8771,C8747,C8723)/POBLA!$B$10*100000</f>
        <v>120.51146675038042</v>
      </c>
      <c r="H9035" s="254">
        <f t="shared" si="774"/>
        <v>0.94506612410986779</v>
      </c>
    </row>
    <row r="9036" spans="1:8" x14ac:dyDescent="0.25">
      <c r="A9036" s="84" t="s">
        <v>33</v>
      </c>
      <c r="B9036" s="356">
        <v>44269</v>
      </c>
      <c r="C9036" s="1">
        <v>27</v>
      </c>
      <c r="D9036" s="47">
        <f t="shared" si="776"/>
        <v>19840</v>
      </c>
      <c r="F9036" s="47">
        <f t="shared" si="775"/>
        <v>299</v>
      </c>
      <c r="G9036" s="203">
        <f>SUM(C9036,C9012,C8988,C8964,C8940,C8916,C8892,C8868,C8844,C8820,C8796,C8772,C8748,C8724)/POBLA!$B$11*100000</f>
        <v>320.84546966196837</v>
      </c>
      <c r="H9036" s="254">
        <f t="shared" si="774"/>
        <v>1.1782786885245902</v>
      </c>
    </row>
    <row r="9037" spans="1:8" x14ac:dyDescent="0.25">
      <c r="A9037" s="84" t="s">
        <v>21</v>
      </c>
      <c r="B9037" s="356">
        <v>44269</v>
      </c>
      <c r="C9037" s="1">
        <v>30</v>
      </c>
      <c r="D9037" s="47">
        <f t="shared" si="776"/>
        <v>10535</v>
      </c>
      <c r="F9037" s="47">
        <f t="shared" si="775"/>
        <v>445</v>
      </c>
      <c r="G9037" s="203">
        <f>SUM(C9037,C9013,C8989,C8965,C8941,C8917,C8893,C8869,C8845,C8821,C8797,C8773,C8749,C8725)/POBLA!$B$12*100000</f>
        <v>79.028081650492595</v>
      </c>
      <c r="H9037" s="254">
        <f t="shared" si="774"/>
        <v>0.82493368700265257</v>
      </c>
    </row>
    <row r="9038" spans="1:8" x14ac:dyDescent="0.25">
      <c r="A9038" s="84" t="s">
        <v>17</v>
      </c>
      <c r="B9038" s="356">
        <v>44269</v>
      </c>
      <c r="C9038" s="1">
        <v>60</v>
      </c>
      <c r="D9038" s="47">
        <f t="shared" si="776"/>
        <v>69368</v>
      </c>
      <c r="F9038" s="47">
        <f t="shared" si="775"/>
        <v>1477</v>
      </c>
      <c r="G9038" s="203">
        <f>SUM(C9038,C9014,C8990,C8966,C8942,C8918,C8894,C8870,C8846,C8822,C8798,C8774,C8750,C8726)/POBLA!$B$13*100000</f>
        <v>107.11748456794777</v>
      </c>
      <c r="H9038" s="254">
        <f t="shared" si="774"/>
        <v>1.3553719008264462</v>
      </c>
    </row>
    <row r="9039" spans="1:8" x14ac:dyDescent="0.25">
      <c r="A9039" s="84" t="s">
        <v>23</v>
      </c>
      <c r="B9039" s="356">
        <v>44269</v>
      </c>
      <c r="C9039" s="1">
        <v>122</v>
      </c>
      <c r="D9039" s="47">
        <f t="shared" si="776"/>
        <v>9970</v>
      </c>
      <c r="F9039" s="47">
        <f t="shared" si="775"/>
        <v>168</v>
      </c>
      <c r="G9039" s="203">
        <f>SUM(C9039,C9015,C8991,C8967,C8943,C8919,C8895,C8871,C8847,C8823,C8799,C8775,C8751,C8727)/POBLA!$B$14*100000</f>
        <v>134.46508109925202</v>
      </c>
      <c r="H9039" s="254">
        <f t="shared" si="774"/>
        <v>1.1027308192457737</v>
      </c>
    </row>
    <row r="9040" spans="1:8" x14ac:dyDescent="0.25">
      <c r="A9040" s="84" t="s">
        <v>19</v>
      </c>
      <c r="B9040" s="356">
        <v>44269</v>
      </c>
      <c r="C9040" s="1">
        <v>72</v>
      </c>
      <c r="D9040" s="47">
        <f t="shared" si="776"/>
        <v>63212</v>
      </c>
      <c r="F9040" s="47">
        <f t="shared" si="775"/>
        <v>956</v>
      </c>
      <c r="G9040" s="203">
        <f>SUM(C9040,C9016,C8992,C8968,C8944,C8920,C8896,C8872,C8848,C8824,C8800,C8776,C8752,C8728)/POBLA!$B$15*100000</f>
        <v>306.60018642977934</v>
      </c>
      <c r="H9040" s="254">
        <f t="shared" si="774"/>
        <v>0.81018702745722249</v>
      </c>
    </row>
    <row r="9041" spans="1:8" x14ac:dyDescent="0.25">
      <c r="A9041" s="84" t="s">
        <v>18</v>
      </c>
      <c r="B9041" s="356">
        <v>44269</v>
      </c>
      <c r="C9041" s="1">
        <v>37</v>
      </c>
      <c r="D9041" s="47">
        <f t="shared" si="776"/>
        <v>53787</v>
      </c>
      <c r="F9041" s="47">
        <f t="shared" si="775"/>
        <v>1237</v>
      </c>
      <c r="G9041" s="203">
        <f>SUM(C9041,C9017,C8993,C8969,C8945,C8921,C8897,C8873,C8849,C8825,C8801,C8777,C8753,C8729)/POBLA!$B$16*100000</f>
        <v>195.42274715426493</v>
      </c>
      <c r="H9041" s="254">
        <f t="shared" si="774"/>
        <v>0.84499710815500284</v>
      </c>
    </row>
    <row r="9042" spans="1:8" x14ac:dyDescent="0.25">
      <c r="A9042" s="84" t="s">
        <v>34</v>
      </c>
      <c r="B9042" s="356">
        <v>44269</v>
      </c>
      <c r="C9042" s="1">
        <v>35</v>
      </c>
      <c r="D9042" s="47">
        <f t="shared" si="776"/>
        <v>27627</v>
      </c>
      <c r="E9042" s="1">
        <v>2</v>
      </c>
      <c r="F9042" s="47">
        <f t="shared" si="775"/>
        <v>1142</v>
      </c>
      <c r="G9042" s="203">
        <f>SUM(C9042,C9018,C8994,C8970,C8946,C8922,C8898,C8874,C8850,C8826,C8802,C8778,C8754,C8730)/POBLA!$B$17*100000</f>
        <v>104.3248476372809</v>
      </c>
      <c r="H9042" s="254">
        <f t="shared" ref="H9042:H9065" si="777">SUM(C9042,C9018,C8994,C8970,C8946,C8922,C8898,C8874,C8850,C8826,C8802,C8778,C8754,C8730)/SUM(C8706,C8682,C8658,C8634,C8610,C8586,C8562,C8538,C8514,C8490,C8466,C8442,C8418,C8394)</f>
        <v>1.1395705521472392</v>
      </c>
    </row>
    <row r="9043" spans="1:8" x14ac:dyDescent="0.25">
      <c r="A9043" s="84" t="s">
        <v>35</v>
      </c>
      <c r="B9043" s="356">
        <v>44269</v>
      </c>
      <c r="C9043" s="1">
        <v>4</v>
      </c>
      <c r="D9043" s="47">
        <f t="shared" si="776"/>
        <v>15874</v>
      </c>
      <c r="F9043" s="47">
        <f t="shared" si="775"/>
        <v>217</v>
      </c>
      <c r="G9043" s="203">
        <f>SUM(C9043,C9019,C8995,C8971,C8947,C8923,C8899,C8875,C8851,C8827,C8803,C8779,C8755,C8731)/POBLA!$B$18*100000</f>
        <v>80.643406377485391</v>
      </c>
      <c r="H9043" s="254">
        <f t="shared" si="777"/>
        <v>0.99526066350710896</v>
      </c>
    </row>
    <row r="9044" spans="1:8" x14ac:dyDescent="0.25">
      <c r="A9044" s="84" t="s">
        <v>36</v>
      </c>
      <c r="B9044" s="356">
        <v>44269</v>
      </c>
      <c r="C9044" s="1">
        <v>2</v>
      </c>
      <c r="D9044" s="47">
        <f t="shared" si="776"/>
        <v>21518</v>
      </c>
      <c r="F9044" s="47">
        <f t="shared" si="775"/>
        <v>361</v>
      </c>
      <c r="G9044" s="203">
        <f>SUM(C9044,C9020,C8996,C8972,C8948,C8924,C8900,C8876,C8852,C8828,C8804,C8780,C8756,C8732)/POBLA!$B$19*100000</f>
        <v>146.55891471648226</v>
      </c>
      <c r="H9044" s="254">
        <f t="shared" si="777"/>
        <v>1.0673352435530086</v>
      </c>
    </row>
    <row r="9045" spans="1:8" x14ac:dyDescent="0.25">
      <c r="A9045" s="84" t="s">
        <v>37</v>
      </c>
      <c r="B9045" s="356">
        <v>44269</v>
      </c>
      <c r="C9045" s="1">
        <v>61</v>
      </c>
      <c r="D9045" s="47">
        <f t="shared" si="776"/>
        <v>37385</v>
      </c>
      <c r="E9045" s="1">
        <v>1</v>
      </c>
      <c r="F9045" s="47">
        <f t="shared" si="775"/>
        <v>611</v>
      </c>
      <c r="G9045" s="203">
        <f>SUM(C9045,C9021,C8997,C8973,C8949,C8925,C8901,C8877,C8853,C8829,C8805,C8781,C8757,C8733)/POBLA!$B$20*100000</f>
        <v>397.59583043932423</v>
      </c>
      <c r="H9045" s="254">
        <f t="shared" si="777"/>
        <v>1.043041606886657</v>
      </c>
    </row>
    <row r="9046" spans="1:8" x14ac:dyDescent="0.25">
      <c r="A9046" s="84" t="s">
        <v>22</v>
      </c>
      <c r="B9046" s="356">
        <v>44269</v>
      </c>
      <c r="C9046" s="1">
        <v>190</v>
      </c>
      <c r="D9046" s="47">
        <f t="shared" si="776"/>
        <v>222314</v>
      </c>
      <c r="F9046" s="47">
        <f t="shared" si="775"/>
        <v>4105</v>
      </c>
      <c r="G9046" s="203">
        <f>SUM(C9046,C9022,C8998,C8974,C8950,C8926,C8902,C8878,C8854,C8830,C8806,C8782,C8758,C8734)/POBLA!$B$21*100000</f>
        <v>165.39334433881967</v>
      </c>
      <c r="H9046" s="254">
        <f t="shared" si="777"/>
        <v>1.2860598065083553</v>
      </c>
    </row>
    <row r="9047" spans="1:8" x14ac:dyDescent="0.25">
      <c r="A9047" s="84" t="s">
        <v>38</v>
      </c>
      <c r="B9047" s="356">
        <v>44269</v>
      </c>
      <c r="C9047" s="1">
        <v>78</v>
      </c>
      <c r="D9047" s="47">
        <f t="shared" si="776"/>
        <v>23460</v>
      </c>
      <c r="F9047" s="47">
        <f t="shared" si="775"/>
        <v>276</v>
      </c>
      <c r="G9047" s="203">
        <f>SUM(C9047,C9023,C8999,C8975,C8951,C8927,C8903,C8879,C8855,C8831,C8807,C8783,C8759,C8735)/POBLA!$B$22*100000</f>
        <v>81.977853713484336</v>
      </c>
      <c r="H9047" s="254">
        <f t="shared" si="777"/>
        <v>1.0075376884422111</v>
      </c>
    </row>
    <row r="9048" spans="1:8" x14ac:dyDescent="0.25">
      <c r="A9048" s="84" t="s">
        <v>39</v>
      </c>
      <c r="B9048" s="356">
        <v>44269</v>
      </c>
      <c r="C9048" s="1">
        <v>34</v>
      </c>
      <c r="D9048" s="47">
        <f t="shared" si="776"/>
        <v>23363</v>
      </c>
      <c r="F9048" s="47">
        <f t="shared" si="775"/>
        <v>358</v>
      </c>
      <c r="G9048" s="203">
        <f>SUM(C9048,C9024,C9000,C8976,C8952,C8928,C8904,C8880,C8856,C8832,C8808,C8784,C8760,C8736)/POBLA!$B$23*100000</f>
        <v>239.77831815868348</v>
      </c>
      <c r="H9048" s="254">
        <f t="shared" si="777"/>
        <v>0.87422680412371134</v>
      </c>
    </row>
    <row r="9049" spans="1:8" ht="15.75" thickBot="1" x14ac:dyDescent="0.3">
      <c r="A9049" s="85" t="s">
        <v>40</v>
      </c>
      <c r="B9049" s="356">
        <v>44269</v>
      </c>
      <c r="C9049" s="1">
        <v>109</v>
      </c>
      <c r="D9049" s="214">
        <f t="shared" si="776"/>
        <v>82156</v>
      </c>
      <c r="F9049" s="214">
        <f t="shared" si="775"/>
        <v>1491</v>
      </c>
      <c r="G9049" s="215">
        <f>SUM(C9049,C9025,C9001,C8977,C8953,C8929,C8905,C8881,C8857,C8833,C8809,C8785,C8761,C8737)/POBLA!$B$24*100000</f>
        <v>139.20229238264284</v>
      </c>
      <c r="H9049" s="255">
        <f t="shared" si="777"/>
        <v>1.3868312757201646</v>
      </c>
    </row>
    <row r="9050" spans="1:8" x14ac:dyDescent="0.25">
      <c r="A9050" s="36" t="s">
        <v>16</v>
      </c>
      <c r="B9050" s="356">
        <v>44270</v>
      </c>
      <c r="C9050" s="1">
        <v>2610</v>
      </c>
      <c r="D9050" s="211">
        <f t="shared" si="776"/>
        <v>919910</v>
      </c>
      <c r="E9050" s="1">
        <v>105</v>
      </c>
      <c r="F9050" s="211">
        <f t="shared" si="775"/>
        <v>27156</v>
      </c>
      <c r="G9050" s="212">
        <f>SUM(C9050,C9026,C9002,C8978,C8954,C8930,C8906,C8882,C8858,C8834,C8810,C8786,C8762,C8738)/POBLA!$B$1*100000</f>
        <v>217.19795764711088</v>
      </c>
      <c r="H9050" s="253">
        <f t="shared" si="777"/>
        <v>1.0934477513417329</v>
      </c>
    </row>
    <row r="9051" spans="1:8" x14ac:dyDescent="0.25">
      <c r="A9051" s="84" t="s">
        <v>43</v>
      </c>
      <c r="B9051" s="356">
        <v>44270</v>
      </c>
      <c r="C9051" s="1">
        <v>1086</v>
      </c>
      <c r="D9051" s="47">
        <f t="shared" si="776"/>
        <v>243042</v>
      </c>
      <c r="E9051" s="1">
        <v>9</v>
      </c>
      <c r="F9051" s="47">
        <f t="shared" si="775"/>
        <v>6702</v>
      </c>
      <c r="G9051" s="203">
        <f>SUM(C9051,C9027,C9003,C8979,C8955,C8931,C8907,C8883,C8859,C8835,C8811,C8787,C8763,C8739)/POBLA!$B$2*100000</f>
        <v>348.47963647311815</v>
      </c>
      <c r="H9051" s="254">
        <f t="shared" si="777"/>
        <v>1.1414270500532482</v>
      </c>
    </row>
    <row r="9052" spans="1:8" x14ac:dyDescent="0.25">
      <c r="A9052" s="84" t="s">
        <v>28</v>
      </c>
      <c r="B9052" s="356">
        <v>44270</v>
      </c>
      <c r="C9052" s="1">
        <v>91</v>
      </c>
      <c r="D9052" s="47">
        <f t="shared" si="776"/>
        <v>9119</v>
      </c>
      <c r="F9052" s="47">
        <f t="shared" si="775"/>
        <v>18</v>
      </c>
      <c r="G9052" s="203">
        <f>SUM(C9052,C9028,C9004,C8980,C8956,C8932,C8908,C8884,C8860,C8836,C8812,C8788,C8764,C8740)/POBLA!$B$3*100000</f>
        <v>260.20729928412902</v>
      </c>
      <c r="H9052" s="254">
        <f t="shared" si="777"/>
        <v>0.93189655172413788</v>
      </c>
    </row>
    <row r="9053" spans="1:8" x14ac:dyDescent="0.25">
      <c r="A9053" s="84" t="s">
        <v>15</v>
      </c>
      <c r="B9053" s="356">
        <v>44270</v>
      </c>
      <c r="C9053" s="1">
        <v>120</v>
      </c>
      <c r="D9053" s="47">
        <f t="shared" si="776"/>
        <v>36062</v>
      </c>
      <c r="E9053" s="1">
        <v>1</v>
      </c>
      <c r="F9053" s="47">
        <f t="shared" si="775"/>
        <v>895</v>
      </c>
      <c r="G9053" s="203">
        <f>SUM(C9053,C9029,C9005,C8981,C8957,C8933,C8909,C8885,C8861,C8837,C8813,C8789,C8765,C8741)/POBLA!$B$4*100000</f>
        <v>153.17037776215173</v>
      </c>
      <c r="H9053" s="254">
        <f t="shared" si="777"/>
        <v>1.0802107728337236</v>
      </c>
    </row>
    <row r="9054" spans="1:8" x14ac:dyDescent="0.25">
      <c r="A9054" s="84" t="s">
        <v>29</v>
      </c>
      <c r="B9054" s="356">
        <v>44270</v>
      </c>
      <c r="C9054" s="1">
        <v>123</v>
      </c>
      <c r="D9054" s="47">
        <f t="shared" si="776"/>
        <v>48251</v>
      </c>
      <c r="E9054" s="1">
        <v>3</v>
      </c>
      <c r="F9054" s="47">
        <f t="shared" si="775"/>
        <v>811</v>
      </c>
      <c r="G9054" s="203">
        <f>SUM(C9054,C9030,C9006,C8982,C8958,C8934,C8910,C8886,C8862,C8838,C8814,C8790,C8766,C8742)/POBLA!$B$5*100000</f>
        <v>200.80970090178579</v>
      </c>
      <c r="H9054" s="254">
        <f t="shared" si="777"/>
        <v>0.72435897435897434</v>
      </c>
    </row>
    <row r="9055" spans="1:8" x14ac:dyDescent="0.25">
      <c r="A9055" s="84" t="s">
        <v>30</v>
      </c>
      <c r="B9055" s="356">
        <v>44270</v>
      </c>
      <c r="C9055" s="1">
        <v>69</v>
      </c>
      <c r="D9055" s="47">
        <f t="shared" si="776"/>
        <v>25029</v>
      </c>
      <c r="F9055" s="47">
        <f t="shared" si="775"/>
        <v>306</v>
      </c>
      <c r="G9055" s="203">
        <f>SUM(C9055,C9031,C9007,C8983,C8959,C8935,C8911,C8887,C8863,C8839,C8815,C8791,C8767,C8743)/POBLA!$B$6*100000</f>
        <v>274.80346644944109</v>
      </c>
      <c r="H9055" s="254">
        <f t="shared" si="777"/>
        <v>1.337386018237082</v>
      </c>
    </row>
    <row r="9056" spans="1:8" x14ac:dyDescent="0.25">
      <c r="A9056" s="84" t="s">
        <v>20</v>
      </c>
      <c r="B9056" s="356">
        <v>44270</v>
      </c>
      <c r="C9056" s="1">
        <v>383</v>
      </c>
      <c r="D9056" s="47">
        <f t="shared" si="776"/>
        <v>168262</v>
      </c>
      <c r="E9056" s="1">
        <v>6</v>
      </c>
      <c r="F9056" s="47">
        <f t="shared" si="775"/>
        <v>2924</v>
      </c>
      <c r="G9056" s="203">
        <f>SUM(C9056,C9032,C9008,C8984,C8960,C8936,C8912,C8888,C8864,C8840,C8816,C8792,C8768,C8744)/POBLA!$B$7*100000</f>
        <v>212.50116342459015</v>
      </c>
      <c r="H9056" s="254">
        <f t="shared" si="777"/>
        <v>0.98642142945315392</v>
      </c>
    </row>
    <row r="9057" spans="1:8" x14ac:dyDescent="0.25">
      <c r="A9057" s="84" t="s">
        <v>31</v>
      </c>
      <c r="B9057" s="356">
        <v>44270</v>
      </c>
      <c r="C9057" s="1">
        <v>121</v>
      </c>
      <c r="D9057" s="47">
        <f t="shared" si="776"/>
        <v>46993</v>
      </c>
      <c r="E9057" s="1">
        <v>7</v>
      </c>
      <c r="F9057" s="47">
        <f t="shared" ref="F9057:F9080" si="778">E9057+F9033</f>
        <v>905</v>
      </c>
      <c r="G9057" s="203">
        <f>SUM(C9057,C9033,C9009,C8985,C8961,C8937,C8913,C8889,C8865,C8841,C8817,C8793,C8769,C8745)/POBLA!$B$8*100000</f>
        <v>125.11174556859827</v>
      </c>
      <c r="H9057" s="254">
        <f t="shared" si="777"/>
        <v>1.0321428571428573</v>
      </c>
    </row>
    <row r="9058" spans="1:8" x14ac:dyDescent="0.25">
      <c r="A9058" s="84" t="s">
        <v>41</v>
      </c>
      <c r="B9058" s="356">
        <v>44270</v>
      </c>
      <c r="C9058" s="1">
        <v>32</v>
      </c>
      <c r="D9058" s="47">
        <f t="shared" si="776"/>
        <v>1599</v>
      </c>
      <c r="F9058" s="47">
        <f t="shared" si="778"/>
        <v>20</v>
      </c>
      <c r="G9058" s="203">
        <f>SUM(C9058,C9034,C9010,C8986,C8962,C8938,C8914,C8890,C8866,C8842,C8818,C8794,C8770,C8746)/POBLA!$B$9*100000</f>
        <v>58.824209797535666</v>
      </c>
      <c r="H9058" s="254">
        <f t="shared" si="777"/>
        <v>1.3234200743494424</v>
      </c>
    </row>
    <row r="9059" spans="1:8" x14ac:dyDescent="0.25">
      <c r="A9059" s="84" t="s">
        <v>32</v>
      </c>
      <c r="B9059" s="356">
        <v>44270</v>
      </c>
      <c r="C9059" s="1">
        <v>28</v>
      </c>
      <c r="D9059" s="47">
        <f t="shared" si="776"/>
        <v>21709</v>
      </c>
      <c r="E9059" s="1">
        <v>4</v>
      </c>
      <c r="F9059" s="47">
        <f t="shared" si="778"/>
        <v>931</v>
      </c>
      <c r="G9059" s="203">
        <f>SUM(C9059,C9035,C9011,C8987,C8963,C8939,C8915,C8891,C8867,C8843,C8819,C8795,C8771,C8747)/POBLA!$B$10*100000</f>
        <v>118.43591942206386</v>
      </c>
      <c r="H9059" s="254">
        <f t="shared" si="777"/>
        <v>0.91482965931863724</v>
      </c>
    </row>
    <row r="9060" spans="1:8" x14ac:dyDescent="0.25">
      <c r="A9060" s="84" t="s">
        <v>33</v>
      </c>
      <c r="B9060" s="356">
        <v>44270</v>
      </c>
      <c r="C9060" s="1">
        <v>114</v>
      </c>
      <c r="D9060" s="47">
        <f t="shared" si="776"/>
        <v>19954</v>
      </c>
      <c r="E9060" s="1">
        <v>6</v>
      </c>
      <c r="F9060" s="47">
        <f t="shared" si="778"/>
        <v>305</v>
      </c>
      <c r="G9060" s="203">
        <f>SUM(C9060,C9036,C9012,C8988,C8964,C8940,C8916,C8892,C8868,C8844,C8820,C8796,C8772,C8748)/POBLA!$B$11*100000</f>
        <v>331.72631602441771</v>
      </c>
      <c r="H9060" s="254">
        <f t="shared" si="777"/>
        <v>1.165686274509804</v>
      </c>
    </row>
    <row r="9061" spans="1:8" x14ac:dyDescent="0.25">
      <c r="A9061" s="84" t="s">
        <v>21</v>
      </c>
      <c r="B9061" s="356">
        <v>44270</v>
      </c>
      <c r="C9061" s="1">
        <v>14</v>
      </c>
      <c r="D9061" s="47">
        <f t="shared" si="776"/>
        <v>10549</v>
      </c>
      <c r="F9061" s="47">
        <f t="shared" si="778"/>
        <v>445</v>
      </c>
      <c r="G9061" s="203">
        <f>SUM(C9061,C9037,C9013,C8989,C8965,C8941,C8917,C8893,C8869,C8845,C8821,C8797,C8773,C8749)/POBLA!$B$12*100000</f>
        <v>78.26575288859074</v>
      </c>
      <c r="H9061" s="254">
        <f t="shared" si="777"/>
        <v>0.81052631578947365</v>
      </c>
    </row>
    <row r="9062" spans="1:8" x14ac:dyDescent="0.25">
      <c r="A9062" s="84" t="s">
        <v>17</v>
      </c>
      <c r="B9062" s="356">
        <v>44270</v>
      </c>
      <c r="C9062" s="1">
        <v>125</v>
      </c>
      <c r="D9062" s="47">
        <f t="shared" si="776"/>
        <v>69493</v>
      </c>
      <c r="E9062" s="1">
        <v>3</v>
      </c>
      <c r="F9062" s="47">
        <f t="shared" si="778"/>
        <v>1480</v>
      </c>
      <c r="G9062" s="203">
        <f>SUM(C9062,C9038,C9014,C8990,C8966,C8942,C8918,C8894,C8870,C8846,C8822,C8798,C8774,C8750)/POBLA!$B$13*100000</f>
        <v>108.4740380779546</v>
      </c>
      <c r="H9062" s="254">
        <f t="shared" si="777"/>
        <v>1.3084848484848486</v>
      </c>
    </row>
    <row r="9063" spans="1:8" x14ac:dyDescent="0.25">
      <c r="A9063" s="84" t="s">
        <v>23</v>
      </c>
      <c r="B9063" s="356">
        <v>44270</v>
      </c>
      <c r="C9063" s="1">
        <v>118</v>
      </c>
      <c r="D9063" s="47">
        <f t="shared" si="776"/>
        <v>10088</v>
      </c>
      <c r="E9063" s="1">
        <v>1</v>
      </c>
      <c r="F9063" s="47">
        <f t="shared" si="778"/>
        <v>169</v>
      </c>
      <c r="G9063" s="203">
        <f>SUM(C9063,C9039,C9015,C8991,C8967,C8943,C8919,C8895,C8871,C8847,C8823,C8799,C8775,C8751)/POBLA!$B$14*100000</f>
        <v>135.4164849749543</v>
      </c>
      <c r="H9063" s="254">
        <f t="shared" si="777"/>
        <v>1.1156107119529719</v>
      </c>
    </row>
    <row r="9064" spans="1:8" x14ac:dyDescent="0.25">
      <c r="A9064" s="84" t="s">
        <v>19</v>
      </c>
      <c r="B9064" s="356">
        <v>44270</v>
      </c>
      <c r="C9064" s="1">
        <v>123</v>
      </c>
      <c r="D9064" s="47">
        <f t="shared" si="776"/>
        <v>63335</v>
      </c>
      <c r="F9064" s="47">
        <f t="shared" si="778"/>
        <v>956</v>
      </c>
      <c r="G9064" s="203">
        <f>SUM(C9064,C9040,C9016,C8992,C8968,C8944,C8920,C8896,C8872,C8848,C8824,C8800,C8776,C8752)/POBLA!$B$15*100000</f>
        <v>302.9860388490747</v>
      </c>
      <c r="H9064" s="254">
        <f t="shared" si="777"/>
        <v>0.80095541401273884</v>
      </c>
    </row>
    <row r="9065" spans="1:8" x14ac:dyDescent="0.25">
      <c r="A9065" s="84" t="s">
        <v>18</v>
      </c>
      <c r="B9065" s="356">
        <v>44270</v>
      </c>
      <c r="C9065" s="1">
        <v>94</v>
      </c>
      <c r="D9065" s="47">
        <f t="shared" si="776"/>
        <v>53881</v>
      </c>
      <c r="E9065" s="1">
        <v>3</v>
      </c>
      <c r="F9065" s="47">
        <f t="shared" si="778"/>
        <v>1240</v>
      </c>
      <c r="G9065" s="203">
        <f>SUM(C9065,C9041,C9017,C8993,C8969,C8945,C8921,C8897,C8873,C8849,C8825,C8801,C8777,C8753)/POBLA!$B$16*100000</f>
        <v>193.14883428525567</v>
      </c>
      <c r="H9065" s="254">
        <f t="shared" si="777"/>
        <v>0.82373074729035933</v>
      </c>
    </row>
    <row r="9066" spans="1:8" x14ac:dyDescent="0.25">
      <c r="A9066" s="84" t="s">
        <v>34</v>
      </c>
      <c r="B9066" s="356">
        <v>44270</v>
      </c>
      <c r="C9066" s="1">
        <v>63</v>
      </c>
      <c r="D9066" s="47">
        <f t="shared" si="776"/>
        <v>27690</v>
      </c>
      <c r="E9066" s="1">
        <v>3</v>
      </c>
      <c r="F9066" s="47">
        <f t="shared" si="778"/>
        <v>1145</v>
      </c>
      <c r="G9066" s="203">
        <f>SUM(C9066,C9042,C9018,C8994,C8970,C8946,C8922,C8898,C8874,C8850,C8826,C8802,C8778,C8754)/POBLA!$B$17*100000</f>
        <v>104.81628366249015</v>
      </c>
      <c r="H9066" s="254">
        <f t="shared" ref="H9066:H9089" si="779">SUM(C9066,C9042,C9018,C8994,C8970,C8946,C8922,C8898,C8874,C8850,C8826,C8802,C8778,C8754)/SUM(C8730,C8706,C8682,C8658,C8634,C8610,C8586,C8562,C8538,C8514,C8490,C8466,C8442,C8418)</f>
        <v>1.1125186289120714</v>
      </c>
    </row>
    <row r="9067" spans="1:8" x14ac:dyDescent="0.25">
      <c r="A9067" s="84" t="s">
        <v>35</v>
      </c>
      <c r="B9067" s="356">
        <v>44270</v>
      </c>
      <c r="C9067" s="1">
        <v>69</v>
      </c>
      <c r="D9067" s="47">
        <f t="shared" si="776"/>
        <v>15943</v>
      </c>
      <c r="F9067" s="47">
        <f t="shared" si="778"/>
        <v>217</v>
      </c>
      <c r="G9067" s="203">
        <f>SUM(C9067,C9043,C9019,C8995,C8971,C8947,C8923,C8899,C8875,C8851,C8827,C8803,C8779,C8755)/POBLA!$B$18*100000</f>
        <v>83.331519923401558</v>
      </c>
      <c r="H9067" s="254">
        <f t="shared" si="779"/>
        <v>0.96301775147928992</v>
      </c>
    </row>
    <row r="9068" spans="1:8" x14ac:dyDescent="0.25">
      <c r="A9068" s="84" t="s">
        <v>36</v>
      </c>
      <c r="B9068" s="356">
        <v>44270</v>
      </c>
      <c r="C9068" s="1">
        <v>1</v>
      </c>
      <c r="D9068" s="47">
        <f t="shared" si="776"/>
        <v>21519</v>
      </c>
      <c r="F9068" s="47">
        <f t="shared" si="778"/>
        <v>361</v>
      </c>
      <c r="G9068" s="203">
        <f>SUM(C9068,C9044,C9020,C8996,C8972,C8948,C8924,C8900,C8876,C8852,C8828,C8804,C8780,C8756)/POBLA!$B$19*100000</f>
        <v>146.16546796556554</v>
      </c>
      <c r="H9068" s="254">
        <f t="shared" si="779"/>
        <v>1.0721500721500721</v>
      </c>
    </row>
    <row r="9069" spans="1:8" x14ac:dyDescent="0.25">
      <c r="A9069" s="84" t="s">
        <v>37</v>
      </c>
      <c r="B9069" s="356">
        <v>44270</v>
      </c>
      <c r="C9069" s="1">
        <v>84</v>
      </c>
      <c r="D9069" s="47">
        <f t="shared" si="776"/>
        <v>37469</v>
      </c>
      <c r="E9069" s="1">
        <v>1</v>
      </c>
      <c r="F9069" s="47">
        <f t="shared" si="778"/>
        <v>612</v>
      </c>
      <c r="G9069" s="203">
        <f>SUM(C9069,C9045,C9021,C8997,C8973,C8949,C8925,C8901,C8877,C8853,C8829,C8805,C8781,C8757)/POBLA!$B$20*100000</f>
        <v>403.3382736574988</v>
      </c>
      <c r="H9069" s="254">
        <f t="shared" si="779"/>
        <v>1.0438782731776362</v>
      </c>
    </row>
    <row r="9070" spans="1:8" x14ac:dyDescent="0.25">
      <c r="A9070" s="84" t="s">
        <v>22</v>
      </c>
      <c r="B9070" s="356">
        <v>44270</v>
      </c>
      <c r="C9070" s="1">
        <v>333</v>
      </c>
      <c r="D9070" s="47">
        <f t="shared" si="776"/>
        <v>222647</v>
      </c>
      <c r="E9070" s="1">
        <v>14</v>
      </c>
      <c r="F9070" s="47">
        <f t="shared" si="778"/>
        <v>4119</v>
      </c>
      <c r="G9070" s="203">
        <f>SUM(C9070,C9046,C9022,C8998,C8974,C8950,C8926,C8902,C8878,C8854,C8830,C8806,C8782,C8758)/POBLA!$B$21*100000</f>
        <v>165.93061114381842</v>
      </c>
      <c r="H9070" s="254">
        <f t="shared" si="779"/>
        <v>1.2453310696095077</v>
      </c>
    </row>
    <row r="9071" spans="1:8" x14ac:dyDescent="0.25">
      <c r="A9071" s="84" t="s">
        <v>38</v>
      </c>
      <c r="B9071" s="356">
        <v>44270</v>
      </c>
      <c r="C9071" s="1">
        <v>71</v>
      </c>
      <c r="D9071" s="47">
        <f t="shared" si="776"/>
        <v>23531</v>
      </c>
      <c r="F9071" s="47">
        <f t="shared" si="778"/>
        <v>276</v>
      </c>
      <c r="G9071" s="203">
        <f>SUM(C9071,C9047,C9023,C8999,C8975,C8951,C8927,C8903,C8879,C8855,C8831,C8807,C8783,C8759)/POBLA!$B$22*100000</f>
        <v>85.759874396026632</v>
      </c>
      <c r="H9071" s="254">
        <f t="shared" si="779"/>
        <v>1.0396530359355638</v>
      </c>
    </row>
    <row r="9072" spans="1:8" x14ac:dyDescent="0.25">
      <c r="A9072" s="84" t="s">
        <v>39</v>
      </c>
      <c r="B9072" s="356">
        <v>44270</v>
      </c>
      <c r="C9072" s="1">
        <v>35</v>
      </c>
      <c r="D9072" s="47">
        <f t="shared" si="776"/>
        <v>23398</v>
      </c>
      <c r="F9072" s="47">
        <f t="shared" si="778"/>
        <v>358</v>
      </c>
      <c r="G9072" s="203">
        <f>SUM(C9072,C9048,C9024,C9000,C8976,C8952,C8928,C8904,C8880,C8856,C8832,C8808,C8784,C8760)/POBLA!$B$23*100000</f>
        <v>241.47486286263646</v>
      </c>
      <c r="H9072" s="254">
        <f t="shared" si="779"/>
        <v>0.83725490196078434</v>
      </c>
    </row>
    <row r="9073" spans="1:8" ht="15.75" thickBot="1" x14ac:dyDescent="0.3">
      <c r="A9073" s="85" t="s">
        <v>40</v>
      </c>
      <c r="B9073" s="356">
        <v>44270</v>
      </c>
      <c r="C9073" s="1">
        <v>257</v>
      </c>
      <c r="D9073" s="214">
        <f t="shared" si="776"/>
        <v>82413</v>
      </c>
      <c r="F9073" s="214">
        <f t="shared" si="778"/>
        <v>1491</v>
      </c>
      <c r="G9073" s="215">
        <f>SUM(C9073,C9049,C9025,C9001,C8977,C8953,C8929,C8905,C8881,C8857,C8833,C8809,C8785,C8761)/POBLA!$B$24*100000</f>
        <v>146.75544771328222</v>
      </c>
      <c r="H9073" s="255">
        <f t="shared" si="779"/>
        <v>1.3824346859366314</v>
      </c>
    </row>
    <row r="9074" spans="1:8" x14ac:dyDescent="0.25">
      <c r="A9074" s="36" t="s">
        <v>16</v>
      </c>
      <c r="B9074" s="356">
        <v>44271</v>
      </c>
      <c r="C9074" s="1">
        <v>3762</v>
      </c>
      <c r="D9074" s="211">
        <f t="shared" si="776"/>
        <v>923672</v>
      </c>
      <c r="E9074" s="1">
        <v>139</v>
      </c>
      <c r="F9074" s="211">
        <f t="shared" si="778"/>
        <v>27295</v>
      </c>
      <c r="G9074" s="212">
        <f>SUM(C9074,C9050,C9026,C9002,C8978,C8954,C8930,C8906,C8882,C8858,C8834,C8810,C8786,C8762)/POBLA!$B$1*100000</f>
        <v>221.96389619124551</v>
      </c>
      <c r="H9074" s="253">
        <f t="shared" si="779"/>
        <v>1.0730920816911502</v>
      </c>
    </row>
    <row r="9075" spans="1:8" x14ac:dyDescent="0.25">
      <c r="A9075" s="84" t="s">
        <v>43</v>
      </c>
      <c r="B9075" s="356">
        <v>44271</v>
      </c>
      <c r="C9075" s="1">
        <v>967</v>
      </c>
      <c r="D9075" s="47">
        <f t="shared" si="776"/>
        <v>244009</v>
      </c>
      <c r="E9075" s="1">
        <v>7</v>
      </c>
      <c r="F9075" s="47">
        <f t="shared" si="778"/>
        <v>6709</v>
      </c>
      <c r="G9075" s="203">
        <f>SUM(C9075,C9051,C9027,C9003,C8979,C8955,C8931,C8907,C8883,C8859,C8835,C8811,C8787,C8763)/POBLA!$B$2*100000</f>
        <v>358.72138731180377</v>
      </c>
      <c r="H9075" s="254">
        <f t="shared" si="779"/>
        <v>1.1489117983963344</v>
      </c>
    </row>
    <row r="9076" spans="1:8" x14ac:dyDescent="0.25">
      <c r="A9076" s="84" t="s">
        <v>28</v>
      </c>
      <c r="B9076" s="356">
        <v>44271</v>
      </c>
      <c r="C9076" s="1">
        <v>127</v>
      </c>
      <c r="D9076" s="47">
        <f t="shared" si="776"/>
        <v>9246</v>
      </c>
      <c r="F9076" s="47">
        <f t="shared" si="778"/>
        <v>18</v>
      </c>
      <c r="G9076" s="203">
        <f>SUM(C9076,C9052,C9028,C9004,C8980,C8956,C8932,C8908,C8884,C8860,C8836,C8812,C8788,C8764)/POBLA!$B$3*100000</f>
        <v>268.39143265661784</v>
      </c>
      <c r="H9076" s="254">
        <f t="shared" si="779"/>
        <v>0.89271417133706965</v>
      </c>
    </row>
    <row r="9077" spans="1:8" x14ac:dyDescent="0.25">
      <c r="A9077" s="84" t="s">
        <v>15</v>
      </c>
      <c r="B9077" s="356">
        <v>44271</v>
      </c>
      <c r="C9077" s="1">
        <v>124</v>
      </c>
      <c r="D9077" s="47">
        <f t="shared" si="776"/>
        <v>36186</v>
      </c>
      <c r="E9077" s="1">
        <v>1</v>
      </c>
      <c r="F9077" s="47">
        <f t="shared" si="778"/>
        <v>896</v>
      </c>
      <c r="G9077" s="203">
        <f>SUM(C9077,C9053,C9029,C9005,C8981,C8957,C8933,C8909,C8885,C8861,C8837,C8813,C8789,C8765)/POBLA!$B$4*100000</f>
        <v>154.08358868647892</v>
      </c>
      <c r="H9077" s="254">
        <f t="shared" si="779"/>
        <v>1.0605714285714285</v>
      </c>
    </row>
    <row r="9078" spans="1:8" x14ac:dyDescent="0.25">
      <c r="A9078" s="84" t="s">
        <v>29</v>
      </c>
      <c r="B9078" s="356">
        <v>44271</v>
      </c>
      <c r="C9078" s="1">
        <v>100</v>
      </c>
      <c r="D9078" s="47">
        <f t="shared" si="776"/>
        <v>48351</v>
      </c>
      <c r="E9078" s="1">
        <v>1</v>
      </c>
      <c r="F9078" s="47">
        <f t="shared" si="778"/>
        <v>812</v>
      </c>
      <c r="G9078" s="203">
        <f>SUM(C9078,C9054,C9030,C9006,C8982,C8958,C8934,C8910,C8886,C8862,C8838,C8814,C8790,C8766)/POBLA!$B$5*100000</f>
        <v>195.80157481332614</v>
      </c>
      <c r="H9078" s="254">
        <f t="shared" si="779"/>
        <v>0.67109634551495012</v>
      </c>
    </row>
    <row r="9079" spans="1:8" x14ac:dyDescent="0.25">
      <c r="A9079" s="84" t="s">
        <v>30</v>
      </c>
      <c r="B9079" s="356">
        <v>44271</v>
      </c>
      <c r="C9079" s="1">
        <v>168</v>
      </c>
      <c r="D9079" s="47">
        <f t="shared" si="776"/>
        <v>25197</v>
      </c>
      <c r="F9079" s="47">
        <f t="shared" si="778"/>
        <v>306</v>
      </c>
      <c r="G9079" s="203">
        <f>SUM(C9079,C9055,C9031,C9007,C8983,C8959,C8935,C8911,C8887,C8863,C8839,C8815,C8791,C8767)/POBLA!$B$6*100000</f>
        <v>279.88911501684959</v>
      </c>
      <c r="H9079" s="254">
        <f t="shared" si="779"/>
        <v>1.6270746887966805</v>
      </c>
    </row>
    <row r="9080" spans="1:8" x14ac:dyDescent="0.25">
      <c r="A9080" s="84" t="s">
        <v>20</v>
      </c>
      <c r="B9080" s="356">
        <v>44271</v>
      </c>
      <c r="C9080" s="1">
        <v>809</v>
      </c>
      <c r="D9080" s="47">
        <f t="shared" si="776"/>
        <v>169071</v>
      </c>
      <c r="E9080" s="1">
        <v>16</v>
      </c>
      <c r="F9080" s="47">
        <f t="shared" si="778"/>
        <v>2940</v>
      </c>
      <c r="G9080" s="203">
        <f>SUM(C9080,C9056,C9032,C9008,C8984,C8960,C8936,C8912,C8888,C8864,C8840,C8816,C8792,C8768)/POBLA!$B$7*100000</f>
        <v>213.3255328484623</v>
      </c>
      <c r="H9080" s="254">
        <f>SUM(C9080,C9056,C9032,C9008,C8984,C8960,C8936,C8912,C8888,C8864,C8840,C8816,C8792,C8768)/SUM(C8744,C8720,C8696,C8672,C8648,C8624,C8600,C8576,C8552,C8528,C8504,C8480,C8456,C8432)</f>
        <v>0.93540111940298509</v>
      </c>
    </row>
    <row r="9081" spans="1:8" x14ac:dyDescent="0.25">
      <c r="A9081" s="84" t="s">
        <v>31</v>
      </c>
      <c r="B9081" s="356">
        <v>44271</v>
      </c>
      <c r="C9081" s="1">
        <v>200</v>
      </c>
      <c r="D9081" s="47">
        <f t="shared" si="776"/>
        <v>47193</v>
      </c>
      <c r="E9081" s="1">
        <v>3</v>
      </c>
      <c r="F9081" s="47">
        <f t="shared" ref="F9081:F9104" si="780">E9081+F9057</f>
        <v>908</v>
      </c>
      <c r="G9081" s="203">
        <f>SUM(C9081,C9057,C9033,C9009,C8985,C8961,C8937,C8913,C8889,C8865,C8841,C8817,C8793,C8769)/POBLA!$B$8*100000</f>
        <v>132.39910791140588</v>
      </c>
      <c r="H9081" s="254">
        <f t="shared" si="779"/>
        <v>1.0948687350835322</v>
      </c>
    </row>
    <row r="9082" spans="1:8" x14ac:dyDescent="0.25">
      <c r="A9082" s="84" t="s">
        <v>41</v>
      </c>
      <c r="B9082" s="356">
        <v>44271</v>
      </c>
      <c r="C9082" s="1">
        <v>27</v>
      </c>
      <c r="D9082" s="47">
        <f t="shared" si="776"/>
        <v>1626</v>
      </c>
      <c r="F9082" s="47">
        <f t="shared" si="780"/>
        <v>20</v>
      </c>
      <c r="G9082" s="203">
        <f>SUM(C9082,C9058,C9034,C9010,C8986,C8962,C8938,C8914,C8890,C8866,C8842,C8818,C8794,C8770)/POBLA!$B$9*100000</f>
        <v>60.972284874411962</v>
      </c>
      <c r="H9082" s="254">
        <f t="shared" si="779"/>
        <v>1.3225806451612903</v>
      </c>
    </row>
    <row r="9083" spans="1:8" x14ac:dyDescent="0.25">
      <c r="A9083" s="84" t="s">
        <v>32</v>
      </c>
      <c r="B9083" s="356">
        <v>44271</v>
      </c>
      <c r="C9083" s="1">
        <v>54</v>
      </c>
      <c r="D9083" s="47">
        <f t="shared" si="776"/>
        <v>21763</v>
      </c>
      <c r="E9083" s="1">
        <v>1</v>
      </c>
      <c r="F9083" s="47">
        <f t="shared" si="780"/>
        <v>932</v>
      </c>
      <c r="G9083" s="203">
        <f>SUM(C9083,C9059,C9035,C9011,C8987,C8963,C8939,C8915,C8891,C8867,C8843,C8819,C8795,C8771)/POBLA!$B$10*100000</f>
        <v>113.50649451731202</v>
      </c>
      <c r="H9083" s="254">
        <f t="shared" si="779"/>
        <v>0.82469368520263897</v>
      </c>
    </row>
    <row r="9084" spans="1:8" x14ac:dyDescent="0.25">
      <c r="A9084" s="84" t="s">
        <v>33</v>
      </c>
      <c r="B9084" s="356">
        <v>44271</v>
      </c>
      <c r="C9084" s="1">
        <v>114</v>
      </c>
      <c r="D9084" s="47">
        <f t="shared" si="776"/>
        <v>20068</v>
      </c>
      <c r="F9084" s="47">
        <f t="shared" si="780"/>
        <v>305</v>
      </c>
      <c r="G9084" s="203">
        <f>SUM(C9084,C9060,C9036,C9012,C8988,C8964,C8940,C8916,C8892,C8868,C8844,C8820,C8796,C8772)/POBLA!$B$11*100000</f>
        <v>340.09619784168643</v>
      </c>
      <c r="H9084" s="254">
        <f t="shared" si="779"/>
        <v>1.159847764034253</v>
      </c>
    </row>
    <row r="9085" spans="1:8" x14ac:dyDescent="0.25">
      <c r="A9085" s="84" t="s">
        <v>21</v>
      </c>
      <c r="B9085" s="356">
        <v>44271</v>
      </c>
      <c r="C9085" s="1">
        <v>17</v>
      </c>
      <c r="D9085" s="47">
        <f t="shared" si="776"/>
        <v>10566</v>
      </c>
      <c r="E9085" s="1">
        <v>2</v>
      </c>
      <c r="F9085" s="47">
        <f t="shared" si="780"/>
        <v>447</v>
      </c>
      <c r="G9085" s="203">
        <f>SUM(C9085,C9061,C9037,C9013,C8989,C8965,C8941,C8917,C8893,C8869,C8845,C8821,C8797,C8773)/POBLA!$B$12*100000</f>
        <v>76.741095364787014</v>
      </c>
      <c r="H9085" s="254">
        <f t="shared" si="779"/>
        <v>0.78851174934725854</v>
      </c>
    </row>
    <row r="9086" spans="1:8" x14ac:dyDescent="0.25">
      <c r="A9086" s="84" t="s">
        <v>17</v>
      </c>
      <c r="B9086" s="356">
        <v>44271</v>
      </c>
      <c r="C9086" s="1">
        <v>165</v>
      </c>
      <c r="D9086" s="47">
        <f t="shared" si="776"/>
        <v>69658</v>
      </c>
      <c r="E9086" s="1">
        <v>2</v>
      </c>
      <c r="F9086" s="47">
        <f t="shared" si="780"/>
        <v>1482</v>
      </c>
      <c r="G9086" s="203">
        <f>SUM(C9086,C9062,C9038,C9014,C8990,C8966,C8942,C8918,C8894,C8870,C8846,C8822,C8798,C8774)/POBLA!$B$13*100000</f>
        <v>109.42864980721866</v>
      </c>
      <c r="H9086" s="254">
        <f t="shared" si="779"/>
        <v>1.2445714285714287</v>
      </c>
    </row>
    <row r="9087" spans="1:8" x14ac:dyDescent="0.25">
      <c r="A9087" s="84" t="s">
        <v>23</v>
      </c>
      <c r="B9087" s="356">
        <v>44271</v>
      </c>
      <c r="C9087" s="1">
        <v>101</v>
      </c>
      <c r="D9087" s="47">
        <f t="shared" si="776"/>
        <v>10189</v>
      </c>
      <c r="E9087" s="1">
        <v>3</v>
      </c>
      <c r="F9087" s="47">
        <f t="shared" si="780"/>
        <v>172</v>
      </c>
      <c r="G9087" s="203">
        <f>SUM(C9087,C9063,C9039,C9015,C8991,C8967,C8943,C8919,C8895,C8871,C8847,C8823,C8799,C8775)/POBLA!$B$14*100000</f>
        <v>131.21445119060266</v>
      </c>
      <c r="H9087" s="254">
        <f t="shared" si="779"/>
        <v>1.0541401273885351</v>
      </c>
    </row>
    <row r="9088" spans="1:8" x14ac:dyDescent="0.25">
      <c r="A9088" s="84" t="s">
        <v>19</v>
      </c>
      <c r="B9088" s="356">
        <v>44271</v>
      </c>
      <c r="C9088" s="1">
        <v>127</v>
      </c>
      <c r="D9088" s="47">
        <f t="shared" si="776"/>
        <v>63462</v>
      </c>
      <c r="F9088" s="47">
        <f t="shared" si="780"/>
        <v>956</v>
      </c>
      <c r="G9088" s="203">
        <f>SUM(C9088,C9064,C9040,C9016,C8992,C8968,C8944,C8920,C8896,C8872,C8848,C8824,C8800,C8776)/POBLA!$B$15*100000</f>
        <v>295.607154205136</v>
      </c>
      <c r="H9088" s="254">
        <f t="shared" si="779"/>
        <v>0.76203416149068326</v>
      </c>
    </row>
    <row r="9089" spans="1:8" x14ac:dyDescent="0.25">
      <c r="A9089" s="84" t="s">
        <v>18</v>
      </c>
      <c r="B9089" s="356">
        <v>44271</v>
      </c>
      <c r="C9089" s="1">
        <v>115</v>
      </c>
      <c r="D9089" s="47">
        <f t="shared" si="776"/>
        <v>53996</v>
      </c>
      <c r="E9089" s="1">
        <v>3</v>
      </c>
      <c r="F9089" s="47">
        <f t="shared" si="780"/>
        <v>1243</v>
      </c>
      <c r="G9089" s="203">
        <f>SUM(C9089,C9065,C9041,C9017,C8993,C8969,C8945,C8921,C8897,C8873,C8849,C8825,C8801,C8777)/POBLA!$B$16*100000</f>
        <v>192.4800363826059</v>
      </c>
      <c r="H9089" s="254">
        <f t="shared" si="779"/>
        <v>0.81761363636363638</v>
      </c>
    </row>
    <row r="9090" spans="1:8" x14ac:dyDescent="0.25">
      <c r="A9090" s="84" t="s">
        <v>34</v>
      </c>
      <c r="B9090" s="356">
        <v>44271</v>
      </c>
      <c r="C9090" s="1">
        <v>131</v>
      </c>
      <c r="D9090" s="47">
        <f t="shared" si="776"/>
        <v>27821</v>
      </c>
      <c r="E9090" s="1">
        <v>5</v>
      </c>
      <c r="F9090" s="47">
        <f t="shared" si="780"/>
        <v>1150</v>
      </c>
      <c r="G9090" s="203">
        <f>SUM(C9090,C9066,C9042,C9018,C8994,C8970,C8946,C8922,C8898,C8874,C8850,C8826,C8802,C8778)/POBLA!$B$17*100000</f>
        <v>106.78202776332722</v>
      </c>
      <c r="H9090" s="254">
        <f t="shared" ref="H9090:H9103" si="781">SUM(C9090,C9066,C9042,C9018,C8994,C8970,C8946,C8922,C8898,C8874,C8850,C8826,C8802,C8778)/SUM(C8754,C8730,C8706,C8682,C8658,C8634,C8610,C8586,C8562,C8538,C8514,C8490,C8466,C8442)</f>
        <v>1.087205146533238</v>
      </c>
    </row>
    <row r="9091" spans="1:8" x14ac:dyDescent="0.25">
      <c r="A9091" s="84" t="s">
        <v>35</v>
      </c>
      <c r="B9091" s="356">
        <v>44271</v>
      </c>
      <c r="C9091" s="1">
        <v>74</v>
      </c>
      <c r="D9091" s="47">
        <f t="shared" si="776"/>
        <v>16017</v>
      </c>
      <c r="E9091" s="1">
        <v>1</v>
      </c>
      <c r="F9091" s="47">
        <f t="shared" si="780"/>
        <v>218</v>
      </c>
      <c r="G9091" s="203">
        <f>SUM(C9091,C9067,C9043,C9019,C8995,C8971,C8947,C8923,C8899,C8875,C8851,C8827,C8803,C8779)/POBLA!$B$18*100000</f>
        <v>86.275644283214518</v>
      </c>
      <c r="H9091" s="254">
        <f t="shared" si="781"/>
        <v>0.98682284040995605</v>
      </c>
    </row>
    <row r="9092" spans="1:8" x14ac:dyDescent="0.25">
      <c r="A9092" s="84" t="s">
        <v>36</v>
      </c>
      <c r="B9092" s="356">
        <v>44271</v>
      </c>
      <c r="C9092" s="1">
        <v>1</v>
      </c>
      <c r="D9092" s="47">
        <f t="shared" si="776"/>
        <v>21520</v>
      </c>
      <c r="F9092" s="47">
        <f t="shared" si="780"/>
        <v>361</v>
      </c>
      <c r="G9092" s="203">
        <f>SUM(C9092,C9068,C9044,C9020,C8996,C8972,C8948,C8924,C8900,C8876,C8852,C8828,C8804,C8780)/POBLA!$B$19*100000</f>
        <v>145.1818510882737</v>
      </c>
      <c r="H9092" s="254">
        <f t="shared" si="781"/>
        <v>1.3155080213903743</v>
      </c>
    </row>
    <row r="9093" spans="1:8" x14ac:dyDescent="0.25">
      <c r="A9093" s="84" t="s">
        <v>37</v>
      </c>
      <c r="B9093" s="356">
        <v>44271</v>
      </c>
      <c r="C9093" s="1">
        <v>105</v>
      </c>
      <c r="D9093" s="47">
        <f t="shared" si="776"/>
        <v>37574</v>
      </c>
      <c r="E9093" s="1">
        <v>1</v>
      </c>
      <c r="F9093" s="47">
        <f t="shared" si="780"/>
        <v>613</v>
      </c>
      <c r="G9093" s="203">
        <f>SUM(C9093,C9069,C9045,C9021,C8997,C8973,C8949,C8925,C8901,C8877,C8853,C8829,C8805,C8781)/POBLA!$B$20*100000</f>
        <v>403.61172333455477</v>
      </c>
      <c r="H9093" s="254">
        <f t="shared" si="781"/>
        <v>1.0075085324232083</v>
      </c>
    </row>
    <row r="9094" spans="1:8" x14ac:dyDescent="0.25">
      <c r="A9094" s="84" t="s">
        <v>22</v>
      </c>
      <c r="B9094" s="356">
        <v>44271</v>
      </c>
      <c r="C9094" s="1">
        <v>583</v>
      </c>
      <c r="D9094" s="47">
        <f t="shared" si="776"/>
        <v>223230</v>
      </c>
      <c r="E9094" s="1">
        <v>17</v>
      </c>
      <c r="F9094" s="47">
        <f t="shared" si="780"/>
        <v>4136</v>
      </c>
      <c r="G9094" s="203">
        <f>SUM(C9094,C9070,C9046,C9022,C8998,C8974,C8950,C8926,C8902,C8878,C8854,C8830,C8806,C8782)/POBLA!$B$21*100000</f>
        <v>170.85084398959626</v>
      </c>
      <c r="H9094" s="254">
        <f t="shared" si="781"/>
        <v>1.2228293867638129</v>
      </c>
    </row>
    <row r="9095" spans="1:8" x14ac:dyDescent="0.25">
      <c r="A9095" s="84" t="s">
        <v>38</v>
      </c>
      <c r="B9095" s="356">
        <v>44271</v>
      </c>
      <c r="C9095" s="1">
        <v>76</v>
      </c>
      <c r="D9095" s="47">
        <f t="shared" si="776"/>
        <v>23607</v>
      </c>
      <c r="F9095" s="47">
        <f t="shared" si="780"/>
        <v>276</v>
      </c>
      <c r="G9095" s="203">
        <f>SUM(C9095,C9071,C9047,C9023,C8999,C8975,C8951,C8927,C8903,C8879,C8855,C8831,C8807,C8783)/POBLA!$B$22*100000</f>
        <v>89.439678303365085</v>
      </c>
      <c r="H9095" s="254">
        <f t="shared" si="781"/>
        <v>1.0696821515892421</v>
      </c>
    </row>
    <row r="9096" spans="1:8" x14ac:dyDescent="0.25">
      <c r="A9096" s="84" t="s">
        <v>39</v>
      </c>
      <c r="B9096" s="356">
        <v>44271</v>
      </c>
      <c r="C9096" s="1">
        <v>18</v>
      </c>
      <c r="D9096" s="47">
        <f t="shared" si="776"/>
        <v>23416</v>
      </c>
      <c r="F9096" s="47">
        <f t="shared" si="780"/>
        <v>358</v>
      </c>
      <c r="G9096" s="203">
        <f>SUM(C9096,C9072,C9048,C9024,C9000,C8976,C8952,C8928,C8904,C8880,C8856,C8832,C8808,C8784)/POBLA!$B$23*100000</f>
        <v>220.55081151388339</v>
      </c>
      <c r="H9096" s="254">
        <f t="shared" si="781"/>
        <v>0.71823204419889508</v>
      </c>
    </row>
    <row r="9097" spans="1:8" ht="15.75" thickBot="1" x14ac:dyDescent="0.3">
      <c r="A9097" s="85" t="s">
        <v>40</v>
      </c>
      <c r="B9097" s="356">
        <v>44271</v>
      </c>
      <c r="C9097" s="1">
        <v>270</v>
      </c>
      <c r="D9097" s="214">
        <f t="shared" si="776"/>
        <v>82683</v>
      </c>
      <c r="F9097" s="214">
        <f t="shared" si="780"/>
        <v>1491</v>
      </c>
      <c r="G9097" s="215">
        <f>SUM(C9097,C9073,C9049,C9025,C9001,C8977,C8953,C8929,C8905,C8881,C8857,C8833,C8809,C8785)/POBLA!$B$24*100000</f>
        <v>152.47932323728236</v>
      </c>
      <c r="H9097" s="255">
        <f t="shared" si="781"/>
        <v>1.3564304461942258</v>
      </c>
    </row>
    <row r="9098" spans="1:8" x14ac:dyDescent="0.25">
      <c r="A9098" s="36" t="s">
        <v>16</v>
      </c>
      <c r="B9098" s="356">
        <v>44272</v>
      </c>
      <c r="C9098" s="1">
        <v>3596</v>
      </c>
      <c r="D9098" s="211">
        <f t="shared" si="776"/>
        <v>927268</v>
      </c>
      <c r="E9098" s="1">
        <v>75</v>
      </c>
      <c r="F9098" s="211">
        <f t="shared" si="780"/>
        <v>27370</v>
      </c>
      <c r="G9098" s="212">
        <f>SUM(C9098,C9074,C9050,C9026,C9002,C8978,C8954,C8930,C8906,C8882,C8858,C8834,C8810,C8786)/POBLA!$B$1*100000</f>
        <v>222.73921633718126</v>
      </c>
      <c r="H9098" s="253">
        <f t="shared" si="781"/>
        <v>1.0519641366683719</v>
      </c>
    </row>
    <row r="9099" spans="1:8" x14ac:dyDescent="0.25">
      <c r="A9099" s="84" t="s">
        <v>43</v>
      </c>
      <c r="B9099" s="356">
        <v>44272</v>
      </c>
      <c r="C9099" s="1">
        <v>929</v>
      </c>
      <c r="D9099" s="47">
        <f t="shared" ref="D9099:D9162" si="782">C9099+D9075</f>
        <v>244938</v>
      </c>
      <c r="E9099" s="1">
        <v>12</v>
      </c>
      <c r="F9099" s="47">
        <f t="shared" si="780"/>
        <v>6721</v>
      </c>
      <c r="G9099" s="203">
        <f>SUM(C9099,C9075,C9051,C9027,C9003,C8979,C8955,C8931,C8907,C8883,C8859,C8835,C8811,C8787)/POBLA!$B$2*100000</f>
        <v>360.99733194262279</v>
      </c>
      <c r="H9099" s="254">
        <f t="shared" si="781"/>
        <v>1.1448752320065994</v>
      </c>
    </row>
    <row r="9100" spans="1:8" x14ac:dyDescent="0.25">
      <c r="A9100" s="84" t="s">
        <v>28</v>
      </c>
      <c r="B9100" s="356">
        <v>44272</v>
      </c>
      <c r="C9100" s="1">
        <v>112</v>
      </c>
      <c r="D9100" s="47">
        <f t="shared" si="782"/>
        <v>9358</v>
      </c>
      <c r="F9100" s="47">
        <f t="shared" si="780"/>
        <v>18</v>
      </c>
      <c r="G9100" s="203">
        <f>SUM(C9100,C9076,C9052,C9028,C9004,C8980,C8956,C8932,C8908,C8884,C8860,C8836,C8812,C8788)/POBLA!$B$3*100000</f>
        <v>282.59331115593665</v>
      </c>
      <c r="H9100" s="254">
        <f t="shared" si="781"/>
        <v>0.96150696150696147</v>
      </c>
    </row>
    <row r="9101" spans="1:8" x14ac:dyDescent="0.25">
      <c r="A9101" s="84" t="s">
        <v>15</v>
      </c>
      <c r="B9101" s="356">
        <v>44272</v>
      </c>
      <c r="C9101" s="1">
        <v>139</v>
      </c>
      <c r="D9101" s="47">
        <f t="shared" si="782"/>
        <v>36325</v>
      </c>
      <c r="E9101" s="1">
        <v>4</v>
      </c>
      <c r="F9101" s="47">
        <f t="shared" si="780"/>
        <v>900</v>
      </c>
      <c r="G9101" s="203">
        <f>SUM(C9101,C9077,C9053,C9029,C9005,C8981,C8957,C8933,C8909,C8885,C8861,C8837,C8813,C8789)/POBLA!$B$4*100000</f>
        <v>151.17791756361967</v>
      </c>
      <c r="H9101" s="254">
        <f t="shared" si="781"/>
        <v>1.0005494505494505</v>
      </c>
    </row>
    <row r="9102" spans="1:8" x14ac:dyDescent="0.25">
      <c r="A9102" s="84" t="s">
        <v>29</v>
      </c>
      <c r="B9102" s="356">
        <v>44272</v>
      </c>
      <c r="C9102" s="1">
        <v>126</v>
      </c>
      <c r="D9102" s="47">
        <f t="shared" si="782"/>
        <v>48477</v>
      </c>
      <c r="F9102" s="47">
        <f t="shared" si="780"/>
        <v>812</v>
      </c>
      <c r="G9102" s="203">
        <f>SUM(C9102,C9078,C9054,C9030,C9006,C8982,C8958,C8934,C8910,C8886,C8862,C8838,C8814,C8790)/POBLA!$B$5*100000</f>
        <v>194.99381254099393</v>
      </c>
      <c r="H9102" s="254">
        <f t="shared" si="781"/>
        <v>0.6850170261066969</v>
      </c>
    </row>
    <row r="9103" spans="1:8" x14ac:dyDescent="0.25">
      <c r="A9103" s="84" t="s">
        <v>30</v>
      </c>
      <c r="B9103" s="356">
        <v>44272</v>
      </c>
      <c r="C9103" s="1">
        <v>264</v>
      </c>
      <c r="D9103" s="47">
        <f t="shared" si="782"/>
        <v>25461</v>
      </c>
      <c r="F9103" s="47">
        <f t="shared" si="780"/>
        <v>306</v>
      </c>
      <c r="G9103" s="203">
        <f>SUM(C9103,C9079,C9055,C9031,C9007,C8983,C8959,C8935,C8911,C8887,C8863,C8839,C8815,C8791)/POBLA!$B$6*100000</f>
        <v>280.87055596845471</v>
      </c>
      <c r="H9103" s="254">
        <f t="shared" si="781"/>
        <v>1.6638477801268499</v>
      </c>
    </row>
    <row r="9104" spans="1:8" x14ac:dyDescent="0.25">
      <c r="A9104" s="84" t="s">
        <v>20</v>
      </c>
      <c r="B9104" s="356">
        <v>44272</v>
      </c>
      <c r="C9104" s="1">
        <v>781</v>
      </c>
      <c r="D9104" s="47">
        <f t="shared" si="782"/>
        <v>169852</v>
      </c>
      <c r="E9104" s="1">
        <v>12</v>
      </c>
      <c r="F9104" s="47">
        <f t="shared" si="780"/>
        <v>2952</v>
      </c>
      <c r="G9104" s="203">
        <f>SUM(C9104,C9080,C9056,C9032,C9008,C8984,C8960,C8936,C8912,C8888,C8864,C8840,C8816,C8792)/POBLA!$B$7*100000</f>
        <v>215.5061229374144</v>
      </c>
      <c r="H9104" s="254">
        <f>SUM(C9104,C9080,C9056,C9032,C9008,C8984,C8960,C8936,C8912,C8888,C8864,C8840,C8816,C8792)/SUM(C8768,C8744,C8720,C8696,C8672,C8648,C8624,C8600,C8576,C8552,C8528,C8504,C8480,C8456)</f>
        <v>0.91705329863075702</v>
      </c>
    </row>
    <row r="9105" spans="1:8" x14ac:dyDescent="0.25">
      <c r="A9105" s="84" t="s">
        <v>31</v>
      </c>
      <c r="B9105" s="356">
        <v>44272</v>
      </c>
      <c r="C9105" s="1">
        <v>203</v>
      </c>
      <c r="D9105" s="47">
        <f t="shared" si="782"/>
        <v>47396</v>
      </c>
      <c r="E9105" s="1">
        <v>10</v>
      </c>
      <c r="F9105" s="47">
        <f t="shared" ref="F9105:F9128" si="783">E9105+F9081</f>
        <v>918</v>
      </c>
      <c r="G9105" s="203">
        <f>SUM(C9105,C9081,C9057,C9033,C9009,C8985,C8961,C8937,C8913,C8889,C8865,C8841,C8817,C8793)/POBLA!$B$8*100000</f>
        <v>135.42949621237537</v>
      </c>
      <c r="H9105" s="254">
        <f t="shared" ref="H9105:H9127" si="784">SUM(C9105,C9081,C9057,C9033,C9009,C8985,C8961,C8937,C8913,C8889,C8865,C8841,C8817,C8793)/SUM(C8769,C8745,C8721,C8697,C8673,C8649,C8625,C8601,C8577,C8553,C8529,C8505,C8481,C8457)</f>
        <v>1.0713470319634704</v>
      </c>
    </row>
    <row r="9106" spans="1:8" x14ac:dyDescent="0.25">
      <c r="A9106" s="84" t="s">
        <v>41</v>
      </c>
      <c r="B9106" s="356">
        <v>44272</v>
      </c>
      <c r="C9106" s="1">
        <v>21</v>
      </c>
      <c r="D9106" s="47">
        <f t="shared" si="782"/>
        <v>1647</v>
      </c>
      <c r="E9106" s="1">
        <v>3</v>
      </c>
      <c r="F9106" s="47">
        <f t="shared" si="783"/>
        <v>23</v>
      </c>
      <c r="G9106" s="203">
        <f>SUM(C9106,C9082,C9058,C9034,C9010,C8986,C8962,C8938,C8914,C8890,C8866,C8842,C8818,C8794)/POBLA!$B$9*100000</f>
        <v>59.650392519411163</v>
      </c>
      <c r="H9106" s="254">
        <f t="shared" si="784"/>
        <v>1.2114093959731544</v>
      </c>
    </row>
    <row r="9107" spans="1:8" x14ac:dyDescent="0.25">
      <c r="A9107" s="84" t="s">
        <v>32</v>
      </c>
      <c r="B9107" s="356">
        <v>44272</v>
      </c>
      <c r="C9107" s="1">
        <v>75</v>
      </c>
      <c r="D9107" s="47">
        <f t="shared" si="782"/>
        <v>21838</v>
      </c>
      <c r="E9107" s="1">
        <v>5</v>
      </c>
      <c r="F9107" s="47">
        <f t="shared" si="783"/>
        <v>937</v>
      </c>
      <c r="G9107" s="203">
        <f>SUM(C9107,C9083,C9059,C9035,C9011,C8987,C8963,C8939,C8915,C8891,C8867,C8843,C8819,C8795)/POBLA!$B$10*100000</f>
        <v>111.0417820649361</v>
      </c>
      <c r="H9107" s="254">
        <f t="shared" si="784"/>
        <v>0.77536231884057971</v>
      </c>
    </row>
    <row r="9108" spans="1:8" x14ac:dyDescent="0.25">
      <c r="A9108" s="84" t="s">
        <v>33</v>
      </c>
      <c r="B9108" s="356">
        <v>44272</v>
      </c>
      <c r="C9108" s="1">
        <v>160</v>
      </c>
      <c r="D9108" s="47">
        <f t="shared" si="782"/>
        <v>20228</v>
      </c>
      <c r="E9108" s="1">
        <v>3</v>
      </c>
      <c r="F9108" s="47">
        <f t="shared" si="783"/>
        <v>308</v>
      </c>
      <c r="G9108" s="203">
        <f>SUM(C9108,C9084,C9060,C9036,C9012,C8988,C8964,C8940,C8916,C8892,C8868,C8844,C8820,C8796)/POBLA!$B$11*100000</f>
        <v>355.7199772339215</v>
      </c>
      <c r="H9108" s="254">
        <f t="shared" si="784"/>
        <v>1.1465827338129497</v>
      </c>
    </row>
    <row r="9109" spans="1:8" x14ac:dyDescent="0.25">
      <c r="A9109" s="84" t="s">
        <v>21</v>
      </c>
      <c r="B9109" s="356">
        <v>44272</v>
      </c>
      <c r="C9109" s="1">
        <v>1</v>
      </c>
      <c r="D9109" s="47">
        <f t="shared" si="782"/>
        <v>10567</v>
      </c>
      <c r="F9109" s="47">
        <f t="shared" si="783"/>
        <v>447</v>
      </c>
      <c r="G9109" s="203">
        <f>SUM(C9109,C9085,C9061,C9037,C9013,C8989,C8965,C8941,C8917,C8893,C8869,C8845,C8821,C8797)/POBLA!$B$12*100000</f>
        <v>71.150684444173393</v>
      </c>
      <c r="H9109" s="254">
        <f t="shared" si="784"/>
        <v>0.75471698113207553</v>
      </c>
    </row>
    <row r="9110" spans="1:8" x14ac:dyDescent="0.25">
      <c r="A9110" s="84" t="s">
        <v>17</v>
      </c>
      <c r="B9110" s="356">
        <v>44272</v>
      </c>
      <c r="C9110" s="1">
        <v>149</v>
      </c>
      <c r="D9110" s="47">
        <f t="shared" si="782"/>
        <v>69807</v>
      </c>
      <c r="E9110" s="1">
        <v>2</v>
      </c>
      <c r="F9110" s="47">
        <f t="shared" si="783"/>
        <v>1484</v>
      </c>
      <c r="G9110" s="203">
        <f>SUM(C9110,C9086,C9062,C9038,C9014,C8990,C8966,C8942,C8918,C8894,C8870,C8846,C8822,C8798)/POBLA!$B$13*100000</f>
        <v>106.5145718968336</v>
      </c>
      <c r="H9110" s="254">
        <f t="shared" si="784"/>
        <v>1.1629182665935272</v>
      </c>
    </row>
    <row r="9111" spans="1:8" x14ac:dyDescent="0.25">
      <c r="A9111" s="84" t="s">
        <v>23</v>
      </c>
      <c r="B9111" s="356">
        <v>44272</v>
      </c>
      <c r="C9111" s="1">
        <v>141</v>
      </c>
      <c r="D9111" s="47">
        <f t="shared" si="782"/>
        <v>10330</v>
      </c>
      <c r="E9111" s="1">
        <v>4</v>
      </c>
      <c r="F9111" s="47">
        <f t="shared" si="783"/>
        <v>176</v>
      </c>
      <c r="G9111" s="203">
        <f>SUM(C9111,C9087,C9063,C9039,C9015,C8991,C8967,C8943,C8919,C8895,C8871,C8847,C8823,C8799)/POBLA!$B$14*100000</f>
        <v>133.19654259831569</v>
      </c>
      <c r="H9111" s="254">
        <f t="shared" si="784"/>
        <v>1.0559396605908233</v>
      </c>
    </row>
    <row r="9112" spans="1:8" x14ac:dyDescent="0.25">
      <c r="A9112" s="84" t="s">
        <v>19</v>
      </c>
      <c r="B9112" s="356">
        <v>44272</v>
      </c>
      <c r="C9112" s="1">
        <v>131</v>
      </c>
      <c r="D9112" s="47">
        <f t="shared" si="782"/>
        <v>63593</v>
      </c>
      <c r="E9112" s="1">
        <v>11</v>
      </c>
      <c r="F9112" s="47">
        <f t="shared" si="783"/>
        <v>967</v>
      </c>
      <c r="G9112" s="203">
        <f>SUM(C9112,C9088,C9064,C9040,C9016,C8992,C8968,C8944,C8920,C8896,C8872,C8848,C8824,C8800)/POBLA!$B$15*100000</f>
        <v>288.83062749131477</v>
      </c>
      <c r="H9112" s="254">
        <f t="shared" si="784"/>
        <v>0.75900277008310246</v>
      </c>
    </row>
    <row r="9113" spans="1:8" x14ac:dyDescent="0.25">
      <c r="A9113" s="84" t="s">
        <v>18</v>
      </c>
      <c r="B9113" s="356">
        <v>44272</v>
      </c>
      <c r="C9113" s="1">
        <v>110</v>
      </c>
      <c r="D9113" s="47">
        <f t="shared" si="782"/>
        <v>54106</v>
      </c>
      <c r="E9113" s="1">
        <v>6</v>
      </c>
      <c r="F9113" s="47">
        <f t="shared" si="783"/>
        <v>1249</v>
      </c>
      <c r="G9113" s="203">
        <f>SUM(C9113,C9089,C9065,C9041,C9017,C8993,C8969,C8945,C8921,C8897,C8873,C8849,C8825,C8801)/POBLA!$B$16*100000</f>
        <v>182.44806784285925</v>
      </c>
      <c r="H9113" s="254">
        <f t="shared" si="784"/>
        <v>0.76031215161649945</v>
      </c>
    </row>
    <row r="9114" spans="1:8" x14ac:dyDescent="0.25">
      <c r="A9114" s="84" t="s">
        <v>34</v>
      </c>
      <c r="B9114" s="356">
        <v>44272</v>
      </c>
      <c r="C9114" s="1">
        <v>123</v>
      </c>
      <c r="D9114" s="47">
        <f t="shared" si="782"/>
        <v>27944</v>
      </c>
      <c r="E9114" s="1">
        <v>2</v>
      </c>
      <c r="F9114" s="47">
        <f t="shared" si="783"/>
        <v>1152</v>
      </c>
      <c r="G9114" s="203">
        <f>SUM(C9114,C9090,C9066,C9042,C9018,C8994,C8970,C8946,C8922,C8898,C8874,C8850,C8826,C8802)/POBLA!$B$17*100000</f>
        <v>105.58854027353328</v>
      </c>
      <c r="H9114" s="254">
        <f t="shared" si="784"/>
        <v>0.99933554817275749</v>
      </c>
    </row>
    <row r="9115" spans="1:8" x14ac:dyDescent="0.25">
      <c r="A9115" s="84" t="s">
        <v>35</v>
      </c>
      <c r="B9115" s="356">
        <v>44272</v>
      </c>
      <c r="C9115" s="1">
        <v>74</v>
      </c>
      <c r="D9115" s="47">
        <f t="shared" si="782"/>
        <v>16091</v>
      </c>
      <c r="E9115" s="1">
        <v>1</v>
      </c>
      <c r="F9115" s="47">
        <f t="shared" si="783"/>
        <v>219</v>
      </c>
      <c r="G9115" s="203">
        <f>SUM(C9115,C9091,C9067,C9043,C9019,C8995,C8971,C8947,C8923,C8899,C8875,C8851,C8827,C8803)/POBLA!$B$18*100000</f>
        <v>87.939714573543583</v>
      </c>
      <c r="H9115" s="254">
        <f t="shared" si="784"/>
        <v>1.0377643504531722</v>
      </c>
    </row>
    <row r="9116" spans="1:8" x14ac:dyDescent="0.25">
      <c r="A9116" s="84" t="s">
        <v>36</v>
      </c>
      <c r="B9116" s="356">
        <v>44272</v>
      </c>
      <c r="C9116" s="1">
        <v>4</v>
      </c>
      <c r="D9116" s="47">
        <f t="shared" si="782"/>
        <v>21524</v>
      </c>
      <c r="E9116" s="1">
        <v>1</v>
      </c>
      <c r="F9116" s="47">
        <f t="shared" si="783"/>
        <v>362</v>
      </c>
      <c r="G9116" s="203">
        <f>SUM(C9116,C9092,C9068,C9044,C9020,C8996,C8972,C8948,C8924,C8900,C8876,C8852,C8828,C8804)/POBLA!$B$19*100000</f>
        <v>144.78840433735698</v>
      </c>
      <c r="H9116" s="254">
        <f t="shared" si="784"/>
        <v>1.3119429590017826</v>
      </c>
    </row>
    <row r="9117" spans="1:8" x14ac:dyDescent="0.25">
      <c r="A9117" s="84" t="s">
        <v>37</v>
      </c>
      <c r="B9117" s="356">
        <v>44272</v>
      </c>
      <c r="C9117" s="1">
        <v>142</v>
      </c>
      <c r="D9117" s="47">
        <f t="shared" si="782"/>
        <v>37716</v>
      </c>
      <c r="F9117" s="47">
        <f t="shared" si="783"/>
        <v>613</v>
      </c>
      <c r="G9117" s="203">
        <f>SUM(C9117,C9093,C9069,C9045,C9021,C8997,C8973,C8949,C8925,C8901,C8877,C8853,C8829,C8805)/POBLA!$B$20*100000</f>
        <v>404.43207236572249</v>
      </c>
      <c r="H9117" s="254">
        <f t="shared" si="784"/>
        <v>0.99462004034969742</v>
      </c>
    </row>
    <row r="9118" spans="1:8" x14ac:dyDescent="0.25">
      <c r="A9118" s="84" t="s">
        <v>22</v>
      </c>
      <c r="B9118" s="356">
        <v>44272</v>
      </c>
      <c r="C9118" s="1">
        <v>596</v>
      </c>
      <c r="D9118" s="47">
        <f t="shared" si="782"/>
        <v>223826</v>
      </c>
      <c r="E9118" s="1">
        <v>43</v>
      </c>
      <c r="F9118" s="47">
        <f t="shared" si="783"/>
        <v>4179</v>
      </c>
      <c r="G9118" s="203">
        <f>SUM(C9118,C9094,C9070,C9046,C9022,C8998,C8974,C8950,C8926,C8902,C8878,C8854,C8830,C8806)/POBLA!$B$21*100000</f>
        <v>173.48062361406372</v>
      </c>
      <c r="H9118" s="254">
        <f t="shared" si="784"/>
        <v>1.1973067915690867</v>
      </c>
    </row>
    <row r="9119" spans="1:8" x14ac:dyDescent="0.25">
      <c r="A9119" s="84" t="s">
        <v>38</v>
      </c>
      <c r="B9119" s="356">
        <v>44272</v>
      </c>
      <c r="C9119" s="1">
        <v>108</v>
      </c>
      <c r="D9119" s="47">
        <f t="shared" si="782"/>
        <v>23715</v>
      </c>
      <c r="F9119" s="47">
        <f t="shared" si="783"/>
        <v>276</v>
      </c>
      <c r="G9119" s="203">
        <f>SUM(C9119,C9095,C9071,C9047,C9023,C8999,C8975,C8951,C8927,C8903,C8879,C8855,C8831,C8807)/POBLA!$B$22*100000</f>
        <v>94.857167389168907</v>
      </c>
      <c r="H9119" s="254">
        <f t="shared" si="784"/>
        <v>1.1248484848484848</v>
      </c>
    </row>
    <row r="9120" spans="1:8" x14ac:dyDescent="0.25">
      <c r="A9120" s="84" t="s">
        <v>39</v>
      </c>
      <c r="B9120" s="356">
        <v>44272</v>
      </c>
      <c r="C9120" s="1">
        <v>33</v>
      </c>
      <c r="D9120" s="47">
        <f t="shared" si="782"/>
        <v>23449</v>
      </c>
      <c r="F9120" s="47">
        <f t="shared" si="783"/>
        <v>358</v>
      </c>
      <c r="G9120" s="203">
        <f>SUM(C9120,C9096,C9072,C9048,C9024,C9000,C8976,C8952,C8928,C8904,C8880,C8856,C8832,C8808)/POBLA!$B$23*100000</f>
        <v>226.77147542837753</v>
      </c>
      <c r="H9120" s="254">
        <f t="shared" si="784"/>
        <v>0.77263969171483626</v>
      </c>
    </row>
    <row r="9121" spans="1:8" ht="15.75" thickBot="1" x14ac:dyDescent="0.3">
      <c r="A9121" s="85" t="s">
        <v>40</v>
      </c>
      <c r="B9121" s="356">
        <v>44272</v>
      </c>
      <c r="C9121" s="1">
        <v>286</v>
      </c>
      <c r="D9121" s="214">
        <f t="shared" si="782"/>
        <v>82969</v>
      </c>
      <c r="E9121" s="1">
        <v>1</v>
      </c>
      <c r="F9121" s="214">
        <f t="shared" si="783"/>
        <v>1492</v>
      </c>
      <c r="G9121" s="215">
        <f>SUM(C9121,C9097,C9073,C9049,C9025,C9001,C8977,C8953,C8929,C8905,C8881,C8857,C8833,C8809)/POBLA!$B$24*100000</f>
        <v>157.2590543449526</v>
      </c>
      <c r="H9121" s="255">
        <f t="shared" si="784"/>
        <v>1.3452801615345784</v>
      </c>
    </row>
    <row r="9122" spans="1:8" x14ac:dyDescent="0.25">
      <c r="A9122" s="36" t="s">
        <v>16</v>
      </c>
      <c r="B9122" s="356">
        <v>44273</v>
      </c>
      <c r="C9122" s="1">
        <v>3583</v>
      </c>
      <c r="D9122" s="211">
        <f t="shared" si="782"/>
        <v>930851</v>
      </c>
      <c r="E9122" s="1">
        <v>75</v>
      </c>
      <c r="F9122" s="211">
        <f t="shared" si="783"/>
        <v>27445</v>
      </c>
      <c r="G9122" s="212">
        <f>SUM(C9122,C9098,C9074,C9050,C9026,C9002,C8978,C8954,C8930,C8906,C8882,C8858,C8834,C8810)/POBLA!$B$1*100000</f>
        <v>225.68657306842238</v>
      </c>
      <c r="H9122" s="253">
        <f t="shared" si="784"/>
        <v>1.071306795118123</v>
      </c>
    </row>
    <row r="9123" spans="1:8" x14ac:dyDescent="0.25">
      <c r="A9123" s="84" t="s">
        <v>43</v>
      </c>
      <c r="B9123" s="356">
        <v>44273</v>
      </c>
      <c r="C9123" s="1">
        <v>916</v>
      </c>
      <c r="D9123" s="47">
        <f t="shared" si="782"/>
        <v>245854</v>
      </c>
      <c r="E9123" s="1">
        <v>32</v>
      </c>
      <c r="F9123" s="47">
        <f t="shared" si="783"/>
        <v>6753</v>
      </c>
      <c r="G9123" s="203">
        <f>SUM(C9123,C9099,C9075,C9051,C9027,C9003,C8979,C8955,C8931,C8907,C8883,C8859,C8835,C8811)/POBLA!$B$2*100000</f>
        <v>369.06067863466728</v>
      </c>
      <c r="H9123" s="254">
        <f t="shared" si="784"/>
        <v>1.1858545758462182</v>
      </c>
    </row>
    <row r="9124" spans="1:8" x14ac:dyDescent="0.25">
      <c r="A9124" s="84" t="s">
        <v>28</v>
      </c>
      <c r="B9124" s="356">
        <v>44273</v>
      </c>
      <c r="C9124" s="1">
        <v>101</v>
      </c>
      <c r="D9124" s="47">
        <f t="shared" si="782"/>
        <v>9459</v>
      </c>
      <c r="F9124" s="47">
        <f t="shared" si="783"/>
        <v>18</v>
      </c>
      <c r="G9124" s="203">
        <f>SUM(C9124,C9100,C9076,C9052,C9028,C9004,C8980,C8956,C8932,C8908,C8884,C8860,C8836,C8812)/POBLA!$B$3*100000</f>
        <v>292.70312296901102</v>
      </c>
      <c r="H9124" s="254">
        <f t="shared" si="784"/>
        <v>1.0033003300330032</v>
      </c>
    </row>
    <row r="9125" spans="1:8" x14ac:dyDescent="0.25">
      <c r="A9125" s="84" t="s">
        <v>15</v>
      </c>
      <c r="B9125" s="356">
        <v>44273</v>
      </c>
      <c r="C9125" s="1">
        <v>181</v>
      </c>
      <c r="D9125" s="47">
        <f t="shared" si="782"/>
        <v>36506</v>
      </c>
      <c r="E9125" s="1">
        <v>3</v>
      </c>
      <c r="F9125" s="47">
        <f t="shared" si="783"/>
        <v>903</v>
      </c>
      <c r="G9125" s="203">
        <f>SUM(C9125,C9101,C9077,C9053,C9029,C9005,C8981,C8957,C8933,C8909,C8885,C8861,C8837,C8813)/POBLA!$B$4*100000</f>
        <v>151.17791756361967</v>
      </c>
      <c r="H9125" s="254">
        <f t="shared" si="784"/>
        <v>0.95791688584955281</v>
      </c>
    </row>
    <row r="9126" spans="1:8" x14ac:dyDescent="0.25">
      <c r="A9126" s="84" t="s">
        <v>29</v>
      </c>
      <c r="B9126" s="356">
        <v>44273</v>
      </c>
      <c r="C9126" s="1">
        <v>91</v>
      </c>
      <c r="D9126" s="47">
        <f t="shared" si="782"/>
        <v>48568</v>
      </c>
      <c r="E9126" s="1">
        <v>1</v>
      </c>
      <c r="F9126" s="47">
        <f t="shared" si="783"/>
        <v>813</v>
      </c>
      <c r="G9126" s="203">
        <f>SUM(C9126,C9102,C9078,C9054,C9030,C9006,C8982,C8958,C8934,C8910,C8886,C8862,C8838,C8814)/POBLA!$B$5*100000</f>
        <v>196.28623217672543</v>
      </c>
      <c r="H9126" s="254">
        <f t="shared" si="784"/>
        <v>0.79359895493141741</v>
      </c>
    </row>
    <row r="9127" spans="1:8" x14ac:dyDescent="0.25">
      <c r="A9127" s="84" t="s">
        <v>30</v>
      </c>
      <c r="B9127" s="356">
        <v>44273</v>
      </c>
      <c r="C9127" s="1">
        <v>318</v>
      </c>
      <c r="D9127" s="47">
        <f t="shared" si="782"/>
        <v>25779</v>
      </c>
      <c r="E9127" s="1">
        <v>6</v>
      </c>
      <c r="F9127" s="47">
        <f t="shared" si="783"/>
        <v>312</v>
      </c>
      <c r="G9127" s="203">
        <f>SUM(C9127,C9103,C9079,C9055,C9031,C9007,C8983,C8959,C8935,C8911,C8887,C8863,C8839,C8815)/POBLA!$B$6*100000</f>
        <v>273.91124740252729</v>
      </c>
      <c r="H9127" s="254">
        <f t="shared" si="784"/>
        <v>1.4339093881363849</v>
      </c>
    </row>
    <row r="9128" spans="1:8" x14ac:dyDescent="0.25">
      <c r="A9128" s="84" t="s">
        <v>20</v>
      </c>
      <c r="B9128" s="356">
        <v>44273</v>
      </c>
      <c r="C9128" s="1">
        <v>709</v>
      </c>
      <c r="D9128" s="47">
        <f t="shared" si="782"/>
        <v>170561</v>
      </c>
      <c r="E9128" s="1">
        <v>5</v>
      </c>
      <c r="F9128" s="47">
        <f t="shared" si="783"/>
        <v>2957</v>
      </c>
      <c r="G9128" s="203">
        <f>SUM(C9128,C9104,C9080,C9056,C9032,C9008,C8984,C8960,C8936,C8912,C8888,C8864,C8840,C8816)/POBLA!$B$7*100000</f>
        <v>215.85182624419951</v>
      </c>
      <c r="H9128" s="254">
        <f>SUM(C9128,C9104,C9080,C9056,C9032,C9008,C8984,C8960,C8936,C8912,C8888,C8864,C8840,C8816)/SUM(C8792,C8768,C8744,C8720,C8696,C8672,C8648,C8624,C8600,C8576,C8552,C8528,C8504,C8480)</f>
        <v>0.93459988485895218</v>
      </c>
    </row>
    <row r="9129" spans="1:8" x14ac:dyDescent="0.25">
      <c r="A9129" s="84" t="s">
        <v>31</v>
      </c>
      <c r="B9129" s="356">
        <v>44273</v>
      </c>
      <c r="C9129" s="1">
        <v>211</v>
      </c>
      <c r="D9129" s="47">
        <f t="shared" si="782"/>
        <v>47607</v>
      </c>
      <c r="E9129" s="1">
        <v>2</v>
      </c>
      <c r="F9129" s="47">
        <f t="shared" ref="F9129:F9152" si="785">E9129+F9105</f>
        <v>920</v>
      </c>
      <c r="G9129" s="203">
        <f>SUM(C9129,C9105,C9081,C9057,C9033,C9009,C8985,C8961,C8937,C8913,C8889,C8865,C8841,C8817)/POBLA!$B$8*100000</f>
        <v>136.43962564603189</v>
      </c>
      <c r="H9129" s="254">
        <f t="shared" ref="H9129:H9151" si="786">SUM(C9129,C9105,C9081,C9057,C9033,C9009,C8985,C8961,C8937,C8913,C8889,C8865,C8841,C8817)/SUM(C8793,C8769,C8745,C8721,C8697,C8673,C8649,C8625,C8601,C8577,C8553,C8529,C8505,C8481)</f>
        <v>1.076879271070615</v>
      </c>
    </row>
    <row r="9130" spans="1:8" x14ac:dyDescent="0.25">
      <c r="A9130" s="84" t="s">
        <v>41</v>
      </c>
      <c r="B9130" s="356">
        <v>44273</v>
      </c>
      <c r="C9130" s="1">
        <v>13</v>
      </c>
      <c r="D9130" s="47">
        <f t="shared" si="782"/>
        <v>1660</v>
      </c>
      <c r="F9130" s="47">
        <f t="shared" si="785"/>
        <v>23</v>
      </c>
      <c r="G9130" s="203">
        <f>SUM(C9130,C9106,C9082,C9058,C9034,C9010,C8986,C8962,C8938,C8914,C8890,C8866,C8842,C8818)/POBLA!$B$9*100000</f>
        <v>57.998027075660161</v>
      </c>
      <c r="H9130" s="254">
        <f t="shared" si="786"/>
        <v>1.3048327137546469</v>
      </c>
    </row>
    <row r="9131" spans="1:8" x14ac:dyDescent="0.25">
      <c r="A9131" s="84" t="s">
        <v>32</v>
      </c>
      <c r="B9131" s="356">
        <v>44273</v>
      </c>
      <c r="C9131" s="1">
        <v>52</v>
      </c>
      <c r="D9131" s="47">
        <f t="shared" si="782"/>
        <v>21890</v>
      </c>
      <c r="F9131" s="47">
        <f t="shared" si="785"/>
        <v>937</v>
      </c>
      <c r="G9131" s="203">
        <f>SUM(C9131,C9107,C9083,C9059,C9035,C9011,C8987,C8963,C8939,C8915,C8891,C8867,C8843,C8819)/POBLA!$B$10*100000</f>
        <v>106.50152228424362</v>
      </c>
      <c r="H9131" s="254">
        <f t="shared" si="786"/>
        <v>0.71640488656195467</v>
      </c>
    </row>
    <row r="9132" spans="1:8" x14ac:dyDescent="0.25">
      <c r="A9132" s="84" t="s">
        <v>33</v>
      </c>
      <c r="B9132" s="356">
        <v>44273</v>
      </c>
      <c r="C9132" s="1">
        <v>83</v>
      </c>
      <c r="D9132" s="47">
        <f t="shared" si="782"/>
        <v>20311</v>
      </c>
      <c r="F9132" s="47">
        <f t="shared" si="785"/>
        <v>308</v>
      </c>
      <c r="G9132" s="203">
        <f>SUM(C9132,C9108,C9084,C9060,C9036,C9012,C8988,C8964,C8940,C8916,C8892,C8868,C8844,C8820)/POBLA!$B$11*100000</f>
        <v>350.69804814356019</v>
      </c>
      <c r="H9132" s="254">
        <f t="shared" si="786"/>
        <v>1.1293800539083558</v>
      </c>
    </row>
    <row r="9133" spans="1:8" x14ac:dyDescent="0.25">
      <c r="A9133" s="84" t="s">
        <v>21</v>
      </c>
      <c r="B9133" s="356">
        <v>44273</v>
      </c>
      <c r="C9133" s="1">
        <v>53</v>
      </c>
      <c r="D9133" s="47">
        <f t="shared" si="782"/>
        <v>10620</v>
      </c>
      <c r="F9133" s="47">
        <f t="shared" si="785"/>
        <v>447</v>
      </c>
      <c r="G9133" s="203">
        <f>SUM(C9133,C9109,C9085,C9061,C9037,C9013,C8989,C8965,C8941,C8917,C8893,C8869,C8845,C8821)/POBLA!$B$12*100000</f>
        <v>79.790410412394451</v>
      </c>
      <c r="H9133" s="254">
        <f t="shared" si="786"/>
        <v>0.86980609418282551</v>
      </c>
    </row>
    <row r="9134" spans="1:8" x14ac:dyDescent="0.25">
      <c r="A9134" s="84" t="s">
        <v>17</v>
      </c>
      <c r="B9134" s="356">
        <v>44273</v>
      </c>
      <c r="C9134" s="1">
        <v>218</v>
      </c>
      <c r="D9134" s="47">
        <f t="shared" si="782"/>
        <v>70025</v>
      </c>
      <c r="E9134" s="1">
        <v>2</v>
      </c>
      <c r="F9134" s="47">
        <f t="shared" si="785"/>
        <v>1486</v>
      </c>
      <c r="G9134" s="203">
        <f>SUM(C9134,C9110,C9086,C9062,C9038,C9014,C8990,C8966,C8942,C8918,C8894,C8870,C8846,C8822)/POBLA!$B$13*100000</f>
        <v>107.46918362609767</v>
      </c>
      <c r="H9134" s="254">
        <f t="shared" si="786"/>
        <v>1.1512378902045211</v>
      </c>
    </row>
    <row r="9135" spans="1:8" x14ac:dyDescent="0.25">
      <c r="A9135" s="84" t="s">
        <v>23</v>
      </c>
      <c r="B9135" s="356">
        <v>44273</v>
      </c>
      <c r="C9135" s="1">
        <v>132</v>
      </c>
      <c r="D9135" s="47">
        <f t="shared" si="782"/>
        <v>10462</v>
      </c>
      <c r="E9135" s="1">
        <v>2</v>
      </c>
      <c r="F9135" s="47">
        <f t="shared" si="785"/>
        <v>178</v>
      </c>
      <c r="G9135" s="203">
        <f>SUM(C9135,C9111,C9087,C9063,C9039,C9015,C8991,C8967,C8943,C8919,C8895,C8871,C8847,C8823)/POBLA!$B$14*100000</f>
        <v>132.16585506630494</v>
      </c>
      <c r="H9135" s="254">
        <f t="shared" si="786"/>
        <v>1.0201958384332925</v>
      </c>
    </row>
    <row r="9136" spans="1:8" x14ac:dyDescent="0.25">
      <c r="A9136" s="84" t="s">
        <v>19</v>
      </c>
      <c r="B9136" s="356">
        <v>44273</v>
      </c>
      <c r="C9136" s="1">
        <v>157</v>
      </c>
      <c r="D9136" s="47">
        <f t="shared" si="782"/>
        <v>63750</v>
      </c>
      <c r="E9136" s="1">
        <v>1</v>
      </c>
      <c r="F9136" s="47">
        <f t="shared" si="785"/>
        <v>968</v>
      </c>
      <c r="G9136" s="203">
        <f>SUM(C9136,C9112,C9088,C9064,C9040,C9016,C8992,C8968,C8944,C8920,C8896,C8872,C8848,C8824)/POBLA!$B$15*100000</f>
        <v>280.24702698714117</v>
      </c>
      <c r="H9136" s="254">
        <f t="shared" si="786"/>
        <v>0.76052308949734371</v>
      </c>
    </row>
    <row r="9137" spans="1:8" x14ac:dyDescent="0.25">
      <c r="A9137" s="84" t="s">
        <v>18</v>
      </c>
      <c r="B9137" s="356">
        <v>44273</v>
      </c>
      <c r="C9137" s="1">
        <v>119</v>
      </c>
      <c r="D9137" s="47">
        <f t="shared" si="782"/>
        <v>54225</v>
      </c>
      <c r="E9137" s="1">
        <v>1</v>
      </c>
      <c r="F9137" s="47">
        <f t="shared" si="785"/>
        <v>1250</v>
      </c>
      <c r="G9137" s="203">
        <f>SUM(C9137,C9113,C9089,C9065,C9041,C9017,C8993,C8969,C8945,C8921,C8897,C8873,C8849,C8825)/POBLA!$B$16*100000</f>
        <v>180.70919329596981</v>
      </c>
      <c r="H9137" s="254">
        <f t="shared" si="786"/>
        <v>0.79237536656891494</v>
      </c>
    </row>
    <row r="9138" spans="1:8" x14ac:dyDescent="0.25">
      <c r="A9138" s="84" t="s">
        <v>34</v>
      </c>
      <c r="B9138" s="356">
        <v>44273</v>
      </c>
      <c r="C9138" s="1">
        <v>145</v>
      </c>
      <c r="D9138" s="47">
        <f t="shared" si="782"/>
        <v>28089</v>
      </c>
      <c r="E9138" s="1">
        <v>1</v>
      </c>
      <c r="F9138" s="47">
        <f t="shared" si="785"/>
        <v>1153</v>
      </c>
      <c r="G9138" s="203">
        <f>SUM(C9138,C9114,C9090,C9066,C9042,C9018,C8994,C8970,C8946,C8922,C8898,C8874,C8850,C8826)/POBLA!$B$17*100000</f>
        <v>103.90361675853011</v>
      </c>
      <c r="H9138" s="254">
        <f t="shared" si="786"/>
        <v>0.93375394321766558</v>
      </c>
    </row>
    <row r="9139" spans="1:8" x14ac:dyDescent="0.25">
      <c r="A9139" s="84" t="s">
        <v>35</v>
      </c>
      <c r="B9139" s="356">
        <v>44273</v>
      </c>
      <c r="C9139" s="1">
        <v>87</v>
      </c>
      <c r="D9139" s="47">
        <f t="shared" si="782"/>
        <v>16178</v>
      </c>
      <c r="F9139" s="47">
        <f t="shared" si="785"/>
        <v>219</v>
      </c>
      <c r="G9139" s="203">
        <f>SUM(C9139,C9115,C9091,C9067,C9043,C9019,C8995,C8971,C8947,C8923,C8899,C8875,C8851,C8827)/POBLA!$B$18*100000</f>
        <v>92.291898409788828</v>
      </c>
      <c r="H9139" s="254">
        <f t="shared" si="786"/>
        <v>1.1336477987421383</v>
      </c>
    </row>
    <row r="9140" spans="1:8" x14ac:dyDescent="0.25">
      <c r="A9140" s="84" t="s">
        <v>36</v>
      </c>
      <c r="B9140" s="356">
        <v>44273</v>
      </c>
      <c r="C9140" s="1">
        <v>12</v>
      </c>
      <c r="D9140" s="47">
        <f t="shared" si="782"/>
        <v>21536</v>
      </c>
      <c r="E9140" s="1">
        <v>4</v>
      </c>
      <c r="F9140" s="47">
        <f t="shared" si="785"/>
        <v>366</v>
      </c>
      <c r="G9140" s="203">
        <f>SUM(C9140,C9116,C9092,C9068,C9044,C9020,C8996,C8972,C8948,C8924,C8900,C8876,C8852,C8828)/POBLA!$B$19*100000</f>
        <v>145.57529783919045</v>
      </c>
      <c r="H9140" s="254">
        <f t="shared" si="786"/>
        <v>1.3405797101449275</v>
      </c>
    </row>
    <row r="9141" spans="1:8" x14ac:dyDescent="0.25">
      <c r="A9141" s="84" t="s">
        <v>37</v>
      </c>
      <c r="B9141" s="356">
        <v>44273</v>
      </c>
      <c r="C9141" s="1">
        <v>145</v>
      </c>
      <c r="D9141" s="47">
        <f t="shared" si="782"/>
        <v>37861</v>
      </c>
      <c r="E9141" s="1">
        <v>5</v>
      </c>
      <c r="F9141" s="47">
        <f t="shared" si="785"/>
        <v>618</v>
      </c>
      <c r="G9141" s="203">
        <f>SUM(C9141,C9117,C9093,C9069,C9045,C9021,C8997,C8973,C8949,C8925,C8901,C8877,C8853,C8829)/POBLA!$B$20*100000</f>
        <v>391.03303818998194</v>
      </c>
      <c r="H9141" s="254">
        <f t="shared" si="786"/>
        <v>0.91257179323548177</v>
      </c>
    </row>
    <row r="9142" spans="1:8" x14ac:dyDescent="0.25">
      <c r="A9142" s="84" t="s">
        <v>22</v>
      </c>
      <c r="B9142" s="356">
        <v>44273</v>
      </c>
      <c r="C9142" s="1">
        <v>486</v>
      </c>
      <c r="D9142" s="47">
        <f t="shared" si="782"/>
        <v>224312</v>
      </c>
      <c r="E9142" s="1">
        <v>15</v>
      </c>
      <c r="F9142" s="47">
        <f t="shared" si="785"/>
        <v>4194</v>
      </c>
      <c r="G9142" s="203">
        <f>SUM(C9142,C9118,C9094,C9070,C9046,C9022,C8998,C8974,C8950,C8926,C8902,C8878,C8854,C8830)/POBLA!$B$21*100000</f>
        <v>173.67856401590535</v>
      </c>
      <c r="H9142" s="254">
        <f t="shared" si="786"/>
        <v>1.1809267448567584</v>
      </c>
    </row>
    <row r="9143" spans="1:8" x14ac:dyDescent="0.25">
      <c r="A9143" s="84" t="s">
        <v>38</v>
      </c>
      <c r="B9143" s="356">
        <v>44273</v>
      </c>
      <c r="C9143" s="1">
        <v>110</v>
      </c>
      <c r="D9143" s="47">
        <f t="shared" si="782"/>
        <v>23825</v>
      </c>
      <c r="F9143" s="47">
        <f t="shared" si="785"/>
        <v>276</v>
      </c>
      <c r="G9143" s="203">
        <f>SUM(C9143,C9119,C9095,C9071,C9047,C9023,C8999,C8975,C8951,C8927,C8903,C8879,C8855,C8831)/POBLA!$B$22*100000</f>
        <v>97.923670645284275</v>
      </c>
      <c r="H9143" s="254">
        <f t="shared" si="786"/>
        <v>1.1473053892215568</v>
      </c>
    </row>
    <row r="9144" spans="1:8" x14ac:dyDescent="0.25">
      <c r="A9144" s="84" t="s">
        <v>39</v>
      </c>
      <c r="B9144" s="356">
        <v>44273</v>
      </c>
      <c r="C9144" s="1">
        <v>50</v>
      </c>
      <c r="D9144" s="47">
        <f t="shared" si="782"/>
        <v>23499</v>
      </c>
      <c r="F9144" s="47">
        <f t="shared" si="785"/>
        <v>358</v>
      </c>
      <c r="G9144" s="203">
        <f>SUM(C9144,C9120,C9096,C9072,C9048,C9024,C9000,C8976,C8952,C8928,C8904,C8880,C8856,C8832)/POBLA!$B$23*100000</f>
        <v>236.3852287507776</v>
      </c>
      <c r="H9144" s="254">
        <f t="shared" si="786"/>
        <v>0.84104627766599593</v>
      </c>
    </row>
    <row r="9145" spans="1:8" ht="15.75" thickBot="1" x14ac:dyDescent="0.3">
      <c r="A9145" s="85" t="s">
        <v>40</v>
      </c>
      <c r="B9145" s="356">
        <v>44273</v>
      </c>
      <c r="C9145" s="1">
        <v>356</v>
      </c>
      <c r="D9145" s="214">
        <f t="shared" si="782"/>
        <v>83325</v>
      </c>
      <c r="F9145" s="214">
        <f t="shared" si="785"/>
        <v>1492</v>
      </c>
      <c r="G9145" s="215">
        <f>SUM(C9145,C9121,C9097,C9073,C9049,C9025,C9001,C8977,C8953,C8929,C8905,C8881,C8857,C8833)/POBLA!$B$24*100000</f>
        <v>169.41491370520035</v>
      </c>
      <c r="H9145" s="255">
        <f t="shared" si="786"/>
        <v>1.4276479363500747</v>
      </c>
    </row>
    <row r="9146" spans="1:8" x14ac:dyDescent="0.25">
      <c r="A9146" s="36" t="s">
        <v>16</v>
      </c>
      <c r="B9146" s="356">
        <v>44274</v>
      </c>
      <c r="C9146" s="1">
        <v>3542</v>
      </c>
      <c r="D9146" s="211">
        <f t="shared" si="782"/>
        <v>934393</v>
      </c>
      <c r="E9146" s="1">
        <v>32</v>
      </c>
      <c r="F9146" s="211">
        <f t="shared" si="785"/>
        <v>27477</v>
      </c>
      <c r="G9146" s="212">
        <f>SUM(C9146,C9122,C9098,C9074,C9050,C9026,C9002,C8978,C8954,C8930,C8906,C8882,C8858,C8834)/POBLA!$B$1*100000</f>
        <v>225.96021547287032</v>
      </c>
      <c r="H9146" s="253">
        <f t="shared" si="786"/>
        <v>1.0742045639330045</v>
      </c>
    </row>
    <row r="9147" spans="1:8" x14ac:dyDescent="0.25">
      <c r="A9147" s="84" t="s">
        <v>43</v>
      </c>
      <c r="B9147" s="356">
        <v>44274</v>
      </c>
      <c r="C9147" s="1">
        <v>884</v>
      </c>
      <c r="D9147" s="47">
        <f t="shared" si="782"/>
        <v>246738</v>
      </c>
      <c r="E9147" s="1">
        <v>8</v>
      </c>
      <c r="F9147" s="47">
        <f t="shared" si="785"/>
        <v>6761</v>
      </c>
      <c r="G9147" s="203">
        <f>SUM(C9147,C9123,C9099,C9075,C9051,C9027,C9003,C8979,C8955,C8931,C8907,C8883,C8859,C8835)/POBLA!$B$2*100000</f>
        <v>369.74346202391303</v>
      </c>
      <c r="H9147" s="254">
        <f t="shared" si="786"/>
        <v>1.1860659157279934</v>
      </c>
    </row>
    <row r="9148" spans="1:8" x14ac:dyDescent="0.25">
      <c r="A9148" s="84" t="s">
        <v>28</v>
      </c>
      <c r="B9148" s="356">
        <v>44274</v>
      </c>
      <c r="C9148" s="1">
        <v>116</v>
      </c>
      <c r="D9148" s="47">
        <f t="shared" si="782"/>
        <v>9575</v>
      </c>
      <c r="F9148" s="47">
        <f t="shared" si="785"/>
        <v>18</v>
      </c>
      <c r="G9148" s="203">
        <f>SUM(C9148,C9124,C9100,C9076,C9052,C9028,C9004,C8980,C8956,C8932,C8908,C8884,C8860,C8836)/POBLA!$B$3*100000</f>
        <v>292.46241316393781</v>
      </c>
      <c r="H9148" s="254">
        <f t="shared" si="786"/>
        <v>0.98700243704305446</v>
      </c>
    </row>
    <row r="9149" spans="1:8" x14ac:dyDescent="0.25">
      <c r="A9149" s="84" t="s">
        <v>15</v>
      </c>
      <c r="B9149" s="356">
        <v>44274</v>
      </c>
      <c r="C9149" s="1">
        <v>166</v>
      </c>
      <c r="D9149" s="47">
        <f t="shared" si="782"/>
        <v>36672</v>
      </c>
      <c r="E9149" s="1">
        <v>1</v>
      </c>
      <c r="F9149" s="47">
        <f t="shared" si="785"/>
        <v>904</v>
      </c>
      <c r="G9149" s="203">
        <f>SUM(C9149,C9125,C9101,C9077,C9053,C9029,C9005,C8981,C8957,C8933,C8909,C8885,C8861,C8837)/POBLA!$B$4*100000</f>
        <v>150.67980251398666</v>
      </c>
      <c r="H9149" s="254">
        <f t="shared" si="786"/>
        <v>0.95125786163522008</v>
      </c>
    </row>
    <row r="9150" spans="1:8" x14ac:dyDescent="0.25">
      <c r="A9150" s="84" t="s">
        <v>29</v>
      </c>
      <c r="B9150" s="356">
        <v>44274</v>
      </c>
      <c r="C9150" s="1">
        <v>127</v>
      </c>
      <c r="D9150" s="47">
        <f t="shared" si="782"/>
        <v>48695</v>
      </c>
      <c r="E9150" s="1">
        <v>2</v>
      </c>
      <c r="F9150" s="47">
        <f t="shared" si="785"/>
        <v>815</v>
      </c>
      <c r="G9150" s="203">
        <f>SUM(C9150,C9126,C9102,C9078,C9054,C9030,C9006,C8982,C8958,C8934,C8910,C8886,C8862,C8838)/POBLA!$B$5*100000</f>
        <v>199.35572881158782</v>
      </c>
      <c r="H9150" s="254">
        <f t="shared" si="786"/>
        <v>0.84404924760601918</v>
      </c>
    </row>
    <row r="9151" spans="1:8" x14ac:dyDescent="0.25">
      <c r="A9151" s="84" t="s">
        <v>30</v>
      </c>
      <c r="B9151" s="356">
        <v>44274</v>
      </c>
      <c r="C9151" s="1">
        <v>357</v>
      </c>
      <c r="D9151" s="47">
        <f t="shared" si="782"/>
        <v>26136</v>
      </c>
      <c r="E9151" s="1">
        <v>5</v>
      </c>
      <c r="F9151" s="47">
        <f t="shared" si="785"/>
        <v>317</v>
      </c>
      <c r="G9151" s="203">
        <f>SUM(C9151,C9127,C9103,C9079,C9055,C9031,C9007,C8983,C8959,C8935,C8911,C8887,C8863,C8839)/POBLA!$B$6*100000</f>
        <v>291.93407215018544</v>
      </c>
      <c r="H9151" s="254">
        <f t="shared" si="786"/>
        <v>1.504367816091954</v>
      </c>
    </row>
    <row r="9152" spans="1:8" x14ac:dyDescent="0.25">
      <c r="A9152" s="84" t="s">
        <v>20</v>
      </c>
      <c r="B9152" s="356">
        <v>44274</v>
      </c>
      <c r="C9152" s="1">
        <v>683</v>
      </c>
      <c r="D9152" s="47">
        <f t="shared" si="782"/>
        <v>171244</v>
      </c>
      <c r="E9152" s="1">
        <v>9</v>
      </c>
      <c r="F9152" s="47">
        <f t="shared" si="785"/>
        <v>2966</v>
      </c>
      <c r="G9152" s="203">
        <f>SUM(C9152,C9128,C9104,C9080,C9056,C9032,C9008,C8984,C8960,C8936,C8912,C8888,C8864,C8840)/POBLA!$B$7*100000</f>
        <v>214.65516095148189</v>
      </c>
      <c r="H9152" s="254">
        <f>SUM(C9152,C9128,C9104,C9080,C9056,C9032,C9008,C8984,C8960,C8936,C8912,C8888,C8864,C8840)/SUM(C8816,C8792,C8768,C8744,C8720,C8696,C8672,C8648,C8624,C8600,C8576,C8552,C8528,C8504)</f>
        <v>0.93991616208663253</v>
      </c>
    </row>
    <row r="9153" spans="1:8" x14ac:dyDescent="0.25">
      <c r="A9153" s="84" t="s">
        <v>31</v>
      </c>
      <c r="B9153" s="356">
        <v>44274</v>
      </c>
      <c r="C9153" s="1">
        <v>241</v>
      </c>
      <c r="D9153" s="47">
        <f t="shared" si="782"/>
        <v>47848</v>
      </c>
      <c r="E9153" s="1">
        <v>3</v>
      </c>
      <c r="F9153" s="47">
        <f t="shared" ref="F9153:F9176" si="787">E9153+F9129</f>
        <v>923</v>
      </c>
      <c r="G9153" s="203">
        <f>SUM(C9153,C9129,C9105,C9081,C9057,C9033,C9009,C8985,C8961,C8937,C8913,C8889,C8865,C8841)/POBLA!$B$8*100000</f>
        <v>145.17003003692022</v>
      </c>
      <c r="H9153" s="254">
        <f t="shared" ref="H9153:H9175" si="788">SUM(C9153,C9129,C9105,C9081,C9057,C9033,C9009,C8985,C8961,C8937,C8913,C8889,C8865,C8841)/SUM(C8817,C8793,C8769,C8745,C8721,C8697,C8673,C8649,C8625,C8601,C8577,C8553,C8529,C8505)</f>
        <v>1.1690877396862289</v>
      </c>
    </row>
    <row r="9154" spans="1:8" x14ac:dyDescent="0.25">
      <c r="A9154" s="84" t="s">
        <v>41</v>
      </c>
      <c r="B9154" s="356">
        <v>44274</v>
      </c>
      <c r="C9154" s="1">
        <v>25</v>
      </c>
      <c r="D9154" s="47">
        <f t="shared" si="782"/>
        <v>1685</v>
      </c>
      <c r="E9154" s="1">
        <v>2</v>
      </c>
      <c r="F9154" s="47">
        <f t="shared" si="787"/>
        <v>25</v>
      </c>
      <c r="G9154" s="203">
        <f>SUM(C9154,C9130,C9106,C9082,C9058,C9034,C9010,C8986,C8962,C8938,C8914,C8890,C8866,C8842)/POBLA!$B$9*100000</f>
        <v>57.502317442534867</v>
      </c>
      <c r="H9154" s="254">
        <f t="shared" si="788"/>
        <v>1.2428571428571429</v>
      </c>
    </row>
    <row r="9155" spans="1:8" x14ac:dyDescent="0.25">
      <c r="A9155" s="84" t="s">
        <v>32</v>
      </c>
      <c r="B9155" s="356">
        <v>44274</v>
      </c>
      <c r="C9155" s="1">
        <v>51</v>
      </c>
      <c r="D9155" s="47">
        <f t="shared" si="782"/>
        <v>21941</v>
      </c>
      <c r="E9155" s="1">
        <v>4</v>
      </c>
      <c r="F9155" s="47">
        <f t="shared" si="787"/>
        <v>941</v>
      </c>
      <c r="G9155" s="203">
        <f>SUM(C9155,C9131,C9107,C9083,C9059,C9035,C9011,C8987,C8963,C8939,C8915,C8891,C8867,C8843)/POBLA!$B$10*100000</f>
        <v>102.73959275166983</v>
      </c>
      <c r="H9155" s="254">
        <f t="shared" si="788"/>
        <v>0.67404255319148931</v>
      </c>
    </row>
    <row r="9156" spans="1:8" x14ac:dyDescent="0.25">
      <c r="A9156" s="84" t="s">
        <v>33</v>
      </c>
      <c r="B9156" s="356">
        <v>44274</v>
      </c>
      <c r="C9156" s="1">
        <v>68</v>
      </c>
      <c r="D9156" s="47">
        <f t="shared" si="782"/>
        <v>20379</v>
      </c>
      <c r="E9156" s="1">
        <v>1</v>
      </c>
      <c r="F9156" s="47">
        <f t="shared" si="787"/>
        <v>309</v>
      </c>
      <c r="G9156" s="203">
        <f>SUM(C9156,C9132,C9108,C9084,C9060,C9036,C9012,C8988,C8964,C8940,C8916,C8892,C8868,C8844)/POBLA!$B$11*100000</f>
        <v>338.980213599384</v>
      </c>
      <c r="H9156" s="254">
        <f t="shared" si="788"/>
        <v>1.0537727666955767</v>
      </c>
    </row>
    <row r="9157" spans="1:8" x14ac:dyDescent="0.25">
      <c r="A9157" s="84" t="s">
        <v>21</v>
      </c>
      <c r="B9157" s="356">
        <v>44274</v>
      </c>
      <c r="C9157" s="1">
        <v>26</v>
      </c>
      <c r="D9157" s="47">
        <f t="shared" si="782"/>
        <v>10646</v>
      </c>
      <c r="F9157" s="47">
        <f t="shared" si="787"/>
        <v>447</v>
      </c>
      <c r="G9157" s="203">
        <f>SUM(C9157,C9133,C9109,C9085,C9061,C9037,C9013,C8989,C8965,C8941,C8917,C8893,C8869,C8845)/POBLA!$B$12*100000</f>
        <v>80.552739174296306</v>
      </c>
      <c r="H9157" s="254">
        <f t="shared" si="788"/>
        <v>0.90313390313390318</v>
      </c>
    </row>
    <row r="9158" spans="1:8" x14ac:dyDescent="0.25">
      <c r="A9158" s="84" t="s">
        <v>17</v>
      </c>
      <c r="B9158" s="356">
        <v>44274</v>
      </c>
      <c r="C9158" s="1">
        <v>213</v>
      </c>
      <c r="D9158" s="47">
        <f t="shared" si="782"/>
        <v>70238</v>
      </c>
      <c r="F9158" s="47">
        <f t="shared" si="787"/>
        <v>1486</v>
      </c>
      <c r="G9158" s="203">
        <f>SUM(C9158,C9134,C9110,C9086,C9062,C9038,C9014,C8990,C8966,C8942,C8918,C8894,C8870,C8846)/POBLA!$B$13*100000</f>
        <v>110.08180520092566</v>
      </c>
      <c r="H9158" s="254">
        <f t="shared" si="788"/>
        <v>1.1654255319148936</v>
      </c>
    </row>
    <row r="9159" spans="1:8" x14ac:dyDescent="0.25">
      <c r="A9159" s="84" t="s">
        <v>23</v>
      </c>
      <c r="B9159" s="356">
        <v>44274</v>
      </c>
      <c r="C9159" s="1">
        <v>119</v>
      </c>
      <c r="D9159" s="47">
        <f t="shared" si="782"/>
        <v>10581</v>
      </c>
      <c r="E9159" s="1">
        <v>5</v>
      </c>
      <c r="F9159" s="47">
        <f t="shared" si="787"/>
        <v>183</v>
      </c>
      <c r="G9159" s="203">
        <f>SUM(C9159,C9135,C9111,C9087,C9063,C9039,C9015,C8991,C8967,C8943,C8919,C8895,C8871,C8847)/POBLA!$B$14*100000</f>
        <v>132.87940797308161</v>
      </c>
      <c r="H9159" s="254">
        <f t="shared" si="788"/>
        <v>1.0219512195121951</v>
      </c>
    </row>
    <row r="9160" spans="1:8" x14ac:dyDescent="0.25">
      <c r="A9160" s="84" t="s">
        <v>19</v>
      </c>
      <c r="B9160" s="356">
        <v>44274</v>
      </c>
      <c r="C9160" s="1">
        <v>159</v>
      </c>
      <c r="D9160" s="47">
        <f t="shared" si="782"/>
        <v>63909</v>
      </c>
      <c r="E9160" s="1">
        <v>2</v>
      </c>
      <c r="F9160" s="47">
        <f t="shared" si="787"/>
        <v>970</v>
      </c>
      <c r="G9160" s="203">
        <f>SUM(C9160,C9136,C9112,C9088,C9064,C9040,C9016,C8992,C8968,C8944,C8920,C8896,C8872,C8848)/POBLA!$B$15*100000</f>
        <v>276.78346888896584</v>
      </c>
      <c r="H9160" s="254">
        <f t="shared" si="788"/>
        <v>0.77651035065483731</v>
      </c>
    </row>
    <row r="9161" spans="1:8" x14ac:dyDescent="0.25">
      <c r="A9161" s="84" t="s">
        <v>18</v>
      </c>
      <c r="B9161" s="356">
        <v>44274</v>
      </c>
      <c r="C9161" s="1">
        <v>70</v>
      </c>
      <c r="D9161" s="47">
        <f t="shared" si="782"/>
        <v>54295</v>
      </c>
      <c r="E9161" s="1">
        <v>2</v>
      </c>
      <c r="F9161" s="47">
        <f t="shared" si="787"/>
        <v>1252</v>
      </c>
      <c r="G9161" s="203">
        <f>SUM(C9161,C9137,C9113,C9089,C9065,C9041,C9017,C8993,C8969,C8945,C8921,C8897,C8873,C8849)/POBLA!$B$16*100000</f>
        <v>169.0721097898637</v>
      </c>
      <c r="H9161" s="254">
        <f t="shared" si="788"/>
        <v>0.73275362318840576</v>
      </c>
    </row>
    <row r="9162" spans="1:8" x14ac:dyDescent="0.25">
      <c r="A9162" s="84" t="s">
        <v>34</v>
      </c>
      <c r="B9162" s="356">
        <v>44274</v>
      </c>
      <c r="C9162" s="1">
        <v>60</v>
      </c>
      <c r="D9162" s="47">
        <f t="shared" si="782"/>
        <v>28149</v>
      </c>
      <c r="E9162" s="1">
        <v>7</v>
      </c>
      <c r="F9162" s="47">
        <f t="shared" si="787"/>
        <v>1160</v>
      </c>
      <c r="G9162" s="203">
        <f>SUM(C9162,C9138,C9114,C9090,C9066,C9042,C9018,C8994,C8970,C8946,C8922,C8898,C8874,C8850)/POBLA!$B$17*100000</f>
        <v>95.970435208723401</v>
      </c>
      <c r="H9162" s="254">
        <f t="shared" si="788"/>
        <v>0.8511830635118306</v>
      </c>
    </row>
    <row r="9163" spans="1:8" x14ac:dyDescent="0.25">
      <c r="A9163" s="84" t="s">
        <v>35</v>
      </c>
      <c r="B9163" s="356">
        <v>44274</v>
      </c>
      <c r="C9163" s="1">
        <v>92</v>
      </c>
      <c r="D9163" s="47">
        <f t="shared" ref="D9163:D9193" si="789">C9163+D9139</f>
        <v>16270</v>
      </c>
      <c r="E9163" s="1">
        <v>2</v>
      </c>
      <c r="F9163" s="47">
        <f t="shared" si="787"/>
        <v>221</v>
      </c>
      <c r="G9163" s="203">
        <f>SUM(C9163,C9139,C9115,C9091,C9067,C9043,C9019,C8995,C8971,C8947,C8923,C8899,C8875,C8851)/POBLA!$B$18*100000</f>
        <v>96.132060618240516</v>
      </c>
      <c r="H9163" s="254">
        <f t="shared" si="788"/>
        <v>1.1939586645468998</v>
      </c>
    </row>
    <row r="9164" spans="1:8" x14ac:dyDescent="0.25">
      <c r="A9164" s="84" t="s">
        <v>36</v>
      </c>
      <c r="B9164" s="356">
        <v>44274</v>
      </c>
      <c r="C9164" s="1">
        <v>15</v>
      </c>
      <c r="D9164" s="47">
        <f t="shared" si="789"/>
        <v>21551</v>
      </c>
      <c r="E9164" s="1">
        <v>12</v>
      </c>
      <c r="F9164" s="47">
        <f t="shared" si="787"/>
        <v>378</v>
      </c>
      <c r="G9164" s="203">
        <f>SUM(C9164,C9140,C9116,C9092,C9068,C9044,C9020,C8996,C8972,C8948,C8924,C8900,C8876,C8852)/POBLA!$B$19*100000</f>
        <v>147.5425315937741</v>
      </c>
      <c r="H9164" s="254">
        <f t="shared" si="788"/>
        <v>1.3686131386861313</v>
      </c>
    </row>
    <row r="9165" spans="1:8" x14ac:dyDescent="0.25">
      <c r="A9165" s="84" t="s">
        <v>37</v>
      </c>
      <c r="B9165" s="356">
        <v>44274</v>
      </c>
      <c r="C9165" s="1">
        <v>133</v>
      </c>
      <c r="D9165" s="47">
        <f t="shared" si="789"/>
        <v>37994</v>
      </c>
      <c r="E9165" s="1">
        <v>4</v>
      </c>
      <c r="F9165" s="47">
        <f t="shared" si="787"/>
        <v>622</v>
      </c>
      <c r="G9165" s="203">
        <f>SUM(C9165,C9141,C9117,C9093,C9069,C9045,C9021,C8997,C8973,C8949,C8925,C8901,C8877,C8853)/POBLA!$B$20*100000</f>
        <v>386.38439368003105</v>
      </c>
      <c r="H9165" s="254">
        <f t="shared" si="788"/>
        <v>0.89487017099430022</v>
      </c>
    </row>
    <row r="9166" spans="1:8" x14ac:dyDescent="0.25">
      <c r="A9166" s="84" t="s">
        <v>22</v>
      </c>
      <c r="B9166" s="356">
        <v>44274</v>
      </c>
      <c r="C9166" s="1">
        <v>522</v>
      </c>
      <c r="D9166" s="47">
        <f t="shared" si="789"/>
        <v>224834</v>
      </c>
      <c r="E9166" s="1">
        <v>5</v>
      </c>
      <c r="F9166" s="47">
        <f t="shared" si="787"/>
        <v>4199</v>
      </c>
      <c r="G9166" s="203">
        <f>SUM(C9166,C9142,C9118,C9094,C9070,C9046,C9022,C8998,C8974,C8950,C8926,C8902,C8878,C8854)/POBLA!$B$21*100000</f>
        <v>173.53717801458993</v>
      </c>
      <c r="H9166" s="254">
        <f t="shared" si="788"/>
        <v>1.1754453169890826</v>
      </c>
    </row>
    <row r="9167" spans="1:8" x14ac:dyDescent="0.25">
      <c r="A9167" s="84" t="s">
        <v>38</v>
      </c>
      <c r="B9167" s="356">
        <v>44274</v>
      </c>
      <c r="C9167" s="1">
        <v>114</v>
      </c>
      <c r="D9167" s="47">
        <f t="shared" si="789"/>
        <v>23939</v>
      </c>
      <c r="E9167" s="1">
        <v>1</v>
      </c>
      <c r="F9167" s="47">
        <f t="shared" si="787"/>
        <v>277</v>
      </c>
      <c r="G9167" s="203">
        <f>SUM(C9167,C9143,C9119,C9095,C9071,C9047,C9023,C8999,C8975,C8951,C8927,C8903,C8879,C8855)/POBLA!$B$22*100000</f>
        <v>100.27465647497273</v>
      </c>
      <c r="H9167" s="254">
        <f t="shared" si="788"/>
        <v>1.125</v>
      </c>
    </row>
    <row r="9168" spans="1:8" x14ac:dyDescent="0.25">
      <c r="A9168" s="84" t="s">
        <v>39</v>
      </c>
      <c r="B9168" s="356">
        <v>44274</v>
      </c>
      <c r="C9168" s="1">
        <v>38</v>
      </c>
      <c r="D9168" s="47">
        <f t="shared" si="789"/>
        <v>23537</v>
      </c>
      <c r="F9168" s="47">
        <f t="shared" si="787"/>
        <v>358</v>
      </c>
      <c r="G9168" s="203">
        <f>SUM(C9168,C9144,C9120,C9096,C9072,C9048,C9024,C9000,C8976,C8952,C8928,C8904,C8880,C8856)/POBLA!$B$23*100000</f>
        <v>230.73007973760107</v>
      </c>
      <c r="H9168" s="254">
        <f t="shared" si="788"/>
        <v>0.82258064516129037</v>
      </c>
    </row>
    <row r="9169" spans="1:8" ht="15.75" thickBot="1" x14ac:dyDescent="0.3">
      <c r="A9169" s="85" t="s">
        <v>40</v>
      </c>
      <c r="B9169" s="356">
        <v>44274</v>
      </c>
      <c r="C9169" s="1">
        <v>339</v>
      </c>
      <c r="D9169" s="214">
        <f t="shared" si="789"/>
        <v>83664</v>
      </c>
      <c r="E9169" s="1">
        <v>6</v>
      </c>
      <c r="F9169" s="214">
        <f t="shared" si="787"/>
        <v>1498</v>
      </c>
      <c r="G9169" s="215">
        <f>SUM(C9169,C9145,C9121,C9097,C9073,C9049,C9025,C9001,C8977,C8953,C8929,C8905,C8881,C8857)/POBLA!$B$24*100000</f>
        <v>176.02392461950978</v>
      </c>
      <c r="H9169" s="255">
        <f t="shared" si="788"/>
        <v>1.4341346153846153</v>
      </c>
    </row>
    <row r="9170" spans="1:8" x14ac:dyDescent="0.25">
      <c r="A9170" s="36" t="s">
        <v>16</v>
      </c>
      <c r="B9170" s="356">
        <v>44275</v>
      </c>
      <c r="C9170" s="17">
        <v>3182</v>
      </c>
      <c r="D9170" s="211">
        <f t="shared" si="789"/>
        <v>937575</v>
      </c>
      <c r="E9170" s="1">
        <v>12</v>
      </c>
      <c r="F9170" s="211">
        <f t="shared" si="787"/>
        <v>27489</v>
      </c>
      <c r="G9170" s="212">
        <f>SUM(C9170,C9146,C9122,C9098,C9074,C9050,C9026,C9002,C8978,C8954,C8930,C8906,C8882,C8858)/POBLA!$B$1*100000</f>
        <v>231.4729697458107</v>
      </c>
      <c r="H9170" s="287">
        <f t="shared" si="788"/>
        <v>1.1092806600551868</v>
      </c>
    </row>
    <row r="9171" spans="1:8" x14ac:dyDescent="0.25">
      <c r="A9171" s="84" t="s">
        <v>43</v>
      </c>
      <c r="B9171" s="356">
        <v>44275</v>
      </c>
      <c r="C9171" s="17">
        <v>842</v>
      </c>
      <c r="D9171" s="47">
        <f t="shared" si="789"/>
        <v>247580</v>
      </c>
      <c r="E9171" s="1">
        <v>1</v>
      </c>
      <c r="F9171" s="47">
        <f t="shared" si="787"/>
        <v>6762</v>
      </c>
      <c r="G9171" s="203">
        <f>SUM(C9171,C9147,C9123,C9099,C9075,C9051,C9027,C9003,C8979,C8955,C8931,C8907,C8883,C8859)/POBLA!$B$2*100000</f>
        <v>375.95353951657637</v>
      </c>
      <c r="H9171" s="286">
        <f t="shared" si="788"/>
        <v>1.1991081613605725</v>
      </c>
    </row>
    <row r="9172" spans="1:8" x14ac:dyDescent="0.25">
      <c r="A9172" s="84" t="s">
        <v>28</v>
      </c>
      <c r="B9172" s="356">
        <v>44275</v>
      </c>
      <c r="C9172" s="17">
        <v>73</v>
      </c>
      <c r="D9172" s="47">
        <f t="shared" si="789"/>
        <v>9648</v>
      </c>
      <c r="F9172" s="47">
        <f t="shared" si="787"/>
        <v>18</v>
      </c>
      <c r="G9172" s="203">
        <f>SUM(C9172,C9148,C9124,C9100,C9076,C9052,C9028,C9004,C8980,C8956,C8932,C8908,C8884,C8860)/POBLA!$B$3*100000</f>
        <v>298.96157790091422</v>
      </c>
      <c r="H9172" s="286">
        <f t="shared" si="788"/>
        <v>1.0138775510204081</v>
      </c>
    </row>
    <row r="9173" spans="1:8" x14ac:dyDescent="0.25">
      <c r="A9173" s="84" t="s">
        <v>15</v>
      </c>
      <c r="B9173" s="356">
        <v>44275</v>
      </c>
      <c r="C9173" s="17">
        <v>170</v>
      </c>
      <c r="D9173" s="47">
        <f t="shared" si="789"/>
        <v>36842</v>
      </c>
      <c r="E9173" s="1">
        <v>2</v>
      </c>
      <c r="F9173" s="47">
        <f t="shared" si="787"/>
        <v>906</v>
      </c>
      <c r="G9173" s="203">
        <f>SUM(C9173,C9149,C9125,C9101,C9077,C9053,C9029,C9005,C8981,C8957,C8933,C8909,C8885,C8861)/POBLA!$B$4*100000</f>
        <v>154.66472291105077</v>
      </c>
      <c r="H9173" s="286">
        <f t="shared" si="788"/>
        <v>1.0048543689320388</v>
      </c>
    </row>
    <row r="9174" spans="1:8" x14ac:dyDescent="0.25">
      <c r="A9174" s="84" t="s">
        <v>29</v>
      </c>
      <c r="B9174" s="356">
        <v>44275</v>
      </c>
      <c r="C9174" s="17">
        <v>35</v>
      </c>
      <c r="D9174" s="47">
        <f t="shared" si="789"/>
        <v>48730</v>
      </c>
      <c r="E9174" s="1">
        <v>1</v>
      </c>
      <c r="F9174" s="47">
        <f t="shared" si="787"/>
        <v>816</v>
      </c>
      <c r="G9174" s="203">
        <f>SUM(C9174,C9150,C9126,C9102,C9078,C9054,C9030,C9006,C8982,C8958,C8934,C8910,C8886,C8862)/POBLA!$B$5*100000</f>
        <v>198.38641408478921</v>
      </c>
      <c r="H9174" s="286">
        <f t="shared" si="788"/>
        <v>0.84865238424326195</v>
      </c>
    </row>
    <row r="9175" spans="1:8" x14ac:dyDescent="0.25">
      <c r="A9175" s="84" t="s">
        <v>30</v>
      </c>
      <c r="B9175" s="356">
        <v>44275</v>
      </c>
      <c r="C9175" s="17">
        <v>235</v>
      </c>
      <c r="D9175" s="47">
        <f t="shared" si="789"/>
        <v>26371</v>
      </c>
      <c r="F9175" s="47">
        <f t="shared" si="787"/>
        <v>317</v>
      </c>
      <c r="G9175" s="203">
        <f>SUM(C9175,C9151,C9127,C9103,C9079,C9055,C9031,C9007,C8983,C8959,C8935,C8911,C8887,C8863)/POBLA!$B$6*100000</f>
        <v>297.10894262228533</v>
      </c>
      <c r="H9175" s="286">
        <f t="shared" si="788"/>
        <v>1.4952851369555455</v>
      </c>
    </row>
    <row r="9176" spans="1:8" x14ac:dyDescent="0.25">
      <c r="A9176" s="84" t="s">
        <v>20</v>
      </c>
      <c r="B9176" s="356">
        <v>44275</v>
      </c>
      <c r="C9176" s="17">
        <v>550</v>
      </c>
      <c r="D9176" s="47">
        <f t="shared" si="789"/>
        <v>171794</v>
      </c>
      <c r="E9176" s="1">
        <v>2</v>
      </c>
      <c r="F9176" s="47">
        <f t="shared" si="787"/>
        <v>2968</v>
      </c>
      <c r="G9176" s="203">
        <f>SUM(C9176,C9152,C9128,C9104,C9080,C9056,C9032,C9008,C8984,C8960,C8936,C8912,C8888,C8864)/POBLA!$B$7*100000</f>
        <v>218.32493451581593</v>
      </c>
      <c r="H9176" s="286">
        <f>SUM(C9176,C9152,C9128,C9104,C9080,C9056,C9032,C9008,C8984,C8960,C8936,C8912,C8888,C8864)/SUM(C8840,C8816,C8792,C8768,C8744,C8720,C8696,C8672,C8648,C8624,C8600,C8576,C8552,C8528)</f>
        <v>0.97633487929599239</v>
      </c>
    </row>
    <row r="9177" spans="1:8" x14ac:dyDescent="0.25">
      <c r="A9177" s="84" t="s">
        <v>31</v>
      </c>
      <c r="B9177" s="356">
        <v>44275</v>
      </c>
      <c r="C9177" s="17">
        <v>150</v>
      </c>
      <c r="D9177" s="47">
        <f t="shared" si="789"/>
        <v>47998</v>
      </c>
      <c r="F9177" s="47">
        <f t="shared" ref="F9177:F9200" si="790">E9177+F9153</f>
        <v>923</v>
      </c>
      <c r="G9177" s="203">
        <f>SUM(C9177,C9153,C9129,C9105,C9081,C9057,C9033,C9009,C8985,C8961,C8937,C8913,C8889,C8865)/POBLA!$B$8*100000</f>
        <v>148.705483054718</v>
      </c>
      <c r="H9177" s="286">
        <f t="shared" ref="H9177:H9199" si="791">SUM(C9177,C9153,C9129,C9105,C9081,C9057,C9033,C9009,C8985,C8961,C8937,C8913,C8889,C8865)/SUM(C8841,C8817,C8793,C8769,C8745,C8721,C8697,C8673,C8649,C8625,C8601,C8577,C8553,C8529)</f>
        <v>1.2080890973036342</v>
      </c>
    </row>
    <row r="9178" spans="1:8" x14ac:dyDescent="0.25">
      <c r="A9178" s="84" t="s">
        <v>41</v>
      </c>
      <c r="B9178" s="356">
        <v>44275</v>
      </c>
      <c r="C9178" s="17">
        <v>4</v>
      </c>
      <c r="D9178" s="47">
        <f t="shared" si="789"/>
        <v>1689</v>
      </c>
      <c r="F9178" s="47">
        <f t="shared" si="790"/>
        <v>25</v>
      </c>
      <c r="G9178" s="203">
        <f>SUM(C9178,C9154,C9130,C9106,C9082,C9058,C9034,C9010,C8986,C8962,C8938,C8914,C8890,C8866)/POBLA!$B$9*100000</f>
        <v>57.667553986909965</v>
      </c>
      <c r="H9178" s="286">
        <f t="shared" si="791"/>
        <v>1.2925925925925925</v>
      </c>
    </row>
    <row r="9179" spans="1:8" x14ac:dyDescent="0.25">
      <c r="A9179" s="84" t="s">
        <v>32</v>
      </c>
      <c r="B9179" s="356">
        <v>44275</v>
      </c>
      <c r="C9179" s="17">
        <v>32</v>
      </c>
      <c r="D9179" s="47">
        <f t="shared" si="789"/>
        <v>21973</v>
      </c>
      <c r="E9179" s="1">
        <v>5</v>
      </c>
      <c r="F9179" s="47">
        <f t="shared" si="790"/>
        <v>946</v>
      </c>
      <c r="G9179" s="203">
        <f>SUM(C9179,C9155,C9131,C9107,C9083,C9059,C9035,C9011,C8987,C8963,C8939,C8915,C8891,C8867)/POBLA!$B$10*100000</f>
        <v>99.626271759194992</v>
      </c>
      <c r="H9179" s="286">
        <f t="shared" si="791"/>
        <v>0.66036113499570082</v>
      </c>
    </row>
    <row r="9180" spans="1:8" x14ac:dyDescent="0.25">
      <c r="A9180" s="84" t="s">
        <v>33</v>
      </c>
      <c r="B9180" s="356">
        <v>44275</v>
      </c>
      <c r="C9180" s="17">
        <v>64</v>
      </c>
      <c r="D9180" s="47">
        <f t="shared" si="789"/>
        <v>20443</v>
      </c>
      <c r="F9180" s="47">
        <f t="shared" si="790"/>
        <v>309</v>
      </c>
      <c r="G9180" s="203">
        <f>SUM(C9180,C9156,C9132,C9108,C9084,C9060,C9036,C9012,C8988,C8964,C8940,C8916,C8892,C8868)/POBLA!$B$11*100000</f>
        <v>347.35009541665272</v>
      </c>
      <c r="H9180" s="286">
        <f t="shared" si="791"/>
        <v>1.1047027506654836</v>
      </c>
    </row>
    <row r="9181" spans="1:8" x14ac:dyDescent="0.25">
      <c r="A9181" s="84" t="s">
        <v>21</v>
      </c>
      <c r="B9181" s="356">
        <v>44275</v>
      </c>
      <c r="C9181" s="17">
        <v>27</v>
      </c>
      <c r="D9181" s="47">
        <f t="shared" si="789"/>
        <v>10673</v>
      </c>
      <c r="F9181" s="47">
        <f t="shared" si="790"/>
        <v>447</v>
      </c>
      <c r="G9181" s="203">
        <f>SUM(C9181,C9157,C9133,C9109,C9085,C9061,C9037,C9013,C8989,C8965,C8941,C8917,C8893,C8869)/POBLA!$B$12*100000</f>
        <v>81.823287110799399</v>
      </c>
      <c r="H9181" s="286">
        <f t="shared" si="791"/>
        <v>0.90196078431372551</v>
      </c>
    </row>
    <row r="9182" spans="1:8" x14ac:dyDescent="0.25">
      <c r="A9182" s="84" t="s">
        <v>17</v>
      </c>
      <c r="B9182" s="356">
        <v>44275</v>
      </c>
      <c r="C9182" s="17">
        <v>140</v>
      </c>
      <c r="D9182" s="47">
        <f t="shared" si="789"/>
        <v>70378</v>
      </c>
      <c r="F9182" s="47">
        <f t="shared" si="790"/>
        <v>1486</v>
      </c>
      <c r="G9182" s="203">
        <f>SUM(C9182,C9158,C9134,C9110,C9086,C9062,C9038,C9014,C8990,C8966,C8942,C8918,C8894,C8870)/POBLA!$B$13*100000</f>
        <v>110.88568876241121</v>
      </c>
      <c r="H9182" s="286">
        <f t="shared" si="791"/>
        <v>1.1758124667021843</v>
      </c>
    </row>
    <row r="9183" spans="1:8" x14ac:dyDescent="0.25">
      <c r="A9183" s="84" t="s">
        <v>23</v>
      </c>
      <c r="B9183" s="356">
        <v>44275</v>
      </c>
      <c r="C9183" s="17">
        <v>93</v>
      </c>
      <c r="D9183" s="47">
        <f t="shared" si="789"/>
        <v>10674</v>
      </c>
      <c r="F9183" s="47">
        <f t="shared" si="790"/>
        <v>183</v>
      </c>
      <c r="G9183" s="203">
        <f>SUM(C9183,C9159,C9135,C9111,C9087,C9063,C9039,C9015,C8991,C8967,C8943,C8919,C8895,C8871)/POBLA!$B$14*100000</f>
        <v>131.6901531284538</v>
      </c>
      <c r="H9183" s="286">
        <f t="shared" si="791"/>
        <v>1.0078883495145632</v>
      </c>
    </row>
    <row r="9184" spans="1:8" x14ac:dyDescent="0.25">
      <c r="A9184" s="84" t="s">
        <v>19</v>
      </c>
      <c r="B9184" s="356">
        <v>44275</v>
      </c>
      <c r="C9184" s="17">
        <v>88</v>
      </c>
      <c r="D9184" s="47">
        <f t="shared" si="789"/>
        <v>63997</v>
      </c>
      <c r="E9184" s="1">
        <v>1</v>
      </c>
      <c r="F9184" s="47">
        <f t="shared" si="790"/>
        <v>971</v>
      </c>
      <c r="G9184" s="203">
        <f>SUM(C9184,C9160,C9136,C9112,C9088,C9064,C9040,C9016,C8992,C8968,C8944,C8920,C8896,C8872)/POBLA!$B$15*100000</f>
        <v>276.33170044137779</v>
      </c>
      <c r="H9184" s="286">
        <f t="shared" si="791"/>
        <v>0.79921602787456447</v>
      </c>
    </row>
    <row r="9185" spans="1:8" x14ac:dyDescent="0.25">
      <c r="A9185" s="84" t="s">
        <v>18</v>
      </c>
      <c r="B9185" s="356">
        <v>44275</v>
      </c>
      <c r="C9185" s="17">
        <v>83</v>
      </c>
      <c r="D9185" s="47">
        <f t="shared" si="789"/>
        <v>54378</v>
      </c>
      <c r="E9185" s="1">
        <v>2</v>
      </c>
      <c r="F9185" s="47">
        <f t="shared" si="790"/>
        <v>1254</v>
      </c>
      <c r="G9185" s="203">
        <f>SUM(C9185,C9161,C9137,C9113,C9089,C9065,C9041,C9017,C8993,C8969,C8945,C8921,C8897,C8873)/POBLA!$B$16*100000</f>
        <v>170.67722475622315</v>
      </c>
      <c r="H9185" s="286">
        <f t="shared" si="791"/>
        <v>0.74315666860803731</v>
      </c>
    </row>
    <row r="9186" spans="1:8" x14ac:dyDescent="0.25">
      <c r="A9186" s="84" t="s">
        <v>34</v>
      </c>
      <c r="B9186" s="356">
        <v>44275</v>
      </c>
      <c r="C9186" s="17">
        <v>115</v>
      </c>
      <c r="D9186" s="47">
        <f t="shared" si="789"/>
        <v>28264</v>
      </c>
      <c r="E9186" s="1">
        <v>15</v>
      </c>
      <c r="F9186" s="47">
        <f t="shared" si="790"/>
        <v>1175</v>
      </c>
      <c r="G9186" s="203">
        <f>SUM(C9186,C9162,C9138,C9114,C9090,C9066,C9042,C9018,C8994,C8970,C8946,C8922,C8898,C8874)/POBLA!$B$17*100000</f>
        <v>99.691307971022113</v>
      </c>
      <c r="H9186" s="286">
        <f t="shared" si="791"/>
        <v>0.9329829172141918</v>
      </c>
    </row>
    <row r="9187" spans="1:8" x14ac:dyDescent="0.25">
      <c r="A9187" s="84" t="s">
        <v>35</v>
      </c>
      <c r="B9187" s="356">
        <v>44275</v>
      </c>
      <c r="C9187" s="17">
        <v>41</v>
      </c>
      <c r="D9187" s="47">
        <f t="shared" si="789"/>
        <v>16311</v>
      </c>
      <c r="F9187" s="47">
        <f t="shared" si="790"/>
        <v>221</v>
      </c>
      <c r="G9187" s="203">
        <f>SUM(C9187,C9163,C9139,C9115,C9091,C9067,C9043,C9019,C8995,C8971,C8947,C8923,C8899,C8875)/POBLA!$B$18*100000</f>
        <v>100.74025526838253</v>
      </c>
      <c r="H9187" s="286">
        <f t="shared" si="791"/>
        <v>1.294407894736842</v>
      </c>
    </row>
    <row r="9188" spans="1:8" x14ac:dyDescent="0.25">
      <c r="A9188" s="84" t="s">
        <v>36</v>
      </c>
      <c r="B9188" s="356">
        <v>44275</v>
      </c>
      <c r="C9188" s="17">
        <v>1</v>
      </c>
      <c r="D9188" s="47">
        <f t="shared" si="789"/>
        <v>21552</v>
      </c>
      <c r="F9188" s="47">
        <f t="shared" si="790"/>
        <v>378</v>
      </c>
      <c r="G9188" s="203">
        <f>SUM(C9188,C9164,C9140,C9116,C9092,C9068,C9044,C9020,C8996,C8972,C8948,C8924,C8900,C8876)/POBLA!$B$19*100000</f>
        <v>147.5425315937741</v>
      </c>
      <c r="H9188" s="286">
        <f t="shared" si="791"/>
        <v>2.6315789473684212</v>
      </c>
    </row>
    <row r="9189" spans="1:8" x14ac:dyDescent="0.25">
      <c r="A9189" s="84" t="s">
        <v>37</v>
      </c>
      <c r="B9189" s="356">
        <v>44275</v>
      </c>
      <c r="C9189" s="17">
        <v>150</v>
      </c>
      <c r="D9189" s="47">
        <f t="shared" si="789"/>
        <v>38144</v>
      </c>
      <c r="E9189" s="1">
        <v>1</v>
      </c>
      <c r="F9189" s="47">
        <f t="shared" si="790"/>
        <v>623</v>
      </c>
      <c r="G9189" s="203">
        <f>SUM(C9189,C9165,C9141,C9117,C9093,C9069,C9045,C9021,C8997,C8973,C8949,C8925,C8901,C8877)/POBLA!$B$20*100000</f>
        <v>418.9249052496869</v>
      </c>
      <c r="H9189" s="286">
        <f t="shared" si="791"/>
        <v>1.0186170212765957</v>
      </c>
    </row>
    <row r="9190" spans="1:8" x14ac:dyDescent="0.25">
      <c r="A9190" s="84" t="s">
        <v>22</v>
      </c>
      <c r="B9190" s="356">
        <v>44275</v>
      </c>
      <c r="C9190" s="17">
        <v>402</v>
      </c>
      <c r="D9190" s="47">
        <f t="shared" si="789"/>
        <v>225236</v>
      </c>
      <c r="F9190" s="47">
        <f t="shared" si="790"/>
        <v>4199</v>
      </c>
      <c r="G9190" s="203">
        <f>SUM(C9190,C9166,C9142,C9118,C9094,C9070,C9046,C9022,C8998,C8974,C8950,C8926,C8902,C8878)/POBLA!$B$21*100000</f>
        <v>175.37519603169082</v>
      </c>
      <c r="H9190" s="286">
        <f t="shared" si="791"/>
        <v>1.1968351987649557</v>
      </c>
    </row>
    <row r="9191" spans="1:8" x14ac:dyDescent="0.25">
      <c r="A9191" s="84" t="s">
        <v>38</v>
      </c>
      <c r="B9191" s="356">
        <v>44275</v>
      </c>
      <c r="C9191" s="17">
        <v>95</v>
      </c>
      <c r="D9191" s="47">
        <f t="shared" si="789"/>
        <v>24034</v>
      </c>
      <c r="F9191" s="47">
        <f t="shared" si="790"/>
        <v>277</v>
      </c>
      <c r="G9191" s="203">
        <f>SUM(C9191,C9167,C9143,C9119,C9095,C9071,C9047,C9023,C8999,C8975,C8951,C8927,C8903,C8879)/POBLA!$B$22*100000</f>
        <v>104.4655442583304</v>
      </c>
      <c r="H9191" s="286">
        <f t="shared" si="791"/>
        <v>1.1720183486238531</v>
      </c>
    </row>
    <row r="9192" spans="1:8" x14ac:dyDescent="0.25">
      <c r="A9192" s="84" t="s">
        <v>39</v>
      </c>
      <c r="B9192" s="356">
        <v>44275</v>
      </c>
      <c r="C9192" s="17">
        <v>26</v>
      </c>
      <c r="D9192" s="47">
        <f t="shared" si="789"/>
        <v>23563</v>
      </c>
      <c r="F9192" s="47">
        <f t="shared" si="790"/>
        <v>358</v>
      </c>
      <c r="G9192" s="203">
        <f>SUM(C9192,C9168,C9144,C9120,C9096,C9072,C9048,C9024,C9000,C8976,C8952,C8928,C8904,C8880)/POBLA!$B$23*100000</f>
        <v>239.77831815868348</v>
      </c>
      <c r="H9192" s="286">
        <f t="shared" si="791"/>
        <v>0.89640591966173366</v>
      </c>
    </row>
    <row r="9193" spans="1:8" ht="15.75" thickBot="1" x14ac:dyDescent="0.3">
      <c r="A9193" s="85" t="s">
        <v>40</v>
      </c>
      <c r="B9193" s="356">
        <v>44275</v>
      </c>
      <c r="C9193" s="17">
        <v>228</v>
      </c>
      <c r="D9193" s="214">
        <f t="shared" si="789"/>
        <v>83892</v>
      </c>
      <c r="F9193" s="214">
        <f t="shared" si="790"/>
        <v>1498</v>
      </c>
      <c r="G9193" s="215">
        <f>SUM(C9193,C9169,C9145,C9121,C9097,C9073,C9049,C9025,C9001,C8977,C8953,C8929,C8905,C8881)/POBLA!$B$24*100000</f>
        <v>184.40320631443785</v>
      </c>
      <c r="H9193" s="255">
        <f t="shared" si="791"/>
        <v>1.5067502410800386</v>
      </c>
    </row>
    <row r="9194" spans="1:8" x14ac:dyDescent="0.25">
      <c r="A9194" s="36" t="s">
        <v>16</v>
      </c>
      <c r="B9194" s="356">
        <v>44276</v>
      </c>
      <c r="C9194" s="17">
        <v>1657</v>
      </c>
      <c r="D9194" s="211">
        <f t="shared" ref="D9194:D9257" si="792">C9194+D9170</f>
        <v>939232</v>
      </c>
      <c r="E9194" s="1">
        <v>12</v>
      </c>
      <c r="F9194" s="211">
        <f t="shared" si="790"/>
        <v>27501</v>
      </c>
      <c r="G9194" s="212">
        <f>SUM(C9194,C9170,C9146,C9122,C9098,C9074,C9050,C9026,C9002,C8978,C8954,C8930,C8906,C8882)/POBLA!$B$1*100000</f>
        <v>235.27545899095162</v>
      </c>
      <c r="H9194" s="253">
        <f t="shared" si="791"/>
        <v>1.1435300637295649</v>
      </c>
    </row>
    <row r="9195" spans="1:8" x14ac:dyDescent="0.25">
      <c r="A9195" s="84" t="s">
        <v>43</v>
      </c>
      <c r="B9195" s="356">
        <v>44276</v>
      </c>
      <c r="C9195" s="17">
        <v>623</v>
      </c>
      <c r="D9195" s="47">
        <f t="shared" si="792"/>
        <v>248203</v>
      </c>
      <c r="E9195" s="1">
        <v>3</v>
      </c>
      <c r="F9195" s="47">
        <f t="shared" si="790"/>
        <v>6765</v>
      </c>
      <c r="G9195" s="203">
        <f>SUM(C9195,C9171,C9147,C9123,C9099,C9075,C9051,C9027,C9003,C8979,C8955,C8931,C8907,C8883)/POBLA!$B$2*100000</f>
        <v>382.26115749341761</v>
      </c>
      <c r="H9195" s="254">
        <f t="shared" si="791"/>
        <v>1.2094434728937351</v>
      </c>
    </row>
    <row r="9196" spans="1:8" x14ac:dyDescent="0.25">
      <c r="A9196" s="84" t="s">
        <v>28</v>
      </c>
      <c r="B9196" s="356">
        <v>44276</v>
      </c>
      <c r="C9196" s="17">
        <v>52</v>
      </c>
      <c r="D9196" s="47">
        <f t="shared" si="792"/>
        <v>9700</v>
      </c>
      <c r="F9196" s="47">
        <f t="shared" si="790"/>
        <v>18</v>
      </c>
      <c r="G9196" s="203">
        <f>SUM(C9196,C9172,C9148,C9124,C9100,C9076,C9052,C9028,C9004,C8980,C8956,C8932,C8908,C8884)/POBLA!$B$3*100000</f>
        <v>300.40583673135342</v>
      </c>
      <c r="H9196" s="254">
        <f t="shared" si="791"/>
        <v>1.0749354005167959</v>
      </c>
    </row>
    <row r="9197" spans="1:8" x14ac:dyDescent="0.25">
      <c r="A9197" s="84" t="s">
        <v>15</v>
      </c>
      <c r="B9197" s="356">
        <v>44276</v>
      </c>
      <c r="C9197" s="17">
        <v>120</v>
      </c>
      <c r="D9197" s="47">
        <f t="shared" si="792"/>
        <v>36962</v>
      </c>
      <c r="E9197" s="1">
        <v>1</v>
      </c>
      <c r="F9197" s="47">
        <f t="shared" si="790"/>
        <v>907</v>
      </c>
      <c r="G9197" s="203">
        <f>SUM(C9197,C9173,C9149,C9125,C9101,C9077,C9053,C9029,C9005,C8981,C8957,C8933,C8909,C8885)/POBLA!$B$4*100000</f>
        <v>157.65341320884886</v>
      </c>
      <c r="H9197" s="254">
        <f t="shared" si="791"/>
        <v>1.0226171243941842</v>
      </c>
    </row>
    <row r="9198" spans="1:8" x14ac:dyDescent="0.25">
      <c r="A9198" s="84" t="s">
        <v>29</v>
      </c>
      <c r="B9198" s="356">
        <v>44276</v>
      </c>
      <c r="C9198" s="17">
        <v>17</v>
      </c>
      <c r="D9198" s="47">
        <f t="shared" si="792"/>
        <v>48747</v>
      </c>
      <c r="F9198" s="47">
        <f t="shared" si="790"/>
        <v>816</v>
      </c>
      <c r="G9198" s="203">
        <f>SUM(C9198,C9174,C9150,C9126,C9102,C9078,C9054,C9030,C9006,C8982,C8958,C8934,C8910,C8886)/POBLA!$B$5*100000</f>
        <v>194.34760272312818</v>
      </c>
      <c r="H9198" s="254">
        <f t="shared" si="791"/>
        <v>0.82794218857536128</v>
      </c>
    </row>
    <row r="9199" spans="1:8" x14ac:dyDescent="0.25">
      <c r="A9199" s="84" t="s">
        <v>30</v>
      </c>
      <c r="B9199" s="356">
        <v>44276</v>
      </c>
      <c r="C9199" s="17">
        <v>96</v>
      </c>
      <c r="D9199" s="47">
        <f t="shared" si="792"/>
        <v>26467</v>
      </c>
      <c r="F9199" s="47">
        <f t="shared" si="790"/>
        <v>317</v>
      </c>
      <c r="G9199" s="203">
        <f>SUM(C9199,C9175,C9151,C9127,C9103,C9079,C9055,C9031,C9007,C8983,C8959,C8935,C8911,C8887)/POBLA!$B$6*100000</f>
        <v>293.27240072055611</v>
      </c>
      <c r="H9199" s="254">
        <f t="shared" si="791"/>
        <v>1.4806306306306307</v>
      </c>
    </row>
    <row r="9200" spans="1:8" x14ac:dyDescent="0.25">
      <c r="A9200" s="84" t="s">
        <v>20</v>
      </c>
      <c r="B9200" s="356">
        <v>44276</v>
      </c>
      <c r="C9200" s="17">
        <v>405</v>
      </c>
      <c r="D9200" s="47">
        <f t="shared" si="792"/>
        <v>172199</v>
      </c>
      <c r="E9200" s="1">
        <v>1</v>
      </c>
      <c r="F9200" s="47">
        <f t="shared" si="790"/>
        <v>2969</v>
      </c>
      <c r="G9200" s="203">
        <f>SUM(C9200,C9176,C9152,C9128,C9104,C9080,C9056,C9032,C9008,C8984,C8960,C8936,C8912,C8888)/POBLA!$B$7*100000</f>
        <v>222.2872262628143</v>
      </c>
      <c r="H9200" s="254">
        <f>SUM(C9200,C9176,C9152,C9128,C9104,C9080,C9056,C9032,C9008,C8984,C8960,C8936,C8912,C8888)/SUM(C8864,C8840,C8816,C8792,C8768,C8744,C8720,C8696,C8672,C8648,C8624,C8600,C8576,C8552)</f>
        <v>1.0112509073312363</v>
      </c>
    </row>
    <row r="9201" spans="1:8" x14ac:dyDescent="0.25">
      <c r="A9201" s="84" t="s">
        <v>31</v>
      </c>
      <c r="B9201" s="356">
        <v>44276</v>
      </c>
      <c r="C9201" s="17">
        <v>127</v>
      </c>
      <c r="D9201" s="47">
        <f t="shared" si="792"/>
        <v>48125</v>
      </c>
      <c r="E9201" s="1">
        <v>3</v>
      </c>
      <c r="F9201" s="47">
        <f t="shared" ref="F9201:F9224" si="793">E9201+F9177</f>
        <v>926</v>
      </c>
      <c r="G9201" s="203">
        <f>SUM(C9201,C9177,C9153,C9129,C9105,C9081,C9057,C9033,C9009,C8985,C8961,C8937,C8913,C8889)/POBLA!$B$8*100000</f>
        <v>153.82828232540453</v>
      </c>
      <c r="H9201" s="254">
        <f t="shared" ref="H9201:H9223" si="794">SUM(C9201,C9177,C9153,C9129,C9105,C9081,C9057,C9033,C9009,C8985,C8961,C8937,C8913,C8889)/SUM(C8865,C8841,C8817,C8793,C8769,C8745,C8721,C8697,C8673,C8649,C8625,C8601,C8577,C8553)</f>
        <v>1.2728358208955224</v>
      </c>
    </row>
    <row r="9202" spans="1:8" x14ac:dyDescent="0.25">
      <c r="A9202" s="84" t="s">
        <v>41</v>
      </c>
      <c r="B9202" s="356">
        <v>44276</v>
      </c>
      <c r="C9202" s="17">
        <v>6</v>
      </c>
      <c r="D9202" s="47">
        <f t="shared" si="792"/>
        <v>1695</v>
      </c>
      <c r="F9202" s="47">
        <f t="shared" si="793"/>
        <v>25</v>
      </c>
      <c r="G9202" s="203">
        <f>SUM(C9202,C9178,C9154,C9130,C9106,C9082,C9058,C9034,C9010,C8986,C8962,C8938,C8914,C8890)/POBLA!$B$9*100000</f>
        <v>54.032350010657758</v>
      </c>
      <c r="H9202" s="254">
        <f t="shared" si="794"/>
        <v>1.1314878892733564</v>
      </c>
    </row>
    <row r="9203" spans="1:8" x14ac:dyDescent="0.25">
      <c r="A9203" s="84" t="s">
        <v>32</v>
      </c>
      <c r="B9203" s="356">
        <v>44276</v>
      </c>
      <c r="C9203" s="17">
        <v>51</v>
      </c>
      <c r="D9203" s="47">
        <f t="shared" si="792"/>
        <v>22024</v>
      </c>
      <c r="F9203" s="47">
        <f t="shared" si="793"/>
        <v>946</v>
      </c>
      <c r="G9203" s="203">
        <f>SUM(C9203,C9179,C9155,C9131,C9107,C9083,C9059,C9035,C9011,C8987,C8963,C8939,C8915,C8891)/POBLA!$B$10*100000</f>
        <v>98.977663219096073</v>
      </c>
      <c r="H9203" s="254">
        <f t="shared" si="794"/>
        <v>0.6657940663176265</v>
      </c>
    </row>
    <row r="9204" spans="1:8" x14ac:dyDescent="0.25">
      <c r="A9204" s="84" t="s">
        <v>33</v>
      </c>
      <c r="B9204" s="356">
        <v>44276</v>
      </c>
      <c r="C9204" s="17">
        <v>46</v>
      </c>
      <c r="D9204" s="47">
        <f t="shared" si="792"/>
        <v>20489</v>
      </c>
      <c r="F9204" s="47">
        <f t="shared" si="793"/>
        <v>309</v>
      </c>
      <c r="G9204" s="203">
        <f>SUM(C9204,C9180,C9156,C9132,C9108,C9084,C9060,C9036,C9012,C8988,C8964,C8940,C8916,C8892)/POBLA!$B$11*100000</f>
        <v>348.18708359837956</v>
      </c>
      <c r="H9204" s="254">
        <f t="shared" si="794"/>
        <v>1.0842745438748913</v>
      </c>
    </row>
    <row r="9205" spans="1:8" x14ac:dyDescent="0.25">
      <c r="A9205" s="84" t="s">
        <v>21</v>
      </c>
      <c r="B9205" s="356">
        <v>44276</v>
      </c>
      <c r="C9205" s="17">
        <v>21</v>
      </c>
      <c r="D9205" s="47">
        <f t="shared" si="792"/>
        <v>10694</v>
      </c>
      <c r="F9205" s="47">
        <f t="shared" si="793"/>
        <v>447</v>
      </c>
      <c r="G9205" s="203">
        <f>SUM(C9205,C9181,C9157,C9133,C9109,C9085,C9061,C9037,C9013,C8989,C8965,C8941,C8917,C8893)/POBLA!$B$12*100000</f>
        <v>84.110273396504979</v>
      </c>
      <c r="H9205" s="254">
        <f t="shared" si="794"/>
        <v>0.96220930232558144</v>
      </c>
    </row>
    <row r="9206" spans="1:8" x14ac:dyDescent="0.25">
      <c r="A9206" s="84" t="s">
        <v>17</v>
      </c>
      <c r="B9206" s="356">
        <v>44276</v>
      </c>
      <c r="C9206" s="17">
        <v>73</v>
      </c>
      <c r="D9206" s="47">
        <f t="shared" si="792"/>
        <v>70451</v>
      </c>
      <c r="F9206" s="47">
        <f t="shared" si="793"/>
        <v>1486</v>
      </c>
      <c r="G9206" s="203">
        <f>SUM(C9206,C9182,C9158,C9134,C9110,C9086,C9062,C9038,C9014,C8990,C8966,C8942,C8918,C8894)/POBLA!$B$13*100000</f>
        <v>111.73981504648958</v>
      </c>
      <c r="H9206" s="254">
        <f t="shared" si="794"/>
        <v>1.174234424498416</v>
      </c>
    </row>
    <row r="9207" spans="1:8" x14ac:dyDescent="0.25">
      <c r="A9207" s="84" t="s">
        <v>23</v>
      </c>
      <c r="B9207" s="356">
        <v>44276</v>
      </c>
      <c r="C9207" s="17">
        <v>121</v>
      </c>
      <c r="D9207" s="47">
        <f t="shared" si="792"/>
        <v>10795</v>
      </c>
      <c r="F9207" s="47">
        <f t="shared" si="793"/>
        <v>183</v>
      </c>
      <c r="G9207" s="203">
        <f>SUM(C9207,C9183,C9159,C9135,C9111,C9087,C9063,C9039,C9015,C8991,C8967,C8943,C8919,C8895)/POBLA!$B$14*100000</f>
        <v>132.64155700415606</v>
      </c>
      <c r="H9207" s="254">
        <f t="shared" si="794"/>
        <v>1.0201219512195121</v>
      </c>
    </row>
    <row r="9208" spans="1:8" x14ac:dyDescent="0.25">
      <c r="A9208" s="84" t="s">
        <v>19</v>
      </c>
      <c r="B9208" s="356">
        <v>44276</v>
      </c>
      <c r="C9208" s="17">
        <v>60</v>
      </c>
      <c r="D9208" s="47">
        <f t="shared" si="792"/>
        <v>64057</v>
      </c>
      <c r="E9208" s="1">
        <v>6</v>
      </c>
      <c r="F9208" s="47">
        <f t="shared" si="793"/>
        <v>977</v>
      </c>
      <c r="G9208" s="203">
        <f>SUM(C9208,C9184,C9160,C9136,C9112,C9088,C9064,C9040,C9016,C8992,C8968,C8944,C8920,C8896)/POBLA!$B$15*100000</f>
        <v>265.33866821673439</v>
      </c>
      <c r="H9208" s="254">
        <f t="shared" si="794"/>
        <v>0.76178123648940765</v>
      </c>
    </row>
    <row r="9209" spans="1:8" x14ac:dyDescent="0.25">
      <c r="A9209" s="84" t="s">
        <v>18</v>
      </c>
      <c r="B9209" s="356">
        <v>44276</v>
      </c>
      <c r="C9209" s="17">
        <v>23</v>
      </c>
      <c r="D9209" s="47">
        <f t="shared" si="792"/>
        <v>54401</v>
      </c>
      <c r="E9209" s="1">
        <v>1</v>
      </c>
      <c r="F9209" s="47">
        <f t="shared" si="793"/>
        <v>1255</v>
      </c>
      <c r="G9209" s="203">
        <f>SUM(C9209,C9185,C9161,C9137,C9113,C9089,C9065,C9041,C9017,C8993,C8969,C8945,C8921,C8897)/POBLA!$B$16*100000</f>
        <v>171.88106098099277</v>
      </c>
      <c r="H9209" s="254">
        <f t="shared" si="794"/>
        <v>0.77316486161251508</v>
      </c>
    </row>
    <row r="9210" spans="1:8" x14ac:dyDescent="0.25">
      <c r="A9210" s="84" t="s">
        <v>34</v>
      </c>
      <c r="B9210" s="356">
        <v>44276</v>
      </c>
      <c r="C9210" s="17">
        <v>42</v>
      </c>
      <c r="D9210" s="47">
        <f t="shared" si="792"/>
        <v>28306</v>
      </c>
      <c r="F9210" s="47">
        <f t="shared" si="793"/>
        <v>1175</v>
      </c>
      <c r="G9210" s="203">
        <f>SUM(C9210,C9186,C9162,C9138,C9114,C9090,C9066,C9042,C9018,C8994,C8970,C8946,C8922,C8898)/POBLA!$B$17*100000</f>
        <v>101.44643663248377</v>
      </c>
      <c r="H9210" s="254">
        <f t="shared" si="794"/>
        <v>0.99244505494505497</v>
      </c>
    </row>
    <row r="9211" spans="1:8" x14ac:dyDescent="0.25">
      <c r="A9211" s="84" t="s">
        <v>35</v>
      </c>
      <c r="B9211" s="356">
        <v>44276</v>
      </c>
      <c r="C9211" s="17">
        <v>4</v>
      </c>
      <c r="D9211" s="47">
        <f t="shared" si="792"/>
        <v>16315</v>
      </c>
      <c r="F9211" s="47">
        <f t="shared" si="793"/>
        <v>221</v>
      </c>
      <c r="G9211" s="203">
        <f>SUM(C9211,C9187,C9163,C9139,C9115,C9091,C9067,C9043,C9019,C8995,C8971,C8947,C8923,C8899)/POBLA!$B$18*100000</f>
        <v>99.972222826692203</v>
      </c>
      <c r="H9211" s="254">
        <f t="shared" si="794"/>
        <v>1.269918699186992</v>
      </c>
    </row>
    <row r="9212" spans="1:8" x14ac:dyDescent="0.25">
      <c r="A9212" s="84" t="s">
        <v>36</v>
      </c>
      <c r="B9212" s="356">
        <v>44276</v>
      </c>
      <c r="C9212" s="17">
        <v>0</v>
      </c>
      <c r="D9212" s="47">
        <f t="shared" si="792"/>
        <v>21552</v>
      </c>
      <c r="F9212" s="47">
        <f t="shared" si="793"/>
        <v>378</v>
      </c>
      <c r="G9212" s="203">
        <f>SUM(C9212,C9188,C9164,C9140,C9116,C9092,C9068,C9044,C9020,C8996,C8972,C8948,C8924,C8900)/POBLA!$B$19*100000</f>
        <v>147.5425315937741</v>
      </c>
      <c r="H9212" s="254">
        <f t="shared" si="794"/>
        <v>2.6501766784452299</v>
      </c>
    </row>
    <row r="9213" spans="1:8" x14ac:dyDescent="0.25">
      <c r="A9213" s="84" t="s">
        <v>37</v>
      </c>
      <c r="B9213" s="356">
        <v>44276</v>
      </c>
      <c r="C9213" s="17">
        <v>46</v>
      </c>
      <c r="D9213" s="47">
        <f t="shared" si="792"/>
        <v>38190</v>
      </c>
      <c r="F9213" s="47">
        <f t="shared" si="793"/>
        <v>623</v>
      </c>
      <c r="G9213" s="203">
        <f>SUM(C9213,C9189,C9165,C9141,C9117,C9093,C9069,C9045,C9021,C8997,C8973,C8949,C8925,C8901)/POBLA!$B$20*100000</f>
        <v>417.55765686440725</v>
      </c>
      <c r="H9213" s="254">
        <f t="shared" si="794"/>
        <v>1.0359565807327</v>
      </c>
    </row>
    <row r="9214" spans="1:8" x14ac:dyDescent="0.25">
      <c r="A9214" s="84" t="s">
        <v>22</v>
      </c>
      <c r="B9214" s="356">
        <v>44276</v>
      </c>
      <c r="C9214" s="17">
        <v>243</v>
      </c>
      <c r="D9214" s="47">
        <f t="shared" si="792"/>
        <v>225479</v>
      </c>
      <c r="E9214" s="1">
        <v>1</v>
      </c>
      <c r="F9214" s="47">
        <f t="shared" si="793"/>
        <v>4200</v>
      </c>
      <c r="G9214" s="203">
        <f>SUM(C9214,C9190,C9166,C9142,C9118,C9094,C9070,C9046,C9022,C8998,C8974,C8950,C8926,C8902)/POBLA!$B$21*100000</f>
        <v>175.77107683537412</v>
      </c>
      <c r="H9214" s="254">
        <f t="shared" si="794"/>
        <v>1.1942363112391932</v>
      </c>
    </row>
    <row r="9215" spans="1:8" x14ac:dyDescent="0.25">
      <c r="A9215" s="84" t="s">
        <v>38</v>
      </c>
      <c r="B9215" s="356">
        <v>44276</v>
      </c>
      <c r="C9215" s="17">
        <v>70</v>
      </c>
      <c r="D9215" s="47">
        <f t="shared" si="792"/>
        <v>24104</v>
      </c>
      <c r="F9215" s="47">
        <f t="shared" si="793"/>
        <v>277</v>
      </c>
      <c r="G9215" s="203">
        <f>SUM(C9215,C9191,C9167,C9143,C9119,C9095,C9071,C9047,C9023,C8999,C8975,C8951,C8927,C8903)/POBLA!$B$22*100000</f>
        <v>108.86086559209578</v>
      </c>
      <c r="H9215" s="254">
        <f t="shared" si="794"/>
        <v>1.2412587412587412</v>
      </c>
    </row>
    <row r="9216" spans="1:8" x14ac:dyDescent="0.25">
      <c r="A9216" s="84" t="s">
        <v>39</v>
      </c>
      <c r="B9216" s="356">
        <v>44276</v>
      </c>
      <c r="C9216" s="17">
        <v>23</v>
      </c>
      <c r="D9216" s="47">
        <f t="shared" si="792"/>
        <v>23586</v>
      </c>
      <c r="F9216" s="47">
        <f t="shared" si="793"/>
        <v>358</v>
      </c>
      <c r="G9216" s="203">
        <f>SUM(C9216,C9192,C9168,C9144,C9120,C9096,C9072,C9048,C9024,C9000,C8976,C8952,C8928,C8904)/POBLA!$B$23*100000</f>
        <v>231.86110954023638</v>
      </c>
      <c r="H9216" s="254">
        <f t="shared" si="794"/>
        <v>0.87234042553191493</v>
      </c>
    </row>
    <row r="9217" spans="1:8" ht="15.75" thickBot="1" x14ac:dyDescent="0.3">
      <c r="A9217" s="85" t="s">
        <v>40</v>
      </c>
      <c r="B9217" s="356">
        <v>44276</v>
      </c>
      <c r="C9217" s="17">
        <v>106</v>
      </c>
      <c r="D9217" s="214">
        <f t="shared" si="792"/>
        <v>83998</v>
      </c>
      <c r="F9217" s="214">
        <f t="shared" si="793"/>
        <v>1498</v>
      </c>
      <c r="G9217" s="215">
        <f>SUM(C9217,C9193,C9169,C9145,C9121,C9097,C9073,C9049,C9025,C9001,C8977,C8953,C8929,C8905)/POBLA!$B$24*100000</f>
        <v>187.23563956342761</v>
      </c>
      <c r="H9217" s="255">
        <f t="shared" si="794"/>
        <v>1.5410393394851869</v>
      </c>
    </row>
    <row r="9218" spans="1:8" x14ac:dyDescent="0.25">
      <c r="A9218" s="36" t="s">
        <v>16</v>
      </c>
      <c r="B9218" s="356">
        <v>44277</v>
      </c>
      <c r="C9218" s="17">
        <v>2627</v>
      </c>
      <c r="D9218" s="211">
        <f t="shared" si="792"/>
        <v>941859</v>
      </c>
      <c r="E9218" s="1">
        <v>35</v>
      </c>
      <c r="F9218" s="211">
        <f t="shared" si="793"/>
        <v>27536</v>
      </c>
      <c r="G9218" s="212">
        <f>SUM(C9218,C9194,C9170,C9146,C9122,C9098,C9074,C9050,C9026,C9002,C8978,C8954,C8930,C8906)/POBLA!$B$1*100000</f>
        <v>238.90122084988656</v>
      </c>
      <c r="H9218" s="253">
        <f t="shared" si="794"/>
        <v>1.1614101213901669</v>
      </c>
    </row>
    <row r="9219" spans="1:8" x14ac:dyDescent="0.25">
      <c r="A9219" s="84" t="s">
        <v>43</v>
      </c>
      <c r="B9219" s="356">
        <v>44277</v>
      </c>
      <c r="C9219" s="17">
        <v>895</v>
      </c>
      <c r="D9219" s="47">
        <f t="shared" si="792"/>
        <v>249098</v>
      </c>
      <c r="E9219" s="1">
        <v>30</v>
      </c>
      <c r="F9219" s="47">
        <f t="shared" si="793"/>
        <v>6795</v>
      </c>
      <c r="G9219" s="203">
        <f>SUM(C9219,C9195,C9171,C9147,C9123,C9099,C9075,C9051,C9027,C9003,C8979,C8955,C8931,C8907)/POBLA!$B$2*100000</f>
        <v>388.82888342806683</v>
      </c>
      <c r="H9219" s="254">
        <f t="shared" si="794"/>
        <v>1.2471582021065803</v>
      </c>
    </row>
    <row r="9220" spans="1:8" x14ac:dyDescent="0.25">
      <c r="A9220" s="84" t="s">
        <v>28</v>
      </c>
      <c r="B9220" s="356">
        <v>44277</v>
      </c>
      <c r="C9220" s="17">
        <v>61</v>
      </c>
      <c r="D9220" s="47">
        <f t="shared" si="792"/>
        <v>9761</v>
      </c>
      <c r="F9220" s="47">
        <f t="shared" si="793"/>
        <v>18</v>
      </c>
      <c r="G9220" s="203">
        <f>SUM(C9220,C9196,C9172,C9148,C9124,C9100,C9076,C9052,C9028,C9004,C8980,C8956,C8932,C8908)/POBLA!$B$3*100000</f>
        <v>297.03589946032861</v>
      </c>
      <c r="H9220" s="254">
        <f t="shared" si="794"/>
        <v>1.0721112076455257</v>
      </c>
    </row>
    <row r="9221" spans="1:8" x14ac:dyDescent="0.25">
      <c r="A9221" s="84" t="s">
        <v>15</v>
      </c>
      <c r="B9221" s="356">
        <v>44277</v>
      </c>
      <c r="C9221" s="17">
        <v>98</v>
      </c>
      <c r="D9221" s="47">
        <f t="shared" si="792"/>
        <v>37060</v>
      </c>
      <c r="E9221" s="1">
        <v>3</v>
      </c>
      <c r="F9221" s="47">
        <f t="shared" si="793"/>
        <v>910</v>
      </c>
      <c r="G9221" s="203">
        <f>SUM(C9221,C9197,C9173,C9149,C9125,C9101,C9077,C9053,C9029,C9005,C8981,C8957,C8933,C8909)/POBLA!$B$4*100000</f>
        <v>155.9100105351333</v>
      </c>
      <c r="H9221" s="254">
        <f t="shared" si="794"/>
        <v>1.0140388768898487</v>
      </c>
    </row>
    <row r="9222" spans="1:8" x14ac:dyDescent="0.25">
      <c r="A9222" s="84" t="s">
        <v>29</v>
      </c>
      <c r="B9222" s="356">
        <v>44277</v>
      </c>
      <c r="C9222" s="17">
        <v>115</v>
      </c>
      <c r="D9222" s="47">
        <f t="shared" si="792"/>
        <v>48862</v>
      </c>
      <c r="F9222" s="47">
        <f t="shared" si="793"/>
        <v>816</v>
      </c>
      <c r="G9222" s="203">
        <f>SUM(C9222,C9198,C9174,C9150,C9126,C9102,C9078,C9054,C9030,C9006,C8982,C8958,C8934,C8910)/POBLA!$B$5*100000</f>
        <v>201.77901562858443</v>
      </c>
      <c r="H9222" s="254">
        <f t="shared" si="794"/>
        <v>0.90441708906589424</v>
      </c>
    </row>
    <row r="9223" spans="1:8" x14ac:dyDescent="0.25">
      <c r="A9223" s="84" t="s">
        <v>30</v>
      </c>
      <c r="B9223" s="356">
        <v>44277</v>
      </c>
      <c r="C9223" s="17">
        <v>179</v>
      </c>
      <c r="D9223" s="47">
        <f t="shared" si="792"/>
        <v>26646</v>
      </c>
      <c r="F9223" s="47">
        <f t="shared" si="793"/>
        <v>317</v>
      </c>
      <c r="G9223" s="203">
        <f>SUM(C9223,C9199,C9175,C9151,C9127,C9103,C9079,C9055,C9031,C9007,C8983,C8959,C8935,C8911)/POBLA!$B$6*100000</f>
        <v>291.57718453141996</v>
      </c>
      <c r="H9223" s="254">
        <f t="shared" si="794"/>
        <v>1.4358523725834798</v>
      </c>
    </row>
    <row r="9224" spans="1:8" x14ac:dyDescent="0.25">
      <c r="A9224" s="84" t="s">
        <v>20</v>
      </c>
      <c r="B9224" s="356">
        <v>44277</v>
      </c>
      <c r="C9224" s="17">
        <v>612</v>
      </c>
      <c r="D9224" s="47">
        <f t="shared" si="792"/>
        <v>172811</v>
      </c>
      <c r="E9224" s="1">
        <v>7</v>
      </c>
      <c r="F9224" s="47">
        <f t="shared" si="793"/>
        <v>2976</v>
      </c>
      <c r="G9224" s="203">
        <f>SUM(C9224,C9200,C9176,C9152,C9128,C9104,C9080,C9056,C9032,C9008,C8984,C8960,C8936,C8912)/POBLA!$B$7*100000</f>
        <v>225.47833371006129</v>
      </c>
      <c r="H9224" s="254">
        <f>SUM(C9224,C9200,C9176,C9152,C9128,C9104,C9080,C9056,C9032,C9008,C8984,C8960,C8936,C8912)/SUM(C8888,C8864,C8840,C8816,C8792,C8768,C8744,C8720,C8696,C8672,C8648,C8624,C8600,C8576)</f>
        <v>1.0147199617041647</v>
      </c>
    </row>
    <row r="9225" spans="1:8" x14ac:dyDescent="0.25">
      <c r="A9225" s="84" t="s">
        <v>31</v>
      </c>
      <c r="B9225" s="356">
        <v>44277</v>
      </c>
      <c r="C9225" s="17">
        <v>173</v>
      </c>
      <c r="D9225" s="47">
        <f t="shared" si="792"/>
        <v>48298</v>
      </c>
      <c r="E9225" s="1">
        <v>9</v>
      </c>
      <c r="F9225" s="47">
        <f t="shared" ref="F9225:F9248" si="795">E9225+F9201</f>
        <v>935</v>
      </c>
      <c r="G9225" s="203">
        <f>SUM(C9225,C9201,C9177,C9153,C9129,C9105,C9081,C9057,C9033,C9009,C8985,C8961,C8937,C8913)/POBLA!$B$8*100000</f>
        <v>160.1776673369597</v>
      </c>
      <c r="H9225" s="254">
        <f t="shared" ref="H9225:H9247" si="796">SUM(C9225,C9201,C9177,C9153,C9129,C9105,C9081,C9057,C9033,C9009,C8985,C8961,C8937,C8913)/SUM(C8889,C8865,C8841,C8817,C8793,C8769,C8745,C8721,C8697,C8673,C8649,C8625,C8601,C8577)</f>
        <v>1.3454545454545455</v>
      </c>
    </row>
    <row r="9226" spans="1:8" x14ac:dyDescent="0.25">
      <c r="A9226" s="84" t="s">
        <v>41</v>
      </c>
      <c r="B9226" s="356">
        <v>44277</v>
      </c>
      <c r="C9226" s="17">
        <v>22</v>
      </c>
      <c r="D9226" s="47">
        <f t="shared" si="792"/>
        <v>1717</v>
      </c>
      <c r="E9226" s="1">
        <v>1</v>
      </c>
      <c r="F9226" s="47">
        <f t="shared" si="795"/>
        <v>26</v>
      </c>
      <c r="G9226" s="203">
        <f>SUM(C9226,C9202,C9178,C9154,C9130,C9106,C9082,C9058,C9034,C9010,C8986,C8962,C8938,C8914)/POBLA!$B$9*100000</f>
        <v>53.701876921907562</v>
      </c>
      <c r="H9226" s="254">
        <f t="shared" si="796"/>
        <v>1.26953125</v>
      </c>
    </row>
    <row r="9227" spans="1:8" x14ac:dyDescent="0.25">
      <c r="A9227" s="84" t="s">
        <v>32</v>
      </c>
      <c r="B9227" s="356">
        <v>44277</v>
      </c>
      <c r="C9227" s="17">
        <v>17</v>
      </c>
      <c r="D9227" s="47">
        <f t="shared" si="792"/>
        <v>22041</v>
      </c>
      <c r="E9227" s="1">
        <v>2</v>
      </c>
      <c r="F9227" s="47">
        <f t="shared" si="795"/>
        <v>948</v>
      </c>
      <c r="G9227" s="203">
        <f>SUM(C9227,C9203,C9179,C9155,C9131,C9107,C9083,C9059,C9035,C9011,C8987,C8963,C8939,C8915)/POBLA!$B$10*100000</f>
        <v>96.642672474739939</v>
      </c>
      <c r="H9227" s="254">
        <f t="shared" si="796"/>
        <v>0.6575463371579876</v>
      </c>
    </row>
    <row r="9228" spans="1:8" x14ac:dyDescent="0.25">
      <c r="A9228" s="84" t="s">
        <v>33</v>
      </c>
      <c r="B9228" s="356">
        <v>44277</v>
      </c>
      <c r="C9228" s="17">
        <v>67</v>
      </c>
      <c r="D9228" s="47">
        <f t="shared" si="792"/>
        <v>20556</v>
      </c>
      <c r="E9228" s="1">
        <v>2</v>
      </c>
      <c r="F9228" s="47">
        <f t="shared" si="795"/>
        <v>311</v>
      </c>
      <c r="G9228" s="203">
        <f>SUM(C9228,C9204,C9180,C9156,C9132,C9108,C9084,C9060,C9036,C9012,C8988,C8964,C8940,C8916)/POBLA!$B$11*100000</f>
        <v>347.62909147722837</v>
      </c>
      <c r="H9228" s="254">
        <f t="shared" si="796"/>
        <v>1.0844212358572671</v>
      </c>
    </row>
    <row r="9229" spans="1:8" x14ac:dyDescent="0.25">
      <c r="A9229" s="84" t="s">
        <v>21</v>
      </c>
      <c r="B9229" s="356">
        <v>44277</v>
      </c>
      <c r="C9229" s="17">
        <v>16</v>
      </c>
      <c r="D9229" s="47">
        <f t="shared" si="792"/>
        <v>10710</v>
      </c>
      <c r="E9229" s="1">
        <v>1</v>
      </c>
      <c r="F9229" s="47">
        <f t="shared" si="795"/>
        <v>448</v>
      </c>
      <c r="G9229" s="203">
        <f>SUM(C9229,C9205,C9181,C9157,C9133,C9109,C9085,C9061,C9037,C9013,C8989,C8965,C8941,C8917)/POBLA!$B$12*100000</f>
        <v>83.856163809204361</v>
      </c>
      <c r="H9229" s="254">
        <f t="shared" si="796"/>
        <v>0.99099099099099097</v>
      </c>
    </row>
    <row r="9230" spans="1:8" x14ac:dyDescent="0.25">
      <c r="A9230" s="84" t="s">
        <v>17</v>
      </c>
      <c r="B9230" s="356">
        <v>44277</v>
      </c>
      <c r="C9230" s="17">
        <v>123</v>
      </c>
      <c r="D9230" s="47">
        <f t="shared" si="792"/>
        <v>70574</v>
      </c>
      <c r="E9230" s="1">
        <v>2</v>
      </c>
      <c r="F9230" s="47">
        <f t="shared" si="795"/>
        <v>1488</v>
      </c>
      <c r="G9230" s="203">
        <f>SUM(C9230,C9206,C9182,C9158,C9134,C9110,C9086,C9062,C9038,C9014,C8990,C8966,C8942,C8918)/POBLA!$B$13*100000</f>
        <v>111.48860143352535</v>
      </c>
      <c r="H9230" s="254">
        <f t="shared" si="796"/>
        <v>1.1414609053497942</v>
      </c>
    </row>
    <row r="9231" spans="1:8" x14ac:dyDescent="0.25">
      <c r="A9231" s="84" t="s">
        <v>23</v>
      </c>
      <c r="B9231" s="356">
        <v>44277</v>
      </c>
      <c r="C9231" s="17">
        <v>107</v>
      </c>
      <c r="D9231" s="47">
        <f t="shared" si="792"/>
        <v>10902</v>
      </c>
      <c r="E9231" s="1">
        <v>5</v>
      </c>
      <c r="F9231" s="47">
        <f t="shared" si="795"/>
        <v>188</v>
      </c>
      <c r="G9231" s="203">
        <f>SUM(C9231,C9207,C9183,C9159,C9135,C9111,C9087,C9063,C9039,C9015,C8991,C8967,C8943,C8919)/POBLA!$B$14*100000</f>
        <v>132.48298969153902</v>
      </c>
      <c r="H9231" s="254">
        <f t="shared" si="796"/>
        <v>1.0302096177558571</v>
      </c>
    </row>
    <row r="9232" spans="1:8" x14ac:dyDescent="0.25">
      <c r="A9232" s="84" t="s">
        <v>19</v>
      </c>
      <c r="B9232" s="356">
        <v>44277</v>
      </c>
      <c r="C9232" s="17">
        <v>138</v>
      </c>
      <c r="D9232" s="47">
        <f t="shared" si="792"/>
        <v>64195</v>
      </c>
      <c r="E9232" s="1">
        <v>3</v>
      </c>
      <c r="F9232" s="47">
        <f t="shared" si="795"/>
        <v>980</v>
      </c>
      <c r="G9232" s="203">
        <f>SUM(C9232,C9208,C9184,C9160,C9136,C9112,C9088,C9064,C9040,C9016,C8992,C8968,C8944,C8920)/POBLA!$B$15*100000</f>
        <v>266.84456304202797</v>
      </c>
      <c r="H9232" s="254">
        <f t="shared" si="796"/>
        <v>0.79426266248319144</v>
      </c>
    </row>
    <row r="9233" spans="1:8" x14ac:dyDescent="0.25">
      <c r="A9233" s="84" t="s">
        <v>18</v>
      </c>
      <c r="B9233" s="356">
        <v>44277</v>
      </c>
      <c r="C9233" s="17">
        <v>100</v>
      </c>
      <c r="D9233" s="47">
        <f t="shared" si="792"/>
        <v>54501</v>
      </c>
      <c r="E9233" s="1">
        <v>2</v>
      </c>
      <c r="F9233" s="47">
        <f t="shared" si="795"/>
        <v>1257</v>
      </c>
      <c r="G9233" s="203">
        <f>SUM(C9233,C9209,C9185,C9161,C9137,C9113,C9089,C9065,C9041,C9017,C8993,C8969,C8945,C8921)/POBLA!$B$16*100000</f>
        <v>170.40970559516325</v>
      </c>
      <c r="H9233" s="254">
        <f t="shared" si="796"/>
        <v>0.77025392986698915</v>
      </c>
    </row>
    <row r="9234" spans="1:8" x14ac:dyDescent="0.25">
      <c r="A9234" s="84" t="s">
        <v>34</v>
      </c>
      <c r="B9234" s="356">
        <v>44277</v>
      </c>
      <c r="C9234" s="17">
        <v>89</v>
      </c>
      <c r="D9234" s="47">
        <f t="shared" si="792"/>
        <v>28395</v>
      </c>
      <c r="E9234" s="1">
        <v>11</v>
      </c>
      <c r="F9234" s="47">
        <f t="shared" si="795"/>
        <v>1186</v>
      </c>
      <c r="G9234" s="203">
        <f>SUM(C9234,C9210,C9186,C9162,C9138,C9114,C9090,C9066,C9042,C9018,C8994,C8970,C8946,C8922)/POBLA!$B$17*100000</f>
        <v>104.67587336957322</v>
      </c>
      <c r="H9234" s="254">
        <f t="shared" si="796"/>
        <v>1.0463157894736843</v>
      </c>
    </row>
    <row r="9235" spans="1:8" x14ac:dyDescent="0.25">
      <c r="A9235" s="84" t="s">
        <v>35</v>
      </c>
      <c r="B9235" s="356">
        <v>44277</v>
      </c>
      <c r="C9235" s="17">
        <v>76</v>
      </c>
      <c r="D9235" s="47">
        <f t="shared" si="792"/>
        <v>16391</v>
      </c>
      <c r="E9235" s="1">
        <v>1</v>
      </c>
      <c r="F9235" s="47">
        <f t="shared" si="795"/>
        <v>222</v>
      </c>
      <c r="G9235" s="203">
        <f>SUM(C9235,C9211,C9187,C9163,C9139,C9115,C9091,C9067,C9043,C9019,C8995,C8971,C8947,C8923)/POBLA!$B$18*100000</f>
        <v>99.716212012795424</v>
      </c>
      <c r="H9235" s="254">
        <f t="shared" si="796"/>
        <v>1.252411575562701</v>
      </c>
    </row>
    <row r="9236" spans="1:8" x14ac:dyDescent="0.25">
      <c r="A9236" s="84" t="s">
        <v>36</v>
      </c>
      <c r="B9236" s="356">
        <v>44277</v>
      </c>
      <c r="C9236" s="17">
        <v>1</v>
      </c>
      <c r="D9236" s="47">
        <f t="shared" si="792"/>
        <v>21553</v>
      </c>
      <c r="E9236" s="1">
        <v>4</v>
      </c>
      <c r="F9236" s="47">
        <f t="shared" si="795"/>
        <v>382</v>
      </c>
      <c r="G9236" s="203">
        <f>SUM(C9236,C9212,C9188,C9164,C9140,C9116,C9092,C9068,C9044,C9020,C8996,C8972,C8948,C8924)/POBLA!$B$19*100000</f>
        <v>147.14908484285738</v>
      </c>
      <c r="H9236" s="254">
        <f t="shared" si="796"/>
        <v>2.8441064638783269</v>
      </c>
    </row>
    <row r="9237" spans="1:8" x14ac:dyDescent="0.25">
      <c r="A9237" s="84" t="s">
        <v>37</v>
      </c>
      <c r="B9237" s="356">
        <v>44277</v>
      </c>
      <c r="C9237" s="17">
        <v>98</v>
      </c>
      <c r="D9237" s="47">
        <f t="shared" si="792"/>
        <v>38288</v>
      </c>
      <c r="E9237" s="1">
        <v>1</v>
      </c>
      <c r="F9237" s="47">
        <f t="shared" si="795"/>
        <v>624</v>
      </c>
      <c r="G9237" s="203">
        <f>SUM(C9237,C9213,C9189,C9165,C9141,C9117,C9093,C9069,C9045,C9021,C8997,C8973,C8949,C8925)/POBLA!$B$20*100000</f>
        <v>418.65145557263094</v>
      </c>
      <c r="H9237" s="254">
        <f t="shared" si="796"/>
        <v>1.0602493074792243</v>
      </c>
    </row>
    <row r="9238" spans="1:8" x14ac:dyDescent="0.25">
      <c r="A9238" s="84" t="s">
        <v>22</v>
      </c>
      <c r="B9238" s="356">
        <v>44277</v>
      </c>
      <c r="C9238" s="17">
        <v>436</v>
      </c>
      <c r="D9238" s="47">
        <f t="shared" si="792"/>
        <v>225915</v>
      </c>
      <c r="E9238" s="1">
        <v>5</v>
      </c>
      <c r="F9238" s="47">
        <f t="shared" si="795"/>
        <v>4205</v>
      </c>
      <c r="G9238" s="203">
        <f>SUM(C9238,C9214,C9190,C9166,C9142,C9118,C9094,C9070,C9046,C9022,C8998,C8974,C8950,C8926)/POBLA!$B$21*100000</f>
        <v>179.92782527404847</v>
      </c>
      <c r="H9238" s="254">
        <f t="shared" si="796"/>
        <v>1.2321843532145624</v>
      </c>
    </row>
    <row r="9239" spans="1:8" x14ac:dyDescent="0.25">
      <c r="A9239" s="84" t="s">
        <v>38</v>
      </c>
      <c r="B9239" s="356">
        <v>44277</v>
      </c>
      <c r="C9239" s="17">
        <v>78</v>
      </c>
      <c r="D9239" s="47">
        <f t="shared" si="792"/>
        <v>24182</v>
      </c>
      <c r="E9239" s="1">
        <v>1</v>
      </c>
      <c r="F9239" s="47">
        <f t="shared" si="795"/>
        <v>278</v>
      </c>
      <c r="G9239" s="203">
        <f>SUM(C9239,C9215,C9191,C9167,C9143,C9119,C9095,C9071,C9047,C9023,C8999,C8975,C8951,C8927)/POBLA!$B$22*100000</f>
        <v>112.33623594902654</v>
      </c>
      <c r="H9239" s="254">
        <f t="shared" si="796"/>
        <v>1.2690531177829099</v>
      </c>
    </row>
    <row r="9240" spans="1:8" x14ac:dyDescent="0.25">
      <c r="A9240" s="84" t="s">
        <v>39</v>
      </c>
      <c r="B9240" s="356">
        <v>44277</v>
      </c>
      <c r="C9240" s="17">
        <v>34</v>
      </c>
      <c r="D9240" s="47">
        <f t="shared" si="792"/>
        <v>23620</v>
      </c>
      <c r="F9240" s="47">
        <f t="shared" si="795"/>
        <v>358</v>
      </c>
      <c r="G9240" s="203">
        <f>SUM(C9240,C9216,C9192,C9168,C9144,C9120,C9096,C9072,C9048,C9024,C9000,C8976,C8952,C8928)/POBLA!$B$23*100000</f>
        <v>231.86110954023638</v>
      </c>
      <c r="H9240" s="254">
        <f t="shared" si="796"/>
        <v>0.88744588744588748</v>
      </c>
    </row>
    <row r="9241" spans="1:8" ht="15.75" thickBot="1" x14ac:dyDescent="0.3">
      <c r="A9241" s="85" t="s">
        <v>40</v>
      </c>
      <c r="B9241" s="356">
        <v>44277</v>
      </c>
      <c r="C9241" s="17">
        <v>239</v>
      </c>
      <c r="D9241" s="214">
        <f t="shared" si="792"/>
        <v>84237</v>
      </c>
      <c r="F9241" s="214">
        <f t="shared" si="795"/>
        <v>1498</v>
      </c>
      <c r="G9241" s="215">
        <f>SUM(C9241,C9217,C9193,C9169,C9145,C9121,C9097,C9073,C9049,C9025,C9001,C8977,C8953,C8929)/POBLA!$B$24*100000</f>
        <v>193.66762339967522</v>
      </c>
      <c r="H9241" s="255">
        <f t="shared" si="796"/>
        <v>1.6104023552502453</v>
      </c>
    </row>
    <row r="9242" spans="1:8" x14ac:dyDescent="0.25">
      <c r="A9242" s="36" t="s">
        <v>16</v>
      </c>
      <c r="B9242" s="356">
        <v>44278</v>
      </c>
      <c r="C9242" s="17">
        <v>4377</v>
      </c>
      <c r="D9242" s="211">
        <f t="shared" si="792"/>
        <v>946236</v>
      </c>
      <c r="E9242" s="1">
        <v>60</v>
      </c>
      <c r="F9242" s="211">
        <f t="shared" si="795"/>
        <v>27596</v>
      </c>
      <c r="G9242" s="212">
        <f>SUM(C9242,C9218,C9194,C9170,C9146,C9122,C9098,C9074,C9050,C9026,C9002,C8978,C8954,C8930)/POBLA!$B$1*100000</f>
        <v>245.91900834729051</v>
      </c>
      <c r="H9242" s="253">
        <f t="shared" si="796"/>
        <v>1.2041032798325191</v>
      </c>
    </row>
    <row r="9243" spans="1:8" x14ac:dyDescent="0.25">
      <c r="A9243" s="84" t="s">
        <v>43</v>
      </c>
      <c r="B9243" s="356">
        <v>44278</v>
      </c>
      <c r="C9243" s="17">
        <v>1180</v>
      </c>
      <c r="D9243" s="47">
        <f t="shared" si="792"/>
        <v>250278</v>
      </c>
      <c r="E9243" s="1">
        <v>11</v>
      </c>
      <c r="F9243" s="47">
        <f t="shared" si="795"/>
        <v>6806</v>
      </c>
      <c r="G9243" s="203">
        <f>SUM(C9243,C9219,C9195,C9171,C9147,C9123,C9099,C9075,C9051,C9027,C9003,C8979,C8955,C8931)/POBLA!$B$2*100000</f>
        <v>398.68047233004057</v>
      </c>
      <c r="H9243" s="254">
        <f t="shared" si="796"/>
        <v>1.2722556547001453</v>
      </c>
    </row>
    <row r="9244" spans="1:8" x14ac:dyDescent="0.25">
      <c r="A9244" s="84" t="s">
        <v>28</v>
      </c>
      <c r="B9244" s="356">
        <v>44278</v>
      </c>
      <c r="C9244" s="17">
        <v>83</v>
      </c>
      <c r="D9244" s="47">
        <f t="shared" si="792"/>
        <v>9844</v>
      </c>
      <c r="F9244" s="47">
        <f t="shared" si="795"/>
        <v>18</v>
      </c>
      <c r="G9244" s="203">
        <f>SUM(C9244,C9220,C9196,C9172,C9148,C9124,C9100,C9076,C9052,C9028,C9004,C8980,C8956,C8932)/POBLA!$B$3*100000</f>
        <v>294.86951121466979</v>
      </c>
      <c r="H9244" s="254">
        <f t="shared" si="796"/>
        <v>1.0372565622353938</v>
      </c>
    </row>
    <row r="9245" spans="1:8" x14ac:dyDescent="0.25">
      <c r="A9245" s="84" t="s">
        <v>15</v>
      </c>
      <c r="B9245" s="356">
        <v>44278</v>
      </c>
      <c r="C9245" s="17">
        <v>135</v>
      </c>
      <c r="D9245" s="47">
        <f t="shared" si="792"/>
        <v>37195</v>
      </c>
      <c r="E9245" s="1">
        <v>2</v>
      </c>
      <c r="F9245" s="47">
        <f t="shared" si="795"/>
        <v>912</v>
      </c>
      <c r="G9245" s="203">
        <f>SUM(C9245,C9221,C9197,C9173,C9149,C9125,C9101,C9077,C9053,C9029,C9005,C8981,C8957,C8933)/POBLA!$B$4*100000</f>
        <v>158.98172000787022</v>
      </c>
      <c r="H9245" s="254">
        <f t="shared" si="796"/>
        <v>1.0886867538374077</v>
      </c>
    </row>
    <row r="9246" spans="1:8" x14ac:dyDescent="0.25">
      <c r="A9246" s="84" t="s">
        <v>29</v>
      </c>
      <c r="B9246" s="356">
        <v>44278</v>
      </c>
      <c r="C9246" s="17">
        <v>156</v>
      </c>
      <c r="D9246" s="47">
        <f t="shared" si="792"/>
        <v>49018</v>
      </c>
      <c r="E9246" s="1">
        <v>29</v>
      </c>
      <c r="F9246" s="47">
        <f t="shared" si="795"/>
        <v>845</v>
      </c>
      <c r="G9246" s="203">
        <f>SUM(C9246,C9222,C9198,C9174,C9150,C9126,C9102,C9078,C9054,C9030,C9006,C8982,C8958,C8934)/POBLA!$B$5*100000</f>
        <v>210.98750553317154</v>
      </c>
      <c r="H9246" s="254">
        <f t="shared" si="796"/>
        <v>1</v>
      </c>
    </row>
    <row r="9247" spans="1:8" x14ac:dyDescent="0.25">
      <c r="A9247" s="84" t="s">
        <v>30</v>
      </c>
      <c r="B9247" s="356">
        <v>44278</v>
      </c>
      <c r="C9247" s="17">
        <v>104</v>
      </c>
      <c r="D9247" s="47">
        <f t="shared" si="792"/>
        <v>26750</v>
      </c>
      <c r="E9247" s="1">
        <v>1</v>
      </c>
      <c r="F9247" s="47">
        <f t="shared" si="795"/>
        <v>318</v>
      </c>
      <c r="G9247" s="203">
        <f>SUM(C9247,C9223,C9199,C9175,C9151,C9127,C9103,C9079,C9055,C9031,C9007,C8983,C8959,C8935)/POBLA!$B$6*100000</f>
        <v>278.90767406524441</v>
      </c>
      <c r="H9247" s="254">
        <f t="shared" si="796"/>
        <v>1.2795742939009416</v>
      </c>
    </row>
    <row r="9248" spans="1:8" x14ac:dyDescent="0.25">
      <c r="A9248" s="84" t="s">
        <v>20</v>
      </c>
      <c r="B9248" s="356">
        <v>44278</v>
      </c>
      <c r="C9248" s="17">
        <v>817</v>
      </c>
      <c r="D9248" s="47">
        <f t="shared" si="792"/>
        <v>173628</v>
      </c>
      <c r="E9248" s="1">
        <v>8</v>
      </c>
      <c r="F9248" s="47">
        <f t="shared" si="795"/>
        <v>2984</v>
      </c>
      <c r="G9248" s="203">
        <f>SUM(C9248,C9224,C9200,C9176,C9152,C9128,C9104,C9080,C9056,C9032,C9008,C8984,C8960,C8936)/POBLA!$B$7*100000</f>
        <v>228.61625603318751</v>
      </c>
      <c r="H9248" s="254">
        <f>SUM(C9248,C9224,C9200,C9176,C9152,C9128,C9104,C9080,C9056,C9032,C9008,C8984,C8960,C8936)/SUM(C8912,C8888,C8864,C8840,C8816,C8792,C8768,C8744,C8720,C8696,C8672,C8648,C8624,C8600)</f>
        <v>1.0448468643655811</v>
      </c>
    </row>
    <row r="9249" spans="1:8" x14ac:dyDescent="0.25">
      <c r="A9249" s="84" t="s">
        <v>31</v>
      </c>
      <c r="B9249" s="356">
        <v>44278</v>
      </c>
      <c r="C9249" s="17">
        <v>179</v>
      </c>
      <c r="D9249" s="47">
        <f t="shared" si="792"/>
        <v>48477</v>
      </c>
      <c r="E9249" s="1">
        <v>2</v>
      </c>
      <c r="F9249" s="47">
        <f t="shared" ref="F9249:F9265" si="797">E9249+F9225</f>
        <v>937</v>
      </c>
      <c r="G9249" s="203">
        <f>SUM(C9249,C9225,C9201,C9177,C9153,C9129,C9105,C9081,C9057,C9033,C9009,C8985,C8961,C8937)/POBLA!$B$8*100000</f>
        <v>161.62070938504041</v>
      </c>
      <c r="H9249" s="254">
        <f t="shared" ref="H9249:H9265" si="798">SUM(C9249,C9225,C9201,C9177,C9153,C9129,C9105,C9081,C9057,C9033,C9009,C8985,C8961,C8937)/SUM(C8913,C8889,C8865,C8841,C8817,C8793,C8769,C8745,C8721,C8697,C8673,C8649,C8625,C8601)</f>
        <v>1.3453453453453454</v>
      </c>
    </row>
    <row r="9250" spans="1:8" x14ac:dyDescent="0.25">
      <c r="A9250" s="84" t="s">
        <v>41</v>
      </c>
      <c r="B9250" s="356">
        <v>44278</v>
      </c>
      <c r="C9250" s="17">
        <v>32</v>
      </c>
      <c r="D9250" s="47">
        <f t="shared" si="792"/>
        <v>1749</v>
      </c>
      <c r="E9250" s="1">
        <v>1</v>
      </c>
      <c r="F9250" s="47">
        <f t="shared" si="797"/>
        <v>27</v>
      </c>
      <c r="G9250" s="203">
        <f>SUM(C9250,C9226,C9202,C9178,C9154,C9130,C9106,C9082,C9058,C9034,C9010,C8986,C8962,C8938)/POBLA!$B$9*100000</f>
        <v>54.362823099407954</v>
      </c>
      <c r="H9250" s="254">
        <f t="shared" si="798"/>
        <v>1.3055555555555556</v>
      </c>
    </row>
    <row r="9251" spans="1:8" x14ac:dyDescent="0.25">
      <c r="A9251" s="84" t="s">
        <v>32</v>
      </c>
      <c r="B9251" s="356">
        <v>44278</v>
      </c>
      <c r="C9251" s="17">
        <v>50</v>
      </c>
      <c r="D9251" s="47">
        <f t="shared" si="792"/>
        <v>22091</v>
      </c>
      <c r="E9251" s="1">
        <v>4</v>
      </c>
      <c r="F9251" s="47">
        <f t="shared" si="797"/>
        <v>952</v>
      </c>
      <c r="G9251" s="203">
        <f>SUM(C9251,C9227,C9203,C9179,C9155,C9131,C9107,C9083,C9059,C9035,C9011,C8987,C8963,C8939)/POBLA!$B$10*100000</f>
        <v>94.307681730383806</v>
      </c>
      <c r="H9251" s="254">
        <f t="shared" si="798"/>
        <v>0.67190388170055448</v>
      </c>
    </row>
    <row r="9252" spans="1:8" x14ac:dyDescent="0.25">
      <c r="A9252" s="84" t="s">
        <v>33</v>
      </c>
      <c r="B9252" s="356">
        <v>44278</v>
      </c>
      <c r="C9252" s="17">
        <v>94</v>
      </c>
      <c r="D9252" s="47">
        <f t="shared" si="792"/>
        <v>20650</v>
      </c>
      <c r="E9252" s="1">
        <v>2</v>
      </c>
      <c r="F9252" s="47">
        <f t="shared" si="797"/>
        <v>313</v>
      </c>
      <c r="G9252" s="203">
        <f>SUM(C9252,C9228,C9204,C9180,C9156,C9132,C9108,C9084,C9060,C9036,C9012,C8988,C8964,C8940)/POBLA!$B$11*100000</f>
        <v>343.16515450801836</v>
      </c>
      <c r="H9252" s="254">
        <f t="shared" si="798"/>
        <v>1.028428093645485</v>
      </c>
    </row>
    <row r="9253" spans="1:8" x14ac:dyDescent="0.25">
      <c r="A9253" s="84" t="s">
        <v>21</v>
      </c>
      <c r="B9253" s="356">
        <v>44278</v>
      </c>
      <c r="C9253" s="17">
        <v>25</v>
      </c>
      <c r="D9253" s="47">
        <f t="shared" si="792"/>
        <v>10735</v>
      </c>
      <c r="F9253" s="47">
        <f t="shared" si="797"/>
        <v>448</v>
      </c>
      <c r="G9253" s="203">
        <f>SUM(C9253,C9229,C9205,C9181,C9157,C9133,C9109,C9085,C9061,C9037,C9013,C8989,C8965,C8941)/POBLA!$B$12*100000</f>
        <v>86.651369269511179</v>
      </c>
      <c r="H9253" s="254">
        <f t="shared" si="798"/>
        <v>1.0524691358024691</v>
      </c>
    </row>
    <row r="9254" spans="1:8" x14ac:dyDescent="0.25">
      <c r="A9254" s="84" t="s">
        <v>17</v>
      </c>
      <c r="B9254" s="356">
        <v>44278</v>
      </c>
      <c r="C9254" s="17">
        <v>252</v>
      </c>
      <c r="D9254" s="47">
        <f t="shared" si="792"/>
        <v>70826</v>
      </c>
      <c r="E9254" s="1">
        <v>3</v>
      </c>
      <c r="F9254" s="47">
        <f t="shared" si="797"/>
        <v>1491</v>
      </c>
      <c r="G9254" s="203">
        <f>SUM(C9254,C9230,C9206,C9182,C9158,C9134,C9110,C9086,C9062,C9038,C9014,C8990,C8966,C8942)/POBLA!$B$13*100000</f>
        <v>113.90025211798196</v>
      </c>
      <c r="H9254" s="254">
        <f t="shared" si="798"/>
        <v>1.1239464551313831</v>
      </c>
    </row>
    <row r="9255" spans="1:8" x14ac:dyDescent="0.25">
      <c r="A9255" s="84" t="s">
        <v>23</v>
      </c>
      <c r="B9255" s="356">
        <v>44278</v>
      </c>
      <c r="C9255" s="17">
        <v>124</v>
      </c>
      <c r="D9255" s="47">
        <f t="shared" si="792"/>
        <v>11026</v>
      </c>
      <c r="E9255" s="1">
        <v>2</v>
      </c>
      <c r="F9255" s="47">
        <f t="shared" si="797"/>
        <v>190</v>
      </c>
      <c r="G9255" s="203">
        <f>SUM(C9255,C9231,C9207,C9183,C9159,C9135,C9111,C9087,C9063,C9039,C9015,C8991,C8967,C8943)/POBLA!$B$14*100000</f>
        <v>132.56227334784754</v>
      </c>
      <c r="H9255" s="254">
        <f t="shared" si="798"/>
        <v>1.0226299694189602</v>
      </c>
    </row>
    <row r="9256" spans="1:8" x14ac:dyDescent="0.25">
      <c r="A9256" s="84" t="s">
        <v>19</v>
      </c>
      <c r="B9256" s="356">
        <v>44278</v>
      </c>
      <c r="C9256" s="17">
        <v>143</v>
      </c>
      <c r="D9256" s="47">
        <f t="shared" si="792"/>
        <v>64338</v>
      </c>
      <c r="E9256" s="1">
        <v>3</v>
      </c>
      <c r="F9256" s="47">
        <f t="shared" si="797"/>
        <v>983</v>
      </c>
      <c r="G9256" s="203">
        <f>SUM(C9256,C9232,C9208,C9184,C9160,C9136,C9112,C9088,C9064,C9040,C9016,C8992,C8968,C8944)/POBLA!$B$15*100000</f>
        <v>264.88689976914634</v>
      </c>
      <c r="H9256" s="254">
        <f t="shared" si="798"/>
        <v>0.79954545454545456</v>
      </c>
    </row>
    <row r="9257" spans="1:8" x14ac:dyDescent="0.25">
      <c r="A9257" s="84" t="s">
        <v>18</v>
      </c>
      <c r="B9257" s="356">
        <v>44278</v>
      </c>
      <c r="C9257" s="17">
        <v>116</v>
      </c>
      <c r="D9257" s="47">
        <f t="shared" si="792"/>
        <v>54617</v>
      </c>
      <c r="E9257" s="1">
        <v>7</v>
      </c>
      <c r="F9257" s="47">
        <f t="shared" si="797"/>
        <v>1264</v>
      </c>
      <c r="G9257" s="203">
        <f>SUM(C9257,C9233,C9209,C9185,C9161,C9137,C9113,C9089,C9065,C9041,C9017,C8993,C8969,C8945)/POBLA!$B$16*100000</f>
        <v>167.19947566244431</v>
      </c>
      <c r="H9257" s="254">
        <f t="shared" si="798"/>
        <v>0.76970443349753692</v>
      </c>
    </row>
    <row r="9258" spans="1:8" x14ac:dyDescent="0.25">
      <c r="A9258" s="84" t="s">
        <v>34</v>
      </c>
      <c r="B9258" s="356">
        <v>44278</v>
      </c>
      <c r="C9258" s="17">
        <v>132</v>
      </c>
      <c r="D9258" s="47">
        <f t="shared" ref="D9258:D9265" si="799">C9258+D9234</f>
        <v>28527</v>
      </c>
      <c r="E9258" s="1">
        <v>8</v>
      </c>
      <c r="F9258" s="47">
        <f t="shared" si="797"/>
        <v>1194</v>
      </c>
      <c r="G9258" s="203">
        <f>SUM(C9258,C9234,C9210,C9186,C9162,C9138,C9114,C9090,C9066,C9042,C9018,C8994,C8970,C8946)/POBLA!$B$17*100000</f>
        <v>104.7460785160317</v>
      </c>
      <c r="H9258" s="254">
        <f t="shared" si="798"/>
        <v>1.0233196159122084</v>
      </c>
    </row>
    <row r="9259" spans="1:8" x14ac:dyDescent="0.25">
      <c r="A9259" s="84" t="s">
        <v>35</v>
      </c>
      <c r="B9259" s="356">
        <v>44278</v>
      </c>
      <c r="C9259" s="17">
        <v>92</v>
      </c>
      <c r="D9259" s="47">
        <f t="shared" si="799"/>
        <v>16483</v>
      </c>
      <c r="F9259" s="47">
        <f t="shared" si="797"/>
        <v>222</v>
      </c>
      <c r="G9259" s="203">
        <f>SUM(C9259,C9235,C9211,C9187,C9163,C9139,C9115,C9091,C9067,C9043,C9019,C8995,C8971,C8947)/POBLA!$B$18*100000</f>
        <v>103.30036340735033</v>
      </c>
      <c r="H9259" s="254">
        <f t="shared" si="798"/>
        <v>1.3121951219512196</v>
      </c>
    </row>
    <row r="9260" spans="1:8" x14ac:dyDescent="0.25">
      <c r="A9260" s="84" t="s">
        <v>36</v>
      </c>
      <c r="B9260" s="356">
        <v>44278</v>
      </c>
      <c r="C9260" s="17">
        <v>1</v>
      </c>
      <c r="D9260" s="47">
        <f t="shared" si="799"/>
        <v>21554</v>
      </c>
      <c r="E9260" s="1">
        <v>1</v>
      </c>
      <c r="F9260" s="47">
        <f t="shared" si="797"/>
        <v>383</v>
      </c>
      <c r="G9260" s="203">
        <f>SUM(C9260,C9236,C9212,C9188,C9164,C9140,C9116,C9092,C9068,C9044,C9020,C8996,C8972,C8948)/POBLA!$B$19*100000</f>
        <v>146.16546796556554</v>
      </c>
      <c r="H9260" s="254">
        <f t="shared" si="798"/>
        <v>2.8798449612403099</v>
      </c>
    </row>
    <row r="9261" spans="1:8" x14ac:dyDescent="0.25">
      <c r="A9261" s="84" t="s">
        <v>37</v>
      </c>
      <c r="B9261" s="356">
        <v>44278</v>
      </c>
      <c r="C9261" s="17">
        <v>120</v>
      </c>
      <c r="D9261" s="47">
        <f t="shared" si="799"/>
        <v>38408</v>
      </c>
      <c r="F9261" s="47">
        <f t="shared" si="797"/>
        <v>624</v>
      </c>
      <c r="G9261" s="203">
        <f>SUM(C9261,C9237,C9213,C9189,C9165,C9141,C9117,C9093,C9069,C9045,C9021,C8997,C8973,C8949)/POBLA!$B$20*100000</f>
        <v>432.87083877953944</v>
      </c>
      <c r="H9261" s="254">
        <f t="shared" si="798"/>
        <v>1.1347670250896058</v>
      </c>
    </row>
    <row r="9262" spans="1:8" x14ac:dyDescent="0.25">
      <c r="A9262" s="84" t="s">
        <v>22</v>
      </c>
      <c r="B9262" s="356">
        <v>44278</v>
      </c>
      <c r="C9262" s="17">
        <v>656</v>
      </c>
      <c r="D9262" s="47">
        <f t="shared" si="799"/>
        <v>226571</v>
      </c>
      <c r="E9262" s="1">
        <v>2</v>
      </c>
      <c r="F9262" s="47">
        <f t="shared" si="797"/>
        <v>4207</v>
      </c>
      <c r="G9262" s="203">
        <f>SUM(C9262,C9238,C9214,C9190,C9166,C9142,C9118,C9094,C9070,C9046,C9022,C8998,C8974,C8950)/POBLA!$B$21*100000</f>
        <v>183.9431877114074</v>
      </c>
      <c r="H9262" s="254">
        <f t="shared" si="798"/>
        <v>1.2310749432248296</v>
      </c>
    </row>
    <row r="9263" spans="1:8" x14ac:dyDescent="0.25">
      <c r="A9263" s="84" t="s">
        <v>38</v>
      </c>
      <c r="B9263" s="356">
        <v>44278</v>
      </c>
      <c r="C9263" s="17">
        <v>54</v>
      </c>
      <c r="D9263" s="47">
        <f t="shared" si="799"/>
        <v>24236</v>
      </c>
      <c r="E9263" s="1">
        <v>4</v>
      </c>
      <c r="F9263" s="47">
        <f t="shared" si="797"/>
        <v>282</v>
      </c>
      <c r="G9263" s="203">
        <f>SUM(C9263,C9239,C9215,C9191,C9167,C9143,C9119,C9095,C9071,C9047,C9023,C8999,C8975,C8951)/POBLA!$B$22*100000</f>
        <v>113.56283725147269</v>
      </c>
      <c r="H9263" s="254">
        <f t="shared" si="798"/>
        <v>1.3070588235294118</v>
      </c>
    </row>
    <row r="9264" spans="1:8" x14ac:dyDescent="0.25">
      <c r="A9264" s="84" t="s">
        <v>39</v>
      </c>
      <c r="B9264" s="356">
        <v>44278</v>
      </c>
      <c r="C9264" s="17">
        <v>42</v>
      </c>
      <c r="D9264" s="47">
        <f t="shared" si="799"/>
        <v>23662</v>
      </c>
      <c r="E9264" s="1">
        <v>3</v>
      </c>
      <c r="F9264" s="47">
        <f t="shared" si="797"/>
        <v>361</v>
      </c>
      <c r="G9264" s="203">
        <f>SUM(C9264,C9240,C9216,C9192,C9168,C9144,C9120,C9096,C9072,C9048,C9024,C9000,C8976,C8952)/POBLA!$B$23*100000</f>
        <v>238.08177345473052</v>
      </c>
      <c r="H9264" s="254">
        <f t="shared" si="798"/>
        <v>0.94394618834080712</v>
      </c>
    </row>
    <row r="9265" spans="1:8" ht="15.75" thickBot="1" x14ac:dyDescent="0.3">
      <c r="A9265" s="85" t="s">
        <v>40</v>
      </c>
      <c r="B9265" s="356">
        <v>44278</v>
      </c>
      <c r="C9265" s="17">
        <v>441</v>
      </c>
      <c r="D9265" s="214">
        <f t="shared" si="799"/>
        <v>84678</v>
      </c>
      <c r="F9265" s="214">
        <f t="shared" si="797"/>
        <v>1498</v>
      </c>
      <c r="G9265" s="215">
        <f>SUM(C9265,C9241,C9217,C9193,C9169,C9145,C9121,C9097,C9073,C9049,C9025,C9001,C8977,C8953)/POBLA!$B$24*100000</f>
        <v>208.36087087880961</v>
      </c>
      <c r="H9265" s="255">
        <f t="shared" si="798"/>
        <v>1.6878585086042066</v>
      </c>
    </row>
    <row r="9266" spans="1:8" x14ac:dyDescent="0.25">
      <c r="A9266" s="36" t="s">
        <v>16</v>
      </c>
      <c r="B9266" s="356">
        <v>44279</v>
      </c>
      <c r="C9266" s="17">
        <v>3902</v>
      </c>
      <c r="D9266" s="211">
        <f t="shared" ref="D9266:D9329" si="800">C9266+D9242</f>
        <v>950138</v>
      </c>
      <c r="E9266" s="1">
        <v>102</v>
      </c>
      <c r="F9266" s="211">
        <f t="shared" ref="F9266:F9329" si="801">E9266+F9242</f>
        <v>27698</v>
      </c>
      <c r="G9266" s="212">
        <f>SUM(C9266,C9242,C9218,C9194,C9170,C9146,C9122,C9098,C9074,C9050,C9026,C9002,C8978,C8954)/POBLA!$B$1*100000</f>
        <v>249.56187285650344</v>
      </c>
      <c r="H9266" s="253">
        <f t="shared" ref="H9266:H9329" si="802">SUM(C9266,C9242,C9218,C9194,C9170,C9146,C9122,C9098,C9074,C9050,C9026,C9002,C8978,C8954)/SUM(C8930,C8906,C8882,C8858,C8834,C8810,C8786,C8762,C8738,C8714,C8690,C8666,C8642,C8618)</f>
        <v>1.2300775542317635</v>
      </c>
    </row>
    <row r="9267" spans="1:8" x14ac:dyDescent="0.25">
      <c r="A9267" s="84" t="s">
        <v>43</v>
      </c>
      <c r="B9267" s="356">
        <v>44279</v>
      </c>
      <c r="C9267" s="17">
        <v>904</v>
      </c>
      <c r="D9267" s="47">
        <f t="shared" si="800"/>
        <v>251182</v>
      </c>
      <c r="E9267" s="1">
        <v>3</v>
      </c>
      <c r="F9267" s="47">
        <f t="shared" si="801"/>
        <v>6809</v>
      </c>
      <c r="G9267" s="203">
        <f>SUM(C9267,C9243,C9219,C9195,C9171,C9147,C9123,C9099,C9075,C9051,C9027,C9003,C8979,C8955)/POBLA!$B$2*100000</f>
        <v>397.70506748826102</v>
      </c>
      <c r="H9267" s="254">
        <f t="shared" si="802"/>
        <v>1.2782944926324591</v>
      </c>
    </row>
    <row r="9268" spans="1:8" x14ac:dyDescent="0.25">
      <c r="A9268" s="84" t="s">
        <v>28</v>
      </c>
      <c r="B9268" s="356">
        <v>44279</v>
      </c>
      <c r="C9268" s="17">
        <v>70</v>
      </c>
      <c r="D9268" s="47">
        <f t="shared" si="800"/>
        <v>9914</v>
      </c>
      <c r="F9268" s="47">
        <f t="shared" si="801"/>
        <v>18</v>
      </c>
      <c r="G9268" s="203">
        <f>SUM(C9268,C9244,C9220,C9196,C9172,C9148,C9124,C9100,C9076,C9052,C9028,C9004,C8980,C8956)/POBLA!$B$3*100000</f>
        <v>294.62880140959663</v>
      </c>
      <c r="H9268" s="254">
        <f t="shared" si="802"/>
        <v>1.0390492359932089</v>
      </c>
    </row>
    <row r="9269" spans="1:8" x14ac:dyDescent="0.25">
      <c r="A9269" s="84" t="s">
        <v>15</v>
      </c>
      <c r="B9269" s="356">
        <v>44279</v>
      </c>
      <c r="C9269" s="17">
        <v>180</v>
      </c>
      <c r="D9269" s="47">
        <f t="shared" si="800"/>
        <v>37375</v>
      </c>
      <c r="E9269" s="1">
        <v>2</v>
      </c>
      <c r="F9269" s="47">
        <f t="shared" si="801"/>
        <v>914</v>
      </c>
      <c r="G9269" s="203">
        <f>SUM(C9269,C9245,C9221,C9197,C9173,C9149,C9125,C9101,C9077,C9053,C9029,C9005,C8981,C8957)/POBLA!$B$4*100000</f>
        <v>162.38550618036248</v>
      </c>
      <c r="H9269" s="254">
        <f t="shared" si="802"/>
        <v>1.1228473019517795</v>
      </c>
    </row>
    <row r="9270" spans="1:8" x14ac:dyDescent="0.25">
      <c r="A9270" s="84" t="s">
        <v>29</v>
      </c>
      <c r="B9270" s="356">
        <v>44279</v>
      </c>
      <c r="C9270" s="17">
        <v>101</v>
      </c>
      <c r="D9270" s="47">
        <f t="shared" si="800"/>
        <v>49119</v>
      </c>
      <c r="F9270" s="47">
        <f t="shared" si="801"/>
        <v>845</v>
      </c>
      <c r="G9270" s="203">
        <f>SUM(C9270,C9246,C9222,C9198,C9174,C9150,C9126,C9102,C9078,C9054,C9030,C9006,C8982,C8958)/POBLA!$B$5*100000</f>
        <v>211.95682025997021</v>
      </c>
      <c r="H9270" s="254">
        <f t="shared" si="802"/>
        <v>1.0798353909465022</v>
      </c>
    </row>
    <row r="9271" spans="1:8" x14ac:dyDescent="0.25">
      <c r="A9271" s="84" t="s">
        <v>30</v>
      </c>
      <c r="B9271" s="356">
        <v>44279</v>
      </c>
      <c r="C9271" s="17">
        <v>344</v>
      </c>
      <c r="D9271" s="47">
        <f t="shared" si="800"/>
        <v>27094</v>
      </c>
      <c r="E9271" s="1">
        <v>1</v>
      </c>
      <c r="F9271" s="47">
        <f t="shared" si="801"/>
        <v>319</v>
      </c>
      <c r="G9271" s="203">
        <f>SUM(C9271,C9247,C9223,C9199,C9175,C9151,C9127,C9103,C9079,C9055,C9031,C9007,C8983,C8959)/POBLA!$B$6*100000</f>
        <v>279.79989311215814</v>
      </c>
      <c r="H9271" s="254">
        <f t="shared" si="802"/>
        <v>1.1833962264150943</v>
      </c>
    </row>
    <row r="9272" spans="1:8" x14ac:dyDescent="0.25">
      <c r="A9272" s="84" t="s">
        <v>20</v>
      </c>
      <c r="B9272" s="356">
        <v>44279</v>
      </c>
      <c r="C9272" s="17">
        <v>769</v>
      </c>
      <c r="D9272" s="47">
        <f t="shared" si="800"/>
        <v>174397</v>
      </c>
      <c r="E9272" s="1">
        <v>6</v>
      </c>
      <c r="F9272" s="47">
        <f t="shared" si="801"/>
        <v>2990</v>
      </c>
      <c r="G9272" s="203">
        <f>SUM(C9272,C9248,C9224,C9200,C9176,C9152,C9128,C9104,C9080,C9056,C9032,C9008,C8984,C8960)/POBLA!$B$7*100000</f>
        <v>231.80736348043453</v>
      </c>
      <c r="H9272" s="254">
        <f t="shared" si="802"/>
        <v>1.0681289057713514</v>
      </c>
    </row>
    <row r="9273" spans="1:8" x14ac:dyDescent="0.25">
      <c r="A9273" s="84" t="s">
        <v>31</v>
      </c>
      <c r="B9273" s="356">
        <v>44279</v>
      </c>
      <c r="C9273" s="17">
        <v>127</v>
      </c>
      <c r="D9273" s="47">
        <f t="shared" si="800"/>
        <v>48604</v>
      </c>
      <c r="F9273" s="47">
        <f t="shared" si="801"/>
        <v>937</v>
      </c>
      <c r="G9273" s="203">
        <f>SUM(C9273,C9249,C9225,C9201,C9177,C9153,C9129,C9105,C9081,C9057,C9033,C9009,C8985,C8961)/POBLA!$B$8*100000</f>
        <v>158.30171267445476</v>
      </c>
      <c r="H9273" s="254">
        <f t="shared" si="802"/>
        <v>1.3224834237492464</v>
      </c>
    </row>
    <row r="9274" spans="1:8" x14ac:dyDescent="0.25">
      <c r="A9274" s="84" t="s">
        <v>41</v>
      </c>
      <c r="B9274" s="356">
        <v>44279</v>
      </c>
      <c r="C9274" s="17">
        <v>20</v>
      </c>
      <c r="D9274" s="47">
        <f t="shared" si="800"/>
        <v>1769</v>
      </c>
      <c r="F9274" s="47">
        <f t="shared" si="801"/>
        <v>27</v>
      </c>
      <c r="G9274" s="203">
        <f>SUM(C9274,C9250,C9226,C9202,C9178,C9154,C9130,C9106,C9082,C9058,C9034,C9010,C8986,C8962)/POBLA!$B$9*100000</f>
        <v>56.345661631909159</v>
      </c>
      <c r="H9274" s="254">
        <f t="shared" si="802"/>
        <v>1.3478260869565217</v>
      </c>
    </row>
    <row r="9275" spans="1:8" x14ac:dyDescent="0.25">
      <c r="A9275" s="84" t="s">
        <v>32</v>
      </c>
      <c r="B9275" s="356">
        <v>44279</v>
      </c>
      <c r="C9275" s="17">
        <v>23</v>
      </c>
      <c r="D9275" s="47">
        <f t="shared" si="800"/>
        <v>22114</v>
      </c>
      <c r="E9275" s="1">
        <v>2</v>
      </c>
      <c r="F9275" s="47">
        <f t="shared" si="801"/>
        <v>954</v>
      </c>
      <c r="G9275" s="203">
        <f>SUM(C9275,C9251,C9227,C9203,C9179,C9155,C9131,C9107,C9083,C9059,C9035,C9011,C8987,C8963)/POBLA!$B$10*100000</f>
        <v>86.783822665236272</v>
      </c>
      <c r="H9275" s="254">
        <f t="shared" si="802"/>
        <v>0.63113207547169814</v>
      </c>
    </row>
    <row r="9276" spans="1:8" x14ac:dyDescent="0.25">
      <c r="A9276" s="84" t="s">
        <v>33</v>
      </c>
      <c r="B9276" s="356">
        <v>44279</v>
      </c>
      <c r="C9276" s="17">
        <v>67</v>
      </c>
      <c r="D9276" s="47">
        <f t="shared" si="800"/>
        <v>20717</v>
      </c>
      <c r="F9276" s="47">
        <f t="shared" si="801"/>
        <v>313</v>
      </c>
      <c r="G9276" s="203">
        <f>SUM(C9276,C9252,C9228,C9204,C9180,C9156,C9132,C9108,C9084,C9060,C9036,C9012,C8988,C8964)/POBLA!$B$11*100000</f>
        <v>337.58523329650586</v>
      </c>
      <c r="H9276" s="254">
        <f t="shared" si="802"/>
        <v>1.0151006711409396</v>
      </c>
    </row>
    <row r="9277" spans="1:8" x14ac:dyDescent="0.25">
      <c r="A9277" s="84" t="s">
        <v>21</v>
      </c>
      <c r="B9277" s="356">
        <v>44279</v>
      </c>
      <c r="C9277" s="17">
        <v>25</v>
      </c>
      <c r="D9277" s="47">
        <f t="shared" si="800"/>
        <v>10760</v>
      </c>
      <c r="F9277" s="47">
        <f t="shared" si="801"/>
        <v>448</v>
      </c>
      <c r="G9277" s="203">
        <f>SUM(C9277,C9253,C9229,C9205,C9181,C9157,C9133,C9109,C9085,C9061,C9037,C9013,C8989,C8965)/POBLA!$B$12*100000</f>
        <v>86.143150094909927</v>
      </c>
      <c r="H9277" s="254">
        <f t="shared" si="802"/>
        <v>1.1452702702702702</v>
      </c>
    </row>
    <row r="9278" spans="1:8" x14ac:dyDescent="0.25">
      <c r="A9278" s="84" t="s">
        <v>17</v>
      </c>
      <c r="B9278" s="356">
        <v>44279</v>
      </c>
      <c r="C9278" s="17">
        <v>169</v>
      </c>
      <c r="D9278" s="47">
        <f t="shared" si="800"/>
        <v>70995</v>
      </c>
      <c r="E9278" s="1">
        <v>1</v>
      </c>
      <c r="F9278" s="47">
        <f t="shared" si="801"/>
        <v>1492</v>
      </c>
      <c r="G9278" s="203">
        <f>SUM(C9278,C9254,C9230,C9206,C9182,C9158,C9134,C9110,C9086,C9062,C9038,C9014,C8990,C8966)/POBLA!$B$13*100000</f>
        <v>109.93107703314713</v>
      </c>
      <c r="H9278" s="254">
        <f t="shared" si="802"/>
        <v>1.0419047619047619</v>
      </c>
    </row>
    <row r="9279" spans="1:8" x14ac:dyDescent="0.25">
      <c r="A9279" s="84" t="s">
        <v>23</v>
      </c>
      <c r="B9279" s="356">
        <v>44279</v>
      </c>
      <c r="C9279" s="17">
        <v>138</v>
      </c>
      <c r="D9279" s="47">
        <f t="shared" si="800"/>
        <v>11164</v>
      </c>
      <c r="F9279" s="47">
        <f t="shared" si="801"/>
        <v>190</v>
      </c>
      <c r="G9279" s="203">
        <f>SUM(C9279,C9255,C9231,C9207,C9183,C9159,C9135,C9111,C9087,C9063,C9039,C9015,C8991,C8967)/POBLA!$B$14*100000</f>
        <v>134.54436475556057</v>
      </c>
      <c r="H9279" s="254">
        <f t="shared" si="802"/>
        <v>1.0385556915544676</v>
      </c>
    </row>
    <row r="9280" spans="1:8" x14ac:dyDescent="0.25">
      <c r="A9280" s="84" t="s">
        <v>19</v>
      </c>
      <c r="B9280" s="356">
        <v>44279</v>
      </c>
      <c r="C9280" s="17">
        <v>132</v>
      </c>
      <c r="D9280" s="47">
        <f t="shared" si="800"/>
        <v>64470</v>
      </c>
      <c r="F9280" s="47">
        <f t="shared" si="801"/>
        <v>983</v>
      </c>
      <c r="G9280" s="203">
        <f>SUM(C9280,C9256,C9232,C9208,C9184,C9160,C9136,C9112,C9088,C9064,C9040,C9016,C8992,C8968)/POBLA!$B$15*100000</f>
        <v>261.12216270591227</v>
      </c>
      <c r="H9280" s="254">
        <f t="shared" si="802"/>
        <v>0.82729007633587781</v>
      </c>
    </row>
    <row r="9281" spans="1:8" x14ac:dyDescent="0.25">
      <c r="A9281" s="84" t="s">
        <v>18</v>
      </c>
      <c r="B9281" s="356">
        <v>44279</v>
      </c>
      <c r="C9281" s="17">
        <v>85</v>
      </c>
      <c r="D9281" s="47">
        <f t="shared" si="800"/>
        <v>54702</v>
      </c>
      <c r="E9281" s="1">
        <v>1</v>
      </c>
      <c r="F9281" s="47">
        <f t="shared" si="801"/>
        <v>1265</v>
      </c>
      <c r="G9281" s="203">
        <f>SUM(C9281,C9257,C9233,C9209,C9185,C9161,C9137,C9113,C9089,C9065,C9041,C9017,C8993,C8969)/POBLA!$B$16*100000</f>
        <v>159.04014125011705</v>
      </c>
      <c r="H9281" s="254">
        <f t="shared" si="802"/>
        <v>0.74127182044887785</v>
      </c>
    </row>
    <row r="9282" spans="1:8" x14ac:dyDescent="0.25">
      <c r="A9282" s="84" t="s">
        <v>34</v>
      </c>
      <c r="B9282" s="356">
        <v>44279</v>
      </c>
      <c r="C9282" s="17">
        <v>89</v>
      </c>
      <c r="D9282" s="47">
        <f t="shared" si="800"/>
        <v>28616</v>
      </c>
      <c r="F9282" s="47">
        <f t="shared" si="801"/>
        <v>1194</v>
      </c>
      <c r="G9282" s="203">
        <f>SUM(C9282,C9258,C9234,C9210,C9186,C9162,C9138,C9114,C9090,C9066,C9042,C9018,C8994,C8970)/POBLA!$B$17*100000</f>
        <v>98.638230774145129</v>
      </c>
      <c r="H9282" s="254">
        <f t="shared" si="802"/>
        <v>0.9551325628823929</v>
      </c>
    </row>
    <row r="9283" spans="1:8" x14ac:dyDescent="0.25">
      <c r="A9283" s="84" t="s">
        <v>35</v>
      </c>
      <c r="B9283" s="356">
        <v>44279</v>
      </c>
      <c r="C9283" s="17">
        <v>39</v>
      </c>
      <c r="D9283" s="47">
        <f t="shared" si="800"/>
        <v>16522</v>
      </c>
      <c r="F9283" s="47">
        <f t="shared" si="801"/>
        <v>222</v>
      </c>
      <c r="G9283" s="203">
        <f>SUM(C9283,C9259,C9235,C9211,C9187,C9163,C9139,C9115,C9091,C9067,C9043,C9019,C8995,C8971)/POBLA!$B$18*100000</f>
        <v>99.076184978053476</v>
      </c>
      <c r="H9283" s="254">
        <f t="shared" si="802"/>
        <v>1.2751235584843492</v>
      </c>
    </row>
    <row r="9284" spans="1:8" x14ac:dyDescent="0.25">
      <c r="A9284" s="84" t="s">
        <v>36</v>
      </c>
      <c r="B9284" s="356">
        <v>44279</v>
      </c>
      <c r="C9284" s="17">
        <v>1</v>
      </c>
      <c r="D9284" s="47">
        <f t="shared" si="800"/>
        <v>21555</v>
      </c>
      <c r="F9284" s="47">
        <f t="shared" si="801"/>
        <v>383</v>
      </c>
      <c r="G9284" s="203">
        <f>SUM(C9284,C9260,C9236,C9212,C9188,C9164,C9140,C9116,C9092,C9068,C9044,C9020,C8996,C8972)/POBLA!$B$19*100000</f>
        <v>145.96874459010718</v>
      </c>
      <c r="H9284" s="254">
        <f t="shared" si="802"/>
        <v>3.2543859649122808</v>
      </c>
    </row>
    <row r="9285" spans="1:8" x14ac:dyDescent="0.25">
      <c r="A9285" s="84" t="s">
        <v>37</v>
      </c>
      <c r="B9285" s="356">
        <v>44279</v>
      </c>
      <c r="C9285" s="17">
        <v>117</v>
      </c>
      <c r="D9285" s="47">
        <f t="shared" si="800"/>
        <v>38525</v>
      </c>
      <c r="E9285" s="1">
        <v>1</v>
      </c>
      <c r="F9285" s="47">
        <f t="shared" si="801"/>
        <v>625</v>
      </c>
      <c r="G9285" s="203">
        <f>SUM(C9285,C9261,C9237,C9213,C9189,C9165,C9141,C9117,C9093,C9069,C9045,C9021,C8997,C8973)/POBLA!$B$20*100000</f>
        <v>427.12839556136487</v>
      </c>
      <c r="H9285" s="254">
        <f t="shared" si="802"/>
        <v>1.1726726726726726</v>
      </c>
    </row>
    <row r="9286" spans="1:8" x14ac:dyDescent="0.25">
      <c r="A9286" s="84" t="s">
        <v>22</v>
      </c>
      <c r="B9286" s="356">
        <v>44279</v>
      </c>
      <c r="C9286" s="17">
        <v>570</v>
      </c>
      <c r="D9286" s="47">
        <f t="shared" si="800"/>
        <v>227141</v>
      </c>
      <c r="E9286" s="1">
        <v>2</v>
      </c>
      <c r="F9286" s="47">
        <f t="shared" si="801"/>
        <v>4209</v>
      </c>
      <c r="G9286" s="203">
        <f>SUM(C9286,C9262,C9238,C9214,C9190,C9166,C9142,C9118,C9094,C9070,C9046,C9022,C8998,C8974)/POBLA!$B$21*100000</f>
        <v>185.66809692745599</v>
      </c>
      <c r="H9286" s="254">
        <f t="shared" si="802"/>
        <v>1.2363020146864998</v>
      </c>
    </row>
    <row r="9287" spans="1:8" x14ac:dyDescent="0.25">
      <c r="A9287" s="84" t="s">
        <v>38</v>
      </c>
      <c r="B9287" s="356">
        <v>44279</v>
      </c>
      <c r="C9287" s="17">
        <v>98</v>
      </c>
      <c r="D9287" s="47">
        <f t="shared" si="800"/>
        <v>24334</v>
      </c>
      <c r="E9287" s="1">
        <v>1</v>
      </c>
      <c r="F9287" s="47">
        <f t="shared" si="801"/>
        <v>283</v>
      </c>
      <c r="G9287" s="203">
        <f>SUM(C9287,C9263,C9239,C9215,C9191,C9167,C9143,C9119,C9095,C9071,C9047,C9023,C8999,C8975)/POBLA!$B$22*100000</f>
        <v>118.36702568605344</v>
      </c>
      <c r="H9287" s="254">
        <f t="shared" si="802"/>
        <v>1.3851674641148326</v>
      </c>
    </row>
    <row r="9288" spans="1:8" x14ac:dyDescent="0.25">
      <c r="A9288" s="84" t="s">
        <v>39</v>
      </c>
      <c r="B9288" s="356">
        <v>44279</v>
      </c>
      <c r="C9288" s="17">
        <v>62</v>
      </c>
      <c r="D9288" s="47">
        <f t="shared" si="800"/>
        <v>23724</v>
      </c>
      <c r="E9288" s="1">
        <v>1</v>
      </c>
      <c r="F9288" s="47">
        <f t="shared" si="801"/>
        <v>362</v>
      </c>
      <c r="G9288" s="203">
        <f>SUM(C9288,C9264,C9240,C9216,C9192,C9168,C9144,C9120,C9096,C9072,C9048,C9024,C9000,C8976)/POBLA!$B$23*100000</f>
        <v>264.66097381666009</v>
      </c>
      <c r="H9288" s="254">
        <f t="shared" si="802"/>
        <v>1.1063829787234043</v>
      </c>
    </row>
    <row r="9289" spans="1:8" ht="15.75" thickBot="1" x14ac:dyDescent="0.3">
      <c r="A9289" s="85" t="s">
        <v>40</v>
      </c>
      <c r="B9289" s="356">
        <v>44279</v>
      </c>
      <c r="C9289" s="17">
        <v>268</v>
      </c>
      <c r="D9289" s="214">
        <f t="shared" si="800"/>
        <v>84946</v>
      </c>
      <c r="F9289" s="214">
        <f t="shared" si="801"/>
        <v>1498</v>
      </c>
      <c r="G9289" s="215">
        <f>SUM(C9289,C9265,C9241,C9217,C9193,C9169,C9145,C9121,C9097,C9073,C9049,C9025,C9001,C8977)/POBLA!$B$24*100000</f>
        <v>212.07843951810867</v>
      </c>
      <c r="H9289" s="255">
        <f t="shared" si="802"/>
        <v>1.7295476419634264</v>
      </c>
    </row>
    <row r="9290" spans="1:8" x14ac:dyDescent="0.25">
      <c r="A9290" s="36" t="s">
        <v>16</v>
      </c>
      <c r="B9290" s="356">
        <v>44280</v>
      </c>
      <c r="C9290" s="17">
        <v>3702</v>
      </c>
      <c r="D9290" s="211">
        <f t="shared" si="800"/>
        <v>953840</v>
      </c>
      <c r="E9290" s="1">
        <v>64</v>
      </c>
      <c r="F9290" s="211">
        <f t="shared" si="801"/>
        <v>27762</v>
      </c>
      <c r="G9290" s="212">
        <f>SUM(C9290,C9266,C9242,C9218,C9194,C9170,C9146,C9122,C9098,C9074,C9050,C9026,C9002,C8978)/POBLA!$B$1*100000</f>
        <v>250.99849547985505</v>
      </c>
      <c r="H9290" s="253">
        <f t="shared" si="802"/>
        <v>1.2303822937625755</v>
      </c>
    </row>
    <row r="9291" spans="1:8" x14ac:dyDescent="0.25">
      <c r="A9291" s="84" t="s">
        <v>43</v>
      </c>
      <c r="B9291" s="356">
        <v>44280</v>
      </c>
      <c r="C9291" s="17">
        <v>1398</v>
      </c>
      <c r="D9291" s="47">
        <f t="shared" si="800"/>
        <v>252580</v>
      </c>
      <c r="E9291" s="1">
        <v>4</v>
      </c>
      <c r="F9291" s="47">
        <f t="shared" si="801"/>
        <v>6813</v>
      </c>
      <c r="G9291" s="203">
        <f>SUM(C9291,C9267,C9243,C9219,C9195,C9171,C9147,C9123,C9099,C9075,C9051,C9027,C9003,C8979)/POBLA!$B$2*100000</f>
        <v>416.335299966251</v>
      </c>
      <c r="H9291" s="254">
        <f t="shared" si="802"/>
        <v>1.3464773922187172</v>
      </c>
    </row>
    <row r="9292" spans="1:8" x14ac:dyDescent="0.25">
      <c r="A9292" s="84" t="s">
        <v>28</v>
      </c>
      <c r="B9292" s="356">
        <v>44280</v>
      </c>
      <c r="C9292" s="17">
        <v>83</v>
      </c>
      <c r="D9292" s="47">
        <f t="shared" si="800"/>
        <v>9997</v>
      </c>
      <c r="F9292" s="47">
        <f t="shared" si="801"/>
        <v>18</v>
      </c>
      <c r="G9292" s="203">
        <f>SUM(C9292,C9268,C9244,C9220,C9196,C9172,C9148,C9124,C9100,C9076,C9052,C9028,C9004,C8980)/POBLA!$B$3*100000</f>
        <v>295.3509308248162</v>
      </c>
      <c r="H9292" s="254">
        <f t="shared" si="802"/>
        <v>1.0848806366047745</v>
      </c>
    </row>
    <row r="9293" spans="1:8" x14ac:dyDescent="0.25">
      <c r="A9293" s="84" t="s">
        <v>15</v>
      </c>
      <c r="B9293" s="356">
        <v>44280</v>
      </c>
      <c r="C9293" s="17">
        <v>125</v>
      </c>
      <c r="D9293" s="47">
        <f t="shared" si="800"/>
        <v>37500</v>
      </c>
      <c r="E9293" s="1">
        <v>1</v>
      </c>
      <c r="F9293" s="47">
        <f t="shared" si="801"/>
        <v>915</v>
      </c>
      <c r="G9293" s="203">
        <f>SUM(C9293,C9269,C9245,C9221,C9197,C9173,C9149,C9125,C9101,C9077,C9053,C9029,C9005,C8981)/POBLA!$B$4*100000</f>
        <v>161.14021855627993</v>
      </c>
      <c r="H9293" s="254">
        <f t="shared" si="802"/>
        <v>1.1364168618266979</v>
      </c>
    </row>
    <row r="9294" spans="1:8" x14ac:dyDescent="0.25">
      <c r="A9294" s="84" t="s">
        <v>29</v>
      </c>
      <c r="B9294" s="356">
        <v>44280</v>
      </c>
      <c r="C9294" s="17">
        <v>129</v>
      </c>
      <c r="D9294" s="47">
        <f t="shared" si="800"/>
        <v>49248</v>
      </c>
      <c r="E9294" s="1">
        <v>9</v>
      </c>
      <c r="F9294" s="47">
        <f t="shared" si="801"/>
        <v>854</v>
      </c>
      <c r="G9294" s="203">
        <f>SUM(C9294,C9270,C9246,C9222,C9198,C9174,C9150,C9126,C9102,C9078,C9054,C9030,C9006,C8982)/POBLA!$B$5*100000</f>
        <v>215.83407916716479</v>
      </c>
      <c r="H9294" s="254">
        <f t="shared" si="802"/>
        <v>1.134125636672326</v>
      </c>
    </row>
    <row r="9295" spans="1:8" x14ac:dyDescent="0.25">
      <c r="A9295" s="84" t="s">
        <v>30</v>
      </c>
      <c r="B9295" s="356">
        <v>44280</v>
      </c>
      <c r="C9295" s="17">
        <v>28</v>
      </c>
      <c r="D9295" s="47">
        <f t="shared" si="800"/>
        <v>27122</v>
      </c>
      <c r="E9295" s="1">
        <v>4</v>
      </c>
      <c r="F9295" s="47">
        <f t="shared" si="801"/>
        <v>323</v>
      </c>
      <c r="G9295" s="203">
        <f>SUM(C9295,C9271,C9247,C9223,C9199,C9175,C9151,C9127,C9103,C9079,C9055,C9031,C9007,C8983)/POBLA!$B$6*100000</f>
        <v>275.96335121042898</v>
      </c>
      <c r="H9295" s="254">
        <f t="shared" si="802"/>
        <v>1.1778370144706778</v>
      </c>
    </row>
    <row r="9296" spans="1:8" x14ac:dyDescent="0.25">
      <c r="A9296" s="84" t="s">
        <v>20</v>
      </c>
      <c r="B9296" s="356">
        <v>44280</v>
      </c>
      <c r="C9296" s="17">
        <v>723</v>
      </c>
      <c r="D9296" s="47">
        <f t="shared" si="800"/>
        <v>175120</v>
      </c>
      <c r="E9296" s="1">
        <v>1</v>
      </c>
      <c r="F9296" s="47">
        <f t="shared" si="801"/>
        <v>2991</v>
      </c>
      <c r="G9296" s="203">
        <f>SUM(C9296,C9272,C9248,C9224,C9200,C9176,C9152,C9128,C9104,C9080,C9056,C9032,C9008,C8984)/POBLA!$B$7*100000</f>
        <v>232.47217753194434</v>
      </c>
      <c r="H9296" s="254">
        <f t="shared" si="802"/>
        <v>1.1232172684054991</v>
      </c>
    </row>
    <row r="9297" spans="1:8" x14ac:dyDescent="0.25">
      <c r="A9297" s="84" t="s">
        <v>31</v>
      </c>
      <c r="B9297" s="356">
        <v>44280</v>
      </c>
      <c r="C9297" s="17">
        <v>136</v>
      </c>
      <c r="D9297" s="47">
        <f t="shared" si="800"/>
        <v>48740</v>
      </c>
      <c r="E9297" s="1">
        <v>1</v>
      </c>
      <c r="F9297" s="47">
        <f t="shared" si="801"/>
        <v>938</v>
      </c>
      <c r="G9297" s="203">
        <f>SUM(C9297,C9273,C9249,C9225,C9201,C9177,C9153,C9129,C9105,C9081,C9057,C9033,C9009,C8985)/POBLA!$B$8*100000</f>
        <v>157.9409521624346</v>
      </c>
      <c r="H9297" s="254">
        <f t="shared" si="802"/>
        <v>1.3347560975609756</v>
      </c>
    </row>
    <row r="9298" spans="1:8" x14ac:dyDescent="0.25">
      <c r="A9298" s="84" t="s">
        <v>41</v>
      </c>
      <c r="B9298" s="356">
        <v>44280</v>
      </c>
      <c r="C9298" s="17">
        <v>57</v>
      </c>
      <c r="D9298" s="47">
        <f t="shared" si="800"/>
        <v>1826</v>
      </c>
      <c r="F9298" s="47">
        <f t="shared" si="801"/>
        <v>27</v>
      </c>
      <c r="G9298" s="203">
        <f>SUM(C9298,C9274,C9250,C9226,C9202,C9178,C9154,C9130,C9106,C9082,C9058,C9034,C9010,C8986)/POBLA!$B$9*100000</f>
        <v>57.667553986909965</v>
      </c>
      <c r="H9298" s="254">
        <f t="shared" si="802"/>
        <v>1.1952054794520548</v>
      </c>
    </row>
    <row r="9299" spans="1:8" x14ac:dyDescent="0.25">
      <c r="A9299" s="84" t="s">
        <v>32</v>
      </c>
      <c r="B9299" s="356">
        <v>44280</v>
      </c>
      <c r="C9299" s="17">
        <v>38</v>
      </c>
      <c r="D9299" s="47">
        <f t="shared" si="800"/>
        <v>22152</v>
      </c>
      <c r="E9299" s="1">
        <v>1</v>
      </c>
      <c r="F9299" s="47">
        <f t="shared" si="801"/>
        <v>955</v>
      </c>
      <c r="G9299" s="203">
        <f>SUM(C9299,C9275,C9251,C9227,C9203,C9179,C9155,C9131,C9107,C9083,C9059,C9035,C9011,C8987)/POBLA!$B$10*100000</f>
        <v>83.021893132662498</v>
      </c>
      <c r="H9299" s="254">
        <f t="shared" si="802"/>
        <v>0.62683643486777674</v>
      </c>
    </row>
    <row r="9300" spans="1:8" x14ac:dyDescent="0.25">
      <c r="A9300" s="84" t="s">
        <v>33</v>
      </c>
      <c r="B9300" s="356">
        <v>44280</v>
      </c>
      <c r="C9300" s="17">
        <v>87</v>
      </c>
      <c r="D9300" s="47">
        <f t="shared" si="800"/>
        <v>20804</v>
      </c>
      <c r="E9300" s="1">
        <v>2</v>
      </c>
      <c r="F9300" s="47">
        <f t="shared" si="801"/>
        <v>315</v>
      </c>
      <c r="G9300" s="203">
        <f>SUM(C9300,C9276,C9252,C9228,C9204,C9180,C9156,C9132,C9108,C9084,C9060,C9036,C9012,C8988)/POBLA!$B$11*100000</f>
        <v>333.6792884484471</v>
      </c>
      <c r="H9300" s="254">
        <f t="shared" si="802"/>
        <v>1.1167133520074697</v>
      </c>
    </row>
    <row r="9301" spans="1:8" x14ac:dyDescent="0.25">
      <c r="A9301" s="84" t="s">
        <v>21</v>
      </c>
      <c r="B9301" s="356">
        <v>44280</v>
      </c>
      <c r="C9301" s="17">
        <v>38</v>
      </c>
      <c r="D9301" s="47">
        <f t="shared" si="800"/>
        <v>10798</v>
      </c>
      <c r="F9301" s="47">
        <f t="shared" si="801"/>
        <v>448</v>
      </c>
      <c r="G9301" s="203">
        <f>SUM(C9301,C9277,C9253,C9229,C9205,C9181,C9157,C9133,C9109,C9085,C9061,C9037,C9013,C8989)/POBLA!$B$12*100000</f>
        <v>87.921917206014271</v>
      </c>
      <c r="H9301" s="254">
        <f t="shared" si="802"/>
        <v>1.138157894736842</v>
      </c>
    </row>
    <row r="9302" spans="1:8" x14ac:dyDescent="0.25">
      <c r="A9302" s="84" t="s">
        <v>17</v>
      </c>
      <c r="B9302" s="356">
        <v>44280</v>
      </c>
      <c r="C9302" s="17">
        <v>187</v>
      </c>
      <c r="D9302" s="47">
        <f t="shared" si="800"/>
        <v>71182</v>
      </c>
      <c r="E9302" s="1">
        <v>4</v>
      </c>
      <c r="F9302" s="47">
        <f t="shared" si="801"/>
        <v>1496</v>
      </c>
      <c r="G9302" s="203">
        <f>SUM(C9302,C9278,C9254,C9230,C9206,C9182,C9158,C9134,C9110,C9086,C9062,C9038,C9014,C8990)/POBLA!$B$13*100000</f>
        <v>109.37840708462583</v>
      </c>
      <c r="H9302" s="254">
        <f t="shared" si="802"/>
        <v>1.0476419634263716</v>
      </c>
    </row>
    <row r="9303" spans="1:8" x14ac:dyDescent="0.25">
      <c r="A9303" s="84" t="s">
        <v>23</v>
      </c>
      <c r="B9303" s="356">
        <v>44280</v>
      </c>
      <c r="C9303" s="17">
        <v>123</v>
      </c>
      <c r="D9303" s="47">
        <f t="shared" si="800"/>
        <v>11287</v>
      </c>
      <c r="E9303" s="1">
        <v>3</v>
      </c>
      <c r="F9303" s="47">
        <f t="shared" si="801"/>
        <v>193</v>
      </c>
      <c r="G9303" s="203">
        <f>SUM(C9303,C9279,C9255,C9231,C9207,C9183,C9159,C9135,C9111,C9087,C9063,C9039,C9015,C8991)/POBLA!$B$14*100000</f>
        <v>134.22723013032646</v>
      </c>
      <c r="H9303" s="254">
        <f t="shared" si="802"/>
        <v>1.0361077111383108</v>
      </c>
    </row>
    <row r="9304" spans="1:8" x14ac:dyDescent="0.25">
      <c r="A9304" s="84" t="s">
        <v>19</v>
      </c>
      <c r="B9304" s="356">
        <v>44280</v>
      </c>
      <c r="C9304" s="17">
        <v>80</v>
      </c>
      <c r="D9304" s="47">
        <f t="shared" si="800"/>
        <v>64550</v>
      </c>
      <c r="E9304" s="1">
        <v>15</v>
      </c>
      <c r="F9304" s="47">
        <f t="shared" si="801"/>
        <v>998</v>
      </c>
      <c r="G9304" s="203">
        <f>SUM(C9304,C9280,C9256,C9232,C9208,C9184,C9160,C9136,C9112,C9088,C9064,C9040,C9016,C8992)/POBLA!$B$15*100000</f>
        <v>248.17146720838724</v>
      </c>
      <c r="H9304" s="254">
        <f t="shared" si="802"/>
        <v>0.79961183891314891</v>
      </c>
    </row>
    <row r="9305" spans="1:8" x14ac:dyDescent="0.25">
      <c r="A9305" s="84" t="s">
        <v>18</v>
      </c>
      <c r="B9305" s="356">
        <v>44280</v>
      </c>
      <c r="C9305" s="17">
        <v>84</v>
      </c>
      <c r="D9305" s="47">
        <f t="shared" si="800"/>
        <v>54786</v>
      </c>
      <c r="E9305" s="1">
        <v>4</v>
      </c>
      <c r="F9305" s="47">
        <f t="shared" si="801"/>
        <v>1269</v>
      </c>
      <c r="G9305" s="203">
        <f>SUM(C9305,C9281,C9257,C9233,C9209,C9185,C9161,C9137,C9113,C9089,C9065,C9041,C9017,C8993)/POBLA!$B$16*100000</f>
        <v>158.37134334746727</v>
      </c>
      <c r="H9305" s="254">
        <f t="shared" si="802"/>
        <v>0.75751759436980171</v>
      </c>
    </row>
    <row r="9306" spans="1:8" x14ac:dyDescent="0.25">
      <c r="A9306" s="84" t="s">
        <v>34</v>
      </c>
      <c r="B9306" s="356">
        <v>44280</v>
      </c>
      <c r="C9306" s="17">
        <v>70</v>
      </c>
      <c r="D9306" s="47">
        <f t="shared" si="800"/>
        <v>28686</v>
      </c>
      <c r="E9306" s="1">
        <v>2</v>
      </c>
      <c r="F9306" s="47">
        <f t="shared" si="801"/>
        <v>1196</v>
      </c>
      <c r="G9306" s="203">
        <f>SUM(C9306,C9282,C9258,C9234,C9210,C9186,C9162,C9138,C9114,C9090,C9066,C9042,C9018,C8994)/POBLA!$B$17*100000</f>
        <v>93.653665375594016</v>
      </c>
      <c r="H9306" s="254">
        <f t="shared" si="802"/>
        <v>0.90563475899524781</v>
      </c>
    </row>
    <row r="9307" spans="1:8" x14ac:dyDescent="0.25">
      <c r="A9307" s="84" t="s">
        <v>35</v>
      </c>
      <c r="B9307" s="356">
        <v>44280</v>
      </c>
      <c r="C9307" s="17">
        <v>92</v>
      </c>
      <c r="D9307" s="47">
        <f t="shared" si="800"/>
        <v>16614</v>
      </c>
      <c r="E9307" s="1">
        <v>1</v>
      </c>
      <c r="F9307" s="47">
        <f t="shared" si="801"/>
        <v>223</v>
      </c>
      <c r="G9307" s="203">
        <f>SUM(C9307,C9283,C9259,C9235,C9211,C9187,C9163,C9139,C9115,C9091,C9067,C9043,C9019,C8995)/POBLA!$B$18*100000</f>
        <v>103.17235800040194</v>
      </c>
      <c r="H9307" s="254">
        <f t="shared" si="802"/>
        <v>1.3084415584415585</v>
      </c>
    </row>
    <row r="9308" spans="1:8" x14ac:dyDescent="0.25">
      <c r="A9308" s="84" t="s">
        <v>36</v>
      </c>
      <c r="B9308" s="356">
        <v>44280</v>
      </c>
      <c r="C9308" s="17">
        <v>90</v>
      </c>
      <c r="D9308" s="47">
        <f t="shared" si="800"/>
        <v>21645</v>
      </c>
      <c r="E9308" s="1">
        <v>2</v>
      </c>
      <c r="F9308" s="47">
        <f t="shared" si="801"/>
        <v>385</v>
      </c>
      <c r="G9308" s="203">
        <f>SUM(C9308,C9284,C9260,C9236,C9212,C9188,C9164,C9140,C9116,C9092,C9068,C9044,C9020,C8996)/POBLA!$B$19*100000</f>
        <v>52.91858799830031</v>
      </c>
      <c r="H9308" s="254">
        <f t="shared" si="802"/>
        <v>0.4317817014446228</v>
      </c>
    </row>
    <row r="9309" spans="1:8" x14ac:dyDescent="0.25">
      <c r="A9309" s="84" t="s">
        <v>37</v>
      </c>
      <c r="B9309" s="356">
        <v>44280</v>
      </c>
      <c r="C9309" s="17">
        <v>81</v>
      </c>
      <c r="D9309" s="47">
        <f t="shared" si="800"/>
        <v>38606</v>
      </c>
      <c r="E9309" s="1">
        <v>1</v>
      </c>
      <c r="F9309" s="47">
        <f t="shared" si="801"/>
        <v>626</v>
      </c>
      <c r="G9309" s="203">
        <f>SUM(C9309,C9285,C9261,C9237,C9213,C9189,C9165,C9141,C9117,C9093,C9069,C9045,C9021,C8997)/POBLA!$B$20*100000</f>
        <v>417.83110654146316</v>
      </c>
      <c r="H9309" s="254">
        <f t="shared" si="802"/>
        <v>1.1655225019069413</v>
      </c>
    </row>
    <row r="9310" spans="1:8" x14ac:dyDescent="0.25">
      <c r="A9310" s="84" t="s">
        <v>22</v>
      </c>
      <c r="B9310" s="356">
        <v>44280</v>
      </c>
      <c r="C9310" s="17">
        <v>444</v>
      </c>
      <c r="D9310" s="47">
        <f t="shared" si="800"/>
        <v>227585</v>
      </c>
      <c r="E9310" s="1">
        <v>20</v>
      </c>
      <c r="F9310" s="47">
        <f t="shared" si="801"/>
        <v>4229</v>
      </c>
      <c r="G9310" s="203">
        <f>SUM(C9310,C9286,C9262,C9238,C9214,C9190,C9166,C9142,C9118,C9094,C9070,C9046,C9022,C8998)/POBLA!$B$21*100000</f>
        <v>180.86097288273049</v>
      </c>
      <c r="H9310" s="254">
        <f t="shared" si="802"/>
        <v>1.1656642974302898</v>
      </c>
    </row>
    <row r="9311" spans="1:8" x14ac:dyDescent="0.25">
      <c r="A9311" s="84" t="s">
        <v>38</v>
      </c>
      <c r="B9311" s="356">
        <v>44280</v>
      </c>
      <c r="C9311" s="17">
        <v>134</v>
      </c>
      <c r="D9311" s="47">
        <f t="shared" si="800"/>
        <v>24468</v>
      </c>
      <c r="E9311" s="1">
        <v>5</v>
      </c>
      <c r="F9311" s="47">
        <f t="shared" si="801"/>
        <v>288</v>
      </c>
      <c r="G9311" s="203">
        <f>SUM(C9311,C9287,C9263,C9239,C9215,C9191,C9167,C9143,C9119,C9095,C9071,C9047,C9023,C8999)/POBLA!$B$22*100000</f>
        <v>125.21554962471112</v>
      </c>
      <c r="H9311" s="254">
        <f t="shared" si="802"/>
        <v>1.4848484848484849</v>
      </c>
    </row>
    <row r="9312" spans="1:8" x14ac:dyDescent="0.25">
      <c r="A9312" s="84" t="s">
        <v>39</v>
      </c>
      <c r="B9312" s="356">
        <v>44280</v>
      </c>
      <c r="C9312" s="17">
        <v>45</v>
      </c>
      <c r="D9312" s="47">
        <f t="shared" si="800"/>
        <v>23769</v>
      </c>
      <c r="E9312" s="1">
        <v>2</v>
      </c>
      <c r="F9312" s="47">
        <f t="shared" si="801"/>
        <v>364</v>
      </c>
      <c r="G9312" s="203">
        <f>SUM(C9312,C9288,C9264,C9240,C9216,C9192,C9168,C9144,C9120,C9096,C9072,C9048,C9024,C9000)/POBLA!$B$23*100000</f>
        <v>269.75060792851895</v>
      </c>
      <c r="H9312" s="254">
        <f t="shared" si="802"/>
        <v>1.1223529411764706</v>
      </c>
    </row>
    <row r="9313" spans="1:8" ht="15.75" thickBot="1" x14ac:dyDescent="0.3">
      <c r="A9313" s="85" t="s">
        <v>40</v>
      </c>
      <c r="B9313" s="356">
        <v>44280</v>
      </c>
      <c r="C9313" s="17">
        <v>264</v>
      </c>
      <c r="D9313" s="214">
        <f t="shared" si="800"/>
        <v>85210</v>
      </c>
      <c r="F9313" s="214">
        <f t="shared" si="801"/>
        <v>1498</v>
      </c>
      <c r="G9313" s="215">
        <f>SUM(C9313,C9289,C9265,C9241,C9217,C9193,C9169,C9145,C9121,C9097,C9073,C9049,C9025,C9001)/POBLA!$B$24*100000</f>
        <v>211.72438536198496</v>
      </c>
      <c r="H9313" s="255">
        <f t="shared" si="802"/>
        <v>1.701280227596017</v>
      </c>
    </row>
    <row r="9314" spans="1:8" x14ac:dyDescent="0.25">
      <c r="A9314" s="36" t="s">
        <v>16</v>
      </c>
      <c r="B9314" s="356">
        <v>44281</v>
      </c>
      <c r="C9314" s="17">
        <v>5686</v>
      </c>
      <c r="D9314" s="211">
        <f t="shared" si="800"/>
        <v>959526</v>
      </c>
      <c r="E9314" s="1">
        <v>66</v>
      </c>
      <c r="F9314" s="211">
        <f t="shared" si="801"/>
        <v>27828</v>
      </c>
      <c r="G9314" s="212">
        <f>SUM(C9314,C9290,C9266,C9242,C9218,C9194,C9170,C9146,C9122,C9098,C9074,C9050,C9026,C9002)/POBLA!$B$1*100000</f>
        <v>264.84594132160498</v>
      </c>
      <c r="H9314" s="253">
        <f t="shared" si="802"/>
        <v>1.2571915676670364</v>
      </c>
    </row>
    <row r="9315" spans="1:8" x14ac:dyDescent="0.25">
      <c r="A9315" s="84" t="s">
        <v>43</v>
      </c>
      <c r="B9315" s="356">
        <v>44281</v>
      </c>
      <c r="C9315" s="17">
        <v>1405</v>
      </c>
      <c r="D9315" s="47">
        <f t="shared" si="800"/>
        <v>253985</v>
      </c>
      <c r="E9315" s="1">
        <v>8</v>
      </c>
      <c r="F9315" s="47">
        <f t="shared" si="801"/>
        <v>6821</v>
      </c>
      <c r="G9315" s="203">
        <f>SUM(C9315,C9291,C9267,C9243,C9219,C9195,C9171,C9147,C9123,C9099,C9075,C9051,C9027,C9003)/POBLA!$B$2*100000</f>
        <v>435.06307292841899</v>
      </c>
      <c r="H9315" s="254">
        <f t="shared" si="802"/>
        <v>1.3749486230990546</v>
      </c>
    </row>
    <row r="9316" spans="1:8" x14ac:dyDescent="0.25">
      <c r="A9316" s="84" t="s">
        <v>28</v>
      </c>
      <c r="B9316" s="356">
        <v>44281</v>
      </c>
      <c r="C9316" s="17">
        <v>98</v>
      </c>
      <c r="D9316" s="47">
        <f t="shared" si="800"/>
        <v>10095</v>
      </c>
      <c r="F9316" s="47">
        <f t="shared" si="801"/>
        <v>18</v>
      </c>
      <c r="G9316" s="203">
        <f>SUM(C9316,C9292,C9268,C9244,C9220,C9196,C9172,C9148,C9124,C9100,C9076,C9052,C9028,C9004)/POBLA!$B$3*100000</f>
        <v>294.62880140959663</v>
      </c>
      <c r="H9316" s="254">
        <f t="shared" si="802"/>
        <v>1.0652741514360313</v>
      </c>
    </row>
    <row r="9317" spans="1:8" x14ac:dyDescent="0.25">
      <c r="A9317" s="84" t="s">
        <v>15</v>
      </c>
      <c r="B9317" s="356">
        <v>44281</v>
      </c>
      <c r="C9317" s="17">
        <v>159</v>
      </c>
      <c r="D9317" s="47">
        <f t="shared" si="800"/>
        <v>37659</v>
      </c>
      <c r="E9317" s="1">
        <v>2</v>
      </c>
      <c r="F9317" s="47">
        <f t="shared" si="801"/>
        <v>917</v>
      </c>
      <c r="G9317" s="203">
        <f>SUM(C9317,C9293,C9269,C9245,C9221,C9197,C9173,C9149,C9125,C9101,C9077,C9053,C9029,C9005)/POBLA!$B$4*100000</f>
        <v>161.38927608109645</v>
      </c>
      <c r="H9317" s="254">
        <f t="shared" si="802"/>
        <v>1.1039182282793867</v>
      </c>
    </row>
    <row r="9318" spans="1:8" x14ac:dyDescent="0.25">
      <c r="A9318" s="84" t="s">
        <v>29</v>
      </c>
      <c r="B9318" s="356">
        <v>44281</v>
      </c>
      <c r="C9318" s="17">
        <v>155</v>
      </c>
      <c r="D9318" s="47">
        <f t="shared" si="800"/>
        <v>49403</v>
      </c>
      <c r="F9318" s="47">
        <f t="shared" si="801"/>
        <v>854</v>
      </c>
      <c r="G9318" s="203">
        <f>SUM(C9318,C9294,C9270,C9246,C9222,C9198,C9174,C9150,C9126,C9102,C9078,C9054,C9030,C9006)/POBLA!$B$5*100000</f>
        <v>223.42704452708747</v>
      </c>
      <c r="H9318" s="254">
        <f t="shared" si="802"/>
        <v>1.1382716049382715</v>
      </c>
    </row>
    <row r="9319" spans="1:8" x14ac:dyDescent="0.25">
      <c r="A9319" s="84" t="s">
        <v>30</v>
      </c>
      <c r="B9319" s="356">
        <v>44281</v>
      </c>
      <c r="C9319" s="17">
        <v>771</v>
      </c>
      <c r="D9319" s="47">
        <f t="shared" si="800"/>
        <v>27893</v>
      </c>
      <c r="E9319" s="1">
        <v>2</v>
      </c>
      <c r="F9319" s="47">
        <f t="shared" si="801"/>
        <v>325</v>
      </c>
      <c r="G9319" s="203">
        <f>SUM(C9319,C9295,C9271,C9247,C9223,C9199,C9175,C9151,C9127,C9103,C9079,C9055,C9031,C9007)/POBLA!$B$6*100000</f>
        <v>299.07182452549557</v>
      </c>
      <c r="H9319" s="254">
        <f t="shared" si="802"/>
        <v>1.1499142367066895</v>
      </c>
    </row>
    <row r="9320" spans="1:8" x14ac:dyDescent="0.25">
      <c r="A9320" s="84" t="s">
        <v>20</v>
      </c>
      <c r="B9320" s="356">
        <v>44281</v>
      </c>
      <c r="C9320" s="17">
        <v>1105</v>
      </c>
      <c r="D9320" s="47">
        <f t="shared" si="800"/>
        <v>176225</v>
      </c>
      <c r="E9320" s="1">
        <v>13</v>
      </c>
      <c r="F9320" s="47">
        <f t="shared" si="801"/>
        <v>3004</v>
      </c>
      <c r="G9320" s="203">
        <f>SUM(C9320,C9296,C9272,C9248,C9224,C9200,C9176,C9152,C9128,C9104,C9080,C9056,C9032,C9008)/POBLA!$B$7*100000</f>
        <v>245.18342219681156</v>
      </c>
      <c r="H9320" s="254">
        <f t="shared" si="802"/>
        <v>1.1533650237678259</v>
      </c>
    </row>
    <row r="9321" spans="1:8" x14ac:dyDescent="0.25">
      <c r="A9321" s="84" t="s">
        <v>31</v>
      </c>
      <c r="B9321" s="356">
        <v>44281</v>
      </c>
      <c r="C9321" s="17">
        <v>228</v>
      </c>
      <c r="D9321" s="47">
        <f t="shared" si="800"/>
        <v>48968</v>
      </c>
      <c r="E9321" s="1">
        <v>3</v>
      </c>
      <c r="F9321" s="47">
        <f t="shared" si="801"/>
        <v>941</v>
      </c>
      <c r="G9321" s="203">
        <f>SUM(C9321,C9297,C9273,C9249,C9225,C9201,C9177,C9153,C9129,C9105,C9081,C9057,C9033,C9009)/POBLA!$B$8*100000</f>
        <v>163.49666404754535</v>
      </c>
      <c r="H9321" s="254">
        <f t="shared" si="802"/>
        <v>1.3337257210123603</v>
      </c>
    </row>
    <row r="9322" spans="1:8" x14ac:dyDescent="0.25">
      <c r="A9322" s="84" t="s">
        <v>41</v>
      </c>
      <c r="B9322" s="356">
        <v>44281</v>
      </c>
      <c r="C9322" s="17">
        <v>89</v>
      </c>
      <c r="D9322" s="47">
        <f t="shared" si="800"/>
        <v>1915</v>
      </c>
      <c r="E9322" s="1">
        <v>1</v>
      </c>
      <c r="F9322" s="47">
        <f t="shared" si="801"/>
        <v>28</v>
      </c>
      <c r="G9322" s="203">
        <f>SUM(C9322,C9298,C9274,C9250,C9226,C9202,C9178,C9154,C9130,C9106,C9082,C9058,C9034,C9010)/POBLA!$B$9*100000</f>
        <v>68.077456282541263</v>
      </c>
      <c r="H9322" s="254">
        <f t="shared" si="802"/>
        <v>1.3966101694915254</v>
      </c>
    </row>
    <row r="9323" spans="1:8" x14ac:dyDescent="0.25">
      <c r="A9323" s="84" t="s">
        <v>32</v>
      </c>
      <c r="B9323" s="356">
        <v>44281</v>
      </c>
      <c r="C9323" s="17">
        <v>56</v>
      </c>
      <c r="D9323" s="47">
        <f t="shared" si="800"/>
        <v>22208</v>
      </c>
      <c r="F9323" s="47">
        <f t="shared" si="801"/>
        <v>955</v>
      </c>
      <c r="G9323" s="203">
        <f>SUM(C9323,C9299,C9275,C9251,C9227,C9203,C9179,C9155,C9131,C9107,C9083,C9059,C9035,C9011)/POBLA!$B$10*100000</f>
        <v>80.816624096326152</v>
      </c>
      <c r="H9323" s="254">
        <f t="shared" si="802"/>
        <v>0.6162215628090999</v>
      </c>
    </row>
    <row r="9324" spans="1:8" x14ac:dyDescent="0.25">
      <c r="A9324" s="84" t="s">
        <v>33</v>
      </c>
      <c r="B9324" s="356">
        <v>44281</v>
      </c>
      <c r="C9324" s="17">
        <v>100</v>
      </c>
      <c r="D9324" s="47">
        <f t="shared" si="800"/>
        <v>20904</v>
      </c>
      <c r="E9324" s="1">
        <v>1</v>
      </c>
      <c r="F9324" s="47">
        <f t="shared" si="801"/>
        <v>316</v>
      </c>
      <c r="G9324" s="203">
        <f>SUM(C9324,C9300,C9276,C9252,C9228,C9204,C9180,C9156,C9132,C9108,C9084,C9060,C9036,C9012)/POBLA!$B$11*100000</f>
        <v>330.88932784269088</v>
      </c>
      <c r="H9324" s="254">
        <f t="shared" si="802"/>
        <v>1.051418439716312</v>
      </c>
    </row>
    <row r="9325" spans="1:8" x14ac:dyDescent="0.25">
      <c r="A9325" s="84" t="s">
        <v>21</v>
      </c>
      <c r="B9325" s="356">
        <v>44281</v>
      </c>
      <c r="C9325" s="17">
        <v>27</v>
      </c>
      <c r="D9325" s="47">
        <f t="shared" si="800"/>
        <v>10825</v>
      </c>
      <c r="F9325" s="47">
        <f t="shared" si="801"/>
        <v>448</v>
      </c>
      <c r="G9325" s="203">
        <f>SUM(C9325,C9301,C9277,C9253,C9229,C9205,C9181,C9157,C9133,C9109,C9085,C9061,C9037,C9013)/POBLA!$B$12*100000</f>
        <v>86.143150094909927</v>
      </c>
      <c r="H9325" s="254">
        <f t="shared" si="802"/>
        <v>1.0694006309148265</v>
      </c>
    </row>
    <row r="9326" spans="1:8" x14ac:dyDescent="0.25">
      <c r="A9326" s="84" t="s">
        <v>17</v>
      </c>
      <c r="B9326" s="356">
        <v>44281</v>
      </c>
      <c r="C9326" s="17">
        <v>336</v>
      </c>
      <c r="D9326" s="47">
        <f t="shared" si="800"/>
        <v>71518</v>
      </c>
      <c r="E9326" s="1">
        <v>2</v>
      </c>
      <c r="F9326" s="47">
        <f t="shared" si="801"/>
        <v>1498</v>
      </c>
      <c r="G9326" s="203">
        <f>SUM(C9326,C9302,C9278,C9254,C9230,C9206,C9182,C9158,C9134,C9110,C9086,C9062,C9038,C9014)/POBLA!$B$13*100000</f>
        <v>117.81918448022395</v>
      </c>
      <c r="H9326" s="254">
        <f t="shared" si="802"/>
        <v>1.1119013750592699</v>
      </c>
    </row>
    <row r="9327" spans="1:8" x14ac:dyDescent="0.25">
      <c r="A9327" s="84" t="s">
        <v>23</v>
      </c>
      <c r="B9327" s="356">
        <v>44281</v>
      </c>
      <c r="C9327" s="17">
        <v>150</v>
      </c>
      <c r="D9327" s="47">
        <f t="shared" si="800"/>
        <v>11437</v>
      </c>
      <c r="E9327" s="1">
        <v>1</v>
      </c>
      <c r="F9327" s="47">
        <f t="shared" si="801"/>
        <v>194</v>
      </c>
      <c r="G9327" s="203">
        <f>SUM(C9327,C9303,C9279,C9255,C9231,C9207,C9183,C9159,C9135,C9111,C9087,C9063,C9039,C9015)/POBLA!$B$14*100000</f>
        <v>135.4164849749543</v>
      </c>
      <c r="H9327" s="254">
        <f t="shared" si="802"/>
        <v>1.0332728372655777</v>
      </c>
    </row>
    <row r="9328" spans="1:8" x14ac:dyDescent="0.25">
      <c r="A9328" s="84" t="s">
        <v>19</v>
      </c>
      <c r="B9328" s="356">
        <v>44281</v>
      </c>
      <c r="C9328" s="17">
        <v>148</v>
      </c>
      <c r="D9328" s="47">
        <f t="shared" si="800"/>
        <v>64698</v>
      </c>
      <c r="E9328" s="1">
        <v>6</v>
      </c>
      <c r="F9328" s="47">
        <f t="shared" si="801"/>
        <v>1004</v>
      </c>
      <c r="G9328" s="203">
        <f>SUM(C9328,C9304,C9280,C9256,C9232,C9208,C9184,C9160,C9136,C9112,C9088,C9064,C9040,C9016)/POBLA!$B$15*100000</f>
        <v>247.11734083068168</v>
      </c>
      <c r="H9328" s="254">
        <f t="shared" si="802"/>
        <v>0.80323054331864907</v>
      </c>
    </row>
    <row r="9329" spans="1:8" x14ac:dyDescent="0.25">
      <c r="A9329" s="84" t="s">
        <v>18</v>
      </c>
      <c r="B9329" s="356">
        <v>44281</v>
      </c>
      <c r="C9329" s="17">
        <v>123</v>
      </c>
      <c r="D9329" s="47">
        <f t="shared" si="800"/>
        <v>54909</v>
      </c>
      <c r="F9329" s="47">
        <f t="shared" si="801"/>
        <v>1269</v>
      </c>
      <c r="G9329" s="203">
        <f>SUM(C9329,C9305,C9281,C9257,C9233,C9209,C9185,C9161,C9137,C9113,C9089,C9065,C9041,C9017)/POBLA!$B$16*100000</f>
        <v>159.84269873329677</v>
      </c>
      <c r="H9329" s="254">
        <f t="shared" si="802"/>
        <v>0.78155657292347935</v>
      </c>
    </row>
    <row r="9330" spans="1:8" x14ac:dyDescent="0.25">
      <c r="A9330" s="84" t="s">
        <v>34</v>
      </c>
      <c r="B9330" s="356">
        <v>44281</v>
      </c>
      <c r="C9330" s="17">
        <v>136</v>
      </c>
      <c r="D9330" s="47">
        <f t="shared" ref="D9330:D9393" si="803">C9330+D9306</f>
        <v>28822</v>
      </c>
      <c r="E9330" s="1">
        <v>1</v>
      </c>
      <c r="F9330" s="47">
        <f t="shared" ref="F9330:F9393" si="804">E9330+F9306</f>
        <v>1197</v>
      </c>
      <c r="G9330" s="203">
        <f>SUM(C9330,C9306,C9282,C9258,C9234,C9210,C9186,C9162,C9138,C9114,C9090,C9066,C9042,C9018)/POBLA!$B$17*100000</f>
        <v>96.181050648098818</v>
      </c>
      <c r="H9330" s="254">
        <f t="shared" ref="H9330:H9393" si="805">SUM(C9330,C9306,C9282,C9258,C9234,C9210,C9186,C9162,C9138,C9114,C9090,C9066,C9042,C9018)/SUM(C8994,C8970,C8946,C8922,C8898,C8874,C8850,C8826,C8802,C8778,C8754,C8730,C8706,C8682)</f>
        <v>0.9102990033222591</v>
      </c>
    </row>
    <row r="9331" spans="1:8" x14ac:dyDescent="0.25">
      <c r="A9331" s="84" t="s">
        <v>35</v>
      </c>
      <c r="B9331" s="356">
        <v>44281</v>
      </c>
      <c r="C9331" s="17">
        <v>158</v>
      </c>
      <c r="D9331" s="47">
        <f t="shared" si="803"/>
        <v>16772</v>
      </c>
      <c r="F9331" s="47">
        <f t="shared" si="804"/>
        <v>223</v>
      </c>
      <c r="G9331" s="203">
        <f>SUM(C9331,C9307,C9283,C9259,C9235,C9211,C9187,C9163,C9139,C9115,C9091,C9067,C9043,C9019)/POBLA!$B$18*100000</f>
        <v>116.86893654387961</v>
      </c>
      <c r="H9331" s="254">
        <f t="shared" si="805"/>
        <v>1.4446202531645569</v>
      </c>
    </row>
    <row r="9332" spans="1:8" x14ac:dyDescent="0.25">
      <c r="A9332" s="84" t="s">
        <v>36</v>
      </c>
      <c r="B9332" s="356">
        <v>44281</v>
      </c>
      <c r="C9332" s="17">
        <v>417</v>
      </c>
      <c r="D9332" s="47">
        <f t="shared" si="803"/>
        <v>22062</v>
      </c>
      <c r="E9332" s="1">
        <v>17</v>
      </c>
      <c r="F9332" s="47">
        <f t="shared" si="804"/>
        <v>402</v>
      </c>
      <c r="G9332" s="203">
        <f>SUM(C9332,C9308,C9284,C9260,C9236,C9212,C9188,C9164,C9140,C9116,C9092,C9068,C9044,C9020)/POBLA!$B$19*100000</f>
        <v>107.6076863757259</v>
      </c>
      <c r="H9332" s="254">
        <f t="shared" si="805"/>
        <v>0.72068511198945984</v>
      </c>
    </row>
    <row r="9333" spans="1:8" x14ac:dyDescent="0.25">
      <c r="A9333" s="84" t="s">
        <v>37</v>
      </c>
      <c r="B9333" s="356">
        <v>44281</v>
      </c>
      <c r="C9333" s="17">
        <v>104</v>
      </c>
      <c r="D9333" s="47">
        <f t="shared" si="803"/>
        <v>38710</v>
      </c>
      <c r="E9333" s="1">
        <v>10</v>
      </c>
      <c r="F9333" s="47">
        <f t="shared" si="804"/>
        <v>636</v>
      </c>
      <c r="G9333" s="203">
        <f>SUM(C9333,C9309,C9285,C9261,C9237,C9213,C9189,C9165,C9141,C9117,C9093,C9069,C9045,C9021)/POBLA!$B$20*100000</f>
        <v>406.07277042805811</v>
      </c>
      <c r="H9333" s="254">
        <f t="shared" si="805"/>
        <v>1.0622317596566524</v>
      </c>
    </row>
    <row r="9334" spans="1:8" x14ac:dyDescent="0.25">
      <c r="A9334" s="84" t="s">
        <v>22</v>
      </c>
      <c r="B9334" s="356">
        <v>44281</v>
      </c>
      <c r="C9334" s="17">
        <v>652</v>
      </c>
      <c r="D9334" s="47">
        <f t="shared" si="803"/>
        <v>228237</v>
      </c>
      <c r="E9334" s="1">
        <v>8</v>
      </c>
      <c r="F9334" s="47">
        <f t="shared" si="804"/>
        <v>4237</v>
      </c>
      <c r="G9334" s="203">
        <f>SUM(C9334,C9310,C9286,C9262,C9238,C9214,C9190,C9166,C9142,C9118,C9094,C9070,C9046,C9022)/POBLA!$B$21*100000</f>
        <v>186.17708653219162</v>
      </c>
      <c r="H9334" s="254">
        <f t="shared" si="805"/>
        <v>1.1571177504393673</v>
      </c>
    </row>
    <row r="9335" spans="1:8" x14ac:dyDescent="0.25">
      <c r="A9335" s="84" t="s">
        <v>38</v>
      </c>
      <c r="B9335" s="356">
        <v>44281</v>
      </c>
      <c r="C9335" s="17">
        <v>104</v>
      </c>
      <c r="D9335" s="47">
        <f t="shared" si="803"/>
        <v>24572</v>
      </c>
      <c r="F9335" s="47">
        <f t="shared" si="804"/>
        <v>288</v>
      </c>
      <c r="G9335" s="203">
        <f>SUM(C9335,C9311,C9287,C9263,C9239,C9215,C9191,C9167,C9143,C9119,C9095,C9071,C9047,C9023)/POBLA!$B$22*100000</f>
        <v>128.89535353204957</v>
      </c>
      <c r="H9335" s="254">
        <f t="shared" si="805"/>
        <v>1.526634382566586</v>
      </c>
    </row>
    <row r="9336" spans="1:8" x14ac:dyDescent="0.25">
      <c r="A9336" s="84" t="s">
        <v>39</v>
      </c>
      <c r="B9336" s="356">
        <v>44281</v>
      </c>
      <c r="C9336" s="17">
        <v>49</v>
      </c>
      <c r="D9336" s="47">
        <f t="shared" si="803"/>
        <v>23818</v>
      </c>
      <c r="F9336" s="47">
        <f t="shared" si="804"/>
        <v>364</v>
      </c>
      <c r="G9336" s="203">
        <f>SUM(C9336,C9312,C9288,C9264,C9240,C9216,C9192,C9168,C9144,C9120,C9096,C9072,C9048,C9024)/POBLA!$B$23*100000</f>
        <v>283.32296556014251</v>
      </c>
      <c r="H9336" s="254">
        <f t="shared" si="805"/>
        <v>1.1843971631205674</v>
      </c>
    </row>
    <row r="9337" spans="1:8" ht="15.75" thickBot="1" x14ac:dyDescent="0.3">
      <c r="A9337" s="85" t="s">
        <v>40</v>
      </c>
      <c r="B9337" s="356">
        <v>44281</v>
      </c>
      <c r="C9337" s="17">
        <v>680</v>
      </c>
      <c r="D9337" s="214">
        <f t="shared" si="803"/>
        <v>85890</v>
      </c>
      <c r="E9337" s="1">
        <v>2</v>
      </c>
      <c r="F9337" s="214">
        <f t="shared" si="804"/>
        <v>1500</v>
      </c>
      <c r="G9337" s="215">
        <f>SUM(C9337,C9313,C9289,C9265,C9241,C9217,C9193,C9169,C9145,C9121,C9097,C9073,C9049,C9025)/POBLA!$B$24*100000</f>
        <v>234.08880622380002</v>
      </c>
      <c r="H9337" s="255">
        <f t="shared" si="805"/>
        <v>1.7376259307928166</v>
      </c>
    </row>
    <row r="9338" spans="1:8" x14ac:dyDescent="0.25">
      <c r="A9338" s="36" t="s">
        <v>16</v>
      </c>
      <c r="B9338" s="356">
        <v>44282</v>
      </c>
      <c r="C9338" s="17">
        <v>5325</v>
      </c>
      <c r="D9338" s="211">
        <f t="shared" si="803"/>
        <v>964851</v>
      </c>
      <c r="E9338" s="1">
        <v>83</v>
      </c>
      <c r="F9338" s="211">
        <f t="shared" si="804"/>
        <v>27911</v>
      </c>
      <c r="G9338" s="212">
        <f>SUM(C9338,C9314,C9290,C9266,C9242,C9218,C9194,C9170,C9146,C9122,C9098,C9074,C9050,C9026)/POBLA!$B$1*100000</f>
        <v>279.85636738225867</v>
      </c>
      <c r="H9338" s="253">
        <f t="shared" si="805"/>
        <v>1.3183478354280804</v>
      </c>
    </row>
    <row r="9339" spans="1:8" x14ac:dyDescent="0.25">
      <c r="A9339" s="84" t="s">
        <v>43</v>
      </c>
      <c r="B9339" s="356">
        <v>44282</v>
      </c>
      <c r="C9339" s="17">
        <v>1476</v>
      </c>
      <c r="D9339" s="47">
        <f t="shared" si="803"/>
        <v>255461</v>
      </c>
      <c r="E9339" s="1">
        <v>23</v>
      </c>
      <c r="F9339" s="47">
        <f t="shared" si="804"/>
        <v>6844</v>
      </c>
      <c r="G9339" s="203">
        <f>SUM(C9339,C9315,C9291,C9267,C9243,C9219,C9195,C9171,C9147,C9123,C9099,C9075,C9051,C9027)/POBLA!$B$2*100000</f>
        <v>457.17224934208946</v>
      </c>
      <c r="H9339" s="254">
        <f t="shared" si="805"/>
        <v>1.4138763197586728</v>
      </c>
    </row>
    <row r="9340" spans="1:8" x14ac:dyDescent="0.25">
      <c r="A9340" s="84" t="s">
        <v>28</v>
      </c>
      <c r="B9340" s="356">
        <v>44282</v>
      </c>
      <c r="C9340" s="17">
        <v>51</v>
      </c>
      <c r="D9340" s="47">
        <f t="shared" si="803"/>
        <v>10146</v>
      </c>
      <c r="F9340" s="47">
        <f t="shared" si="804"/>
        <v>18</v>
      </c>
      <c r="G9340" s="203">
        <f>SUM(C9340,C9316,C9292,C9268,C9244,C9220,C9196,C9172,C9148,C9124,C9100,C9076,C9052,C9028)/POBLA!$B$3*100000</f>
        <v>281.87118174071702</v>
      </c>
      <c r="H9340" s="254">
        <f t="shared" si="805"/>
        <v>1.0317180616740087</v>
      </c>
    </row>
    <row r="9341" spans="1:8" x14ac:dyDescent="0.25">
      <c r="A9341" s="84" t="s">
        <v>15</v>
      </c>
      <c r="B9341" s="356">
        <v>44282</v>
      </c>
      <c r="C9341" s="17">
        <v>229</v>
      </c>
      <c r="D9341" s="47">
        <f t="shared" si="803"/>
        <v>37888</v>
      </c>
      <c r="F9341" s="47">
        <f t="shared" si="804"/>
        <v>917</v>
      </c>
      <c r="G9341" s="203">
        <f>SUM(C9341,C9317,C9293,C9269,C9245,C9221,C9197,C9173,C9149,C9125,C9101,C9077,C9053,C9029)/POBLA!$B$4*100000</f>
        <v>168.77798265065283</v>
      </c>
      <c r="H9341" s="254">
        <f t="shared" si="805"/>
        <v>1.1319599109131404</v>
      </c>
    </row>
    <row r="9342" spans="1:8" x14ac:dyDescent="0.25">
      <c r="A9342" s="84" t="s">
        <v>29</v>
      </c>
      <c r="B9342" s="356">
        <v>44282</v>
      </c>
      <c r="C9342" s="17">
        <v>89</v>
      </c>
      <c r="D9342" s="47">
        <f t="shared" si="803"/>
        <v>49492</v>
      </c>
      <c r="F9342" s="47">
        <f t="shared" si="804"/>
        <v>854</v>
      </c>
      <c r="G9342" s="203">
        <f>SUM(C9342,C9318,C9294,C9270,C9246,C9222,C9198,C9174,C9150,C9126,C9102,C9078,C9054,C9030)/POBLA!$B$5*100000</f>
        <v>224.07325434495328</v>
      </c>
      <c r="H9342" s="254">
        <f t="shared" si="805"/>
        <v>1.1340964840556009</v>
      </c>
    </row>
    <row r="9343" spans="1:8" x14ac:dyDescent="0.25">
      <c r="A9343" s="84" t="s">
        <v>30</v>
      </c>
      <c r="B9343" s="356">
        <v>44282</v>
      </c>
      <c r="C9343" s="17">
        <v>18</v>
      </c>
      <c r="D9343" s="47">
        <f t="shared" si="803"/>
        <v>27911</v>
      </c>
      <c r="F9343" s="47">
        <f t="shared" si="804"/>
        <v>325</v>
      </c>
      <c r="G9343" s="203">
        <f>SUM(C9343,C9319,C9295,C9271,C9247,C9223,C9199,C9175,C9151,C9127,C9103,C9079,C9055,C9031)/POBLA!$B$6*100000</f>
        <v>274.08969121191001</v>
      </c>
      <c r="H9343" s="254">
        <f t="shared" si="805"/>
        <v>1.0101940151266031</v>
      </c>
    </row>
    <row r="9344" spans="1:8" x14ac:dyDescent="0.25">
      <c r="A9344" s="84" t="s">
        <v>20</v>
      </c>
      <c r="B9344" s="356">
        <v>44282</v>
      </c>
      <c r="C9344" s="17">
        <v>803</v>
      </c>
      <c r="D9344" s="47">
        <f t="shared" si="803"/>
        <v>177028</v>
      </c>
      <c r="E9344" s="1">
        <v>4</v>
      </c>
      <c r="F9344" s="47">
        <f t="shared" si="804"/>
        <v>3008</v>
      </c>
      <c r="G9344" s="203">
        <f>SUM(C9344,C9320,C9296,C9272,C9248,C9224,C9200,C9176,C9152,C9128,C9104,C9080,C9056,C9032)/POBLA!$B$7*100000</f>
        <v>250.76786022949381</v>
      </c>
      <c r="H9344" s="254">
        <f t="shared" si="805"/>
        <v>1.1708467842066055</v>
      </c>
    </row>
    <row r="9345" spans="1:8" x14ac:dyDescent="0.25">
      <c r="A9345" s="84" t="s">
        <v>31</v>
      </c>
      <c r="B9345" s="356">
        <v>44282</v>
      </c>
      <c r="C9345" s="17">
        <v>169</v>
      </c>
      <c r="D9345" s="47">
        <f t="shared" si="803"/>
        <v>49137</v>
      </c>
      <c r="F9345" s="47">
        <f t="shared" si="804"/>
        <v>941</v>
      </c>
      <c r="G9345" s="203">
        <f>SUM(C9345,C9321,C9297,C9273,C9249,C9225,C9201,C9177,C9153,C9129,C9105,C9081,C9057,C9033)/POBLA!$B$8*100000</f>
        <v>167.89794229419152</v>
      </c>
      <c r="H9345" s="254">
        <f t="shared" si="805"/>
        <v>1.3728613569321535</v>
      </c>
    </row>
    <row r="9346" spans="1:8" x14ac:dyDescent="0.25">
      <c r="A9346" s="84" t="s">
        <v>41</v>
      </c>
      <c r="B9346" s="356">
        <v>44282</v>
      </c>
      <c r="C9346" s="17">
        <v>32</v>
      </c>
      <c r="D9346" s="47">
        <f t="shared" si="803"/>
        <v>1947</v>
      </c>
      <c r="E9346" s="1">
        <v>2</v>
      </c>
      <c r="F9346" s="47">
        <f t="shared" si="804"/>
        <v>30</v>
      </c>
      <c r="G9346" s="203">
        <f>SUM(C9346,C9322,C9298,C9274,C9250,C9226,C9202,C9178,C9154,C9130,C9106,C9082,C9058,C9034)/POBLA!$B$9*100000</f>
        <v>70.225531359417573</v>
      </c>
      <c r="H9346" s="254">
        <f t="shared" si="805"/>
        <v>1.4072847682119205</v>
      </c>
    </row>
    <row r="9347" spans="1:8" x14ac:dyDescent="0.25">
      <c r="A9347" s="84" t="s">
        <v>32</v>
      </c>
      <c r="B9347" s="356">
        <v>44282</v>
      </c>
      <c r="C9347" s="17">
        <v>41</v>
      </c>
      <c r="D9347" s="47">
        <f t="shared" si="803"/>
        <v>22249</v>
      </c>
      <c r="E9347" s="1">
        <v>3</v>
      </c>
      <c r="F9347" s="47">
        <f t="shared" si="804"/>
        <v>958</v>
      </c>
      <c r="G9347" s="203">
        <f>SUM(C9347,C9323,C9299,C9275,C9251,C9227,C9203,C9179,C9155,C9131,C9107,C9083,C9059,C9035)/POBLA!$B$10*100000</f>
        <v>82.632728008603152</v>
      </c>
      <c r="H9347" s="254">
        <f t="shared" si="805"/>
        <v>0.67407407407407405</v>
      </c>
    </row>
    <row r="9348" spans="1:8" x14ac:dyDescent="0.25">
      <c r="A9348" s="84" t="s">
        <v>33</v>
      </c>
      <c r="B9348" s="356">
        <v>44282</v>
      </c>
      <c r="C9348" s="17">
        <v>106</v>
      </c>
      <c r="D9348" s="47">
        <f t="shared" si="803"/>
        <v>21010</v>
      </c>
      <c r="F9348" s="47">
        <f t="shared" si="804"/>
        <v>316</v>
      </c>
      <c r="G9348" s="203">
        <f>SUM(C9348,C9324,C9300,C9276,C9252,C9228,C9204,C9180,C9156,C9132,C9108,C9084,C9060,C9036)/POBLA!$B$11*100000</f>
        <v>333.95828450902275</v>
      </c>
      <c r="H9348" s="254">
        <f t="shared" si="805"/>
        <v>1.023076923076923</v>
      </c>
    </row>
    <row r="9349" spans="1:8" x14ac:dyDescent="0.25">
      <c r="A9349" s="84" t="s">
        <v>21</v>
      </c>
      <c r="B9349" s="356">
        <v>44282</v>
      </c>
      <c r="C9349" s="17">
        <v>30</v>
      </c>
      <c r="D9349" s="47">
        <f t="shared" si="803"/>
        <v>10855</v>
      </c>
      <c r="F9349" s="47">
        <f t="shared" si="804"/>
        <v>448</v>
      </c>
      <c r="G9349" s="203">
        <f>SUM(C9349,C9325,C9301,C9277,C9253,C9229,C9205,C9181,C9157,C9133,C9109,C9085,C9061,C9037)/POBLA!$B$12*100000</f>
        <v>88.938355555216745</v>
      </c>
      <c r="H9349" s="254">
        <f t="shared" si="805"/>
        <v>1.0574018126888218</v>
      </c>
    </row>
    <row r="9350" spans="1:8" x14ac:dyDescent="0.25">
      <c r="A9350" s="84" t="s">
        <v>17</v>
      </c>
      <c r="B9350" s="356">
        <v>44282</v>
      </c>
      <c r="C9350" s="17">
        <v>208</v>
      </c>
      <c r="D9350" s="47">
        <f t="shared" si="803"/>
        <v>71726</v>
      </c>
      <c r="F9350" s="47">
        <f t="shared" si="804"/>
        <v>1498</v>
      </c>
      <c r="G9350" s="203">
        <f>SUM(C9350,C9326,C9302,C9278,C9254,C9230,C9206,C9182,C9158,C9134,C9110,C9086,C9062,C9038)/POBLA!$B$13*100000</f>
        <v>121.48690322950173</v>
      </c>
      <c r="H9350" s="254">
        <f t="shared" si="805"/>
        <v>1.138954309938766</v>
      </c>
    </row>
    <row r="9351" spans="1:8" x14ac:dyDescent="0.25">
      <c r="A9351" s="84" t="s">
        <v>23</v>
      </c>
      <c r="B9351" s="356">
        <v>44282</v>
      </c>
      <c r="C9351" s="17">
        <v>119</v>
      </c>
      <c r="D9351" s="47">
        <f t="shared" si="803"/>
        <v>11556</v>
      </c>
      <c r="E9351" s="1">
        <v>2</v>
      </c>
      <c r="F9351" s="47">
        <f t="shared" si="804"/>
        <v>196</v>
      </c>
      <c r="G9351" s="203">
        <f>SUM(C9351,C9327,C9303,C9279,C9255,C9231,C9207,C9183,C9159,C9135,C9111,C9087,C9063,C9039)/POBLA!$B$14*100000</f>
        <v>135.4164849749543</v>
      </c>
      <c r="H9351" s="254">
        <f t="shared" si="805"/>
        <v>1.037037037037037</v>
      </c>
    </row>
    <row r="9352" spans="1:8" x14ac:dyDescent="0.25">
      <c r="A9352" s="84" t="s">
        <v>19</v>
      </c>
      <c r="B9352" s="356">
        <v>44282</v>
      </c>
      <c r="C9352" s="17">
        <v>101</v>
      </c>
      <c r="D9352" s="47">
        <f t="shared" si="803"/>
        <v>64799</v>
      </c>
      <c r="F9352" s="47">
        <f t="shared" si="804"/>
        <v>1004</v>
      </c>
      <c r="G9352" s="203">
        <f>SUM(C9352,C9328,C9304,C9280,C9256,C9232,C9208,C9184,C9160,C9136,C9112,C9088,C9064,C9040)/POBLA!$B$15*100000</f>
        <v>249.82795151621022</v>
      </c>
      <c r="H9352" s="254">
        <f t="shared" si="805"/>
        <v>0.8120411160058737</v>
      </c>
    </row>
    <row r="9353" spans="1:8" x14ac:dyDescent="0.25">
      <c r="A9353" s="84" t="s">
        <v>18</v>
      </c>
      <c r="B9353" s="356">
        <v>44282</v>
      </c>
      <c r="C9353" s="17">
        <v>76</v>
      </c>
      <c r="D9353" s="47">
        <f t="shared" si="803"/>
        <v>54985</v>
      </c>
      <c r="E9353" s="1">
        <v>3</v>
      </c>
      <c r="F9353" s="47">
        <f t="shared" si="804"/>
        <v>1272</v>
      </c>
      <c r="G9353" s="203">
        <f>SUM(C9353,C9329,C9305,C9281,C9257,C9233,C9209,C9185,C9161,C9137,C9113,C9089,C9065,C9041)/POBLA!$B$16*100000</f>
        <v>165.193081954495</v>
      </c>
      <c r="H9353" s="254">
        <f t="shared" si="805"/>
        <v>0.83445945945945943</v>
      </c>
    </row>
    <row r="9354" spans="1:8" x14ac:dyDescent="0.25">
      <c r="A9354" s="84" t="s">
        <v>34</v>
      </c>
      <c r="B9354" s="356">
        <v>44282</v>
      </c>
      <c r="C9354" s="17">
        <v>102</v>
      </c>
      <c r="D9354" s="47">
        <f t="shared" si="803"/>
        <v>28924</v>
      </c>
      <c r="E9354" s="1">
        <v>1</v>
      </c>
      <c r="F9354" s="47">
        <f t="shared" si="804"/>
        <v>1198</v>
      </c>
      <c r="G9354" s="203">
        <f>SUM(C9354,C9330,C9306,C9282,C9258,C9234,C9210,C9186,C9162,C9138,C9114,C9090,C9066,C9042)/POBLA!$B$17*100000</f>
        <v>93.513255082677091</v>
      </c>
      <c r="H9354" s="254">
        <f t="shared" si="805"/>
        <v>0.86888454011741678</v>
      </c>
    </row>
    <row r="9355" spans="1:8" x14ac:dyDescent="0.25">
      <c r="A9355" s="84" t="s">
        <v>35</v>
      </c>
      <c r="B9355" s="356">
        <v>44282</v>
      </c>
      <c r="C9355" s="17">
        <v>32</v>
      </c>
      <c r="D9355" s="47">
        <f t="shared" si="803"/>
        <v>16804</v>
      </c>
      <c r="F9355" s="47">
        <f t="shared" si="804"/>
        <v>223</v>
      </c>
      <c r="G9355" s="203">
        <f>SUM(C9355,C9331,C9307,C9283,C9259,C9235,C9211,C9187,C9163,C9139,C9115,C9091,C9067,C9043)/POBLA!$B$18*100000</f>
        <v>119.55705008979578</v>
      </c>
      <c r="H9355" s="254">
        <f t="shared" si="805"/>
        <v>1.4801901743264658</v>
      </c>
    </row>
    <row r="9356" spans="1:8" x14ac:dyDescent="0.25">
      <c r="A9356" s="84" t="s">
        <v>36</v>
      </c>
      <c r="B9356" s="356">
        <v>44282</v>
      </c>
      <c r="C9356" s="17">
        <v>84</v>
      </c>
      <c r="D9356" s="47">
        <f t="shared" si="803"/>
        <v>22146</v>
      </c>
      <c r="F9356" s="47">
        <f t="shared" si="804"/>
        <v>402</v>
      </c>
      <c r="G9356" s="203">
        <f>SUM(C9356,C9332,C9308,C9284,C9260,C9236,C9212,C9188,C9164,C9140,C9116,C9092,C9068,C9044)/POBLA!$B$19*100000</f>
        <v>123.93572653877024</v>
      </c>
      <c r="H9356" s="254">
        <f t="shared" si="805"/>
        <v>0.84677419354838712</v>
      </c>
    </row>
    <row r="9357" spans="1:8" x14ac:dyDescent="0.25">
      <c r="A9357" s="84" t="s">
        <v>37</v>
      </c>
      <c r="B9357" s="356">
        <v>44282</v>
      </c>
      <c r="C9357" s="17">
        <v>144</v>
      </c>
      <c r="D9357" s="47">
        <f t="shared" si="803"/>
        <v>38854</v>
      </c>
      <c r="E9357" s="1">
        <v>1</v>
      </c>
      <c r="F9357" s="47">
        <f t="shared" si="804"/>
        <v>637</v>
      </c>
      <c r="G9357" s="203">
        <f>SUM(C9357,C9333,C9309,C9285,C9261,C9237,C9213,C9189,C9165,C9141,C9117,C9093,C9069,C9045)/POBLA!$B$20*100000</f>
        <v>418.37800589557509</v>
      </c>
      <c r="H9357" s="254">
        <f t="shared" si="805"/>
        <v>1.0714285714285714</v>
      </c>
    </row>
    <row r="9358" spans="1:8" x14ac:dyDescent="0.25">
      <c r="A9358" s="84" t="s">
        <v>22</v>
      </c>
      <c r="B9358" s="356">
        <v>44282</v>
      </c>
      <c r="C9358" s="17">
        <v>686</v>
      </c>
      <c r="D9358" s="47">
        <f t="shared" si="803"/>
        <v>228923</v>
      </c>
      <c r="E9358" s="1">
        <v>8</v>
      </c>
      <c r="F9358" s="47">
        <f t="shared" si="804"/>
        <v>4245</v>
      </c>
      <c r="G9358" s="203">
        <f>SUM(C9358,C9334,C9310,C9286,C9262,C9238,C9214,C9190,C9166,C9142,C9118,C9094,C9070,C9046)/POBLA!$B$21*100000</f>
        <v>192.2566845887562</v>
      </c>
      <c r="H9358" s="254">
        <f t="shared" si="805"/>
        <v>1.1758906952611554</v>
      </c>
    </row>
    <row r="9359" spans="1:8" x14ac:dyDescent="0.25">
      <c r="A9359" s="84" t="s">
        <v>38</v>
      </c>
      <c r="B9359" s="356">
        <v>44282</v>
      </c>
      <c r="C9359" s="17">
        <v>130</v>
      </c>
      <c r="D9359" s="47">
        <f t="shared" si="803"/>
        <v>24702</v>
      </c>
      <c r="E9359" s="1">
        <v>1</v>
      </c>
      <c r="F9359" s="47">
        <f t="shared" si="804"/>
        <v>289</v>
      </c>
      <c r="G9359" s="203">
        <f>SUM(C9359,C9335,C9311,C9287,C9263,C9239,C9215,C9191,C9167,C9143,C9119,C9095,C9071,C9047)/POBLA!$B$22*100000</f>
        <v>134.92614326907645</v>
      </c>
      <c r="H9359" s="254">
        <f t="shared" si="805"/>
        <v>1.6216216216216217</v>
      </c>
    </row>
    <row r="9360" spans="1:8" x14ac:dyDescent="0.25">
      <c r="A9360" s="84" t="s">
        <v>39</v>
      </c>
      <c r="B9360" s="356">
        <v>44282</v>
      </c>
      <c r="C9360" s="17">
        <v>42</v>
      </c>
      <c r="D9360" s="47">
        <f t="shared" si="803"/>
        <v>23860</v>
      </c>
      <c r="E9360" s="1">
        <v>1</v>
      </c>
      <c r="F9360" s="47">
        <f t="shared" si="804"/>
        <v>365</v>
      </c>
      <c r="G9360" s="203">
        <f>SUM(C9360,C9336,C9312,C9288,C9264,C9240,C9216,C9192,C9168,C9144,C9120,C9096,C9072,C9048)/POBLA!$B$23*100000</f>
        <v>300.28841259967197</v>
      </c>
      <c r="H9360" s="254">
        <f t="shared" si="805"/>
        <v>1.3409090909090908</v>
      </c>
    </row>
    <row r="9361" spans="1:8" ht="15.75" thickBot="1" x14ac:dyDescent="0.3">
      <c r="A9361" s="85" t="s">
        <v>40</v>
      </c>
      <c r="B9361" s="356">
        <v>44282</v>
      </c>
      <c r="C9361" s="17">
        <v>245</v>
      </c>
      <c r="D9361" s="214">
        <f t="shared" si="803"/>
        <v>86135</v>
      </c>
      <c r="E9361" s="1">
        <v>1</v>
      </c>
      <c r="F9361" s="214">
        <f t="shared" si="804"/>
        <v>1501</v>
      </c>
      <c r="G9361" s="215">
        <f>SUM(C9361,C9337,C9313,C9289,C9265,C9241,C9217,C9193,C9169,C9145,C9121,C9097,C9073,C9049)/POBLA!$B$24*100000</f>
        <v>241.22889837229502</v>
      </c>
      <c r="H9361" s="255">
        <f t="shared" si="805"/>
        <v>1.7514995715509853</v>
      </c>
    </row>
    <row r="9362" spans="1:8" x14ac:dyDescent="0.25">
      <c r="A9362" s="36" t="s">
        <v>16</v>
      </c>
      <c r="B9362" s="356">
        <v>44283</v>
      </c>
      <c r="C9362" s="17">
        <v>3257</v>
      </c>
      <c r="D9362" s="211">
        <f t="shared" si="803"/>
        <v>968108</v>
      </c>
      <c r="E9362" s="1">
        <v>72</v>
      </c>
      <c r="F9362" s="211">
        <f t="shared" si="804"/>
        <v>27983</v>
      </c>
      <c r="G9362" s="212">
        <f>SUM(C9362,C9338,C9314,C9290,C9266,C9242,C9218,C9194,C9170,C9146,C9122,C9098,C9074,C9050)/POBLA!$B$1*100000</f>
        <v>289.6504851081238</v>
      </c>
      <c r="H9362" s="253">
        <f t="shared" si="805"/>
        <v>1.3551329581521885</v>
      </c>
    </row>
    <row r="9363" spans="1:8" x14ac:dyDescent="0.25">
      <c r="A9363" s="84" t="s">
        <v>43</v>
      </c>
      <c r="B9363" s="356">
        <v>44283</v>
      </c>
      <c r="C9363" s="17">
        <v>1044</v>
      </c>
      <c r="D9363" s="47">
        <f t="shared" si="803"/>
        <v>256505</v>
      </c>
      <c r="F9363" s="47">
        <f t="shared" si="804"/>
        <v>6844</v>
      </c>
      <c r="G9363" s="203">
        <f>SUM(C9363,C9339,C9315,C9291,C9267,C9243,C9219,C9195,C9171,C9147,C9123,C9099,C9075,C9051)/POBLA!$B$2*100000</f>
        <v>473.03883476837058</v>
      </c>
      <c r="H9363" s="254">
        <f t="shared" si="805"/>
        <v>1.4456478537360891</v>
      </c>
    </row>
    <row r="9364" spans="1:8" x14ac:dyDescent="0.25">
      <c r="A9364" s="84" t="s">
        <v>28</v>
      </c>
      <c r="B9364" s="356">
        <v>44283</v>
      </c>
      <c r="C9364" s="17">
        <v>80</v>
      </c>
      <c r="D9364" s="47">
        <f t="shared" si="803"/>
        <v>10226</v>
      </c>
      <c r="F9364" s="47">
        <f t="shared" si="804"/>
        <v>18</v>
      </c>
      <c r="G9364" s="203">
        <f>SUM(C9364,C9340,C9316,C9292,C9268,C9244,C9220,C9196,C9172,C9148,C9124,C9100,C9076,C9052)/POBLA!$B$3*100000</f>
        <v>288.37034647769343</v>
      </c>
      <c r="H9364" s="254">
        <f t="shared" si="805"/>
        <v>1.0472027972027973</v>
      </c>
    </row>
    <row r="9365" spans="1:8" x14ac:dyDescent="0.25">
      <c r="A9365" s="84" t="s">
        <v>15</v>
      </c>
      <c r="B9365" s="356">
        <v>44283</v>
      </c>
      <c r="C9365" s="17">
        <v>95</v>
      </c>
      <c r="D9365" s="47">
        <f t="shared" si="803"/>
        <v>37983</v>
      </c>
      <c r="E9365" s="1">
        <v>1</v>
      </c>
      <c r="F9365" s="47">
        <f t="shared" si="804"/>
        <v>918</v>
      </c>
      <c r="G9365" s="203">
        <f>SUM(C9365,C9341,C9317,C9293,C9269,C9245,C9221,C9197,C9173,C9149,C9125,C9101,C9077,C9053)/POBLA!$B$4*100000</f>
        <v>169.4421360501635</v>
      </c>
      <c r="H9365" s="254">
        <f t="shared" si="805"/>
        <v>1.1345191773207337</v>
      </c>
    </row>
    <row r="9366" spans="1:8" x14ac:dyDescent="0.25">
      <c r="A9366" s="84" t="s">
        <v>29</v>
      </c>
      <c r="B9366" s="356">
        <v>44283</v>
      </c>
      <c r="C9366" s="17">
        <v>70</v>
      </c>
      <c r="D9366" s="47">
        <f t="shared" si="803"/>
        <v>49562</v>
      </c>
      <c r="F9366" s="47">
        <f t="shared" si="804"/>
        <v>854</v>
      </c>
      <c r="G9366" s="203">
        <f>SUM(C9366,C9342,C9318,C9294,C9270,C9246,C9222,C9198,C9174,C9150,C9126,C9102,C9078,C9054)/POBLA!$B$5*100000</f>
        <v>231.66621970487597</v>
      </c>
      <c r="H9366" s="254">
        <f t="shared" si="805"/>
        <v>1.1592562651576395</v>
      </c>
    </row>
    <row r="9367" spans="1:8" x14ac:dyDescent="0.25">
      <c r="A9367" s="84" t="s">
        <v>30</v>
      </c>
      <c r="B9367" s="356">
        <v>44283</v>
      </c>
      <c r="C9367" s="17">
        <v>476</v>
      </c>
      <c r="D9367" s="47">
        <f t="shared" si="803"/>
        <v>28387</v>
      </c>
      <c r="F9367" s="47">
        <f t="shared" si="804"/>
        <v>325</v>
      </c>
      <c r="G9367" s="203">
        <f>SUM(C9367,C9343,C9319,C9295,C9271,C9247,C9223,C9199,C9175,C9151,C9127,C9103,C9079,C9055)/POBLA!$B$6*100000</f>
        <v>305.76346737734889</v>
      </c>
      <c r="H9367" s="254">
        <f t="shared" si="805"/>
        <v>1.1040592783505154</v>
      </c>
    </row>
    <row r="9368" spans="1:8" x14ac:dyDescent="0.25">
      <c r="A9368" s="84" t="s">
        <v>20</v>
      </c>
      <c r="B9368" s="356">
        <v>44283</v>
      </c>
      <c r="C9368" s="17">
        <v>443</v>
      </c>
      <c r="D9368" s="47">
        <f t="shared" si="803"/>
        <v>177471</v>
      </c>
      <c r="E9368" s="1">
        <v>1</v>
      </c>
      <c r="F9368" s="47">
        <f t="shared" si="804"/>
        <v>3009</v>
      </c>
      <c r="G9368" s="203">
        <f>SUM(C9368,C9344,C9320,C9296,C9272,C9248,C9224,C9200,C9176,C9152,C9128,C9104,C9080,C9056)/POBLA!$B$7*100000</f>
        <v>255.07585528327729</v>
      </c>
      <c r="H9368" s="286">
        <f t="shared" si="805"/>
        <v>1.1988501437320336</v>
      </c>
    </row>
    <row r="9369" spans="1:8" x14ac:dyDescent="0.25">
      <c r="A9369" s="84" t="s">
        <v>31</v>
      </c>
      <c r="B9369" s="356">
        <v>44283</v>
      </c>
      <c r="C9369" s="17">
        <v>83</v>
      </c>
      <c r="D9369" s="47">
        <f t="shared" si="803"/>
        <v>49220</v>
      </c>
      <c r="F9369" s="47">
        <f t="shared" si="804"/>
        <v>941</v>
      </c>
      <c r="G9369" s="203">
        <f>SUM(C9369,C9345,C9321,C9297,C9273,C9249,C9225,C9201,C9177,C9153,C9129,C9105,C9081,C9057)/POBLA!$B$8*100000</f>
        <v>169.4131364446763</v>
      </c>
      <c r="H9369" s="254">
        <f t="shared" si="805"/>
        <v>1.3771260997067449</v>
      </c>
    </row>
    <row r="9370" spans="1:8" x14ac:dyDescent="0.25">
      <c r="A9370" s="84" t="s">
        <v>41</v>
      </c>
      <c r="B9370" s="356">
        <v>44283</v>
      </c>
      <c r="C9370" s="17">
        <v>32</v>
      </c>
      <c r="D9370" s="47">
        <f t="shared" si="803"/>
        <v>1979</v>
      </c>
      <c r="F9370" s="47">
        <f t="shared" si="804"/>
        <v>30</v>
      </c>
      <c r="G9370" s="203">
        <f>SUM(C9370,C9346,C9322,C9298,C9274,C9250,C9226,C9202,C9178,C9154,C9130,C9106,C9082,C9058)/POBLA!$B$9*100000</f>
        <v>68.077456282541263</v>
      </c>
      <c r="H9370" s="254">
        <f t="shared" si="805"/>
        <v>1.1907514450867052</v>
      </c>
    </row>
    <row r="9371" spans="1:8" x14ac:dyDescent="0.25">
      <c r="A9371" s="84" t="s">
        <v>32</v>
      </c>
      <c r="B9371" s="356">
        <v>44283</v>
      </c>
      <c r="C9371" s="17">
        <v>47</v>
      </c>
      <c r="D9371" s="47">
        <f t="shared" si="803"/>
        <v>22296</v>
      </c>
      <c r="E9371" s="1">
        <v>4</v>
      </c>
      <c r="F9371" s="47">
        <f t="shared" si="804"/>
        <v>962</v>
      </c>
      <c r="G9371" s="203">
        <f>SUM(C9371,C9347,C9323,C9299,C9275,C9251,C9227,C9203,C9179,C9155,C9131,C9107,C9083,C9059)/POBLA!$B$10*100000</f>
        <v>79.778850432167872</v>
      </c>
      <c r="H9371" s="254">
        <f t="shared" si="805"/>
        <v>0.66200215285252961</v>
      </c>
    </row>
    <row r="9372" spans="1:8" x14ac:dyDescent="0.25">
      <c r="A9372" s="84" t="s">
        <v>33</v>
      </c>
      <c r="B9372" s="356">
        <v>44283</v>
      </c>
      <c r="C9372" s="17">
        <v>46</v>
      </c>
      <c r="D9372" s="47">
        <f t="shared" si="803"/>
        <v>21056</v>
      </c>
      <c r="F9372" s="47">
        <f t="shared" si="804"/>
        <v>316</v>
      </c>
      <c r="G9372" s="203">
        <f>SUM(C9372,C9348,C9324,C9300,C9276,C9252,C9228,C9204,C9180,C9156,C9132,C9108,C9084,C9060)/POBLA!$B$11*100000</f>
        <v>339.25920965995959</v>
      </c>
      <c r="H9372" s="254">
        <f t="shared" si="805"/>
        <v>1.057391304347826</v>
      </c>
    </row>
    <row r="9373" spans="1:8" x14ac:dyDescent="0.25">
      <c r="A9373" s="84" t="s">
        <v>21</v>
      </c>
      <c r="B9373" s="356">
        <v>44283</v>
      </c>
      <c r="C9373" s="17">
        <v>47</v>
      </c>
      <c r="D9373" s="47">
        <f t="shared" si="803"/>
        <v>10902</v>
      </c>
      <c r="F9373" s="47">
        <f t="shared" si="804"/>
        <v>448</v>
      </c>
      <c r="G9373" s="203">
        <f>SUM(C9373,C9349,C9325,C9301,C9277,C9253,C9229,C9205,C9181,C9157,C9133,C9109,C9085,C9061)/POBLA!$B$12*100000</f>
        <v>93.258218539327274</v>
      </c>
      <c r="H9373" s="254">
        <f t="shared" si="805"/>
        <v>1.180064308681672</v>
      </c>
    </row>
    <row r="9374" spans="1:8" x14ac:dyDescent="0.25">
      <c r="A9374" s="84" t="s">
        <v>17</v>
      </c>
      <c r="B9374" s="356">
        <v>44283</v>
      </c>
      <c r="C9374" s="17">
        <v>116</v>
      </c>
      <c r="D9374" s="47">
        <f t="shared" si="803"/>
        <v>71842</v>
      </c>
      <c r="F9374" s="47">
        <f t="shared" si="804"/>
        <v>1498</v>
      </c>
      <c r="G9374" s="203">
        <f>SUM(C9374,C9350,C9326,C9302,C9278,C9254,C9230,C9206,C9182,C9158,C9134,C9110,C9086,C9062)/POBLA!$B$13*100000</f>
        <v>124.3004956947011</v>
      </c>
      <c r="H9374" s="254">
        <f t="shared" si="805"/>
        <v>1.1604127579737336</v>
      </c>
    </row>
    <row r="9375" spans="1:8" x14ac:dyDescent="0.25">
      <c r="A9375" s="84" t="s">
        <v>23</v>
      </c>
      <c r="B9375" s="356">
        <v>44283</v>
      </c>
      <c r="C9375" s="17">
        <v>142</v>
      </c>
      <c r="D9375" s="47">
        <f t="shared" si="803"/>
        <v>11698</v>
      </c>
      <c r="F9375" s="47">
        <f t="shared" si="804"/>
        <v>196</v>
      </c>
      <c r="G9375" s="203">
        <f>SUM(C9375,C9351,C9327,C9303,C9279,C9255,C9231,C9207,C9183,C9159,C9135,C9111,C9087,C9063)/POBLA!$B$14*100000</f>
        <v>137.00215810112473</v>
      </c>
      <c r="H9375" s="254">
        <f t="shared" si="805"/>
        <v>1.0188679245283019</v>
      </c>
    </row>
    <row r="9376" spans="1:8" x14ac:dyDescent="0.25">
      <c r="A9376" s="84" t="s">
        <v>19</v>
      </c>
      <c r="B9376" s="356">
        <v>44283</v>
      </c>
      <c r="C9376" s="17">
        <v>72</v>
      </c>
      <c r="D9376" s="47">
        <f t="shared" si="803"/>
        <v>64871</v>
      </c>
      <c r="E9376" s="1">
        <v>1</v>
      </c>
      <c r="F9376" s="47">
        <f t="shared" si="804"/>
        <v>1005</v>
      </c>
      <c r="G9376" s="203">
        <f>SUM(C9376,C9352,C9328,C9304,C9280,C9256,C9232,C9208,C9184,C9160,C9136,C9112,C9088,C9064)/POBLA!$B$15*100000</f>
        <v>249.82795151621022</v>
      </c>
      <c r="H9376" s="254">
        <f t="shared" si="805"/>
        <v>0.81483300589390961</v>
      </c>
    </row>
    <row r="9377" spans="1:8" x14ac:dyDescent="0.25">
      <c r="A9377" s="84" t="s">
        <v>18</v>
      </c>
      <c r="B9377" s="356">
        <v>44283</v>
      </c>
      <c r="C9377" s="17">
        <v>45</v>
      </c>
      <c r="D9377" s="47">
        <f t="shared" si="803"/>
        <v>55030</v>
      </c>
      <c r="E9377" s="1">
        <v>2</v>
      </c>
      <c r="F9377" s="47">
        <f t="shared" si="804"/>
        <v>1274</v>
      </c>
      <c r="G9377" s="203">
        <f>SUM(C9377,C9353,C9329,C9305,C9281,C9257,C9233,C9209,C9185,C9161,C9137,C9113,C9089,C9065)/POBLA!$B$16*100000</f>
        <v>166.26315859873463</v>
      </c>
      <c r="H9377" s="254">
        <f t="shared" si="805"/>
        <v>0.85078713210130053</v>
      </c>
    </row>
    <row r="9378" spans="1:8" x14ac:dyDescent="0.25">
      <c r="A9378" s="84" t="s">
        <v>34</v>
      </c>
      <c r="B9378" s="356">
        <v>44283</v>
      </c>
      <c r="C9378" s="17">
        <v>54</v>
      </c>
      <c r="D9378" s="47">
        <f t="shared" si="803"/>
        <v>28978</v>
      </c>
      <c r="F9378" s="47">
        <f t="shared" si="804"/>
        <v>1198</v>
      </c>
      <c r="G9378" s="203">
        <f>SUM(C9378,C9354,C9330,C9306,C9282,C9258,C9234,C9210,C9186,C9162,C9138,C9114,C9090,C9066)/POBLA!$B$17*100000</f>
        <v>94.84715286538794</v>
      </c>
      <c r="H9378" s="254">
        <f t="shared" si="805"/>
        <v>0.90915208613728127</v>
      </c>
    </row>
    <row r="9379" spans="1:8" x14ac:dyDescent="0.25">
      <c r="A9379" s="84" t="s">
        <v>35</v>
      </c>
      <c r="B9379" s="356">
        <v>44283</v>
      </c>
      <c r="C9379" s="17">
        <v>22</v>
      </c>
      <c r="D9379" s="47">
        <f t="shared" si="803"/>
        <v>16826</v>
      </c>
      <c r="F9379" s="47">
        <f t="shared" si="804"/>
        <v>223</v>
      </c>
      <c r="G9379" s="203">
        <f>SUM(C9379,C9355,C9331,C9307,C9283,C9259,C9235,C9211,C9187,C9163,C9139,C9115,C9091,C9067)/POBLA!$B$18*100000</f>
        <v>121.86114741486681</v>
      </c>
      <c r="H9379" s="254">
        <f t="shared" si="805"/>
        <v>1.5111111111111111</v>
      </c>
    </row>
    <row r="9380" spans="1:8" x14ac:dyDescent="0.25">
      <c r="A9380" s="84" t="s">
        <v>36</v>
      </c>
      <c r="B9380" s="356">
        <v>44283</v>
      </c>
      <c r="C9380" s="17">
        <v>203</v>
      </c>
      <c r="D9380" s="47">
        <f t="shared" si="803"/>
        <v>22349</v>
      </c>
      <c r="F9380" s="47">
        <f t="shared" si="804"/>
        <v>402</v>
      </c>
      <c r="G9380" s="203">
        <f>SUM(C9380,C9356,C9332,C9308,C9284,C9260,C9236,C9212,C9188,C9164,C9140,C9116,C9092,C9068)/POBLA!$B$19*100000</f>
        <v>163.47712500590171</v>
      </c>
      <c r="H9380" s="254">
        <f t="shared" si="805"/>
        <v>1.1154362416107382</v>
      </c>
    </row>
    <row r="9381" spans="1:8" x14ac:dyDescent="0.25">
      <c r="A9381" s="84" t="s">
        <v>37</v>
      </c>
      <c r="B9381" s="356">
        <v>44283</v>
      </c>
      <c r="C9381" s="17">
        <v>100</v>
      </c>
      <c r="D9381" s="47">
        <f t="shared" si="803"/>
        <v>38954</v>
      </c>
      <c r="F9381" s="47">
        <f t="shared" si="804"/>
        <v>637</v>
      </c>
      <c r="G9381" s="203">
        <f>SUM(C9381,C9357,C9333,C9309,C9285,C9261,C9237,C9213,C9189,C9165,C9141,C9117,C9093,C9069)/POBLA!$B$20*100000</f>
        <v>429.04254330075634</v>
      </c>
      <c r="H9381" s="254">
        <f t="shared" si="805"/>
        <v>1.0790921595598348</v>
      </c>
    </row>
    <row r="9382" spans="1:8" x14ac:dyDescent="0.25">
      <c r="A9382" s="84" t="s">
        <v>22</v>
      </c>
      <c r="B9382" s="356">
        <v>44283</v>
      </c>
      <c r="C9382" s="17">
        <v>234</v>
      </c>
      <c r="D9382" s="47">
        <f t="shared" si="803"/>
        <v>229157</v>
      </c>
      <c r="F9382" s="47">
        <f t="shared" si="804"/>
        <v>4245</v>
      </c>
      <c r="G9382" s="203">
        <f>SUM(C9382,C9358,C9334,C9310,C9286,C9262,C9238,C9214,C9190,C9166,C9142,C9118,C9094,C9070)/POBLA!$B$21*100000</f>
        <v>193.50088140033219</v>
      </c>
      <c r="H9382" s="254">
        <f t="shared" si="805"/>
        <v>1.1699435800991622</v>
      </c>
    </row>
    <row r="9383" spans="1:8" x14ac:dyDescent="0.25">
      <c r="A9383" s="84" t="s">
        <v>38</v>
      </c>
      <c r="B9383" s="356">
        <v>44283</v>
      </c>
      <c r="C9383" s="17">
        <v>136</v>
      </c>
      <c r="D9383" s="47">
        <f t="shared" si="803"/>
        <v>24838</v>
      </c>
      <c r="F9383" s="47">
        <f t="shared" si="804"/>
        <v>289</v>
      </c>
      <c r="G9383" s="203">
        <f>SUM(C9383,C9359,C9335,C9311,C9287,C9263,C9239,C9215,C9191,C9167,C9143,C9119,C9095,C9071)/POBLA!$B$22*100000</f>
        <v>140.85471623089953</v>
      </c>
      <c r="H9383" s="254">
        <f t="shared" si="805"/>
        <v>1.7182044887780548</v>
      </c>
    </row>
    <row r="9384" spans="1:8" x14ac:dyDescent="0.25">
      <c r="A9384" s="84" t="s">
        <v>39</v>
      </c>
      <c r="B9384" s="356">
        <v>44283</v>
      </c>
      <c r="C9384" s="17">
        <v>71</v>
      </c>
      <c r="D9384" s="47">
        <f t="shared" si="803"/>
        <v>23931</v>
      </c>
      <c r="F9384" s="47">
        <f t="shared" si="804"/>
        <v>365</v>
      </c>
      <c r="G9384" s="203">
        <f>SUM(C9384,C9360,C9336,C9312,C9288,C9264,C9240,C9216,C9192,C9168,C9144,C9120,C9096,C9072)/POBLA!$B$23*100000</f>
        <v>321.21246394842507</v>
      </c>
      <c r="H9384" s="254">
        <f t="shared" si="805"/>
        <v>1.3396226415094339</v>
      </c>
    </row>
    <row r="9385" spans="1:8" ht="15.75" thickBot="1" x14ac:dyDescent="0.3">
      <c r="A9385" s="86" t="s">
        <v>40</v>
      </c>
      <c r="B9385" s="357">
        <v>44283</v>
      </c>
      <c r="C9385" s="17">
        <v>293</v>
      </c>
      <c r="D9385" s="81">
        <f t="shared" si="803"/>
        <v>86428</v>
      </c>
      <c r="E9385" s="300"/>
      <c r="F9385" s="81">
        <f t="shared" si="804"/>
        <v>1501</v>
      </c>
      <c r="G9385" s="323">
        <f>SUM(C9385,C9361,C9337,C9313,C9289,C9265,C9241,C9217,C9193,C9169,C9145,C9121,C9097,C9073)/POBLA!$B$24*100000</f>
        <v>252.08655916008914</v>
      </c>
      <c r="H9385" s="324">
        <f t="shared" si="805"/>
        <v>1.810936837643069</v>
      </c>
    </row>
    <row r="9386" spans="1:8" x14ac:dyDescent="0.25">
      <c r="A9386" s="36" t="s">
        <v>16</v>
      </c>
      <c r="B9386" s="354">
        <v>44284</v>
      </c>
      <c r="C9386" s="374">
        <v>6456</v>
      </c>
      <c r="D9386" s="211">
        <f t="shared" si="803"/>
        <v>974564</v>
      </c>
      <c r="E9386" s="53">
        <v>77</v>
      </c>
      <c r="F9386" s="211">
        <f t="shared" si="804"/>
        <v>28060</v>
      </c>
      <c r="G9386" s="212">
        <f>SUM(C9386,C9362,C9338,C9314,C9290,C9266,C9242,C9218,C9194,C9170,C9146,C9122,C9098,C9074)/POBLA!$B$1*100000</f>
        <v>311.57608276451344</v>
      </c>
      <c r="H9386" s="253">
        <f t="shared" si="805"/>
        <v>1.4345258405732433</v>
      </c>
    </row>
    <row r="9387" spans="1:8" x14ac:dyDescent="0.25">
      <c r="A9387" s="84" t="s">
        <v>43</v>
      </c>
      <c r="B9387" s="356">
        <v>44284</v>
      </c>
      <c r="C9387" s="318">
        <v>2109</v>
      </c>
      <c r="D9387" s="47">
        <f t="shared" si="803"/>
        <v>258614</v>
      </c>
      <c r="E9387" s="1">
        <v>9</v>
      </c>
      <c r="F9387" s="47">
        <f t="shared" si="804"/>
        <v>6853</v>
      </c>
      <c r="G9387" s="203">
        <f>SUM(C9387,C9363,C9339,C9315,C9291,C9267,C9243,C9219,C9195,C9171,C9147,C9123,C9099,C9075)/POBLA!$B$2*100000</f>
        <v>506.30013987305438</v>
      </c>
      <c r="H9387" s="254">
        <f t="shared" si="805"/>
        <v>1.4528830005598059</v>
      </c>
    </row>
    <row r="9388" spans="1:8" x14ac:dyDescent="0.25">
      <c r="A9388" s="84" t="s">
        <v>28</v>
      </c>
      <c r="B9388" s="356">
        <v>44284</v>
      </c>
      <c r="C9388" s="318">
        <v>84</v>
      </c>
      <c r="D9388" s="47">
        <f t="shared" si="803"/>
        <v>10310</v>
      </c>
      <c r="F9388" s="47">
        <f t="shared" si="804"/>
        <v>18</v>
      </c>
      <c r="G9388" s="203">
        <f>SUM(C9388,C9364,C9340,C9316,C9292,C9268,C9244,C9220,C9196,C9172,C9148,C9124,C9100,C9076)/POBLA!$B$3*100000</f>
        <v>286.68537784218103</v>
      </c>
      <c r="H9388" s="254">
        <f t="shared" si="805"/>
        <v>1.1017576318223867</v>
      </c>
    </row>
    <row r="9389" spans="1:8" x14ac:dyDescent="0.25">
      <c r="A9389" s="84" t="s">
        <v>15</v>
      </c>
      <c r="B9389" s="356">
        <v>44284</v>
      </c>
      <c r="C9389" s="318">
        <v>238</v>
      </c>
      <c r="D9389" s="47">
        <f t="shared" si="803"/>
        <v>38221</v>
      </c>
      <c r="E9389" s="1">
        <v>5</v>
      </c>
      <c r="F9389" s="47">
        <f t="shared" si="804"/>
        <v>923</v>
      </c>
      <c r="G9389" s="203">
        <f>SUM(C9389,C9365,C9341,C9317,C9293,C9269,C9245,C9221,C9197,C9173,C9149,C9125,C9101,C9077)/POBLA!$B$4*100000</f>
        <v>179.23839869294611</v>
      </c>
      <c r="H9389" s="254">
        <f t="shared" si="805"/>
        <v>1.1701897018970189</v>
      </c>
    </row>
    <row r="9390" spans="1:8" x14ac:dyDescent="0.25">
      <c r="A9390" s="84" t="s">
        <v>29</v>
      </c>
      <c r="B9390" s="356">
        <v>44284</v>
      </c>
      <c r="C9390" s="318">
        <v>204</v>
      </c>
      <c r="D9390" s="47">
        <f t="shared" si="803"/>
        <v>49766</v>
      </c>
      <c r="E9390" s="1">
        <v>10</v>
      </c>
      <c r="F9390" s="47">
        <f t="shared" si="804"/>
        <v>864</v>
      </c>
      <c r="G9390" s="203">
        <f>SUM(C9390,C9366,C9342,C9318,C9294,C9270,C9246,C9222,C9198,C9174,C9150,C9126,C9102,C9078)/POBLA!$B$5*100000</f>
        <v>244.75196851665766</v>
      </c>
      <c r="H9390" s="254">
        <f t="shared" si="805"/>
        <v>1.2188254223652453</v>
      </c>
    </row>
    <row r="9391" spans="1:8" x14ac:dyDescent="0.25">
      <c r="A9391" s="84" t="s">
        <v>30</v>
      </c>
      <c r="B9391" s="356">
        <v>44284</v>
      </c>
      <c r="C9391" s="318">
        <v>492</v>
      </c>
      <c r="D9391" s="47">
        <f t="shared" si="803"/>
        <v>28879</v>
      </c>
      <c r="F9391" s="47">
        <f t="shared" si="804"/>
        <v>325</v>
      </c>
      <c r="G9391" s="203">
        <f>SUM(C9391,C9367,C9343,C9319,C9295,C9271,C9247,C9223,C9199,C9175,C9151,C9127,C9103,C9079)/POBLA!$B$6*100000</f>
        <v>343.50433306180133</v>
      </c>
      <c r="H9391" s="254">
        <f t="shared" si="805"/>
        <v>1.25</v>
      </c>
    </row>
    <row r="9392" spans="1:8" x14ac:dyDescent="0.25">
      <c r="A9392" s="84" t="s">
        <v>20</v>
      </c>
      <c r="B9392" s="356">
        <v>44284</v>
      </c>
      <c r="C9392" s="318">
        <v>1076</v>
      </c>
      <c r="D9392" s="47">
        <f t="shared" si="803"/>
        <v>178547</v>
      </c>
      <c r="E9392" s="1">
        <v>7</v>
      </c>
      <c r="F9392" s="47">
        <f t="shared" si="804"/>
        <v>3016</v>
      </c>
      <c r="G9392" s="203">
        <f>SUM(C9392,C9368,C9344,C9320,C9296,C9272,C9248,C9224,C9200,C9176,C9152,C9128,C9104,C9080)/POBLA!$B$7*100000</f>
        <v>273.50450079112875</v>
      </c>
      <c r="H9392" s="254">
        <f t="shared" si="805"/>
        <v>1.2870729570767112</v>
      </c>
    </row>
    <row r="9393" spans="1:8" x14ac:dyDescent="0.25">
      <c r="A9393" s="84" t="s">
        <v>31</v>
      </c>
      <c r="B9393" s="356">
        <v>44284</v>
      </c>
      <c r="C9393" s="318">
        <v>215</v>
      </c>
      <c r="D9393" s="47">
        <f t="shared" si="803"/>
        <v>49435</v>
      </c>
      <c r="E9393" s="1">
        <v>3</v>
      </c>
      <c r="F9393" s="47">
        <f t="shared" si="804"/>
        <v>944</v>
      </c>
      <c r="G9393" s="203">
        <f>SUM(C9393,C9369,C9345,C9321,C9297,C9273,C9249,C9225,C9201,C9177,C9153,C9129,C9105,C9081)/POBLA!$B$8*100000</f>
        <v>176.19543407065566</v>
      </c>
      <c r="H9393" s="254">
        <f t="shared" si="805"/>
        <v>1.4083044982698962</v>
      </c>
    </row>
    <row r="9394" spans="1:8" x14ac:dyDescent="0.25">
      <c r="A9394" s="84" t="s">
        <v>41</v>
      </c>
      <c r="B9394" s="356">
        <v>44284</v>
      </c>
      <c r="C9394" s="318">
        <v>75</v>
      </c>
      <c r="D9394" s="47">
        <f t="shared" ref="D9394:D9457" si="806">C9394+D9370</f>
        <v>2054</v>
      </c>
      <c r="F9394" s="47">
        <f t="shared" ref="F9394:F9457" si="807">E9394+F9370</f>
        <v>30</v>
      </c>
      <c r="G9394" s="203">
        <f>SUM(C9394,C9370,C9346,C9322,C9298,C9274,C9250,C9226,C9202,C9178,C9154,C9130,C9106,C9082)/POBLA!$B$9*100000</f>
        <v>75.182627690670586</v>
      </c>
      <c r="H9394" s="254">
        <f t="shared" ref="H9394:H9457" si="808">SUM(C9394,C9370,C9346,C9322,C9298,C9274,C9250,C9226,C9202,C9178,C9154,C9130,C9106,C9082)/SUM(C9058,C9034,C9010,C8986,C8962,C8938,C8914,C8890,C8866,C8842,C8818,C8794,C8770,C8746)</f>
        <v>1.2780898876404494</v>
      </c>
    </row>
    <row r="9395" spans="1:8" x14ac:dyDescent="0.25">
      <c r="A9395" s="84" t="s">
        <v>32</v>
      </c>
      <c r="B9395" s="356">
        <v>44284</v>
      </c>
      <c r="C9395" s="318">
        <v>28</v>
      </c>
      <c r="D9395" s="47">
        <f t="shared" si="806"/>
        <v>22324</v>
      </c>
      <c r="E9395" s="1">
        <v>2</v>
      </c>
      <c r="F9395" s="47">
        <f t="shared" si="807"/>
        <v>964</v>
      </c>
      <c r="G9395" s="203">
        <f>SUM(C9395,C9371,C9347,C9323,C9299,C9275,C9251,C9227,C9203,C9179,C9155,C9131,C9107,C9083)/POBLA!$B$10*100000</f>
        <v>79.778850432167872</v>
      </c>
      <c r="H9395" s="254">
        <f t="shared" si="808"/>
        <v>0.67360350492880616</v>
      </c>
    </row>
    <row r="9396" spans="1:8" x14ac:dyDescent="0.25">
      <c r="A9396" s="84" t="s">
        <v>33</v>
      </c>
      <c r="B9396" s="356">
        <v>44284</v>
      </c>
      <c r="C9396" s="318">
        <v>102</v>
      </c>
      <c r="D9396" s="47">
        <f t="shared" si="806"/>
        <v>21158</v>
      </c>
      <c r="E9396" s="1">
        <v>3</v>
      </c>
      <c r="F9396" s="47">
        <f t="shared" si="807"/>
        <v>319</v>
      </c>
      <c r="G9396" s="203">
        <f>SUM(C9396,C9372,C9348,C9324,C9300,C9276,C9252,C9228,C9204,C9180,C9156,C9132,C9108,C9084)/POBLA!$B$11*100000</f>
        <v>335.91125693305213</v>
      </c>
      <c r="H9396" s="254">
        <f t="shared" si="808"/>
        <v>1.0126156433978133</v>
      </c>
    </row>
    <row r="9397" spans="1:8" x14ac:dyDescent="0.25">
      <c r="A9397" s="84" t="s">
        <v>21</v>
      </c>
      <c r="B9397" s="356">
        <v>44284</v>
      </c>
      <c r="C9397" s="318">
        <v>106</v>
      </c>
      <c r="D9397" s="47">
        <f t="shared" si="806"/>
        <v>11008</v>
      </c>
      <c r="E9397" s="1">
        <v>1</v>
      </c>
      <c r="F9397" s="47">
        <f t="shared" si="807"/>
        <v>449</v>
      </c>
      <c r="G9397" s="203">
        <f>SUM(C9397,C9373,C9349,C9325,C9301,C9277,C9253,C9229,C9205,C9181,C9157,C9133,C9109,C9085)/POBLA!$B$12*100000</f>
        <v>116.63630057098425</v>
      </c>
      <c r="H9397" s="254">
        <f t="shared" si="808"/>
        <v>1.4902597402597402</v>
      </c>
    </row>
    <row r="9398" spans="1:8" x14ac:dyDescent="0.25">
      <c r="A9398" s="84" t="s">
        <v>17</v>
      </c>
      <c r="B9398" s="356">
        <v>44284</v>
      </c>
      <c r="C9398" s="318">
        <v>373</v>
      </c>
      <c r="D9398" s="47">
        <f t="shared" si="806"/>
        <v>72215</v>
      </c>
      <c r="E9398" s="1">
        <v>8</v>
      </c>
      <c r="F9398" s="47">
        <f t="shared" si="807"/>
        <v>1506</v>
      </c>
      <c r="G9398" s="203">
        <f>SUM(C9398,C9374,C9350,C9326,C9302,C9278,C9254,C9230,C9206,C9182,C9158,C9134,C9110,C9086)/POBLA!$B$13*100000</f>
        <v>136.76069089772693</v>
      </c>
      <c r="H9398" s="254">
        <f t="shared" si="808"/>
        <v>1.2607688744789254</v>
      </c>
    </row>
    <row r="9399" spans="1:8" x14ac:dyDescent="0.25">
      <c r="A9399" s="84" t="s">
        <v>23</v>
      </c>
      <c r="B9399" s="356">
        <v>44284</v>
      </c>
      <c r="C9399" s="318">
        <v>126</v>
      </c>
      <c r="D9399" s="47">
        <f t="shared" si="806"/>
        <v>11824</v>
      </c>
      <c r="E9399" s="1">
        <v>4</v>
      </c>
      <c r="F9399" s="47">
        <f t="shared" si="807"/>
        <v>200</v>
      </c>
      <c r="G9399" s="203">
        <f>SUM(C9399,C9375,C9351,C9327,C9303,C9279,C9255,C9231,C9207,C9183,C9159,C9135,C9111,C9087)/POBLA!$B$14*100000</f>
        <v>137.63642735159289</v>
      </c>
      <c r="H9399" s="254">
        <f t="shared" si="808"/>
        <v>1.0163934426229508</v>
      </c>
    </row>
    <row r="9400" spans="1:8" x14ac:dyDescent="0.25">
      <c r="A9400" s="84" t="s">
        <v>19</v>
      </c>
      <c r="B9400" s="356">
        <v>44284</v>
      </c>
      <c r="C9400" s="318">
        <v>121</v>
      </c>
      <c r="D9400" s="47">
        <f t="shared" si="806"/>
        <v>64992</v>
      </c>
      <c r="E9400" s="1">
        <v>2</v>
      </c>
      <c r="F9400" s="47">
        <f t="shared" si="807"/>
        <v>1007</v>
      </c>
      <c r="G9400" s="203">
        <f>SUM(C9400,C9376,C9352,C9328,C9304,C9280,C9256,C9232,C9208,C9184,C9160,C9136,C9112,C9088)/POBLA!$B$15*100000</f>
        <v>249.52677255115148</v>
      </c>
      <c r="H9400" s="254">
        <f t="shared" si="808"/>
        <v>0.82355864811133206</v>
      </c>
    </row>
    <row r="9401" spans="1:8" x14ac:dyDescent="0.25">
      <c r="A9401" s="84" t="s">
        <v>18</v>
      </c>
      <c r="B9401" s="356">
        <v>44284</v>
      </c>
      <c r="C9401" s="318">
        <v>162</v>
      </c>
      <c r="D9401" s="47">
        <f t="shared" si="806"/>
        <v>55192</v>
      </c>
      <c r="E9401" s="1">
        <v>1</v>
      </c>
      <c r="F9401" s="47">
        <f t="shared" si="807"/>
        <v>1275</v>
      </c>
      <c r="G9401" s="203">
        <f>SUM(C9401,C9377,C9353,C9329,C9305,C9281,C9257,C9233,C9209,C9185,C9161,C9137,C9113,C9089)/POBLA!$B$16*100000</f>
        <v>175.35881007477161</v>
      </c>
      <c r="H9401" s="254">
        <f t="shared" si="808"/>
        <v>0.90789473684210531</v>
      </c>
    </row>
    <row r="9402" spans="1:8" x14ac:dyDescent="0.25">
      <c r="A9402" s="84" t="s">
        <v>34</v>
      </c>
      <c r="B9402" s="356">
        <v>44284</v>
      </c>
      <c r="C9402" s="318">
        <v>147</v>
      </c>
      <c r="D9402" s="47">
        <f t="shared" si="806"/>
        <v>29125</v>
      </c>
      <c r="E9402" s="1">
        <v>5</v>
      </c>
      <c r="F9402" s="47">
        <f t="shared" si="807"/>
        <v>1203</v>
      </c>
      <c r="G9402" s="203">
        <f>SUM(C9402,C9378,C9354,C9330,C9306,C9282,C9258,C9234,C9210,C9186,C9162,C9138,C9114,C9090)/POBLA!$B$17*100000</f>
        <v>100.74438516789913</v>
      </c>
      <c r="H9402" s="254">
        <f t="shared" si="808"/>
        <v>0.9611520428667113</v>
      </c>
    </row>
    <row r="9403" spans="1:8" x14ac:dyDescent="0.25">
      <c r="A9403" s="84" t="s">
        <v>35</v>
      </c>
      <c r="B9403" s="356">
        <v>44284</v>
      </c>
      <c r="C9403" s="318">
        <v>158</v>
      </c>
      <c r="D9403" s="47">
        <f t="shared" si="806"/>
        <v>16984</v>
      </c>
      <c r="F9403" s="47">
        <f t="shared" si="807"/>
        <v>223</v>
      </c>
      <c r="G9403" s="203">
        <f>SUM(C9403,C9379,C9355,C9331,C9307,C9283,C9259,C9235,C9211,C9187,C9163,C9139,C9115,C9091)/POBLA!$B$18*100000</f>
        <v>133.25362863327348</v>
      </c>
      <c r="H9403" s="254">
        <f t="shared" si="808"/>
        <v>1.599078341013825</v>
      </c>
    </row>
    <row r="9404" spans="1:8" x14ac:dyDescent="0.25">
      <c r="A9404" s="84" t="s">
        <v>36</v>
      </c>
      <c r="B9404" s="356">
        <v>44284</v>
      </c>
      <c r="C9404" s="318">
        <v>191</v>
      </c>
      <c r="D9404" s="47">
        <f t="shared" si="806"/>
        <v>22540</v>
      </c>
      <c r="E9404" s="1">
        <v>6</v>
      </c>
      <c r="F9404" s="47">
        <f t="shared" si="807"/>
        <v>408</v>
      </c>
      <c r="G9404" s="203">
        <f>SUM(C9404,C9380,C9356,C9332,C9308,C9284,C9260,C9236,C9212,C9188,C9164,C9140,C9116,C9092)/POBLA!$B$19*100000</f>
        <v>200.85456634299112</v>
      </c>
      <c r="H9404" s="254">
        <f t="shared" si="808"/>
        <v>1.3741588156123823</v>
      </c>
    </row>
    <row r="9405" spans="1:8" x14ac:dyDescent="0.25">
      <c r="A9405" s="84" t="s">
        <v>37</v>
      </c>
      <c r="B9405" s="356">
        <v>44284</v>
      </c>
      <c r="C9405" s="318">
        <v>174</v>
      </c>
      <c r="D9405" s="47">
        <f t="shared" si="806"/>
        <v>39128</v>
      </c>
      <c r="E9405" s="1">
        <v>2</v>
      </c>
      <c r="F9405" s="47">
        <f t="shared" si="807"/>
        <v>639</v>
      </c>
      <c r="G9405" s="203">
        <f>SUM(C9405,C9381,C9357,C9333,C9309,C9285,C9261,C9237,C9213,C9189,C9165,C9141,C9117,C9093)/POBLA!$B$20*100000</f>
        <v>453.65301423579018</v>
      </c>
      <c r="H9405" s="254">
        <f t="shared" si="808"/>
        <v>1.1247457627118644</v>
      </c>
    </row>
    <row r="9406" spans="1:8" x14ac:dyDescent="0.25">
      <c r="A9406" s="84" t="s">
        <v>22</v>
      </c>
      <c r="B9406" s="356">
        <v>44284</v>
      </c>
      <c r="C9406" s="318">
        <v>869</v>
      </c>
      <c r="D9406" s="47">
        <f t="shared" si="806"/>
        <v>230026</v>
      </c>
      <c r="E9406" s="1">
        <v>13</v>
      </c>
      <c r="F9406" s="47">
        <f t="shared" si="807"/>
        <v>4258</v>
      </c>
      <c r="G9406" s="203">
        <f>SUM(C9406,C9382,C9358,C9334,C9310,C9286,C9262,C9238,C9214,C9190,C9166,C9142,C9118,C9094)/POBLA!$B$21*100000</f>
        <v>208.65746074134901</v>
      </c>
      <c r="H9406" s="254">
        <f t="shared" si="808"/>
        <v>1.2574982958418541</v>
      </c>
    </row>
    <row r="9407" spans="1:8" x14ac:dyDescent="0.25">
      <c r="A9407" s="84" t="s">
        <v>38</v>
      </c>
      <c r="B9407" s="356">
        <v>44284</v>
      </c>
      <c r="C9407" s="318">
        <v>93</v>
      </c>
      <c r="D9407" s="47">
        <f t="shared" si="806"/>
        <v>24931</v>
      </c>
      <c r="E9407" s="1">
        <v>3</v>
      </c>
      <c r="F9407" s="47">
        <f t="shared" si="807"/>
        <v>292</v>
      </c>
      <c r="G9407" s="203">
        <f>SUM(C9407,C9383,C9359,C9335,C9311,C9287,C9263,C9239,C9215,C9191,C9167,C9143,C9119,C9095)/POBLA!$B$22*100000</f>
        <v>143.10348528538412</v>
      </c>
      <c r="H9407" s="254">
        <f t="shared" si="808"/>
        <v>1.6686531585220501</v>
      </c>
    </row>
    <row r="9408" spans="1:8" x14ac:dyDescent="0.25">
      <c r="A9408" s="84" t="s">
        <v>39</v>
      </c>
      <c r="B9408" s="356">
        <v>44284</v>
      </c>
      <c r="C9408" s="318">
        <v>54</v>
      </c>
      <c r="D9408" s="47">
        <f t="shared" si="806"/>
        <v>23985</v>
      </c>
      <c r="E9408" s="1">
        <v>2</v>
      </c>
      <c r="F9408" s="47">
        <f t="shared" si="807"/>
        <v>367</v>
      </c>
      <c r="G9408" s="203">
        <f>SUM(C9408,C9384,C9360,C9336,C9312,C9288,C9264,C9240,C9216,C9192,C9168,C9144,C9120,C9096)/POBLA!$B$23*100000</f>
        <v>331.95724707346039</v>
      </c>
      <c r="H9408" s="254">
        <f t="shared" si="808"/>
        <v>1.3747072599531616</v>
      </c>
    </row>
    <row r="9409" spans="1:8" ht="15.75" thickBot="1" x14ac:dyDescent="0.3">
      <c r="A9409" s="85" t="s">
        <v>40</v>
      </c>
      <c r="B9409" s="358">
        <v>44284</v>
      </c>
      <c r="C9409" s="375">
        <v>361</v>
      </c>
      <c r="D9409" s="214">
        <f t="shared" si="806"/>
        <v>86789</v>
      </c>
      <c r="E9409" s="54"/>
      <c r="F9409" s="214">
        <f t="shared" si="807"/>
        <v>1501</v>
      </c>
      <c r="G9409" s="215">
        <f>SUM(C9409,C9385,C9361,C9337,C9313,C9289,C9265,C9241,C9217,C9193,C9169,C9145,C9121,C9097)/POBLA!$B$24*100000</f>
        <v>258.22349786623363</v>
      </c>
      <c r="H9409" s="255">
        <f t="shared" si="808"/>
        <v>1.7595496582227583</v>
      </c>
    </row>
    <row r="9410" spans="1:8" ht="15.75" thickBot="1" x14ac:dyDescent="0.3">
      <c r="A9410" s="36" t="s">
        <v>16</v>
      </c>
      <c r="B9410" s="358">
        <v>44285</v>
      </c>
      <c r="C9410" s="17">
        <v>4940</v>
      </c>
      <c r="D9410" s="211">
        <f t="shared" si="806"/>
        <v>979504</v>
      </c>
      <c r="E9410" s="293">
        <v>78</v>
      </c>
      <c r="F9410" s="211">
        <f t="shared" si="807"/>
        <v>28138</v>
      </c>
      <c r="G9410" s="212">
        <f>SUM(C9410,C9386,C9362,C9338,C9314,C9290,C9266,C9242,C9218,C9194,C9170,C9146,C9122,C9098)/POBLA!$B$1*100000</f>
        <v>318.29172344033947</v>
      </c>
      <c r="H9410" s="253">
        <f t="shared" si="808"/>
        <v>1.4339797097726981</v>
      </c>
    </row>
    <row r="9411" spans="1:8" ht="15.75" thickBot="1" x14ac:dyDescent="0.3">
      <c r="A9411" s="84" t="s">
        <v>43</v>
      </c>
      <c r="B9411" s="358">
        <v>44285</v>
      </c>
      <c r="C9411" s="17">
        <v>1012</v>
      </c>
      <c r="D9411" s="47">
        <f t="shared" si="806"/>
        <v>259626</v>
      </c>
      <c r="E9411" s="1">
        <v>5</v>
      </c>
      <c r="F9411" s="47">
        <f t="shared" si="807"/>
        <v>6858</v>
      </c>
      <c r="G9411" s="203">
        <f>SUM(C9411,C9387,C9363,C9339,C9315,C9291,C9267,C9243,C9219,C9195,C9171,C9147,C9123,C9099)/POBLA!$B$2*100000</f>
        <v>507.76324713572365</v>
      </c>
      <c r="H9411" s="254">
        <f t="shared" si="808"/>
        <v>1.4154808302365631</v>
      </c>
    </row>
    <row r="9412" spans="1:8" ht="15.75" thickBot="1" x14ac:dyDescent="0.3">
      <c r="A9412" s="84" t="s">
        <v>28</v>
      </c>
      <c r="B9412" s="358">
        <v>44285</v>
      </c>
      <c r="C9412" s="17">
        <v>71</v>
      </c>
      <c r="D9412" s="47">
        <f t="shared" si="806"/>
        <v>10381</v>
      </c>
      <c r="F9412" s="47">
        <f t="shared" si="807"/>
        <v>18</v>
      </c>
      <c r="G9412" s="203">
        <f>SUM(C9412,C9388,C9364,C9340,C9316,C9292,C9268,C9244,C9220,C9196,C9172,C9148,C9124,C9100)/POBLA!$B$3*100000</f>
        <v>273.20562875808184</v>
      </c>
      <c r="H9412" s="254">
        <f t="shared" si="808"/>
        <v>1.0179372197309418</v>
      </c>
    </row>
    <row r="9413" spans="1:8" ht="15.75" thickBot="1" x14ac:dyDescent="0.3">
      <c r="A9413" s="84" t="s">
        <v>15</v>
      </c>
      <c r="B9413" s="358">
        <v>44285</v>
      </c>
      <c r="C9413" s="17">
        <v>96</v>
      </c>
      <c r="D9413" s="47">
        <f t="shared" si="806"/>
        <v>38317</v>
      </c>
      <c r="F9413" s="47">
        <f t="shared" si="807"/>
        <v>923</v>
      </c>
      <c r="G9413" s="203">
        <f>SUM(C9413,C9389,C9365,C9341,C9317,C9293,C9269,C9245,C9221,C9197,C9173,C9149,C9125,C9101)/POBLA!$B$4*100000</f>
        <v>176.91386179465871</v>
      </c>
      <c r="H9413" s="254">
        <f t="shared" si="808"/>
        <v>1.1481681034482758</v>
      </c>
    </row>
    <row r="9414" spans="1:8" ht="15.75" thickBot="1" x14ac:dyDescent="0.3">
      <c r="A9414" s="84" t="s">
        <v>29</v>
      </c>
      <c r="B9414" s="358">
        <v>44285</v>
      </c>
      <c r="C9414" s="17">
        <v>132</v>
      </c>
      <c r="D9414" s="47">
        <f t="shared" si="806"/>
        <v>49898</v>
      </c>
      <c r="F9414" s="47">
        <f t="shared" si="807"/>
        <v>864</v>
      </c>
      <c r="G9414" s="203">
        <f>SUM(C9414,C9390,C9366,C9342,C9318,C9294,C9270,C9246,C9222,C9198,C9174,C9150,C9126,C9102)/POBLA!$B$5*100000</f>
        <v>249.92164705958376</v>
      </c>
      <c r="H9414" s="254">
        <f t="shared" si="808"/>
        <v>1.2764026402640265</v>
      </c>
    </row>
    <row r="9415" spans="1:8" ht="15.75" thickBot="1" x14ac:dyDescent="0.3">
      <c r="A9415" s="84" t="s">
        <v>30</v>
      </c>
      <c r="B9415" s="358">
        <v>44285</v>
      </c>
      <c r="C9415" s="17">
        <v>886</v>
      </c>
      <c r="D9415" s="47">
        <f t="shared" si="806"/>
        <v>29765</v>
      </c>
      <c r="E9415" s="1">
        <v>3</v>
      </c>
      <c r="F9415" s="47">
        <f t="shared" si="807"/>
        <v>328</v>
      </c>
      <c r="G9415" s="203">
        <f>SUM(C9415,C9391,C9367,C9343,C9319,C9295,C9271,C9247,C9223,C9199,C9175,C9151,C9127,C9103)/POBLA!$B$6*100000</f>
        <v>407.56566063021</v>
      </c>
      <c r="H9415" s="254">
        <f t="shared" si="808"/>
        <v>1.4561683136754862</v>
      </c>
    </row>
    <row r="9416" spans="1:8" ht="15.75" thickBot="1" x14ac:dyDescent="0.3">
      <c r="A9416" s="84" t="s">
        <v>20</v>
      </c>
      <c r="B9416" s="358">
        <v>44285</v>
      </c>
      <c r="C9416" s="17">
        <v>826</v>
      </c>
      <c r="D9416" s="47">
        <f t="shared" si="806"/>
        <v>179373</v>
      </c>
      <c r="E9416" s="1">
        <v>8</v>
      </c>
      <c r="F9416" s="47">
        <f t="shared" si="807"/>
        <v>3024</v>
      </c>
      <c r="G9416" s="203">
        <f>SUM(C9416,C9392,C9368,C9344,C9320,C9296,C9272,C9248,C9224,C9200,C9176,C9152,C9128,C9104)/POBLA!$B$7*100000</f>
        <v>273.95657434615538</v>
      </c>
      <c r="H9416" s="254">
        <f t="shared" si="808"/>
        <v>1.2842183994016454</v>
      </c>
    </row>
    <row r="9417" spans="1:8" ht="15.75" thickBot="1" x14ac:dyDescent="0.3">
      <c r="A9417" s="84" t="s">
        <v>31</v>
      </c>
      <c r="B9417" s="358">
        <v>44285</v>
      </c>
      <c r="C9417" s="17">
        <v>205</v>
      </c>
      <c r="D9417" s="47">
        <f t="shared" si="806"/>
        <v>49640</v>
      </c>
      <c r="E9417" s="1">
        <v>2</v>
      </c>
      <c r="F9417" s="47">
        <f t="shared" si="807"/>
        <v>946</v>
      </c>
      <c r="G9417" s="203">
        <f>SUM(C9417,C9393,C9369,C9345,C9321,C9297,C9273,C9249,C9225,C9201,C9177,C9153,C9129,C9105)/POBLA!$B$8*100000</f>
        <v>176.55619458267583</v>
      </c>
      <c r="H9417" s="254">
        <f t="shared" si="808"/>
        <v>1.3335149863760218</v>
      </c>
    </row>
    <row r="9418" spans="1:8" ht="15.75" thickBot="1" x14ac:dyDescent="0.3">
      <c r="A9418" s="84" t="s">
        <v>41</v>
      </c>
      <c r="B9418" s="358">
        <v>44285</v>
      </c>
      <c r="C9418" s="17">
        <v>28</v>
      </c>
      <c r="D9418" s="47">
        <f t="shared" si="806"/>
        <v>2082</v>
      </c>
      <c r="F9418" s="47">
        <f t="shared" si="807"/>
        <v>30</v>
      </c>
      <c r="G9418" s="203">
        <f>SUM(C9418,C9394,C9370,C9346,C9322,C9298,C9274,C9250,C9226,C9202,C9178,C9154,C9130,C9106)/POBLA!$B$9*100000</f>
        <v>75.347864235045677</v>
      </c>
      <c r="H9418" s="254">
        <f t="shared" si="808"/>
        <v>1.2357723577235773</v>
      </c>
    </row>
    <row r="9419" spans="1:8" ht="15.75" thickBot="1" x14ac:dyDescent="0.3">
      <c r="A9419" s="84" t="s">
        <v>32</v>
      </c>
      <c r="B9419" s="358">
        <v>44285</v>
      </c>
      <c r="C9419" s="17">
        <v>49</v>
      </c>
      <c r="D9419" s="47">
        <f t="shared" si="806"/>
        <v>22373</v>
      </c>
      <c r="F9419" s="47">
        <f t="shared" si="807"/>
        <v>964</v>
      </c>
      <c r="G9419" s="203">
        <f>SUM(C9419,C9395,C9371,C9347,C9323,C9299,C9275,C9251,C9227,C9203,C9179,C9155,C9131,C9107)/POBLA!$B$10*100000</f>
        <v>79.130241892068938</v>
      </c>
      <c r="H9419" s="254">
        <f t="shared" si="808"/>
        <v>0.69714285714285718</v>
      </c>
    </row>
    <row r="9420" spans="1:8" ht="15.75" thickBot="1" x14ac:dyDescent="0.3">
      <c r="A9420" s="84" t="s">
        <v>33</v>
      </c>
      <c r="B9420" s="358">
        <v>44285</v>
      </c>
      <c r="C9420" s="17">
        <v>43</v>
      </c>
      <c r="D9420" s="47">
        <f t="shared" si="806"/>
        <v>21201</v>
      </c>
      <c r="E9420" s="1">
        <v>2</v>
      </c>
      <c r="F9420" s="47">
        <f t="shared" si="807"/>
        <v>321</v>
      </c>
      <c r="G9420" s="203">
        <f>SUM(C9420,C9396,C9372,C9348,C9324,C9300,C9276,C9252,C9228,C9204,C9180,C9156,C9132,C9108)/POBLA!$B$11*100000</f>
        <v>316.10253663218276</v>
      </c>
      <c r="H9420" s="254">
        <f t="shared" si="808"/>
        <v>0.92945036915504509</v>
      </c>
    </row>
    <row r="9421" spans="1:8" ht="15.75" thickBot="1" x14ac:dyDescent="0.3">
      <c r="A9421" s="84" t="s">
        <v>21</v>
      </c>
      <c r="B9421" s="358">
        <v>44285</v>
      </c>
      <c r="C9421" s="17">
        <v>18</v>
      </c>
      <c r="D9421" s="47">
        <f t="shared" si="806"/>
        <v>11026</v>
      </c>
      <c r="F9421" s="47">
        <f t="shared" si="807"/>
        <v>449</v>
      </c>
      <c r="G9421" s="203">
        <f>SUM(C9421,C9397,C9373,C9349,C9325,C9301,C9277,C9253,C9229,C9205,C9181,C9157,C9133,C9109)/POBLA!$B$12*100000</f>
        <v>116.89041015828487</v>
      </c>
      <c r="H9421" s="254">
        <f t="shared" si="808"/>
        <v>1.5231788079470199</v>
      </c>
    </row>
    <row r="9422" spans="1:8" ht="15.75" thickBot="1" x14ac:dyDescent="0.3">
      <c r="A9422" s="84" t="s">
        <v>17</v>
      </c>
      <c r="B9422" s="358">
        <v>44285</v>
      </c>
      <c r="C9422" s="17">
        <v>271</v>
      </c>
      <c r="D9422" s="47">
        <f t="shared" si="806"/>
        <v>72486</v>
      </c>
      <c r="E9422" s="1">
        <v>1</v>
      </c>
      <c r="F9422" s="47">
        <f t="shared" si="807"/>
        <v>1507</v>
      </c>
      <c r="G9422" s="203">
        <f>SUM(C9422,C9398,C9374,C9350,C9326,C9302,C9278,C9254,C9230,C9206,C9182,C9158,C9134,C9110)/POBLA!$B$13*100000</f>
        <v>142.08641949256861</v>
      </c>
      <c r="H9422" s="254">
        <f t="shared" si="808"/>
        <v>1.2984389348025711</v>
      </c>
    </row>
    <row r="9423" spans="1:8" ht="15.75" thickBot="1" x14ac:dyDescent="0.3">
      <c r="A9423" s="84" t="s">
        <v>23</v>
      </c>
      <c r="B9423" s="358">
        <v>44285</v>
      </c>
      <c r="C9423" s="17">
        <v>114</v>
      </c>
      <c r="D9423" s="47">
        <f t="shared" si="806"/>
        <v>11938</v>
      </c>
      <c r="E9423" s="1">
        <v>3</v>
      </c>
      <c r="F9423" s="47">
        <f t="shared" si="807"/>
        <v>203</v>
      </c>
      <c r="G9423" s="203">
        <f>SUM(C9423,C9399,C9375,C9351,C9327,C9303,C9279,C9255,C9231,C9207,C9183,C9159,C9135,C9111)/POBLA!$B$14*100000</f>
        <v>138.66711488360366</v>
      </c>
      <c r="H9423" s="254">
        <f t="shared" si="808"/>
        <v>1.056797583081571</v>
      </c>
    </row>
    <row r="9424" spans="1:8" ht="15.75" thickBot="1" x14ac:dyDescent="0.3">
      <c r="A9424" s="84" t="s">
        <v>19</v>
      </c>
      <c r="B9424" s="358">
        <v>44285</v>
      </c>
      <c r="C9424" s="17">
        <v>82</v>
      </c>
      <c r="D9424" s="47">
        <f t="shared" si="806"/>
        <v>65074</v>
      </c>
      <c r="E9424" s="1">
        <v>3</v>
      </c>
      <c r="F9424" s="47">
        <f t="shared" si="807"/>
        <v>1010</v>
      </c>
      <c r="G9424" s="203">
        <f>SUM(C9424,C9400,C9376,C9352,C9328,C9304,C9280,C9256,C9232,C9208,C9184,C9160,C9136,C9112)/POBLA!$B$15*100000</f>
        <v>242.75024583733023</v>
      </c>
      <c r="H9424" s="254">
        <f t="shared" si="808"/>
        <v>0.82119205298013243</v>
      </c>
    </row>
    <row r="9425" spans="1:8" ht="15.75" thickBot="1" x14ac:dyDescent="0.3">
      <c r="A9425" s="84" t="s">
        <v>18</v>
      </c>
      <c r="B9425" s="358">
        <v>44285</v>
      </c>
      <c r="C9425" s="17">
        <v>83</v>
      </c>
      <c r="D9425" s="47">
        <f t="shared" si="806"/>
        <v>55275</v>
      </c>
      <c r="E9425" s="1">
        <v>5</v>
      </c>
      <c r="F9425" s="47">
        <f t="shared" si="807"/>
        <v>1280</v>
      </c>
      <c r="G9425" s="203">
        <f>SUM(C9425,C9401,C9377,C9353,C9329,C9305,C9281,C9257,C9233,C9209,C9185,C9161,C9137,C9113)/POBLA!$B$16*100000</f>
        <v>171.07850349781302</v>
      </c>
      <c r="H9425" s="254">
        <f t="shared" si="808"/>
        <v>0.88881167477414869</v>
      </c>
    </row>
    <row r="9426" spans="1:8" ht="15.75" thickBot="1" x14ac:dyDescent="0.3">
      <c r="A9426" s="84" t="s">
        <v>34</v>
      </c>
      <c r="B9426" s="358">
        <v>44285</v>
      </c>
      <c r="C9426" s="17">
        <v>84</v>
      </c>
      <c r="D9426" s="47">
        <f t="shared" si="806"/>
        <v>29209</v>
      </c>
      <c r="E9426" s="1">
        <v>1</v>
      </c>
      <c r="F9426" s="47">
        <f t="shared" si="807"/>
        <v>1204</v>
      </c>
      <c r="G9426" s="203">
        <f>SUM(C9426,C9402,C9378,C9354,C9330,C9306,C9282,C9258,C9234,C9210,C9186,C9162,C9138,C9114)/POBLA!$B$17*100000</f>
        <v>97.444743284351205</v>
      </c>
      <c r="H9426" s="254">
        <f t="shared" si="808"/>
        <v>0.91255752794214329</v>
      </c>
    </row>
    <row r="9427" spans="1:8" ht="15.75" thickBot="1" x14ac:dyDescent="0.3">
      <c r="A9427" s="84" t="s">
        <v>35</v>
      </c>
      <c r="B9427" s="358">
        <v>44285</v>
      </c>
      <c r="C9427" s="17">
        <v>139</v>
      </c>
      <c r="D9427" s="47">
        <f t="shared" si="806"/>
        <v>17123</v>
      </c>
      <c r="E9427" s="1">
        <v>1</v>
      </c>
      <c r="F9427" s="47">
        <f t="shared" si="807"/>
        <v>224</v>
      </c>
      <c r="G9427" s="203">
        <f>SUM(C9427,C9403,C9379,C9355,C9331,C9307,C9283,C9259,C9235,C9211,C9187,C9163,C9139,C9115)/POBLA!$B$18*100000</f>
        <v>141.57398008491879</v>
      </c>
      <c r="H9427" s="254">
        <f t="shared" si="808"/>
        <v>1.6409495548961424</v>
      </c>
    </row>
    <row r="9428" spans="1:8" ht="15.75" thickBot="1" x14ac:dyDescent="0.3">
      <c r="A9428" s="84" t="s">
        <v>36</v>
      </c>
      <c r="B9428" s="358">
        <v>44285</v>
      </c>
      <c r="C9428" s="17">
        <v>60</v>
      </c>
      <c r="D9428" s="47">
        <f t="shared" si="806"/>
        <v>22600</v>
      </c>
      <c r="E9428" s="1">
        <v>3</v>
      </c>
      <c r="F9428" s="47">
        <f t="shared" si="807"/>
        <v>411</v>
      </c>
      <c r="G9428" s="203">
        <f>SUM(C9428,C9404,C9380,C9356,C9332,C9308,C9284,C9260,C9236,C9212,C9188,C9164,C9140,C9116)/POBLA!$B$19*100000</f>
        <v>212.46124549503472</v>
      </c>
      <c r="H9428" s="254">
        <f t="shared" si="808"/>
        <v>1.4634146341463414</v>
      </c>
    </row>
    <row r="9429" spans="1:8" ht="15.75" thickBot="1" x14ac:dyDescent="0.3">
      <c r="A9429" s="84" t="s">
        <v>37</v>
      </c>
      <c r="B9429" s="358">
        <v>44285</v>
      </c>
      <c r="C9429" s="17">
        <v>82</v>
      </c>
      <c r="D9429" s="47">
        <f t="shared" si="806"/>
        <v>39210</v>
      </c>
      <c r="E9429" s="1">
        <v>1</v>
      </c>
      <c r="F9429" s="47">
        <f t="shared" si="807"/>
        <v>640</v>
      </c>
      <c r="G9429" s="203">
        <f>SUM(C9429,C9405,C9381,C9357,C9333,C9309,C9285,C9261,C9237,C9213,C9189,C9165,C9141,C9117)/POBLA!$B$20*100000</f>
        <v>447.36367166350374</v>
      </c>
      <c r="H9429" s="254">
        <f t="shared" si="808"/>
        <v>1.10840108401084</v>
      </c>
    </row>
    <row r="9430" spans="1:8" ht="15.75" thickBot="1" x14ac:dyDescent="0.3">
      <c r="A9430" s="84" t="s">
        <v>22</v>
      </c>
      <c r="B9430" s="358">
        <v>44285</v>
      </c>
      <c r="C9430" s="17">
        <v>548</v>
      </c>
      <c r="D9430" s="47">
        <f t="shared" si="806"/>
        <v>230574</v>
      </c>
      <c r="E9430" s="1">
        <v>6</v>
      </c>
      <c r="F9430" s="47">
        <f t="shared" si="807"/>
        <v>4264</v>
      </c>
      <c r="G9430" s="203">
        <f>SUM(C9430,C9406,C9382,C9358,C9334,C9310,C9286,C9262,C9238,C9214,C9190,C9166,C9142,C9118)/POBLA!$B$21*100000</f>
        <v>207.66775873214084</v>
      </c>
      <c r="H9430" s="254">
        <f t="shared" si="808"/>
        <v>1.2154915590863953</v>
      </c>
    </row>
    <row r="9431" spans="1:8" ht="15.75" thickBot="1" x14ac:dyDescent="0.3">
      <c r="A9431" s="84" t="s">
        <v>38</v>
      </c>
      <c r="B9431" s="358">
        <v>44285</v>
      </c>
      <c r="C9431" s="17">
        <v>51</v>
      </c>
      <c r="D9431" s="47">
        <f t="shared" si="806"/>
        <v>24982</v>
      </c>
      <c r="E9431" s="1">
        <v>2</v>
      </c>
      <c r="F9431" s="47">
        <f t="shared" si="807"/>
        <v>294</v>
      </c>
      <c r="G9431" s="203">
        <f>SUM(C9431,C9407,C9383,C9359,C9335,C9311,C9287,C9263,C9239,C9215,C9191,C9167,C9143,C9119)/POBLA!$B$22*100000</f>
        <v>140.54806590528798</v>
      </c>
      <c r="H9431" s="254">
        <f t="shared" si="808"/>
        <v>1.5714285714285714</v>
      </c>
    </row>
    <row r="9432" spans="1:8" ht="15.75" thickBot="1" x14ac:dyDescent="0.3">
      <c r="A9432" s="84" t="s">
        <v>39</v>
      </c>
      <c r="B9432" s="358">
        <v>44285</v>
      </c>
      <c r="C9432" s="17">
        <v>19</v>
      </c>
      <c r="D9432" s="47">
        <f t="shared" si="806"/>
        <v>24004</v>
      </c>
      <c r="F9432" s="47">
        <f t="shared" si="807"/>
        <v>367</v>
      </c>
      <c r="G9432" s="203">
        <f>SUM(C9432,C9408,C9384,C9360,C9336,C9312,C9288,C9264,C9240,C9216,C9192,C9168,C9144,C9120)/POBLA!$B$23*100000</f>
        <v>332.52276197477806</v>
      </c>
      <c r="H9432" s="254">
        <f t="shared" si="808"/>
        <v>1.5076923076923077</v>
      </c>
    </row>
    <row r="9433" spans="1:8" ht="15.75" thickBot="1" x14ac:dyDescent="0.3">
      <c r="A9433" s="86" t="s">
        <v>40</v>
      </c>
      <c r="B9433" s="357">
        <v>44285</v>
      </c>
      <c r="C9433" s="17">
        <v>315</v>
      </c>
      <c r="D9433" s="81">
        <f t="shared" si="806"/>
        <v>87104</v>
      </c>
      <c r="E9433" s="300">
        <v>1</v>
      </c>
      <c r="F9433" s="81">
        <f t="shared" si="807"/>
        <v>1502</v>
      </c>
      <c r="G9433" s="323">
        <f>SUM(C9433,C9409,C9385,C9361,C9337,C9313,C9289,C9265,C9241,C9217,C9193,C9169,C9145,C9121)/POBLA!$B$24*100000</f>
        <v>260.87890403716153</v>
      </c>
      <c r="H9433" s="324">
        <f t="shared" si="808"/>
        <v>1.7109133126934986</v>
      </c>
    </row>
    <row r="9434" spans="1:8" x14ac:dyDescent="0.25">
      <c r="A9434" s="36" t="s">
        <v>16</v>
      </c>
      <c r="B9434" s="354">
        <v>44286</v>
      </c>
      <c r="C9434" s="53">
        <v>8063</v>
      </c>
      <c r="D9434" s="211">
        <f t="shared" si="806"/>
        <v>987567</v>
      </c>
      <c r="E9434" s="53">
        <v>69</v>
      </c>
      <c r="F9434" s="211">
        <f t="shared" si="807"/>
        <v>28207</v>
      </c>
      <c r="G9434" s="212">
        <f>SUM(C9434,C9410,C9386,C9362,C9338,C9314,C9290,C9266,C9242,C9218,C9194,C9170,C9146,C9122)/POBLA!$B$1*100000</f>
        <v>343.75756970427409</v>
      </c>
      <c r="H9434" s="253">
        <f t="shared" si="808"/>
        <v>1.5433185738783242</v>
      </c>
    </row>
    <row r="9435" spans="1:8" x14ac:dyDescent="0.25">
      <c r="A9435" s="84" t="s">
        <v>43</v>
      </c>
      <c r="B9435" s="2">
        <v>44286</v>
      </c>
      <c r="C9435" s="1">
        <v>1707</v>
      </c>
      <c r="D9435" s="47">
        <f t="shared" si="806"/>
        <v>261333</v>
      </c>
      <c r="E9435" s="1">
        <v>16</v>
      </c>
      <c r="F9435" s="47">
        <f t="shared" si="807"/>
        <v>6874</v>
      </c>
      <c r="G9435" s="203">
        <f>SUM(C9435,C9411,C9387,C9363,C9339,C9315,C9291,C9267,C9243,C9219,C9195,C9171,C9147,C9123)/POBLA!$B$2*100000</f>
        <v>533.05874603254085</v>
      </c>
      <c r="H9435" s="254">
        <f t="shared" si="808"/>
        <v>1.4766279383950283</v>
      </c>
    </row>
    <row r="9436" spans="1:8" x14ac:dyDescent="0.25">
      <c r="A9436" s="84" t="s">
        <v>28</v>
      </c>
      <c r="B9436" s="2">
        <v>44286</v>
      </c>
      <c r="C9436" s="1">
        <v>79</v>
      </c>
      <c r="D9436" s="47">
        <f t="shared" si="806"/>
        <v>10460</v>
      </c>
      <c r="F9436" s="47">
        <f t="shared" si="807"/>
        <v>18</v>
      </c>
      <c r="G9436" s="203">
        <f>SUM(C9436,C9412,C9388,C9364,C9340,C9316,C9292,C9268,C9244,C9220,C9196,C9172,C9148,C9124)/POBLA!$B$3*100000</f>
        <v>265.26220519066624</v>
      </c>
      <c r="H9436" s="254">
        <f t="shared" si="808"/>
        <v>0.93867120954003402</v>
      </c>
    </row>
    <row r="9437" spans="1:8" x14ac:dyDescent="0.25">
      <c r="A9437" s="84" t="s">
        <v>15</v>
      </c>
      <c r="B9437" s="2">
        <v>44286</v>
      </c>
      <c r="C9437" s="1">
        <v>175</v>
      </c>
      <c r="D9437" s="47">
        <f t="shared" si="806"/>
        <v>38492</v>
      </c>
      <c r="E9437" s="1">
        <v>1</v>
      </c>
      <c r="F9437" s="47">
        <f t="shared" si="807"/>
        <v>924</v>
      </c>
      <c r="G9437" s="203">
        <f>SUM(C9437,C9413,C9389,C9365,C9341,C9317,C9293,C9269,C9245,C9221,C9197,C9173,C9149,C9125)/POBLA!$B$4*100000</f>
        <v>179.9025520924568</v>
      </c>
      <c r="H9437" s="254">
        <f t="shared" si="808"/>
        <v>1.1900054914881932</v>
      </c>
    </row>
    <row r="9438" spans="1:8" x14ac:dyDescent="0.25">
      <c r="A9438" s="84" t="s">
        <v>29</v>
      </c>
      <c r="B9438" s="2">
        <v>44286</v>
      </c>
      <c r="C9438" s="1">
        <v>215</v>
      </c>
      <c r="D9438" s="47">
        <f t="shared" si="806"/>
        <v>50113</v>
      </c>
      <c r="F9438" s="47">
        <f t="shared" si="807"/>
        <v>864</v>
      </c>
      <c r="G9438" s="203">
        <f>SUM(C9438,C9414,C9390,C9366,C9342,C9318,C9294,C9270,C9246,C9222,C9198,C9174,C9150,C9126)/POBLA!$B$5*100000</f>
        <v>264.29981550709704</v>
      </c>
      <c r="H9438" s="254">
        <f t="shared" si="808"/>
        <v>1.3554266777133388</v>
      </c>
    </row>
    <row r="9439" spans="1:8" x14ac:dyDescent="0.25">
      <c r="A9439" s="84" t="s">
        <v>30</v>
      </c>
      <c r="B9439" s="2">
        <v>44286</v>
      </c>
      <c r="C9439" s="1">
        <v>291</v>
      </c>
      <c r="D9439" s="47">
        <f t="shared" si="806"/>
        <v>30056</v>
      </c>
      <c r="F9439" s="47">
        <f t="shared" si="807"/>
        <v>328</v>
      </c>
      <c r="G9439" s="203">
        <f>SUM(C9439,C9415,C9391,C9367,C9343,C9319,C9295,C9271,C9247,C9223,C9199,C9175,C9151,C9127)/POBLA!$B$6*100000</f>
        <v>409.97465205687718</v>
      </c>
      <c r="H9439" s="254">
        <f t="shared" si="808"/>
        <v>1.4596569250317661</v>
      </c>
    </row>
    <row r="9440" spans="1:8" x14ac:dyDescent="0.25">
      <c r="A9440" s="84" t="s">
        <v>20</v>
      </c>
      <c r="B9440" s="2">
        <v>44286</v>
      </c>
      <c r="C9440" s="1">
        <v>1260</v>
      </c>
      <c r="D9440" s="47">
        <f t="shared" si="806"/>
        <v>180633</v>
      </c>
      <c r="E9440" s="1">
        <v>6</v>
      </c>
      <c r="F9440" s="47">
        <f t="shared" si="807"/>
        <v>3030</v>
      </c>
      <c r="G9440" s="203">
        <f>SUM(C9440,C9416,C9392,C9368,C9344,C9320,C9296,C9272,C9248,C9224,C9200,C9176,C9152,C9128)/POBLA!$B$7*100000</f>
        <v>286.69441157308302</v>
      </c>
      <c r="H9440" s="254">
        <f t="shared" si="808"/>
        <v>1.3303307008884502</v>
      </c>
    </row>
    <row r="9441" spans="1:8" x14ac:dyDescent="0.25">
      <c r="A9441" s="84" t="s">
        <v>31</v>
      </c>
      <c r="B9441" s="2">
        <v>44286</v>
      </c>
      <c r="C9441" s="1">
        <v>299</v>
      </c>
      <c r="D9441" s="47">
        <f t="shared" si="806"/>
        <v>49939</v>
      </c>
      <c r="F9441" s="47">
        <f t="shared" si="807"/>
        <v>946</v>
      </c>
      <c r="G9441" s="203">
        <f>SUM(C9441,C9417,C9393,C9369,C9345,C9321,C9297,C9273,C9249,C9225,C9201,C9177,C9153,C9129)/POBLA!$B$8*100000</f>
        <v>183.48279641346329</v>
      </c>
      <c r="H9441" s="254">
        <f t="shared" si="808"/>
        <v>1.3548215237080448</v>
      </c>
    </row>
    <row r="9442" spans="1:8" x14ac:dyDescent="0.25">
      <c r="A9442" s="84" t="s">
        <v>41</v>
      </c>
      <c r="B9442" s="2">
        <v>44286</v>
      </c>
      <c r="C9442" s="1">
        <v>175</v>
      </c>
      <c r="D9442" s="47">
        <f t="shared" si="806"/>
        <v>2257</v>
      </c>
      <c r="F9442" s="47">
        <f t="shared" si="807"/>
        <v>30</v>
      </c>
      <c r="G9442" s="203">
        <f>SUM(C9442,C9418,C9394,C9370,C9346,C9322,C9298,C9274,C9250,C9226,C9202,C9178,C9154,C9130)/POBLA!$B$9*100000</f>
        <v>100.7942920688111</v>
      </c>
      <c r="H9442" s="254">
        <f t="shared" si="808"/>
        <v>1.6897506925207757</v>
      </c>
    </row>
    <row r="9443" spans="1:8" x14ac:dyDescent="0.25">
      <c r="A9443" s="84" t="s">
        <v>32</v>
      </c>
      <c r="B9443" s="2">
        <v>44286</v>
      </c>
      <c r="C9443" s="1">
        <v>76</v>
      </c>
      <c r="D9443" s="47">
        <f t="shared" si="806"/>
        <v>22449</v>
      </c>
      <c r="E9443" s="1">
        <v>2</v>
      </c>
      <c r="F9443" s="47">
        <f t="shared" si="807"/>
        <v>966</v>
      </c>
      <c r="G9443" s="203">
        <f>SUM(C9443,C9419,C9395,C9371,C9347,C9323,C9299,C9275,C9251,C9227,C9203,C9179,C9155,C9131)/POBLA!$B$10*100000</f>
        <v>79.259963600088739</v>
      </c>
      <c r="H9443" s="254">
        <f t="shared" si="808"/>
        <v>0.71378504672897192</v>
      </c>
    </row>
    <row r="9444" spans="1:8" x14ac:dyDescent="0.25">
      <c r="A9444" s="84" t="s">
        <v>33</v>
      </c>
      <c r="B9444" s="2">
        <v>44286</v>
      </c>
      <c r="C9444" s="1">
        <v>89</v>
      </c>
      <c r="D9444" s="47">
        <f t="shared" si="806"/>
        <v>21290</v>
      </c>
      <c r="E9444" s="1">
        <v>1</v>
      </c>
      <c r="F9444" s="47">
        <f t="shared" si="807"/>
        <v>322</v>
      </c>
      <c r="G9444" s="203">
        <f>SUM(C9444,C9420,C9396,C9372,C9348,C9324,C9300,C9276,C9252,C9228,C9204,C9180,C9156,C9132)/POBLA!$B$11*100000</f>
        <v>296.29381633131339</v>
      </c>
      <c r="H9444" s="254">
        <f t="shared" si="808"/>
        <v>0.83294117647058818</v>
      </c>
    </row>
    <row r="9445" spans="1:8" x14ac:dyDescent="0.25">
      <c r="A9445" s="84" t="s">
        <v>21</v>
      </c>
      <c r="B9445" s="2">
        <v>44286</v>
      </c>
      <c r="C9445" s="1">
        <v>72</v>
      </c>
      <c r="D9445" s="47">
        <f t="shared" si="806"/>
        <v>11098</v>
      </c>
      <c r="F9445" s="47">
        <f t="shared" si="807"/>
        <v>449</v>
      </c>
      <c r="G9445" s="203">
        <f>SUM(C9445,C9421,C9397,C9373,C9349,C9325,C9301,C9277,C9253,C9229,C9205,C9181,C9157,C9133)/POBLA!$B$12*100000</f>
        <v>134.93219085662884</v>
      </c>
      <c r="H9445" s="254">
        <f t="shared" si="808"/>
        <v>1.8964285714285714</v>
      </c>
    </row>
    <row r="9446" spans="1:8" x14ac:dyDescent="0.25">
      <c r="A9446" s="84" t="s">
        <v>17</v>
      </c>
      <c r="B9446" s="2">
        <v>44286</v>
      </c>
      <c r="C9446" s="1">
        <v>521</v>
      </c>
      <c r="D9446" s="47">
        <f t="shared" si="806"/>
        <v>73007</v>
      </c>
      <c r="E9446" s="1">
        <v>4</v>
      </c>
      <c r="F9446" s="47">
        <f t="shared" si="807"/>
        <v>1511</v>
      </c>
      <c r="G9446" s="203">
        <f>SUM(C9446,C9422,C9398,C9374,C9350,C9326,C9302,C9278,C9254,C9230,C9206,C9182,C9158,C9134)/POBLA!$B$13*100000</f>
        <v>160.77671229710731</v>
      </c>
      <c r="H9446" s="254">
        <f t="shared" si="808"/>
        <v>1.5094339622641511</v>
      </c>
    </row>
    <row r="9447" spans="1:8" x14ac:dyDescent="0.25">
      <c r="A9447" s="84" t="s">
        <v>23</v>
      </c>
      <c r="B9447" s="2">
        <v>44286</v>
      </c>
      <c r="C9447" s="1">
        <v>134</v>
      </c>
      <c r="D9447" s="47">
        <f t="shared" si="806"/>
        <v>12072</v>
      </c>
      <c r="E9447" s="1">
        <v>4</v>
      </c>
      <c r="F9447" s="47">
        <f t="shared" si="807"/>
        <v>207</v>
      </c>
      <c r="G9447" s="203">
        <f>SUM(C9447,C9423,C9399,C9375,C9351,C9327,C9303,C9279,C9255,C9231,C9207,C9183,C9159,C9135)/POBLA!$B$14*100000</f>
        <v>138.11212928944403</v>
      </c>
      <c r="H9447" s="254">
        <f t="shared" si="808"/>
        <v>1.036904761904762</v>
      </c>
    </row>
    <row r="9448" spans="1:8" x14ac:dyDescent="0.25">
      <c r="A9448" s="84" t="s">
        <v>19</v>
      </c>
      <c r="B9448" s="2">
        <v>44286</v>
      </c>
      <c r="C9448" s="1">
        <v>140</v>
      </c>
      <c r="D9448" s="47">
        <f t="shared" si="806"/>
        <v>65214</v>
      </c>
      <c r="F9448" s="47">
        <f t="shared" si="807"/>
        <v>1010</v>
      </c>
      <c r="G9448" s="203">
        <f>SUM(C9448,C9424,C9400,C9376,C9352,C9328,C9304,C9280,C9256,C9232,C9208,C9184,C9160,C9136)/POBLA!$B$15*100000</f>
        <v>244.10555118009447</v>
      </c>
      <c r="H9448" s="254">
        <f t="shared" si="808"/>
        <v>0.84515119916579773</v>
      </c>
    </row>
    <row r="9449" spans="1:8" x14ac:dyDescent="0.25">
      <c r="A9449" s="84" t="s">
        <v>18</v>
      </c>
      <c r="B9449" s="2">
        <v>44286</v>
      </c>
      <c r="C9449" s="1">
        <v>150</v>
      </c>
      <c r="D9449" s="47">
        <f t="shared" si="806"/>
        <v>55425</v>
      </c>
      <c r="E9449" s="1">
        <v>1</v>
      </c>
      <c r="F9449" s="47">
        <f t="shared" si="807"/>
        <v>1281</v>
      </c>
      <c r="G9449" s="203">
        <f>SUM(C9449,C9425,C9401,C9377,C9353,C9329,C9305,C9281,C9257,C9233,C9209,C9185,C9161,C9137)/POBLA!$B$16*100000</f>
        <v>176.42888671901125</v>
      </c>
      <c r="H9449" s="254">
        <f t="shared" si="808"/>
        <v>0.96700879765395897</v>
      </c>
    </row>
    <row r="9450" spans="1:8" x14ac:dyDescent="0.25">
      <c r="A9450" s="84" t="s">
        <v>34</v>
      </c>
      <c r="B9450" s="2">
        <v>44286</v>
      </c>
      <c r="C9450" s="1">
        <v>153</v>
      </c>
      <c r="D9450" s="47">
        <f t="shared" si="806"/>
        <v>29362</v>
      </c>
      <c r="E9450" s="1">
        <v>1</v>
      </c>
      <c r="F9450" s="47">
        <f t="shared" si="807"/>
        <v>1205</v>
      </c>
      <c r="G9450" s="203">
        <f>SUM(C9450,C9426,C9402,C9378,C9354,C9330,C9306,C9282,C9258,C9234,C9210,C9186,C9162,C9138)/POBLA!$B$17*100000</f>
        <v>99.550897678105187</v>
      </c>
      <c r="H9450" s="254">
        <f t="shared" si="808"/>
        <v>0.94281914893617025</v>
      </c>
    </row>
    <row r="9451" spans="1:8" x14ac:dyDescent="0.25">
      <c r="A9451" s="84" t="s">
        <v>35</v>
      </c>
      <c r="B9451" s="2">
        <v>44286</v>
      </c>
      <c r="C9451" s="1">
        <v>179</v>
      </c>
      <c r="D9451" s="47">
        <f t="shared" si="806"/>
        <v>17302</v>
      </c>
      <c r="F9451" s="47">
        <f t="shared" si="807"/>
        <v>224</v>
      </c>
      <c r="G9451" s="203">
        <f>SUM(C9451,C9427,C9403,C9379,C9355,C9331,C9307,C9283,C9259,C9235,C9211,C9187,C9163,C9139)/POBLA!$B$18*100000</f>
        <v>155.01454781449968</v>
      </c>
      <c r="H9451" s="254">
        <f t="shared" si="808"/>
        <v>1.7627365356622999</v>
      </c>
    </row>
    <row r="9452" spans="1:8" x14ac:dyDescent="0.25">
      <c r="A9452" s="84" t="s">
        <v>36</v>
      </c>
      <c r="B9452" s="2">
        <v>44286</v>
      </c>
      <c r="C9452" s="1">
        <v>203</v>
      </c>
      <c r="D9452" s="47">
        <f t="shared" si="806"/>
        <v>22803</v>
      </c>
      <c r="E9452" s="1">
        <v>5</v>
      </c>
      <c r="F9452" s="47">
        <f t="shared" si="807"/>
        <v>416</v>
      </c>
      <c r="G9452" s="203">
        <f>SUM(C9452,C9428,C9404,C9380,C9356,C9332,C9308,C9284,C9260,C9236,C9212,C9188,C9164,C9140)/POBLA!$B$19*100000</f>
        <v>251.60919721124944</v>
      </c>
      <c r="H9452" s="254">
        <f t="shared" si="808"/>
        <v>1.7377717391304348</v>
      </c>
    </row>
    <row r="9453" spans="1:8" x14ac:dyDescent="0.25">
      <c r="A9453" s="84" t="s">
        <v>37</v>
      </c>
      <c r="B9453" s="2">
        <v>44286</v>
      </c>
      <c r="C9453" s="1">
        <v>195</v>
      </c>
      <c r="D9453" s="47">
        <f t="shared" si="806"/>
        <v>39405</v>
      </c>
      <c r="E9453" s="1">
        <v>2</v>
      </c>
      <c r="F9453" s="47">
        <f t="shared" si="807"/>
        <v>642</v>
      </c>
      <c r="G9453" s="203">
        <f>SUM(C9453,C9429,C9405,C9381,C9357,C9333,C9309,C9285,C9261,C9237,C9213,C9189,C9165,C9141)/POBLA!$B$20*100000</f>
        <v>461.85650454746809</v>
      </c>
      <c r="H9453" s="254">
        <f t="shared" si="808"/>
        <v>1.1419878296146044</v>
      </c>
    </row>
    <row r="9454" spans="1:8" x14ac:dyDescent="0.25">
      <c r="A9454" s="84" t="s">
        <v>22</v>
      </c>
      <c r="B9454" s="2">
        <v>44286</v>
      </c>
      <c r="C9454" s="1">
        <v>920</v>
      </c>
      <c r="D9454" s="47">
        <f t="shared" si="806"/>
        <v>231494</v>
      </c>
      <c r="E9454" s="1">
        <v>9</v>
      </c>
      <c r="F9454" s="47">
        <f t="shared" si="807"/>
        <v>4273</v>
      </c>
      <c r="G9454" s="203">
        <f>SUM(C9454,C9430,C9406,C9382,C9358,C9334,C9310,C9286,C9262,C9238,C9214,C9190,C9166,C9142)/POBLA!$B$21*100000</f>
        <v>216.82957161738233</v>
      </c>
      <c r="H9454" s="254">
        <f t="shared" si="808"/>
        <v>1.2498777506112468</v>
      </c>
    </row>
    <row r="9455" spans="1:8" x14ac:dyDescent="0.25">
      <c r="A9455" s="84" t="s">
        <v>38</v>
      </c>
      <c r="B9455" s="2">
        <v>44286</v>
      </c>
      <c r="C9455" s="1">
        <v>128</v>
      </c>
      <c r="D9455" s="47">
        <f t="shared" si="806"/>
        <v>25110</v>
      </c>
      <c r="E9455" s="1">
        <v>3</v>
      </c>
      <c r="F9455" s="47">
        <f t="shared" si="807"/>
        <v>297</v>
      </c>
      <c r="G9455" s="203">
        <f>SUM(C9455,C9431,C9407,C9383,C9359,C9335,C9311,C9287,C9263,C9239,C9215,C9191,C9167,C9143)/POBLA!$B$22*100000</f>
        <v>142.5924014093649</v>
      </c>
      <c r="H9455" s="254">
        <f t="shared" si="808"/>
        <v>1.5032327586206897</v>
      </c>
    </row>
    <row r="9456" spans="1:8" x14ac:dyDescent="0.25">
      <c r="A9456" s="84" t="s">
        <v>39</v>
      </c>
      <c r="B9456" s="2">
        <v>44286</v>
      </c>
      <c r="C9456" s="1">
        <v>84</v>
      </c>
      <c r="D9456" s="47">
        <f t="shared" si="806"/>
        <v>24088</v>
      </c>
      <c r="F9456" s="47">
        <f t="shared" si="807"/>
        <v>367</v>
      </c>
      <c r="G9456" s="203">
        <f>SUM(C9456,C9432,C9408,C9384,C9360,C9336,C9312,C9288,C9264,C9240,C9216,C9192,C9168,C9144)/POBLA!$B$23*100000</f>
        <v>361.36402194197819</v>
      </c>
      <c r="H9456" s="254">
        <f t="shared" si="808"/>
        <v>1.5935162094763091</v>
      </c>
    </row>
    <row r="9457" spans="1:12" ht="15.75" thickBot="1" x14ac:dyDescent="0.3">
      <c r="A9457" s="85" t="s">
        <v>40</v>
      </c>
      <c r="B9457" s="355">
        <v>44286</v>
      </c>
      <c r="C9457" s="54">
        <v>748</v>
      </c>
      <c r="D9457" s="214">
        <f t="shared" si="806"/>
        <v>87852</v>
      </c>
      <c r="E9457" s="54"/>
      <c r="F9457" s="214">
        <f t="shared" si="807"/>
        <v>1502</v>
      </c>
      <c r="G9457" s="215">
        <f>SUM(C9457,C9433,C9409,C9385,C9361,C9337,C9313,C9289,C9265,C9241,C9217,C9193,C9169,C9145)/POBLA!$B$24*100000</f>
        <v>288.14107405868799</v>
      </c>
      <c r="H9457" s="255">
        <f t="shared" si="808"/>
        <v>1.8322701688555347</v>
      </c>
    </row>
    <row r="9458" spans="1:12" ht="15.75" thickBot="1" x14ac:dyDescent="0.3">
      <c r="A9458" s="36" t="s">
        <v>16</v>
      </c>
      <c r="B9458" s="355">
        <v>44287</v>
      </c>
      <c r="C9458" s="293">
        <v>7087</v>
      </c>
      <c r="D9458" s="211">
        <f t="shared" ref="D9458:D9521" si="809">C9458+D9434</f>
        <v>994654</v>
      </c>
      <c r="E9458" s="293">
        <v>35</v>
      </c>
      <c r="F9458" s="211">
        <f t="shared" ref="F9458:F9521" si="810">E9458+F9434</f>
        <v>28242</v>
      </c>
      <c r="G9458" s="212">
        <f>SUM(C9458,C9434,C9410,C9386,C9362,C9338,C9314,C9290,C9266,C9242,C9218,C9194,C9170,C9146)/POBLA!$B$1*100000</f>
        <v>363.73346522897231</v>
      </c>
      <c r="H9458" s="253">
        <f t="shared" ref="H9458:H9521" si="811">SUM(C9458,C9434,C9410,C9386,C9362,C9338,C9314,C9290,C9266,C9242,C9218,C9194,C9170,C9146)/SUM(C9122,C9098,C9074,C9050,C9026,C9002,C8978,C8954,C8930,C8906,C8882,C8858,C8834,C8810)</f>
        <v>1.6116752551278166</v>
      </c>
      <c r="J9458" s="325"/>
      <c r="K9458" s="325"/>
      <c r="L9458" s="325"/>
    </row>
    <row r="9459" spans="1:12" ht="15.75" thickBot="1" x14ac:dyDescent="0.3">
      <c r="A9459" s="84" t="s">
        <v>43</v>
      </c>
      <c r="B9459" s="355">
        <v>44287</v>
      </c>
      <c r="C9459" s="1">
        <v>1576</v>
      </c>
      <c r="D9459" s="47">
        <f t="shared" si="809"/>
        <v>262909</v>
      </c>
      <c r="E9459" s="1">
        <v>10</v>
      </c>
      <c r="F9459" s="47">
        <f t="shared" si="810"/>
        <v>6884</v>
      </c>
      <c r="G9459" s="203">
        <f>SUM(C9459,C9435,C9411,C9387,C9363,C9339,C9315,C9291,C9267,C9243,C9219,C9195,C9171,C9147)/POBLA!$B$2*100000</f>
        <v>554.51765255169164</v>
      </c>
      <c r="H9459" s="254">
        <f t="shared" si="811"/>
        <v>1.5025107920007048</v>
      </c>
      <c r="J9459" s="326"/>
      <c r="K9459" s="327"/>
      <c r="L9459" s="328"/>
    </row>
    <row r="9460" spans="1:12" ht="15.75" thickBot="1" x14ac:dyDescent="0.3">
      <c r="A9460" s="84" t="s">
        <v>28</v>
      </c>
      <c r="B9460" s="355">
        <v>44287</v>
      </c>
      <c r="C9460" s="1">
        <v>70</v>
      </c>
      <c r="D9460" s="47">
        <f t="shared" si="809"/>
        <v>10530</v>
      </c>
      <c r="F9460" s="47">
        <f t="shared" si="810"/>
        <v>18</v>
      </c>
      <c r="G9460" s="203">
        <f>SUM(C9460,C9436,C9412,C9388,C9364,C9340,C9316,C9292,C9268,C9244,C9220,C9196,C9172,C9148)/POBLA!$B$3*100000</f>
        <v>257.80020123339705</v>
      </c>
      <c r="H9460" s="254">
        <f t="shared" si="811"/>
        <v>0.88075657894736847</v>
      </c>
      <c r="J9460" s="326"/>
      <c r="K9460" s="327"/>
      <c r="L9460" s="328"/>
    </row>
    <row r="9461" spans="1:12" ht="15.75" thickBot="1" x14ac:dyDescent="0.3">
      <c r="A9461" s="84" t="s">
        <v>15</v>
      </c>
      <c r="B9461" s="355">
        <v>44287</v>
      </c>
      <c r="C9461" s="1">
        <v>180</v>
      </c>
      <c r="D9461" s="47">
        <f t="shared" si="809"/>
        <v>38672</v>
      </c>
      <c r="F9461" s="47">
        <f t="shared" si="810"/>
        <v>924</v>
      </c>
      <c r="G9461" s="203">
        <f>SUM(C9461,C9437,C9413,C9389,C9365,C9341,C9317,C9293,C9269,C9245,C9221,C9197,C9173,C9149)/POBLA!$B$4*100000</f>
        <v>179.81953291751796</v>
      </c>
      <c r="H9461" s="254">
        <f t="shared" si="811"/>
        <v>1.1894563426688634</v>
      </c>
      <c r="J9461" s="326"/>
      <c r="K9461" s="329"/>
      <c r="L9461" s="330"/>
    </row>
    <row r="9462" spans="1:12" ht="15.75" thickBot="1" x14ac:dyDescent="0.3">
      <c r="A9462" s="84" t="s">
        <v>29</v>
      </c>
      <c r="B9462" s="355">
        <v>44287</v>
      </c>
      <c r="C9462" s="1">
        <v>111</v>
      </c>
      <c r="D9462" s="47">
        <f t="shared" si="809"/>
        <v>50224</v>
      </c>
      <c r="F9462" s="47">
        <f t="shared" si="810"/>
        <v>864</v>
      </c>
      <c r="G9462" s="203">
        <f>SUM(C9462,C9438,C9414,C9390,C9366,C9342,C9318,C9294,C9270,C9246,C9222,C9198,C9174,C9150)/POBLA!$B$5*100000</f>
        <v>267.53086459642583</v>
      </c>
      <c r="H9462" s="254">
        <f t="shared" si="811"/>
        <v>1.3629629629629629</v>
      </c>
      <c r="J9462" s="326"/>
      <c r="K9462" s="327"/>
      <c r="L9462" s="330"/>
    </row>
    <row r="9463" spans="1:12" ht="15.75" thickBot="1" x14ac:dyDescent="0.3">
      <c r="A9463" s="84" t="s">
        <v>30</v>
      </c>
      <c r="B9463" s="355">
        <v>44287</v>
      </c>
      <c r="C9463" s="1">
        <v>422</v>
      </c>
      <c r="D9463" s="47">
        <f t="shared" si="809"/>
        <v>30478</v>
      </c>
      <c r="F9463" s="47">
        <f t="shared" si="810"/>
        <v>328</v>
      </c>
      <c r="G9463" s="203">
        <f>SUM(C9463,C9439,C9415,C9391,C9367,C9343,C9319,C9295,C9271,C9247,C9223,C9199,C9175,C9151)/POBLA!$B$6*100000</f>
        <v>419.25373014478038</v>
      </c>
      <c r="H9463" s="254">
        <f t="shared" si="811"/>
        <v>1.5306188925081434</v>
      </c>
      <c r="J9463" s="326"/>
      <c r="K9463" s="327"/>
      <c r="L9463" s="328"/>
    </row>
    <row r="9464" spans="1:12" ht="15.75" thickBot="1" x14ac:dyDescent="0.3">
      <c r="A9464" s="84" t="s">
        <v>20</v>
      </c>
      <c r="B9464" s="355">
        <v>44287</v>
      </c>
      <c r="C9464" s="1">
        <v>1194</v>
      </c>
      <c r="D9464" s="47">
        <f t="shared" si="809"/>
        <v>181827</v>
      </c>
      <c r="E9464" s="1">
        <v>8</v>
      </c>
      <c r="F9464" s="47">
        <f t="shared" si="810"/>
        <v>3038</v>
      </c>
      <c r="G9464" s="203">
        <f>SUM(C9464,C9440,C9416,C9392,C9368,C9344,C9320,C9296,C9272,C9248,C9224,C9200,C9176,C9152)/POBLA!$B$7*100000</f>
        <v>299.59180417237297</v>
      </c>
      <c r="H9464" s="254">
        <f t="shared" si="811"/>
        <v>1.3879512135025256</v>
      </c>
      <c r="J9464" s="326"/>
      <c r="K9464" s="327"/>
      <c r="L9464" s="330"/>
    </row>
    <row r="9465" spans="1:12" ht="15.75" thickBot="1" x14ac:dyDescent="0.3">
      <c r="A9465" s="84" t="s">
        <v>31</v>
      </c>
      <c r="B9465" s="355">
        <v>44287</v>
      </c>
      <c r="C9465" s="1">
        <v>236</v>
      </c>
      <c r="D9465" s="47">
        <f t="shared" si="809"/>
        <v>50175</v>
      </c>
      <c r="E9465" s="1">
        <v>2</v>
      </c>
      <c r="F9465" s="47">
        <f t="shared" si="810"/>
        <v>948</v>
      </c>
      <c r="G9465" s="203">
        <f>SUM(C9465,C9441,C9417,C9393,C9369,C9345,C9321,C9297,C9273,C9249,C9225,C9201,C9177,C9153)/POBLA!$B$8*100000</f>
        <v>185.2865989735642</v>
      </c>
      <c r="H9465" s="254">
        <f t="shared" si="811"/>
        <v>1.3580116340560551</v>
      </c>
      <c r="J9465" s="326"/>
      <c r="K9465" s="327"/>
      <c r="L9465" s="328"/>
    </row>
    <row r="9466" spans="1:12" ht="15.75" thickBot="1" x14ac:dyDescent="0.3">
      <c r="A9466" s="84" t="s">
        <v>41</v>
      </c>
      <c r="B9466" s="355">
        <v>44287</v>
      </c>
      <c r="C9466" s="1">
        <v>37</v>
      </c>
      <c r="D9466" s="47">
        <f t="shared" si="809"/>
        <v>2294</v>
      </c>
      <c r="E9466" s="1">
        <v>6</v>
      </c>
      <c r="F9466" s="47">
        <f t="shared" si="810"/>
        <v>36</v>
      </c>
      <c r="G9466" s="203">
        <f>SUM(C9466,C9442,C9418,C9394,C9370,C9346,C9322,C9298,C9274,C9250,C9226,C9202,C9178,C9154)/POBLA!$B$9*100000</f>
        <v>104.75996913381351</v>
      </c>
      <c r="H9466" s="254">
        <f t="shared" si="811"/>
        <v>1.8062678062678064</v>
      </c>
      <c r="J9466" s="326"/>
      <c r="K9466" s="327"/>
      <c r="L9466" s="328"/>
    </row>
    <row r="9467" spans="1:12" ht="15.75" thickBot="1" x14ac:dyDescent="0.3">
      <c r="A9467" s="84" t="s">
        <v>32</v>
      </c>
      <c r="B9467" s="355">
        <v>44287</v>
      </c>
      <c r="C9467" s="1">
        <v>84</v>
      </c>
      <c r="D9467" s="47">
        <f t="shared" si="809"/>
        <v>22533</v>
      </c>
      <c r="E9467" s="1">
        <v>5</v>
      </c>
      <c r="F9467" s="47">
        <f t="shared" si="810"/>
        <v>971</v>
      </c>
      <c r="G9467" s="203">
        <f>SUM(C9467,C9443,C9419,C9395,C9371,C9347,C9323,C9299,C9275,C9251,C9227,C9203,C9179,C9155)/POBLA!$B$10*100000</f>
        <v>83.411058256721859</v>
      </c>
      <c r="H9467" s="254">
        <f t="shared" si="811"/>
        <v>0.7831912302070646</v>
      </c>
      <c r="J9467" s="326"/>
      <c r="K9467" s="331"/>
      <c r="L9467" s="332"/>
    </row>
    <row r="9468" spans="1:12" ht="15.75" thickBot="1" x14ac:dyDescent="0.3">
      <c r="A9468" s="84" t="s">
        <v>33</v>
      </c>
      <c r="B9468" s="355">
        <v>44287</v>
      </c>
      <c r="C9468" s="1">
        <v>95</v>
      </c>
      <c r="D9468" s="47">
        <f t="shared" si="809"/>
        <v>21385</v>
      </c>
      <c r="F9468" s="47">
        <f t="shared" si="810"/>
        <v>322</v>
      </c>
      <c r="G9468" s="203">
        <f>SUM(C9468,C9444,C9420,C9396,C9372,C9348,C9324,C9300,C9276,C9252,C9228,C9204,C9180,C9156)/POBLA!$B$11*100000</f>
        <v>299.64176905822092</v>
      </c>
      <c r="H9468" s="254">
        <f t="shared" si="811"/>
        <v>0.85441527446300713</v>
      </c>
      <c r="J9468" s="326"/>
      <c r="K9468" s="329"/>
      <c r="L9468" s="330"/>
    </row>
    <row r="9469" spans="1:12" ht="15.75" thickBot="1" x14ac:dyDescent="0.3">
      <c r="A9469" s="84" t="s">
        <v>21</v>
      </c>
      <c r="B9469" s="355">
        <v>44287</v>
      </c>
      <c r="C9469" s="1">
        <v>55</v>
      </c>
      <c r="D9469" s="47">
        <f t="shared" si="809"/>
        <v>11153</v>
      </c>
      <c r="F9469" s="47">
        <f t="shared" si="810"/>
        <v>449</v>
      </c>
      <c r="G9469" s="203">
        <f>SUM(C9469,C9445,C9421,C9397,C9373,C9349,C9325,C9301,C9277,C9253,C9229,C9205,C9181,C9157)/POBLA!$B$12*100000</f>
        <v>135.44041003123007</v>
      </c>
      <c r="H9469" s="254">
        <f t="shared" si="811"/>
        <v>1.697452229299363</v>
      </c>
      <c r="J9469" s="326"/>
      <c r="K9469" s="329"/>
      <c r="L9469" s="330"/>
    </row>
    <row r="9470" spans="1:12" ht="15.75" thickBot="1" x14ac:dyDescent="0.3">
      <c r="A9470" s="84" t="s">
        <v>17</v>
      </c>
      <c r="B9470" s="355">
        <v>44287</v>
      </c>
      <c r="C9470" s="1">
        <v>488</v>
      </c>
      <c r="D9470" s="47">
        <f t="shared" si="809"/>
        <v>73495</v>
      </c>
      <c r="E9470" s="1">
        <v>2</v>
      </c>
      <c r="F9470" s="47">
        <f t="shared" si="810"/>
        <v>1513</v>
      </c>
      <c r="G9470" s="203">
        <f>SUM(C9470,C9446,C9422,C9398,C9374,C9350,C9326,C9302,C9278,C9254,C9230,C9206,C9182,C9158)/POBLA!$B$13*100000</f>
        <v>174.34224739717575</v>
      </c>
      <c r="H9470" s="254">
        <f t="shared" si="811"/>
        <v>1.6222533894343152</v>
      </c>
      <c r="J9470" s="326"/>
      <c r="K9470" s="329"/>
      <c r="L9470" s="330"/>
    </row>
    <row r="9471" spans="1:12" ht="15.75" thickBot="1" x14ac:dyDescent="0.3">
      <c r="A9471" s="84" t="s">
        <v>23</v>
      </c>
      <c r="B9471" s="355">
        <v>44287</v>
      </c>
      <c r="C9471" s="1">
        <v>82</v>
      </c>
      <c r="D9471" s="47">
        <f t="shared" si="809"/>
        <v>12154</v>
      </c>
      <c r="F9471" s="47">
        <f t="shared" si="810"/>
        <v>207</v>
      </c>
      <c r="G9471" s="203">
        <f>SUM(C9471,C9447,C9423,C9399,C9375,C9351,C9327,C9303,C9279,C9255,C9231,C9207,C9183,C9159)/POBLA!$B$14*100000</f>
        <v>134.14794647401794</v>
      </c>
      <c r="H9471" s="254">
        <f t="shared" si="811"/>
        <v>1.0149970005998801</v>
      </c>
      <c r="J9471" s="326"/>
      <c r="K9471" s="327"/>
      <c r="L9471" s="328"/>
    </row>
    <row r="9472" spans="1:12" ht="15.75" thickBot="1" x14ac:dyDescent="0.3">
      <c r="A9472" s="84" t="s">
        <v>19</v>
      </c>
      <c r="B9472" s="355">
        <v>44287</v>
      </c>
      <c r="C9472" s="1">
        <v>97</v>
      </c>
      <c r="D9472" s="47">
        <f t="shared" si="809"/>
        <v>65311</v>
      </c>
      <c r="F9472" s="47">
        <f t="shared" si="810"/>
        <v>1010</v>
      </c>
      <c r="G9472" s="203">
        <f>SUM(C9472,C9448,C9424,C9400,C9376,C9352,C9328,C9304,C9280,C9256,C9232,C9208,C9184,C9160)/POBLA!$B$15*100000</f>
        <v>235.07018222833281</v>
      </c>
      <c r="H9472" s="254">
        <f t="shared" si="811"/>
        <v>0.83879634605051046</v>
      </c>
      <c r="J9472" s="326"/>
      <c r="K9472" s="329"/>
      <c r="L9472" s="330"/>
    </row>
    <row r="9473" spans="1:12" ht="15.75" thickBot="1" x14ac:dyDescent="0.3">
      <c r="A9473" s="84" t="s">
        <v>18</v>
      </c>
      <c r="B9473" s="355">
        <v>44287</v>
      </c>
      <c r="C9473" s="1">
        <v>128</v>
      </c>
      <c r="D9473" s="47">
        <f t="shared" si="809"/>
        <v>55553</v>
      </c>
      <c r="E9473" s="1">
        <v>1</v>
      </c>
      <c r="F9473" s="47">
        <f t="shared" si="810"/>
        <v>1282</v>
      </c>
      <c r="G9473" s="203">
        <f>SUM(C9473,C9449,C9425,C9401,C9377,C9353,C9329,C9305,C9281,C9257,C9233,C9209,C9185,C9161)/POBLA!$B$16*100000</f>
        <v>177.63272294378083</v>
      </c>
      <c r="H9473" s="254">
        <f t="shared" si="811"/>
        <v>0.98297557364914878</v>
      </c>
      <c r="J9473" s="326"/>
      <c r="K9473" s="329"/>
      <c r="L9473" s="328"/>
    </row>
    <row r="9474" spans="1:12" ht="15.75" thickBot="1" x14ac:dyDescent="0.3">
      <c r="A9474" s="84" t="s">
        <v>34</v>
      </c>
      <c r="B9474" s="355">
        <v>44287</v>
      </c>
      <c r="C9474" s="1">
        <v>163</v>
      </c>
      <c r="D9474" s="47">
        <f t="shared" si="809"/>
        <v>29525</v>
      </c>
      <c r="F9474" s="47">
        <f t="shared" si="810"/>
        <v>1205</v>
      </c>
      <c r="G9474" s="203">
        <f>SUM(C9474,C9450,C9426,C9402,C9378,C9354,C9330,C9306,C9282,C9258,C9234,C9210,C9186,C9162)/POBLA!$B$17*100000</f>
        <v>100.81459031435757</v>
      </c>
      <c r="H9474" s="254">
        <f t="shared" si="811"/>
        <v>0.97027027027027024</v>
      </c>
      <c r="J9474" s="326"/>
      <c r="K9474" s="327"/>
      <c r="L9474" s="328"/>
    </row>
    <row r="9475" spans="1:12" ht="15.75" thickBot="1" x14ac:dyDescent="0.3">
      <c r="A9475" s="84" t="s">
        <v>35</v>
      </c>
      <c r="B9475" s="355">
        <v>44287</v>
      </c>
      <c r="C9475" s="1">
        <v>91</v>
      </c>
      <c r="D9475" s="47">
        <f t="shared" si="809"/>
        <v>17393</v>
      </c>
      <c r="F9475" s="47">
        <f t="shared" si="810"/>
        <v>224</v>
      </c>
      <c r="G9475" s="203">
        <f>SUM(C9475,C9451,C9427,C9403,C9379,C9355,C9331,C9307,C9283,C9259,C9235,C9211,C9187,C9163)/POBLA!$B$18*100000</f>
        <v>155.52656944229324</v>
      </c>
      <c r="H9475" s="254">
        <f t="shared" si="811"/>
        <v>1.6851595006934812</v>
      </c>
      <c r="J9475" s="326"/>
      <c r="K9475" s="327"/>
      <c r="L9475" s="330"/>
    </row>
    <row r="9476" spans="1:12" ht="15.75" thickBot="1" x14ac:dyDescent="0.3">
      <c r="A9476" s="84" t="s">
        <v>36</v>
      </c>
      <c r="B9476" s="355">
        <v>44287</v>
      </c>
      <c r="C9476" s="1">
        <v>246</v>
      </c>
      <c r="D9476" s="47">
        <f t="shared" si="809"/>
        <v>23049</v>
      </c>
      <c r="E9476" s="1">
        <v>14</v>
      </c>
      <c r="F9476" s="47">
        <f t="shared" si="810"/>
        <v>430</v>
      </c>
      <c r="G9476" s="203">
        <f>SUM(C9476,C9452,C9428,C9404,C9380,C9356,C9332,C9308,C9284,C9260,C9236,C9212,C9188,C9164)/POBLA!$B$19*100000</f>
        <v>297.64246706850696</v>
      </c>
      <c r="H9476" s="254">
        <f t="shared" si="811"/>
        <v>2.0445945945945945</v>
      </c>
      <c r="J9476" s="326"/>
      <c r="K9476" s="329"/>
      <c r="L9476" s="330"/>
    </row>
    <row r="9477" spans="1:12" ht="15.75" thickBot="1" x14ac:dyDescent="0.3">
      <c r="A9477" s="84" t="s">
        <v>37</v>
      </c>
      <c r="B9477" s="355">
        <v>44287</v>
      </c>
      <c r="C9477" s="1">
        <v>178</v>
      </c>
      <c r="D9477" s="47">
        <f t="shared" si="809"/>
        <v>39583</v>
      </c>
      <c r="F9477" s="47">
        <f t="shared" si="810"/>
        <v>642</v>
      </c>
      <c r="G9477" s="203">
        <f>SUM(C9477,C9453,C9429,C9405,C9381,C9357,C9333,C9309,C9285,C9261,C9237,C9213,C9189,C9165)/POBLA!$B$20*100000</f>
        <v>470.8803438903139</v>
      </c>
      <c r="H9477" s="254">
        <f t="shared" si="811"/>
        <v>1.2041958041958043</v>
      </c>
      <c r="J9477" s="326"/>
      <c r="K9477" s="327"/>
      <c r="L9477" s="330"/>
    </row>
    <row r="9478" spans="1:12" ht="15.75" thickBot="1" x14ac:dyDescent="0.3">
      <c r="A9478" s="84" t="s">
        <v>22</v>
      </c>
      <c r="B9478" s="355">
        <v>44287</v>
      </c>
      <c r="C9478" s="1">
        <v>1022</v>
      </c>
      <c r="D9478" s="47">
        <f t="shared" si="809"/>
        <v>232516</v>
      </c>
      <c r="F9478" s="47">
        <f t="shared" si="810"/>
        <v>4273</v>
      </c>
      <c r="G9478" s="203">
        <f>SUM(C9478,C9454,C9430,C9406,C9382,C9358,C9334,C9310,C9286,C9262,C9238,C9214,C9190,C9166)/POBLA!$B$21*100000</f>
        <v>231.98615095839915</v>
      </c>
      <c r="H9478" s="254">
        <f t="shared" si="811"/>
        <v>1.3357212634321067</v>
      </c>
      <c r="J9478" s="326"/>
      <c r="K9478" s="327"/>
      <c r="L9478" s="330"/>
    </row>
    <row r="9479" spans="1:12" ht="15.75" thickBot="1" x14ac:dyDescent="0.3">
      <c r="A9479" s="84" t="s">
        <v>38</v>
      </c>
      <c r="B9479" s="355">
        <v>44287</v>
      </c>
      <c r="C9479" s="1">
        <v>191</v>
      </c>
      <c r="D9479" s="47">
        <f t="shared" si="809"/>
        <v>25301</v>
      </c>
      <c r="F9479" s="47">
        <f t="shared" si="810"/>
        <v>297</v>
      </c>
      <c r="G9479" s="203">
        <f>SUM(C9479,C9455,C9431,C9407,C9383,C9359,C9335,C9311,C9287,C9263,C9239,C9215,C9191,C9167)/POBLA!$B$22*100000</f>
        <v>150.8719602008764</v>
      </c>
      <c r="H9479" s="254">
        <f t="shared" si="811"/>
        <v>1.5407098121085594</v>
      </c>
      <c r="J9479" s="326"/>
      <c r="K9479" s="327"/>
      <c r="L9479" s="328"/>
    </row>
    <row r="9480" spans="1:12" ht="15.75" thickBot="1" x14ac:dyDescent="0.3">
      <c r="A9480" s="84" t="s">
        <v>39</v>
      </c>
      <c r="B9480" s="355">
        <v>44287</v>
      </c>
      <c r="C9480" s="1">
        <v>57</v>
      </c>
      <c r="D9480" s="47">
        <f t="shared" si="809"/>
        <v>24145</v>
      </c>
      <c r="F9480" s="47">
        <f t="shared" si="810"/>
        <v>367</v>
      </c>
      <c r="G9480" s="203">
        <f>SUM(C9480,C9456,C9432,C9408,C9384,C9360,C9336,C9312,C9288,C9264,C9240,C9216,C9192,C9168)/POBLA!$B$23*100000</f>
        <v>365.32262625120171</v>
      </c>
      <c r="H9480" s="254">
        <f t="shared" si="811"/>
        <v>1.5454545454545454</v>
      </c>
      <c r="J9480" s="326"/>
      <c r="K9480" s="327"/>
      <c r="L9480" s="330"/>
    </row>
    <row r="9481" spans="1:12" ht="15.75" thickBot="1" x14ac:dyDescent="0.3">
      <c r="A9481" s="85" t="s">
        <v>40</v>
      </c>
      <c r="B9481" s="355">
        <v>44287</v>
      </c>
      <c r="C9481" s="1">
        <v>540</v>
      </c>
      <c r="D9481" s="214">
        <f t="shared" si="809"/>
        <v>88392</v>
      </c>
      <c r="F9481" s="214">
        <f t="shared" si="810"/>
        <v>1502</v>
      </c>
      <c r="G9481" s="215">
        <f>SUM(C9481,C9457,C9433,C9409,C9385,C9361,C9337,C9313,C9289,C9265,C9241,C9217,C9193,C9169)/POBLA!$B$24*100000</f>
        <v>298.99873484648214</v>
      </c>
      <c r="H9481" s="255">
        <f t="shared" si="811"/>
        <v>1.7648902821316614</v>
      </c>
      <c r="J9481" s="326"/>
      <c r="K9481" s="329"/>
      <c r="L9481" s="330"/>
    </row>
    <row r="9482" spans="1:12" ht="15.75" thickBot="1" x14ac:dyDescent="0.3">
      <c r="A9482" s="36" t="s">
        <v>16</v>
      </c>
      <c r="B9482" s="355">
        <v>44288</v>
      </c>
      <c r="C9482" s="1">
        <v>5016</v>
      </c>
      <c r="D9482" s="211">
        <f t="shared" si="809"/>
        <v>999670</v>
      </c>
      <c r="E9482" s="1">
        <v>56</v>
      </c>
      <c r="F9482" s="211">
        <f t="shared" si="810"/>
        <v>28298</v>
      </c>
      <c r="G9482" s="212">
        <f>SUM(C9482,C9458,C9434,C9410,C9386,C9362,C9338,C9314,C9290,C9266,C9242,C9218,C9194,C9170)/POBLA!$B$1*100000</f>
        <v>372.13656739889382</v>
      </c>
      <c r="H9482" s="253">
        <f t="shared" si="811"/>
        <v>1.6469118982742961</v>
      </c>
      <c r="J9482" s="326"/>
      <c r="K9482" s="327"/>
      <c r="L9482" s="328"/>
    </row>
    <row r="9483" spans="1:12" ht="15.75" thickBot="1" x14ac:dyDescent="0.3">
      <c r="A9483" s="84" t="s">
        <v>43</v>
      </c>
      <c r="B9483" s="355">
        <v>44288</v>
      </c>
      <c r="C9483" s="1">
        <v>1699</v>
      </c>
      <c r="D9483" s="47">
        <f t="shared" si="809"/>
        <v>264608</v>
      </c>
      <c r="E9483" s="1">
        <v>4</v>
      </c>
      <c r="F9483" s="47">
        <f t="shared" si="810"/>
        <v>6888</v>
      </c>
      <c r="G9483" s="203">
        <f>SUM(C9483,C9459,C9435,C9411,C9387,C9363,C9339,C9315,C9291,C9267,C9243,C9219,C9195,C9171)/POBLA!$B$2*100000</f>
        <v>581.0161507533702</v>
      </c>
      <c r="H9483" s="254">
        <f t="shared" si="811"/>
        <v>1.5714034470629616</v>
      </c>
    </row>
    <row r="9484" spans="1:12" ht="15.75" thickBot="1" x14ac:dyDescent="0.3">
      <c r="A9484" s="84" t="s">
        <v>28</v>
      </c>
      <c r="B9484" s="355">
        <v>44288</v>
      </c>
      <c r="C9484" s="1">
        <v>94</v>
      </c>
      <c r="D9484" s="47">
        <f t="shared" si="809"/>
        <v>10624</v>
      </c>
      <c r="F9484" s="47">
        <f t="shared" si="810"/>
        <v>18</v>
      </c>
      <c r="G9484" s="203">
        <f>SUM(C9484,C9460,C9436,C9412,C9388,C9364,C9340,C9316,C9292,C9268,C9244,C9220,C9196,C9172)/POBLA!$B$3*100000</f>
        <v>252.50458552178665</v>
      </c>
      <c r="H9484" s="254">
        <f t="shared" si="811"/>
        <v>0.86337448559670782</v>
      </c>
    </row>
    <row r="9485" spans="1:12" ht="15.75" thickBot="1" x14ac:dyDescent="0.3">
      <c r="A9485" s="84" t="s">
        <v>15</v>
      </c>
      <c r="B9485" s="355">
        <v>44288</v>
      </c>
      <c r="C9485" s="1">
        <v>189</v>
      </c>
      <c r="D9485" s="47">
        <f t="shared" si="809"/>
        <v>38861</v>
      </c>
      <c r="E9485" s="1">
        <v>3</v>
      </c>
      <c r="F9485" s="47">
        <f t="shared" si="810"/>
        <v>927</v>
      </c>
      <c r="G9485" s="203">
        <f>SUM(C9485,C9461,C9437,C9413,C9389,C9365,C9341,C9317,C9293,C9269,C9245,C9221,C9197,C9173)/POBLA!$B$4*100000</f>
        <v>181.72897394111118</v>
      </c>
      <c r="H9485" s="254">
        <f t="shared" si="811"/>
        <v>1.2060606060606061</v>
      </c>
    </row>
    <row r="9486" spans="1:12" ht="15.75" thickBot="1" x14ac:dyDescent="0.3">
      <c r="A9486" s="84" t="s">
        <v>29</v>
      </c>
      <c r="B9486" s="355">
        <v>44288</v>
      </c>
      <c r="C9486" s="1">
        <v>48</v>
      </c>
      <c r="D9486" s="47">
        <f t="shared" si="809"/>
        <v>50272</v>
      </c>
      <c r="E9486" s="1">
        <v>6</v>
      </c>
      <c r="F9486" s="47">
        <f t="shared" si="810"/>
        <v>870</v>
      </c>
      <c r="G9486" s="203">
        <f>SUM(C9486,C9462,C9438,C9414,C9390,C9366,C9342,C9318,C9294,C9270,C9246,C9222,C9198,C9174)/POBLA!$B$5*100000</f>
        <v>254.76822069357701</v>
      </c>
      <c r="H9486" s="254">
        <f t="shared" si="811"/>
        <v>1.2779578606158832</v>
      </c>
    </row>
    <row r="9487" spans="1:12" ht="15.75" thickBot="1" x14ac:dyDescent="0.3">
      <c r="A9487" s="84" t="s">
        <v>30</v>
      </c>
      <c r="B9487" s="355">
        <v>44288</v>
      </c>
      <c r="C9487" s="1">
        <v>194</v>
      </c>
      <c r="D9487" s="47">
        <f t="shared" si="809"/>
        <v>30672</v>
      </c>
      <c r="F9487" s="47">
        <f t="shared" si="810"/>
        <v>328</v>
      </c>
      <c r="G9487" s="203">
        <f>SUM(C9487,C9463,C9439,C9415,C9391,C9367,C9343,C9319,C9295,C9271,C9247,C9223,C9199,C9175)/POBLA!$B$6*100000</f>
        <v>404.71055968008591</v>
      </c>
      <c r="H9487" s="254">
        <f t="shared" si="811"/>
        <v>1.3863080684596576</v>
      </c>
    </row>
    <row r="9488" spans="1:12" ht="15.75" thickBot="1" x14ac:dyDescent="0.3">
      <c r="A9488" s="84" t="s">
        <v>20</v>
      </c>
      <c r="B9488" s="355">
        <v>44288</v>
      </c>
      <c r="C9488" s="1">
        <v>697</v>
      </c>
      <c r="D9488" s="47">
        <f t="shared" si="809"/>
        <v>182524</v>
      </c>
      <c r="E9488" s="1">
        <v>7</v>
      </c>
      <c r="F9488" s="47">
        <f t="shared" si="810"/>
        <v>3045</v>
      </c>
      <c r="G9488" s="203">
        <f>SUM(C9488,C9464,C9440,C9416,C9392,C9368,C9344,C9320,C9296,C9272,C9248,C9224,C9200,C9176)/POBLA!$B$7*100000</f>
        <v>299.96410004121844</v>
      </c>
      <c r="H9488" s="254">
        <f t="shared" si="811"/>
        <v>1.3974231912784936</v>
      </c>
    </row>
    <row r="9489" spans="1:8" ht="15.75" thickBot="1" x14ac:dyDescent="0.3">
      <c r="A9489" s="84" t="s">
        <v>31</v>
      </c>
      <c r="B9489" s="355">
        <v>44288</v>
      </c>
      <c r="C9489" s="1">
        <v>160</v>
      </c>
      <c r="D9489" s="47">
        <f t="shared" si="809"/>
        <v>50335</v>
      </c>
      <c r="E9489" s="1">
        <v>1</v>
      </c>
      <c r="F9489" s="47">
        <f t="shared" si="810"/>
        <v>949</v>
      </c>
      <c r="G9489" s="203">
        <f>SUM(C9489,C9465,C9441,C9417,C9393,C9369,C9345,C9321,C9297,C9273,C9249,C9225,C9201,C9177)/POBLA!$B$8*100000</f>
        <v>179.44227867883728</v>
      </c>
      <c r="H9489" s="254">
        <f t="shared" si="811"/>
        <v>1.2360834990059641</v>
      </c>
    </row>
    <row r="9490" spans="1:8" ht="15.75" thickBot="1" x14ac:dyDescent="0.3">
      <c r="A9490" s="84" t="s">
        <v>41</v>
      </c>
      <c r="B9490" s="355">
        <v>44288</v>
      </c>
      <c r="C9490" s="1">
        <v>0</v>
      </c>
      <c r="D9490" s="47">
        <f t="shared" si="809"/>
        <v>2294</v>
      </c>
      <c r="F9490" s="47">
        <f t="shared" si="810"/>
        <v>36</v>
      </c>
      <c r="G9490" s="203">
        <f>SUM(C9490,C9466,C9442,C9418,C9394,C9370,C9346,C9322,C9298,C9274,C9250,C9226,C9202,C9178)/POBLA!$B$9*100000</f>
        <v>100.629055524436</v>
      </c>
      <c r="H9490" s="254">
        <f t="shared" si="811"/>
        <v>1.75</v>
      </c>
    </row>
    <row r="9491" spans="1:8" ht="15.75" thickBot="1" x14ac:dyDescent="0.3">
      <c r="A9491" s="84" t="s">
        <v>32</v>
      </c>
      <c r="B9491" s="355">
        <v>44288</v>
      </c>
      <c r="C9491" s="1">
        <v>52</v>
      </c>
      <c r="D9491" s="47">
        <f t="shared" si="809"/>
        <v>22585</v>
      </c>
      <c r="E9491" s="1">
        <v>3</v>
      </c>
      <c r="F9491" s="47">
        <f t="shared" si="810"/>
        <v>974</v>
      </c>
      <c r="G9491" s="203">
        <f>SUM(C9491,C9467,C9443,C9419,C9395,C9371,C9347,C9323,C9299,C9275,C9251,C9227,C9203,C9179)/POBLA!$B$10*100000</f>
        <v>83.540779964741631</v>
      </c>
      <c r="H9491" s="254">
        <f t="shared" si="811"/>
        <v>0.81313131313131315</v>
      </c>
    </row>
    <row r="9492" spans="1:8" ht="15.75" thickBot="1" x14ac:dyDescent="0.3">
      <c r="A9492" s="84" t="s">
        <v>33</v>
      </c>
      <c r="B9492" s="355">
        <v>44288</v>
      </c>
      <c r="C9492" s="1">
        <v>67</v>
      </c>
      <c r="D9492" s="47">
        <f t="shared" si="809"/>
        <v>21452</v>
      </c>
      <c r="F9492" s="47">
        <f t="shared" si="810"/>
        <v>322</v>
      </c>
      <c r="G9492" s="203">
        <f>SUM(C9492,C9468,C9444,C9420,C9396,C9372,C9348,C9324,C9300,C9276,C9252,C9228,C9204,C9180)/POBLA!$B$11*100000</f>
        <v>299.36277299764527</v>
      </c>
      <c r="H9492" s="254">
        <f t="shared" si="811"/>
        <v>0.88312757201646086</v>
      </c>
    </row>
    <row r="9493" spans="1:8" ht="15.75" thickBot="1" x14ac:dyDescent="0.3">
      <c r="A9493" s="84" t="s">
        <v>21</v>
      </c>
      <c r="B9493" s="355">
        <v>44288</v>
      </c>
      <c r="C9493" s="1">
        <v>51</v>
      </c>
      <c r="D9493" s="47">
        <f t="shared" si="809"/>
        <v>11204</v>
      </c>
      <c r="F9493" s="47">
        <f t="shared" si="810"/>
        <v>449</v>
      </c>
      <c r="G9493" s="203">
        <f>SUM(C9493,C9469,C9445,C9421,C9397,C9373,C9349,C9325,C9301,C9277,C9253,C9229,C9205,C9181)/POBLA!$B$12*100000</f>
        <v>141.79314971374555</v>
      </c>
      <c r="H9493" s="254">
        <f t="shared" si="811"/>
        <v>1.7602523659305993</v>
      </c>
    </row>
    <row r="9494" spans="1:8" ht="15.75" thickBot="1" x14ac:dyDescent="0.3">
      <c r="A9494" s="84" t="s">
        <v>17</v>
      </c>
      <c r="B9494" s="355">
        <v>44288</v>
      </c>
      <c r="C9494" s="1">
        <v>235</v>
      </c>
      <c r="D9494" s="47">
        <f t="shared" si="809"/>
        <v>73730</v>
      </c>
      <c r="F9494" s="47">
        <f t="shared" si="810"/>
        <v>1513</v>
      </c>
      <c r="G9494" s="203">
        <f>SUM(C9494,C9470,C9446,C9422,C9398,C9374,C9350,C9326,C9302,C9278,C9254,C9230,C9206,C9182)/POBLA!$B$13*100000</f>
        <v>175.44758729421838</v>
      </c>
      <c r="H9494" s="254">
        <f t="shared" si="811"/>
        <v>1.5937927886809675</v>
      </c>
    </row>
    <row r="9495" spans="1:8" ht="15.75" thickBot="1" x14ac:dyDescent="0.3">
      <c r="A9495" s="84" t="s">
        <v>23</v>
      </c>
      <c r="B9495" s="355">
        <v>44288</v>
      </c>
      <c r="C9495" s="1">
        <v>89</v>
      </c>
      <c r="D9495" s="47">
        <f t="shared" si="809"/>
        <v>12243</v>
      </c>
      <c r="F9495" s="47">
        <f t="shared" si="810"/>
        <v>207</v>
      </c>
      <c r="G9495" s="203">
        <f>SUM(C9495,C9471,C9447,C9423,C9399,C9375,C9351,C9327,C9303,C9279,C9255,C9231,C9207,C9183)/POBLA!$B$14*100000</f>
        <v>131.76943678476232</v>
      </c>
      <c r="H9495" s="254">
        <f t="shared" si="811"/>
        <v>0.99164677804295942</v>
      </c>
    </row>
    <row r="9496" spans="1:8" ht="15.75" thickBot="1" x14ac:dyDescent="0.3">
      <c r="A9496" s="84" t="s">
        <v>19</v>
      </c>
      <c r="B9496" s="355">
        <v>44288</v>
      </c>
      <c r="C9496" s="1">
        <v>60</v>
      </c>
      <c r="D9496" s="47">
        <f t="shared" si="809"/>
        <v>65371</v>
      </c>
      <c r="F9496" s="47">
        <f t="shared" si="810"/>
        <v>1010</v>
      </c>
      <c r="G9496" s="203">
        <f>SUM(C9496,C9472,C9448,C9424,C9400,C9376,C9352,C9328,C9304,C9280,C9256,C9232,C9208,C9184)/POBLA!$B$15*100000</f>
        <v>220.16182345792603</v>
      </c>
      <c r="H9496" s="254">
        <f t="shared" si="811"/>
        <v>0.79542981501632204</v>
      </c>
    </row>
    <row r="9497" spans="1:8" ht="15.75" thickBot="1" x14ac:dyDescent="0.3">
      <c r="A9497" s="84" t="s">
        <v>18</v>
      </c>
      <c r="B9497" s="355">
        <v>44288</v>
      </c>
      <c r="C9497" s="1">
        <v>36</v>
      </c>
      <c r="D9497" s="47">
        <f t="shared" si="809"/>
        <v>55589</v>
      </c>
      <c r="E9497" s="1">
        <v>2</v>
      </c>
      <c r="F9497" s="47">
        <f t="shared" si="810"/>
        <v>1284</v>
      </c>
      <c r="G9497" s="203">
        <f>SUM(C9497,C9473,C9449,C9425,C9401,C9377,C9353,C9329,C9305,C9281,C9257,C9233,C9209,C9185)/POBLA!$B$16*100000</f>
        <v>173.08489720576236</v>
      </c>
      <c r="H9497" s="254">
        <f t="shared" si="811"/>
        <v>1.0237341772151898</v>
      </c>
    </row>
    <row r="9498" spans="1:8" ht="15.75" thickBot="1" x14ac:dyDescent="0.3">
      <c r="A9498" s="84" t="s">
        <v>34</v>
      </c>
      <c r="B9498" s="355">
        <v>44288</v>
      </c>
      <c r="C9498" s="1">
        <v>67</v>
      </c>
      <c r="D9498" s="47">
        <f t="shared" si="809"/>
        <v>29592</v>
      </c>
      <c r="F9498" s="47">
        <f t="shared" si="810"/>
        <v>1205</v>
      </c>
      <c r="G9498" s="203">
        <f>SUM(C9498,C9474,C9450,C9426,C9402,C9378,C9354,C9330,C9306,C9282,C9258,C9234,C9210,C9186)/POBLA!$B$17*100000</f>
        <v>101.30602633956684</v>
      </c>
      <c r="H9498" s="254">
        <f t="shared" si="811"/>
        <v>1.055596196049744</v>
      </c>
    </row>
    <row r="9499" spans="1:8" ht="15.75" thickBot="1" x14ac:dyDescent="0.3">
      <c r="A9499" s="84" t="s">
        <v>35</v>
      </c>
      <c r="B9499" s="355">
        <v>44288</v>
      </c>
      <c r="C9499" s="1">
        <v>43</v>
      </c>
      <c r="D9499" s="47">
        <f t="shared" si="809"/>
        <v>17436</v>
      </c>
      <c r="F9499" s="47">
        <f t="shared" si="810"/>
        <v>224</v>
      </c>
      <c r="G9499" s="203">
        <f>SUM(C9499,C9475,C9451,C9427,C9403,C9379,C9355,C9331,C9307,C9283,C9259,C9235,C9211,C9187)/POBLA!$B$18*100000</f>
        <v>149.25430450182216</v>
      </c>
      <c r="H9499" s="254">
        <f t="shared" si="811"/>
        <v>1.5525965379494009</v>
      </c>
    </row>
    <row r="9500" spans="1:8" ht="15.75" thickBot="1" x14ac:dyDescent="0.3">
      <c r="A9500" s="84" t="s">
        <v>36</v>
      </c>
      <c r="B9500" s="355">
        <v>44288</v>
      </c>
      <c r="C9500" s="1">
        <v>141</v>
      </c>
      <c r="D9500" s="47">
        <f t="shared" si="809"/>
        <v>23190</v>
      </c>
      <c r="F9500" s="47">
        <f t="shared" si="810"/>
        <v>430</v>
      </c>
      <c r="G9500" s="203">
        <f>SUM(C9500,C9476,C9452,C9428,C9404,C9380,C9356,C9332,C9308,C9284,C9260,C9236,C9212,C9188)/POBLA!$B$19*100000</f>
        <v>322.42961237626099</v>
      </c>
      <c r="H9500" s="254">
        <f t="shared" si="811"/>
        <v>2.1853333333333333</v>
      </c>
    </row>
    <row r="9501" spans="1:8" ht="15.75" thickBot="1" x14ac:dyDescent="0.3">
      <c r="A9501" s="84" t="s">
        <v>37</v>
      </c>
      <c r="B9501" s="355">
        <v>44288</v>
      </c>
      <c r="C9501" s="1">
        <v>58</v>
      </c>
      <c r="D9501" s="47">
        <f t="shared" si="809"/>
        <v>39641</v>
      </c>
      <c r="F9501" s="47">
        <f t="shared" si="810"/>
        <v>642</v>
      </c>
      <c r="G9501" s="203">
        <f>SUM(C9501,C9477,C9453,C9429,C9405,C9381,C9357,C9333,C9309,C9285,C9261,C9237,C9213,C9189)/POBLA!$B$20*100000</f>
        <v>450.37161811111901</v>
      </c>
      <c r="H9501" s="254">
        <f t="shared" si="811"/>
        <v>1.1656050955414012</v>
      </c>
    </row>
    <row r="9502" spans="1:8" ht="15.75" thickBot="1" x14ac:dyDescent="0.3">
      <c r="A9502" s="84" t="s">
        <v>22</v>
      </c>
      <c r="B9502" s="355">
        <v>44288</v>
      </c>
      <c r="C9502" s="1">
        <v>469</v>
      </c>
      <c r="D9502" s="47">
        <f t="shared" si="809"/>
        <v>232985</v>
      </c>
      <c r="F9502" s="47">
        <f t="shared" si="810"/>
        <v>4273</v>
      </c>
      <c r="G9502" s="203">
        <f>SUM(C9502,C9478,C9454,C9430,C9406,C9382,C9358,C9334,C9310,C9286,C9262,C9238,C9214,C9190)/POBLA!$B$21*100000</f>
        <v>230.48745934445532</v>
      </c>
      <c r="H9502" s="254">
        <f t="shared" si="811"/>
        <v>1.3281733746130031</v>
      </c>
    </row>
    <row r="9503" spans="1:8" ht="15.75" thickBot="1" x14ac:dyDescent="0.3">
      <c r="A9503" s="84" t="s">
        <v>38</v>
      </c>
      <c r="B9503" s="355">
        <v>44288</v>
      </c>
      <c r="C9503" s="1">
        <v>104</v>
      </c>
      <c r="D9503" s="47">
        <f t="shared" si="809"/>
        <v>25405</v>
      </c>
      <c r="F9503" s="47">
        <f t="shared" si="810"/>
        <v>297</v>
      </c>
      <c r="G9503" s="203">
        <f>SUM(C9503,C9479,C9455,C9431,C9407,C9383,C9359,C9335,C9311,C9287,C9263,C9239,C9215,C9191)/POBLA!$B$22*100000</f>
        <v>149.84979244883795</v>
      </c>
      <c r="H9503" s="254">
        <f t="shared" si="811"/>
        <v>1.4943934760448523</v>
      </c>
    </row>
    <row r="9504" spans="1:8" ht="15.75" thickBot="1" x14ac:dyDescent="0.3">
      <c r="A9504" s="84" t="s">
        <v>39</v>
      </c>
      <c r="B9504" s="355">
        <v>44288</v>
      </c>
      <c r="C9504" s="1">
        <v>68</v>
      </c>
      <c r="D9504" s="47">
        <f t="shared" si="809"/>
        <v>24213</v>
      </c>
      <c r="F9504" s="47">
        <f t="shared" si="810"/>
        <v>367</v>
      </c>
      <c r="G9504" s="203">
        <f>SUM(C9504,C9480,C9456,C9432,C9408,C9384,C9360,C9336,C9312,C9288,C9264,C9240,C9216,C9192)/POBLA!$B$23*100000</f>
        <v>382.28807329073118</v>
      </c>
      <c r="H9504" s="254">
        <f t="shared" si="811"/>
        <v>1.6568627450980393</v>
      </c>
    </row>
    <row r="9505" spans="1:8" ht="15.75" thickBot="1" x14ac:dyDescent="0.3">
      <c r="A9505" s="85" t="s">
        <v>40</v>
      </c>
      <c r="B9505" s="355">
        <v>44288</v>
      </c>
      <c r="C9505" s="1">
        <v>265</v>
      </c>
      <c r="D9505" s="214">
        <f t="shared" si="809"/>
        <v>88657</v>
      </c>
      <c r="F9505" s="214">
        <f t="shared" si="810"/>
        <v>1502</v>
      </c>
      <c r="G9505" s="215">
        <f>SUM(C9505,C9481,C9457,C9433,C9409,C9385,C9361,C9337,C9313,C9289,C9265,C9241,C9217,C9193)/POBLA!$B$24*100000</f>
        <v>294.63206692095622</v>
      </c>
      <c r="H9505" s="255">
        <f t="shared" si="811"/>
        <v>1.6738183037210861</v>
      </c>
    </row>
    <row r="9506" spans="1:8" ht="15.75" thickBot="1" x14ac:dyDescent="0.3">
      <c r="A9506" s="36" t="s">
        <v>16</v>
      </c>
      <c r="B9506" s="355">
        <v>44289</v>
      </c>
      <c r="C9506" s="17">
        <v>5306</v>
      </c>
      <c r="D9506" s="211">
        <f t="shared" si="809"/>
        <v>1004976</v>
      </c>
      <c r="E9506" s="1">
        <v>53</v>
      </c>
      <c r="F9506" s="211">
        <f t="shared" si="810"/>
        <v>28351</v>
      </c>
      <c r="G9506" s="212">
        <f>SUM(C9506,C9482,C9458,C9434,C9410,C9386,C9362,C9338,C9314,C9290,C9266,C9242,C9218,C9194)/POBLA!$B$1*100000</f>
        <v>384.24524379571432</v>
      </c>
      <c r="H9506" s="253">
        <f t="shared" si="811"/>
        <v>1.6600004925744403</v>
      </c>
    </row>
    <row r="9507" spans="1:8" ht="15.75" thickBot="1" x14ac:dyDescent="0.3">
      <c r="A9507" s="84" t="s">
        <v>43</v>
      </c>
      <c r="B9507" s="355">
        <v>44289</v>
      </c>
      <c r="C9507" s="17">
        <v>1888</v>
      </c>
      <c r="D9507" s="47">
        <f t="shared" si="809"/>
        <v>266496</v>
      </c>
      <c r="E9507" s="1">
        <v>8</v>
      </c>
      <c r="F9507" s="47">
        <f t="shared" si="810"/>
        <v>6896</v>
      </c>
      <c r="G9507" s="203">
        <f>SUM(C9507,C9483,C9459,C9435,C9411,C9387,C9363,C9339,C9315,C9291,C9267,C9243,C9219,C9195)/POBLA!$B$2*100000</f>
        <v>615.02526623675158</v>
      </c>
      <c r="H9507" s="254">
        <f t="shared" si="811"/>
        <v>1.6359076364265328</v>
      </c>
    </row>
    <row r="9508" spans="1:8" ht="15.75" thickBot="1" x14ac:dyDescent="0.3">
      <c r="A9508" s="84" t="s">
        <v>28</v>
      </c>
      <c r="B9508" s="355">
        <v>44289</v>
      </c>
      <c r="C9508" s="17">
        <v>83</v>
      </c>
      <c r="D9508" s="47">
        <f t="shared" si="809"/>
        <v>10707</v>
      </c>
      <c r="F9508" s="47">
        <f t="shared" si="810"/>
        <v>18</v>
      </c>
      <c r="G9508" s="203">
        <f>SUM(C9508,C9484,C9460,C9436,C9412,C9388,C9364,C9340,C9316,C9292,C9268,C9244,C9220,C9196)/POBLA!$B$3*100000</f>
        <v>254.91168357251863</v>
      </c>
      <c r="H9508" s="254">
        <f t="shared" si="811"/>
        <v>0.85265700483091789</v>
      </c>
    </row>
    <row r="9509" spans="1:8" ht="15.75" thickBot="1" x14ac:dyDescent="0.3">
      <c r="A9509" s="84" t="s">
        <v>15</v>
      </c>
      <c r="B9509" s="355">
        <v>44289</v>
      </c>
      <c r="C9509" s="17">
        <v>84</v>
      </c>
      <c r="D9509" s="47">
        <f t="shared" si="809"/>
        <v>38945</v>
      </c>
      <c r="E9509" s="1">
        <v>3</v>
      </c>
      <c r="F9509" s="47">
        <f t="shared" si="810"/>
        <v>930</v>
      </c>
      <c r="G9509" s="203">
        <f>SUM(C9509,C9485,C9461,C9437,C9413,C9389,C9365,C9341,C9317,C9293,C9269,C9245,C9221,C9197)/POBLA!$B$4*100000</f>
        <v>174.58932489637132</v>
      </c>
      <c r="H9509" s="254">
        <f t="shared" si="811"/>
        <v>1.1288244766505635</v>
      </c>
    </row>
    <row r="9510" spans="1:8" ht="15.75" thickBot="1" x14ac:dyDescent="0.3">
      <c r="A9510" s="84" t="s">
        <v>29</v>
      </c>
      <c r="B9510" s="355">
        <v>44289</v>
      </c>
      <c r="C9510" s="17">
        <v>41</v>
      </c>
      <c r="D9510" s="47">
        <f t="shared" si="809"/>
        <v>50313</v>
      </c>
      <c r="F9510" s="47">
        <f t="shared" si="810"/>
        <v>870</v>
      </c>
      <c r="G9510" s="203">
        <f>SUM(C9510,C9486,C9462,C9438,C9414,C9390,C9366,C9342,C9318,C9294,C9270,C9246,C9222,C9198)/POBLA!$B$5*100000</f>
        <v>255.73753542037562</v>
      </c>
      <c r="H9510" s="254">
        <f t="shared" si="811"/>
        <v>1.2890879478827362</v>
      </c>
    </row>
    <row r="9511" spans="1:8" ht="15.75" thickBot="1" x14ac:dyDescent="0.3">
      <c r="A9511" s="84" t="s">
        <v>30</v>
      </c>
      <c r="B9511" s="355">
        <v>44289</v>
      </c>
      <c r="C9511" s="17">
        <v>193</v>
      </c>
      <c r="D9511" s="47">
        <f t="shared" si="809"/>
        <v>30865</v>
      </c>
      <c r="F9511" s="47">
        <f t="shared" si="810"/>
        <v>328</v>
      </c>
      <c r="G9511" s="203">
        <f>SUM(C9511,C9487,C9463,C9439,C9415,C9391,C9367,C9343,C9319,C9295,C9271,C9247,C9223,C9199)/POBLA!$B$6*100000</f>
        <v>400.96323968304807</v>
      </c>
      <c r="H9511" s="254">
        <f t="shared" si="811"/>
        <v>1.3495495495495495</v>
      </c>
    </row>
    <row r="9512" spans="1:8" ht="15.75" thickBot="1" x14ac:dyDescent="0.3">
      <c r="A9512" s="84" t="s">
        <v>20</v>
      </c>
      <c r="B9512" s="355">
        <v>44289</v>
      </c>
      <c r="C9512" s="17">
        <v>585</v>
      </c>
      <c r="D9512" s="47">
        <f t="shared" si="809"/>
        <v>183109</v>
      </c>
      <c r="E9512" s="1">
        <v>3</v>
      </c>
      <c r="F9512" s="47">
        <f t="shared" si="810"/>
        <v>3048</v>
      </c>
      <c r="G9512" s="203">
        <f>SUM(C9512,C9488,C9464,C9440,C9416,C9392,C9368,C9344,C9320,C9296,C9272,C9248,C9224,C9200)/POBLA!$B$7*100000</f>
        <v>300.8948397133322</v>
      </c>
      <c r="H9512" s="254">
        <f t="shared" si="811"/>
        <v>1.3781973203410476</v>
      </c>
    </row>
    <row r="9513" spans="1:8" ht="15.75" thickBot="1" x14ac:dyDescent="0.3">
      <c r="A9513" s="84" t="s">
        <v>31</v>
      </c>
      <c r="B9513" s="355">
        <v>44289</v>
      </c>
      <c r="C9513" s="17">
        <v>109</v>
      </c>
      <c r="D9513" s="47">
        <f t="shared" si="809"/>
        <v>50444</v>
      </c>
      <c r="E9513" s="1">
        <v>1</v>
      </c>
      <c r="F9513" s="47">
        <f t="shared" si="810"/>
        <v>950</v>
      </c>
      <c r="G9513" s="203">
        <f>SUM(C9513,C9489,C9465,C9441,C9417,C9393,C9369,C9345,C9321,C9297,C9273,C9249,C9225,C9201)/POBLA!$B$8*100000</f>
        <v>176.48404248027182</v>
      </c>
      <c r="H9513" s="254">
        <f t="shared" si="811"/>
        <v>1.1868025230470645</v>
      </c>
    </row>
    <row r="9514" spans="1:8" ht="15.75" thickBot="1" x14ac:dyDescent="0.3">
      <c r="A9514" s="84" t="s">
        <v>41</v>
      </c>
      <c r="B9514" s="355">
        <v>44289</v>
      </c>
      <c r="C9514" s="17">
        <v>4</v>
      </c>
      <c r="D9514" s="47">
        <f t="shared" si="809"/>
        <v>2298</v>
      </c>
      <c r="E9514" s="1">
        <v>5</v>
      </c>
      <c r="F9514" s="47">
        <f t="shared" si="810"/>
        <v>41</v>
      </c>
      <c r="G9514" s="203">
        <f>SUM(C9514,C9490,C9466,C9442,C9418,C9394,C9370,C9346,C9322,C9298,C9274,C9250,C9226,C9202)/POBLA!$B$9*100000</f>
        <v>100.629055524436</v>
      </c>
      <c r="H9514" s="254">
        <f t="shared" si="811"/>
        <v>1.7449856733524356</v>
      </c>
    </row>
    <row r="9515" spans="1:8" ht="15.75" thickBot="1" x14ac:dyDescent="0.3">
      <c r="A9515" s="84" t="s">
        <v>32</v>
      </c>
      <c r="B9515" s="355">
        <v>44289</v>
      </c>
      <c r="C9515" s="17">
        <v>27</v>
      </c>
      <c r="D9515" s="47">
        <f t="shared" si="809"/>
        <v>22612</v>
      </c>
      <c r="E9515" s="1">
        <v>2</v>
      </c>
      <c r="F9515" s="47">
        <f t="shared" si="810"/>
        <v>976</v>
      </c>
      <c r="G9515" s="203">
        <f>SUM(C9515,C9491,C9467,C9443,C9419,C9395,C9371,C9347,C9323,C9299,C9275,C9251,C9227,C9203)/POBLA!$B$10*100000</f>
        <v>82.892171424642711</v>
      </c>
      <c r="H9515" s="254">
        <f t="shared" si="811"/>
        <v>0.83203125</v>
      </c>
    </row>
    <row r="9516" spans="1:8" ht="15.75" thickBot="1" x14ac:dyDescent="0.3">
      <c r="A9516" s="84" t="s">
        <v>33</v>
      </c>
      <c r="B9516" s="355">
        <v>44289</v>
      </c>
      <c r="C9516" s="17">
        <v>64</v>
      </c>
      <c r="D9516" s="47">
        <f t="shared" si="809"/>
        <v>21516</v>
      </c>
      <c r="F9516" s="47">
        <f t="shared" si="810"/>
        <v>322</v>
      </c>
      <c r="G9516" s="203">
        <f>SUM(C9516,C9492,C9468,C9444,C9420,C9396,C9372,C9348,C9324,C9300,C9276,C9252,C9228,C9204)/POBLA!$B$11*100000</f>
        <v>299.36277299764527</v>
      </c>
      <c r="H9516" s="254">
        <f t="shared" si="811"/>
        <v>0.86184738955823292</v>
      </c>
    </row>
    <row r="9517" spans="1:8" ht="15.75" thickBot="1" x14ac:dyDescent="0.3">
      <c r="A9517" s="84" t="s">
        <v>21</v>
      </c>
      <c r="B9517" s="355">
        <v>44289</v>
      </c>
      <c r="C9517" s="17">
        <v>97</v>
      </c>
      <c r="D9517" s="47">
        <f t="shared" si="809"/>
        <v>11301</v>
      </c>
      <c r="F9517" s="47">
        <f t="shared" si="810"/>
        <v>449</v>
      </c>
      <c r="G9517" s="203">
        <f>SUM(C9517,C9493,C9469,C9445,C9421,C9397,C9373,C9349,C9325,C9301,C9277,C9253,C9229,C9205)/POBLA!$B$12*100000</f>
        <v>159.5808208247889</v>
      </c>
      <c r="H9517" s="254">
        <f t="shared" si="811"/>
        <v>1.9503105590062111</v>
      </c>
    </row>
    <row r="9518" spans="1:8" ht="15.75" thickBot="1" x14ac:dyDescent="0.3">
      <c r="A9518" s="84" t="s">
        <v>17</v>
      </c>
      <c r="B9518" s="355">
        <v>44289</v>
      </c>
      <c r="C9518" s="17">
        <v>271</v>
      </c>
      <c r="D9518" s="47">
        <f t="shared" si="809"/>
        <v>74001</v>
      </c>
      <c r="F9518" s="47">
        <f t="shared" si="810"/>
        <v>1513</v>
      </c>
      <c r="G9518" s="203">
        <f>SUM(C9518,C9494,C9470,C9446,C9422,C9398,C9374,C9350,C9326,C9302,C9278,C9254,C9230,C9206)/POBLA!$B$13*100000</f>
        <v>182.02938395388119</v>
      </c>
      <c r="H9518" s="254">
        <f t="shared" si="811"/>
        <v>1.6415949252378794</v>
      </c>
    </row>
    <row r="9519" spans="1:8" ht="15.75" thickBot="1" x14ac:dyDescent="0.3">
      <c r="A9519" s="84" t="s">
        <v>23</v>
      </c>
      <c r="B9519" s="355">
        <v>44289</v>
      </c>
      <c r="C9519" s="17">
        <v>63</v>
      </c>
      <c r="D9519" s="47">
        <f t="shared" si="809"/>
        <v>12306</v>
      </c>
      <c r="E9519" s="1">
        <v>3</v>
      </c>
      <c r="F9519" s="47">
        <f t="shared" si="810"/>
        <v>210</v>
      </c>
      <c r="G9519" s="203">
        <f>SUM(C9519,C9495,C9471,C9447,C9423,C9399,C9375,C9351,C9327,C9303,C9279,C9255,C9231,C9207)/POBLA!$B$14*100000</f>
        <v>129.39092709550667</v>
      </c>
      <c r="H9519" s="254">
        <f t="shared" si="811"/>
        <v>0.98254063816977721</v>
      </c>
    </row>
    <row r="9520" spans="1:8" ht="15.75" thickBot="1" x14ac:dyDescent="0.3">
      <c r="A9520" s="84" t="s">
        <v>19</v>
      </c>
      <c r="B9520" s="355">
        <v>44289</v>
      </c>
      <c r="C9520" s="17">
        <v>63</v>
      </c>
      <c r="D9520" s="47">
        <f t="shared" si="809"/>
        <v>65434</v>
      </c>
      <c r="E9520" s="1">
        <v>4</v>
      </c>
      <c r="F9520" s="47">
        <f t="shared" si="810"/>
        <v>1014</v>
      </c>
      <c r="G9520" s="203">
        <f>SUM(C9520,C9496,C9472,C9448,C9424,C9400,C9376,C9352,C9328,C9304,C9280,C9256,C9232,C9208)/POBLA!$B$15*100000</f>
        <v>216.39708639469202</v>
      </c>
      <c r="H9520" s="254">
        <f t="shared" si="811"/>
        <v>0.78310626702997277</v>
      </c>
    </row>
    <row r="9521" spans="1:8" ht="15.75" thickBot="1" x14ac:dyDescent="0.3">
      <c r="A9521" s="84" t="s">
        <v>18</v>
      </c>
      <c r="B9521" s="355">
        <v>44289</v>
      </c>
      <c r="C9521" s="17">
        <v>111</v>
      </c>
      <c r="D9521" s="47">
        <f t="shared" si="809"/>
        <v>55700</v>
      </c>
      <c r="F9521" s="47">
        <f t="shared" si="810"/>
        <v>1284</v>
      </c>
      <c r="G9521" s="203">
        <f>SUM(C9521,C9497,C9473,C9449,C9425,C9401,C9377,C9353,C9329,C9305,C9281,C9257,C9233,C9209)/POBLA!$B$16*100000</f>
        <v>176.83016546060111</v>
      </c>
      <c r="H9521" s="254">
        <f t="shared" si="811"/>
        <v>1.0360501567398119</v>
      </c>
    </row>
    <row r="9522" spans="1:8" ht="15.75" thickBot="1" x14ac:dyDescent="0.3">
      <c r="A9522" s="84" t="s">
        <v>34</v>
      </c>
      <c r="B9522" s="355">
        <v>44289</v>
      </c>
      <c r="C9522" s="17">
        <v>74</v>
      </c>
      <c r="D9522" s="47">
        <f t="shared" ref="D9522:D9585" si="812">C9522+D9498</f>
        <v>29666</v>
      </c>
      <c r="F9522" s="47">
        <f t="shared" ref="F9522:F9585" si="813">E9522+F9498</f>
        <v>1205</v>
      </c>
      <c r="G9522" s="203">
        <f>SUM(C9522,C9498,C9474,C9450,C9426,C9402,C9378,C9354,C9330,C9306,C9282,C9258,C9234,C9210)/POBLA!$B$17*100000</f>
        <v>98.427615334769726</v>
      </c>
      <c r="H9522" s="254">
        <f t="shared" ref="H9522:H9545" si="814">SUM(C9522,C9498,C9474,C9450,C9426,C9402,C9378,C9354,C9330,C9306,C9282,C9258,C9234,C9210)/SUM(C9186,C9162,C9138,C9114,C9090,C9066,C9042,C9018,C8994,C8970,C8946,C8922,C8898,C8874)</f>
        <v>0.98732394366197185</v>
      </c>
    </row>
    <row r="9523" spans="1:8" ht="15.75" thickBot="1" x14ac:dyDescent="0.3">
      <c r="A9523" s="84" t="s">
        <v>35</v>
      </c>
      <c r="B9523" s="355">
        <v>44289</v>
      </c>
      <c r="C9523" s="17">
        <v>14</v>
      </c>
      <c r="D9523" s="47">
        <f t="shared" si="812"/>
        <v>17450</v>
      </c>
      <c r="F9523" s="47">
        <f t="shared" si="813"/>
        <v>224</v>
      </c>
      <c r="G9523" s="203">
        <f>SUM(C9523,C9499,C9475,C9451,C9427,C9403,C9379,C9355,C9331,C9307,C9283,C9259,C9235,C9211)/POBLA!$B$18*100000</f>
        <v>145.79815851421563</v>
      </c>
      <c r="H9523" s="254">
        <f t="shared" si="814"/>
        <v>1.4472681067344346</v>
      </c>
    </row>
    <row r="9524" spans="1:8" ht="15.75" thickBot="1" x14ac:dyDescent="0.3">
      <c r="A9524" s="84" t="s">
        <v>36</v>
      </c>
      <c r="B9524" s="355">
        <v>44289</v>
      </c>
      <c r="C9524" s="17">
        <v>243</v>
      </c>
      <c r="D9524" s="47">
        <f t="shared" si="812"/>
        <v>23433</v>
      </c>
      <c r="F9524" s="47">
        <f t="shared" si="813"/>
        <v>430</v>
      </c>
      <c r="G9524" s="203">
        <f>SUM(C9524,C9500,C9476,C9452,C9428,C9404,C9380,C9356,C9332,C9308,C9284,C9260,C9236,C9212)/POBLA!$B$19*100000</f>
        <v>370.03666923718544</v>
      </c>
      <c r="H9524" s="254">
        <f t="shared" si="814"/>
        <v>2.508</v>
      </c>
    </row>
    <row r="9525" spans="1:8" ht="15.75" thickBot="1" x14ac:dyDescent="0.3">
      <c r="A9525" s="84" t="s">
        <v>37</v>
      </c>
      <c r="B9525" s="355">
        <v>44289</v>
      </c>
      <c r="C9525" s="17">
        <v>70</v>
      </c>
      <c r="D9525" s="47">
        <f t="shared" si="812"/>
        <v>39711</v>
      </c>
      <c r="F9525" s="47">
        <f t="shared" si="813"/>
        <v>642</v>
      </c>
      <c r="G9525" s="203">
        <f>SUM(C9525,C9501,C9477,C9453,C9429,C9405,C9381,C9357,C9333,C9309,C9285,C9261,C9237,C9213)/POBLA!$B$20*100000</f>
        <v>428.49564394664452</v>
      </c>
      <c r="H9525" s="254">
        <f t="shared" si="814"/>
        <v>1.0228459530026111</v>
      </c>
    </row>
    <row r="9526" spans="1:8" ht="15.75" thickBot="1" x14ac:dyDescent="0.3">
      <c r="A9526" s="84" t="s">
        <v>22</v>
      </c>
      <c r="B9526" s="355">
        <v>44289</v>
      </c>
      <c r="C9526" s="17">
        <v>495</v>
      </c>
      <c r="D9526" s="47">
        <f t="shared" si="812"/>
        <v>233480</v>
      </c>
      <c r="E9526" s="1">
        <v>1</v>
      </c>
      <c r="F9526" s="47">
        <f t="shared" si="813"/>
        <v>4274</v>
      </c>
      <c r="G9526" s="203">
        <f>SUM(C9526,C9502,C9478,C9454,C9430,C9406,C9382,C9358,C9334,C9310,C9286,C9262,C9238,C9214)/POBLA!$B$21*100000</f>
        <v>233.11723896892278</v>
      </c>
      <c r="H9526" s="254">
        <f t="shared" si="814"/>
        <v>1.3292486294743631</v>
      </c>
    </row>
    <row r="9527" spans="1:8" ht="15.75" thickBot="1" x14ac:dyDescent="0.3">
      <c r="A9527" s="84" t="s">
        <v>38</v>
      </c>
      <c r="B9527" s="355">
        <v>44289</v>
      </c>
      <c r="C9527" s="17">
        <v>142</v>
      </c>
      <c r="D9527" s="47">
        <f t="shared" si="812"/>
        <v>25547</v>
      </c>
      <c r="F9527" s="47">
        <f t="shared" si="813"/>
        <v>297</v>
      </c>
      <c r="G9527" s="203">
        <f>SUM(C9527,C9503,C9479,C9455,C9431,C9407,C9383,C9359,C9335,C9311,C9287,C9263,C9239,C9215)/POBLA!$B$22*100000</f>
        <v>154.65398088341871</v>
      </c>
      <c r="H9527" s="254">
        <f t="shared" si="814"/>
        <v>1.4804305283757337</v>
      </c>
    </row>
    <row r="9528" spans="1:8" ht="15.75" thickBot="1" x14ac:dyDescent="0.3">
      <c r="A9528" s="84" t="s">
        <v>39</v>
      </c>
      <c r="B9528" s="355">
        <v>44289</v>
      </c>
      <c r="C9528" s="17">
        <v>18</v>
      </c>
      <c r="D9528" s="47">
        <f t="shared" si="812"/>
        <v>24231</v>
      </c>
      <c r="F9528" s="47">
        <f t="shared" si="813"/>
        <v>367</v>
      </c>
      <c r="G9528" s="203">
        <f>SUM(C9528,C9504,C9480,C9456,C9432,C9408,C9384,C9360,C9336,C9312,C9288,C9264,C9240,C9216)/POBLA!$B$23*100000</f>
        <v>377.76395408018999</v>
      </c>
      <c r="H9528" s="254">
        <f t="shared" si="814"/>
        <v>1.5754716981132075</v>
      </c>
    </row>
    <row r="9529" spans="1:8" ht="15.75" thickBot="1" x14ac:dyDescent="0.3">
      <c r="A9529" s="85" t="s">
        <v>40</v>
      </c>
      <c r="B9529" s="355">
        <v>44289</v>
      </c>
      <c r="C9529" s="17">
        <v>339</v>
      </c>
      <c r="D9529" s="214">
        <f t="shared" si="812"/>
        <v>88996</v>
      </c>
      <c r="F9529" s="214">
        <f t="shared" si="813"/>
        <v>1502</v>
      </c>
      <c r="G9529" s="215">
        <f>SUM(C9529,C9505,C9481,C9457,C9433,C9409,C9385,C9361,C9337,C9313,C9289,C9265,C9241,C9217)/POBLA!$B$24*100000</f>
        <v>301.1820688092451</v>
      </c>
      <c r="H9529" s="255">
        <f t="shared" si="814"/>
        <v>1.6332800000000001</v>
      </c>
    </row>
    <row r="9530" spans="1:8" ht="15.75" thickBot="1" x14ac:dyDescent="0.3">
      <c r="A9530" s="36" t="s">
        <v>16</v>
      </c>
      <c r="B9530" s="355">
        <v>44290</v>
      </c>
      <c r="C9530" s="17">
        <v>5274</v>
      </c>
      <c r="D9530" s="211">
        <f t="shared" si="812"/>
        <v>1010250</v>
      </c>
      <c r="E9530" s="1">
        <v>76</v>
      </c>
      <c r="F9530" s="211">
        <f t="shared" si="813"/>
        <v>28427</v>
      </c>
      <c r="G9530" s="212">
        <f>SUM(C9530,C9506,C9482,C9458,C9434,C9410,C9386,C9362,C9338,C9314,C9290,C9266,C9242,C9218)/POBLA!$B$1*100000</f>
        <v>404.86533914755034</v>
      </c>
      <c r="H9530" s="253">
        <f t="shared" si="814"/>
        <v>1.7208141507148049</v>
      </c>
    </row>
    <row r="9531" spans="1:8" ht="15.75" thickBot="1" x14ac:dyDescent="0.3">
      <c r="A9531" s="84" t="s">
        <v>43</v>
      </c>
      <c r="B9531" s="355">
        <v>44290</v>
      </c>
      <c r="C9531" s="17">
        <v>1944</v>
      </c>
      <c r="D9531" s="47">
        <f t="shared" si="812"/>
        <v>268440</v>
      </c>
      <c r="E9531" s="1">
        <v>9</v>
      </c>
      <c r="F9531" s="47">
        <f t="shared" si="813"/>
        <v>6905</v>
      </c>
      <c r="G9531" s="203">
        <f>SUM(C9531,C9507,C9483,C9459,C9435,C9411,C9387,C9363,C9339,C9315,C9291,C9267,C9243,C9219)/POBLA!$B$2*100000</f>
        <v>657.97559276977904</v>
      </c>
      <c r="H9531" s="254">
        <f t="shared" si="814"/>
        <v>1.7212724334439058</v>
      </c>
    </row>
    <row r="9532" spans="1:8" ht="15.75" thickBot="1" x14ac:dyDescent="0.3">
      <c r="A9532" s="84" t="s">
        <v>28</v>
      </c>
      <c r="B9532" s="355">
        <v>44290</v>
      </c>
      <c r="C9532" s="17">
        <v>52</v>
      </c>
      <c r="D9532" s="47">
        <f t="shared" si="812"/>
        <v>10759</v>
      </c>
      <c r="F9532" s="47">
        <f t="shared" si="813"/>
        <v>18</v>
      </c>
      <c r="G9532" s="203">
        <f>SUM(C9532,C9508,C9484,C9460,C9436,C9412,C9388,C9364,C9340,C9316,C9292,C9268,C9244,C9220)/POBLA!$B$3*100000</f>
        <v>254.91168357251863</v>
      </c>
      <c r="H9532" s="254">
        <f t="shared" si="814"/>
        <v>0.84855769230769229</v>
      </c>
    </row>
    <row r="9533" spans="1:8" ht="15.75" thickBot="1" x14ac:dyDescent="0.3">
      <c r="A9533" s="84" t="s">
        <v>15</v>
      </c>
      <c r="B9533" s="355">
        <v>44290</v>
      </c>
      <c r="C9533" s="17">
        <v>75</v>
      </c>
      <c r="D9533" s="47">
        <f t="shared" si="812"/>
        <v>39020</v>
      </c>
      <c r="E9533" s="1">
        <v>1</v>
      </c>
      <c r="F9533" s="47">
        <f t="shared" si="813"/>
        <v>931</v>
      </c>
      <c r="G9533" s="203">
        <f>SUM(C9533,C9509,C9485,C9461,C9437,C9413,C9389,C9365,C9341,C9317,C9293,C9269,C9245,C9221)/POBLA!$B$4*100000</f>
        <v>170.8534620241237</v>
      </c>
      <c r="H9533" s="254">
        <f t="shared" si="814"/>
        <v>1.0837282780410742</v>
      </c>
    </row>
    <row r="9534" spans="1:8" ht="15.75" thickBot="1" x14ac:dyDescent="0.3">
      <c r="A9534" s="84" t="s">
        <v>29</v>
      </c>
      <c r="B9534" s="355">
        <v>44290</v>
      </c>
      <c r="C9534" s="17">
        <v>22</v>
      </c>
      <c r="D9534" s="47">
        <f t="shared" si="812"/>
        <v>50335</v>
      </c>
      <c r="F9534" s="47">
        <f t="shared" si="813"/>
        <v>870</v>
      </c>
      <c r="G9534" s="203">
        <f>SUM(C9534,C9510,C9486,C9462,C9438,C9414,C9390,C9366,C9342,C9318,C9294,C9270,C9246,C9222)/POBLA!$B$5*100000</f>
        <v>256.54529769270783</v>
      </c>
      <c r="H9534" s="254">
        <f t="shared" si="814"/>
        <v>1.3200332502078138</v>
      </c>
    </row>
    <row r="9535" spans="1:8" ht="15.75" thickBot="1" x14ac:dyDescent="0.3">
      <c r="A9535" s="84" t="s">
        <v>30</v>
      </c>
      <c r="B9535" s="355">
        <v>44290</v>
      </c>
      <c r="C9535" s="17">
        <v>7</v>
      </c>
      <c r="D9535" s="47">
        <f t="shared" si="812"/>
        <v>30872</v>
      </c>
      <c r="F9535" s="47">
        <f t="shared" si="813"/>
        <v>328</v>
      </c>
      <c r="G9535" s="203">
        <f>SUM(C9535,C9511,C9487,C9463,C9439,C9415,C9391,C9367,C9343,C9319,C9295,C9271,C9247,C9223)/POBLA!$B$6*100000</f>
        <v>393.02249016551553</v>
      </c>
      <c r="H9535" s="254">
        <f t="shared" si="814"/>
        <v>1.3401277760876178</v>
      </c>
    </row>
    <row r="9536" spans="1:8" ht="15.75" thickBot="1" x14ac:dyDescent="0.3">
      <c r="A9536" s="84" t="s">
        <v>20</v>
      </c>
      <c r="B9536" s="355">
        <v>44290</v>
      </c>
      <c r="C9536" s="17">
        <v>755</v>
      </c>
      <c r="D9536" s="47">
        <f t="shared" si="812"/>
        <v>183864</v>
      </c>
      <c r="E9536" s="1">
        <v>5</v>
      </c>
      <c r="F9536" s="47">
        <f t="shared" si="813"/>
        <v>3053</v>
      </c>
      <c r="G9536" s="203">
        <f>SUM(C9536,C9512,C9488,C9464,C9440,C9416,C9392,C9368,C9344,C9320,C9296,C9272,C9248,C9224)/POBLA!$B$7*100000</f>
        <v>310.20223643446928</v>
      </c>
      <c r="H9536" s="254">
        <f t="shared" si="814"/>
        <v>1.3955018542887905</v>
      </c>
    </row>
    <row r="9537" spans="1:8" ht="15.75" thickBot="1" x14ac:dyDescent="0.3">
      <c r="A9537" s="84" t="s">
        <v>31</v>
      </c>
      <c r="B9537" s="355">
        <v>44290</v>
      </c>
      <c r="C9537" s="17">
        <v>156</v>
      </c>
      <c r="D9537" s="47">
        <f t="shared" si="812"/>
        <v>50600</v>
      </c>
      <c r="F9537" s="47">
        <f t="shared" si="813"/>
        <v>950</v>
      </c>
      <c r="G9537" s="203">
        <f>SUM(C9537,C9513,C9489,C9465,C9441,C9417,C9393,C9369,C9345,C9321,C9297,C9273,C9249,C9225)/POBLA!$B$8*100000</f>
        <v>178.57645344998886</v>
      </c>
      <c r="H9537" s="254">
        <f t="shared" si="814"/>
        <v>1.1608818011257036</v>
      </c>
    </row>
    <row r="9538" spans="1:8" ht="15.75" thickBot="1" x14ac:dyDescent="0.3">
      <c r="A9538" s="84" t="s">
        <v>41</v>
      </c>
      <c r="B9538" s="355">
        <v>44290</v>
      </c>
      <c r="C9538" s="17">
        <v>21</v>
      </c>
      <c r="D9538" s="47">
        <f t="shared" si="812"/>
        <v>2319</v>
      </c>
      <c r="F9538" s="47">
        <f t="shared" si="813"/>
        <v>41</v>
      </c>
      <c r="G9538" s="203">
        <f>SUM(C9538,C9514,C9490,C9466,C9442,C9418,C9394,C9370,C9346,C9322,C9298,C9274,C9250,C9226)/POBLA!$B$9*100000</f>
        <v>103.1076036900625</v>
      </c>
      <c r="H9538" s="254">
        <f t="shared" si="814"/>
        <v>1.9082568807339451</v>
      </c>
    </row>
    <row r="9539" spans="1:8" ht="15.75" thickBot="1" x14ac:dyDescent="0.3">
      <c r="A9539" s="84" t="s">
        <v>32</v>
      </c>
      <c r="B9539" s="355">
        <v>44290</v>
      </c>
      <c r="C9539" s="17">
        <v>35</v>
      </c>
      <c r="D9539" s="47">
        <f t="shared" si="812"/>
        <v>22647</v>
      </c>
      <c r="F9539" s="47">
        <f t="shared" si="813"/>
        <v>976</v>
      </c>
      <c r="G9539" s="203">
        <f>SUM(C9539,C9515,C9491,C9467,C9443,C9419,C9395,C9371,C9347,C9323,C9299,C9275,C9251,C9227)/POBLA!$B$10*100000</f>
        <v>80.816624096326152</v>
      </c>
      <c r="H9539" s="254">
        <f t="shared" si="814"/>
        <v>0.8165137614678899</v>
      </c>
    </row>
    <row r="9540" spans="1:8" ht="15.75" thickBot="1" x14ac:dyDescent="0.3">
      <c r="A9540" s="84" t="s">
        <v>33</v>
      </c>
      <c r="B9540" s="355">
        <v>44290</v>
      </c>
      <c r="C9540" s="17">
        <v>86</v>
      </c>
      <c r="D9540" s="47">
        <f t="shared" si="812"/>
        <v>21602</v>
      </c>
      <c r="F9540" s="47">
        <f t="shared" si="813"/>
        <v>322</v>
      </c>
      <c r="G9540" s="203">
        <f>SUM(C9540,C9516,C9492,C9468,C9444,C9420,C9396,C9372,C9348,C9324,C9300,C9276,C9252,C9228)/POBLA!$B$11*100000</f>
        <v>310.52261542067026</v>
      </c>
      <c r="H9540" s="254">
        <f t="shared" si="814"/>
        <v>0.89182692307692313</v>
      </c>
    </row>
    <row r="9541" spans="1:8" ht="15.75" thickBot="1" x14ac:dyDescent="0.3">
      <c r="A9541" s="84" t="s">
        <v>21</v>
      </c>
      <c r="B9541" s="355">
        <v>44290</v>
      </c>
      <c r="C9541" s="17">
        <v>60</v>
      </c>
      <c r="D9541" s="47">
        <f t="shared" si="812"/>
        <v>11361</v>
      </c>
      <c r="F9541" s="47">
        <f t="shared" si="813"/>
        <v>449</v>
      </c>
      <c r="G9541" s="203">
        <f>SUM(C9541,C9517,C9493,C9469,C9445,C9421,C9397,C9373,C9349,C9325,C9301,C9277,C9253,C9229)/POBLA!$B$12*100000</f>
        <v>169.49109472951307</v>
      </c>
      <c r="H9541" s="254">
        <f t="shared" si="814"/>
        <v>2.0151057401812689</v>
      </c>
    </row>
    <row r="9542" spans="1:8" ht="15.75" thickBot="1" x14ac:dyDescent="0.3">
      <c r="A9542" s="84" t="s">
        <v>17</v>
      </c>
      <c r="B9542" s="355">
        <v>44290</v>
      </c>
      <c r="C9542" s="17">
        <v>356</v>
      </c>
      <c r="D9542" s="47">
        <f t="shared" si="812"/>
        <v>74357</v>
      </c>
      <c r="F9542" s="47">
        <f t="shared" si="813"/>
        <v>1513</v>
      </c>
      <c r="G9542" s="203">
        <f>SUM(C9542,C9518,C9494,C9470,C9446,C9422,C9398,C9374,C9350,C9326,C9302,C9278,C9254,C9230)/POBLA!$B$13*100000</f>
        <v>196.24807444765662</v>
      </c>
      <c r="H9542" s="254">
        <f t="shared" si="814"/>
        <v>1.7562949640287771</v>
      </c>
    </row>
    <row r="9543" spans="1:8" ht="15.75" thickBot="1" x14ac:dyDescent="0.3">
      <c r="A9543" s="84" t="s">
        <v>23</v>
      </c>
      <c r="B9543" s="355">
        <v>44290</v>
      </c>
      <c r="C9543" s="17">
        <v>3</v>
      </c>
      <c r="D9543" s="47">
        <f t="shared" si="812"/>
        <v>12309</v>
      </c>
      <c r="F9543" s="47">
        <f t="shared" si="813"/>
        <v>210</v>
      </c>
      <c r="G9543" s="203">
        <f>SUM(C9543,C9519,C9495,C9471,C9447,C9423,C9399,C9375,C9351,C9327,C9303,C9279,C9255,C9231)/POBLA!$B$14*100000</f>
        <v>120.03545565110117</v>
      </c>
      <c r="H9543" s="254">
        <f t="shared" si="814"/>
        <v>0.90496114763897195</v>
      </c>
    </row>
    <row r="9544" spans="1:8" ht="15.75" thickBot="1" x14ac:dyDescent="0.3">
      <c r="A9544" s="84" t="s">
        <v>19</v>
      </c>
      <c r="B9544" s="355">
        <v>44290</v>
      </c>
      <c r="C9544" s="17">
        <v>64</v>
      </c>
      <c r="D9544" s="47">
        <f t="shared" si="812"/>
        <v>65498</v>
      </c>
      <c r="F9544" s="47">
        <f t="shared" si="813"/>
        <v>1014</v>
      </c>
      <c r="G9544" s="203">
        <f>SUM(C9544,C9520,C9496,C9472,C9448,C9424,C9400,C9376,C9352,C9328,C9304,C9280,C9256,C9232)/POBLA!$B$15*100000</f>
        <v>216.99944432480947</v>
      </c>
      <c r="H9544" s="254">
        <f t="shared" si="814"/>
        <v>0.81782065834279227</v>
      </c>
    </row>
    <row r="9545" spans="1:8" ht="15.75" thickBot="1" x14ac:dyDescent="0.3">
      <c r="A9545" s="84" t="s">
        <v>18</v>
      </c>
      <c r="B9545" s="355">
        <v>44290</v>
      </c>
      <c r="C9545" s="17">
        <v>31</v>
      </c>
      <c r="D9545" s="47">
        <f t="shared" si="812"/>
        <v>55731</v>
      </c>
      <c r="F9545" s="47">
        <f t="shared" si="813"/>
        <v>1284</v>
      </c>
      <c r="G9545" s="203">
        <f>SUM(C9545,C9521,C9497,C9473,C9449,C9425,C9401,C9377,C9353,C9329,C9305,C9281,C9257,C9233)/POBLA!$B$16*100000</f>
        <v>177.90024210484074</v>
      </c>
      <c r="H9545" s="254">
        <f t="shared" si="814"/>
        <v>1.0350194552529184</v>
      </c>
    </row>
    <row r="9546" spans="1:8" ht="15.75" thickBot="1" x14ac:dyDescent="0.3">
      <c r="A9546" s="84" t="s">
        <v>34</v>
      </c>
      <c r="B9546" s="355">
        <v>44290</v>
      </c>
      <c r="C9546" s="17">
        <v>76</v>
      </c>
      <c r="D9546" s="47">
        <f t="shared" si="812"/>
        <v>29742</v>
      </c>
      <c r="E9546" s="1">
        <v>1</v>
      </c>
      <c r="F9546" s="47">
        <f t="shared" si="813"/>
        <v>1206</v>
      </c>
      <c r="G9546" s="203">
        <f>SUM(C9546,C9522,C9498,C9474,C9450,C9426,C9402,C9378,C9354,C9330,C9306,C9282,C9258,C9234)/POBLA!$B$17*100000</f>
        <v>100.81459031435757</v>
      </c>
      <c r="H9546" s="254">
        <f t="shared" ref="H9546:H9569" si="815">SUM(C9546,C9522,C9498,C9474,C9450,C9426,C9402,C9378,C9354,C9330,C9306,C9282,C9258,C9234)/SUM(C9210,C9186,C9162,C9138,C9114,C9090,C9066,C9042,C9018,C8994,C8970,C8946,C8922,C8898)</f>
        <v>0.99377162629757787</v>
      </c>
    </row>
    <row r="9547" spans="1:8" ht="15.75" thickBot="1" x14ac:dyDescent="0.3">
      <c r="A9547" s="84" t="s">
        <v>35</v>
      </c>
      <c r="B9547" s="355">
        <v>44290</v>
      </c>
      <c r="C9547" s="17">
        <v>27</v>
      </c>
      <c r="D9547" s="47">
        <f t="shared" si="812"/>
        <v>17477</v>
      </c>
      <c r="F9547" s="47">
        <f t="shared" si="813"/>
        <v>224</v>
      </c>
      <c r="G9547" s="203">
        <f>SUM(C9547,C9523,C9499,C9475,C9451,C9427,C9403,C9379,C9355,C9331,C9307,C9283,C9259,C9235)/POBLA!$B$18*100000</f>
        <v>148.7422828740286</v>
      </c>
      <c r="H9547" s="254">
        <f t="shared" si="815"/>
        <v>1.4878361075544173</v>
      </c>
    </row>
    <row r="9548" spans="1:8" ht="15.75" thickBot="1" x14ac:dyDescent="0.3">
      <c r="A9548" s="84" t="s">
        <v>36</v>
      </c>
      <c r="B9548" s="355">
        <v>44290</v>
      </c>
      <c r="C9548" s="17">
        <v>185</v>
      </c>
      <c r="D9548" s="47">
        <f t="shared" si="812"/>
        <v>23618</v>
      </c>
      <c r="F9548" s="47">
        <f t="shared" si="813"/>
        <v>430</v>
      </c>
      <c r="G9548" s="203">
        <f>SUM(C9548,C9524,C9500,C9476,C9452,C9428,C9404,C9380,C9356,C9332,C9308,C9284,C9260,C9236)/POBLA!$B$19*100000</f>
        <v>406.43049369698304</v>
      </c>
      <c r="H9548" s="254">
        <f t="shared" si="815"/>
        <v>2.7546666666666666</v>
      </c>
    </row>
    <row r="9549" spans="1:8" ht="15.75" thickBot="1" x14ac:dyDescent="0.3">
      <c r="A9549" s="84" t="s">
        <v>37</v>
      </c>
      <c r="B9549" s="355">
        <v>44290</v>
      </c>
      <c r="C9549" s="17">
        <v>77</v>
      </c>
      <c r="D9549" s="47">
        <f t="shared" si="812"/>
        <v>39788</v>
      </c>
      <c r="E9549" s="1">
        <v>1</v>
      </c>
      <c r="F9549" s="47">
        <f t="shared" si="813"/>
        <v>643</v>
      </c>
      <c r="G9549" s="203">
        <f>SUM(C9549,C9525,C9501,C9477,C9453,C9429,C9405,C9381,C9357,C9333,C9309,C9285,C9261,C9237)/POBLA!$B$20*100000</f>
        <v>436.9725839353784</v>
      </c>
      <c r="H9549" s="254">
        <f t="shared" si="815"/>
        <v>1.0464963981663393</v>
      </c>
    </row>
    <row r="9550" spans="1:8" ht="15.75" thickBot="1" x14ac:dyDescent="0.3">
      <c r="A9550" s="84" t="s">
        <v>22</v>
      </c>
      <c r="B9550" s="355">
        <v>44290</v>
      </c>
      <c r="C9550" s="17">
        <v>318</v>
      </c>
      <c r="D9550" s="47">
        <f t="shared" si="812"/>
        <v>233798</v>
      </c>
      <c r="F9550" s="47">
        <f t="shared" si="813"/>
        <v>4274</v>
      </c>
      <c r="G9550" s="203">
        <f>SUM(C9550,C9526,C9502,C9478,C9454,C9430,C9406,C9382,C9358,C9334,C9310,C9286,C9262,C9238)/POBLA!$B$21*100000</f>
        <v>235.23802898865461</v>
      </c>
      <c r="H9550" s="254">
        <f t="shared" si="815"/>
        <v>1.3383204633204633</v>
      </c>
    </row>
    <row r="9551" spans="1:8" ht="15.75" thickBot="1" x14ac:dyDescent="0.3">
      <c r="A9551" s="84" t="s">
        <v>38</v>
      </c>
      <c r="B9551" s="355">
        <v>44290</v>
      </c>
      <c r="C9551" s="17">
        <v>89</v>
      </c>
      <c r="D9551" s="47">
        <f t="shared" si="812"/>
        <v>25636</v>
      </c>
      <c r="F9551" s="47">
        <f t="shared" si="813"/>
        <v>297</v>
      </c>
      <c r="G9551" s="203">
        <f>SUM(C9551,C9527,C9503,C9479,C9455,C9431,C9407,C9383,C9359,C9335,C9311,C9287,C9263,C9239)/POBLA!$B$22*100000</f>
        <v>156.59609961229177</v>
      </c>
      <c r="H9551" s="254">
        <f t="shared" si="815"/>
        <v>1.4384976525821596</v>
      </c>
    </row>
    <row r="9552" spans="1:8" ht="15.75" thickBot="1" x14ac:dyDescent="0.3">
      <c r="A9552" s="84" t="s">
        <v>39</v>
      </c>
      <c r="B9552" s="355">
        <v>44290</v>
      </c>
      <c r="C9552" s="17">
        <v>74</v>
      </c>
      <c r="D9552" s="47">
        <f t="shared" si="812"/>
        <v>24305</v>
      </c>
      <c r="F9552" s="47">
        <f t="shared" si="813"/>
        <v>367</v>
      </c>
      <c r="G9552" s="203">
        <f>SUM(C9552,C9528,C9504,C9480,C9456,C9432,C9408,C9384,C9360,C9336,C9312,C9288,C9264,C9240)/POBLA!$B$23*100000</f>
        <v>406.60521404739012</v>
      </c>
      <c r="H9552" s="254">
        <f t="shared" si="815"/>
        <v>1.7536585365853659</v>
      </c>
    </row>
    <row r="9553" spans="1:8" x14ac:dyDescent="0.25">
      <c r="A9553" s="86" t="s">
        <v>40</v>
      </c>
      <c r="B9553" s="42">
        <v>44290</v>
      </c>
      <c r="C9553" s="17">
        <v>168</v>
      </c>
      <c r="D9553" s="81">
        <f t="shared" si="812"/>
        <v>89164</v>
      </c>
      <c r="E9553" s="300"/>
      <c r="F9553" s="81">
        <f t="shared" si="813"/>
        <v>1502</v>
      </c>
      <c r="G9553" s="323">
        <f>SUM(C9553,C9529,C9505,C9481,C9457,C9433,C9409,C9385,C9361,C9337,C9313,C9289,C9265,C9241)/POBLA!$B$24*100000</f>
        <v>304.84062842252348</v>
      </c>
      <c r="H9553" s="324">
        <f t="shared" si="815"/>
        <v>1.6281121966593131</v>
      </c>
    </row>
    <row r="9554" spans="1:8" x14ac:dyDescent="0.25">
      <c r="A9554" s="34" t="s">
        <v>16</v>
      </c>
      <c r="B9554" s="2">
        <v>44291</v>
      </c>
      <c r="C9554" s="1">
        <v>6243</v>
      </c>
      <c r="D9554" s="47">
        <f t="shared" si="812"/>
        <v>1016493</v>
      </c>
      <c r="E9554" s="1">
        <v>163</v>
      </c>
      <c r="F9554" s="47">
        <f t="shared" si="813"/>
        <v>28590</v>
      </c>
      <c r="G9554" s="203">
        <f>SUM(C9554,C9530,C9506,C9482,C9458,C9434,C9410,C9386,C9362,C9338,C9314,C9290,C9266,C9242)/POBLA!$B$1*100000</f>
        <v>425.4797336159603</v>
      </c>
      <c r="H9554" s="334">
        <f t="shared" si="815"/>
        <v>1.7809860163222451</v>
      </c>
    </row>
    <row r="9555" spans="1:8" x14ac:dyDescent="0.25">
      <c r="A9555" s="34" t="s">
        <v>43</v>
      </c>
      <c r="B9555" s="2">
        <v>44291</v>
      </c>
      <c r="C9555" s="1">
        <v>2428</v>
      </c>
      <c r="D9555" s="47">
        <f t="shared" si="812"/>
        <v>270868</v>
      </c>
      <c r="E9555" s="1">
        <v>41</v>
      </c>
      <c r="F9555" s="47">
        <f t="shared" si="813"/>
        <v>6946</v>
      </c>
      <c r="G9555" s="203">
        <f>SUM(C9555,C9531,C9507,C9483,C9459,C9435,C9411,C9387,C9363,C9339,C9315,C9291,C9267,C9243)/POBLA!$B$2*100000</f>
        <v>707.81878018471571</v>
      </c>
      <c r="H9555" s="334">
        <f t="shared" si="815"/>
        <v>1.8203863199264152</v>
      </c>
    </row>
    <row r="9556" spans="1:8" x14ac:dyDescent="0.25">
      <c r="A9556" s="34" t="s">
        <v>28</v>
      </c>
      <c r="B9556" s="2">
        <v>44291</v>
      </c>
      <c r="C9556" s="1">
        <v>110</v>
      </c>
      <c r="D9556" s="47">
        <f t="shared" si="812"/>
        <v>10869</v>
      </c>
      <c r="F9556" s="47">
        <f t="shared" si="813"/>
        <v>18</v>
      </c>
      <c r="G9556" s="203">
        <f>SUM(C9556,C9532,C9508,C9484,C9460,C9436,C9412,C9388,C9364,C9340,C9316,C9292,C9268,C9244)/POBLA!$B$3*100000</f>
        <v>266.70646402110543</v>
      </c>
      <c r="H9556" s="334">
        <f t="shared" si="815"/>
        <v>0.89789303079416527</v>
      </c>
    </row>
    <row r="9557" spans="1:8" x14ac:dyDescent="0.25">
      <c r="A9557" s="34" t="s">
        <v>15</v>
      </c>
      <c r="B9557" s="2">
        <v>44291</v>
      </c>
      <c r="C9557" s="1">
        <v>90</v>
      </c>
      <c r="D9557" s="47">
        <f t="shared" si="812"/>
        <v>39110</v>
      </c>
      <c r="E9557" s="1">
        <v>12</v>
      </c>
      <c r="F9557" s="47">
        <f t="shared" si="813"/>
        <v>943</v>
      </c>
      <c r="G9557" s="203">
        <f>SUM(C9557,C9533,C9509,C9485,C9461,C9437,C9413,C9389,C9365,C9341,C9317,C9293,C9269,C9245)/POBLA!$B$4*100000</f>
        <v>170.18930862461303</v>
      </c>
      <c r="H9557" s="334">
        <f t="shared" si="815"/>
        <v>1.0915867944621938</v>
      </c>
    </row>
    <row r="9558" spans="1:8" x14ac:dyDescent="0.25">
      <c r="A9558" s="34" t="s">
        <v>29</v>
      </c>
      <c r="B9558" s="2">
        <v>44291</v>
      </c>
      <c r="C9558" s="1">
        <v>154</v>
      </c>
      <c r="D9558" s="47">
        <f t="shared" si="812"/>
        <v>50489</v>
      </c>
      <c r="F9558" s="47">
        <f t="shared" si="813"/>
        <v>870</v>
      </c>
      <c r="G9558" s="203">
        <f>SUM(C9558,C9534,C9510,C9486,C9462,C9438,C9414,C9390,C9366,C9342,C9318,C9294,C9270,C9246)/POBLA!$B$5*100000</f>
        <v>262.84584341689907</v>
      </c>
      <c r="H9558" s="334">
        <f t="shared" si="815"/>
        <v>1.3026421136909527</v>
      </c>
    </row>
    <row r="9559" spans="1:8" x14ac:dyDescent="0.25">
      <c r="A9559" s="34" t="s">
        <v>30</v>
      </c>
      <c r="B9559" s="2">
        <v>44291</v>
      </c>
      <c r="C9559" s="1">
        <v>60</v>
      </c>
      <c r="D9559" s="47">
        <f t="shared" si="812"/>
        <v>30932</v>
      </c>
      <c r="E9559" s="1">
        <v>3</v>
      </c>
      <c r="F9559" s="47">
        <f t="shared" si="813"/>
        <v>331</v>
      </c>
      <c r="G9559" s="203">
        <f>SUM(C9559,C9535,C9511,C9487,C9463,C9439,C9415,C9391,C9367,C9343,C9319,C9295,C9271,C9247)/POBLA!$B$6*100000</f>
        <v>382.40508350724167</v>
      </c>
      <c r="H9559" s="334">
        <f t="shared" si="815"/>
        <v>1.3115055079559363</v>
      </c>
    </row>
    <row r="9560" spans="1:8" x14ac:dyDescent="0.25">
      <c r="A9560" s="34" t="s">
        <v>20</v>
      </c>
      <c r="B9560" s="2">
        <v>44291</v>
      </c>
      <c r="C9560" s="1">
        <v>1048</v>
      </c>
      <c r="D9560" s="47">
        <f t="shared" si="812"/>
        <v>184912</v>
      </c>
      <c r="E9560" s="1">
        <v>7</v>
      </c>
      <c r="F9560" s="47">
        <f t="shared" si="813"/>
        <v>3060</v>
      </c>
      <c r="G9560" s="203">
        <f>SUM(C9560,C9536,C9512,C9488,C9464,C9440,C9416,C9392,C9368,C9344,C9320,C9296,C9272,C9248)/POBLA!$B$7*100000</f>
        <v>321.79659349280007</v>
      </c>
      <c r="H9560" s="334">
        <f t="shared" si="815"/>
        <v>1.427173015685812</v>
      </c>
    </row>
    <row r="9561" spans="1:8" x14ac:dyDescent="0.25">
      <c r="A9561" s="34" t="s">
        <v>31</v>
      </c>
      <c r="B9561" s="2">
        <v>44291</v>
      </c>
      <c r="C9561" s="1">
        <v>107</v>
      </c>
      <c r="D9561" s="47">
        <f t="shared" si="812"/>
        <v>50707</v>
      </c>
      <c r="F9561" s="47">
        <f t="shared" si="813"/>
        <v>950</v>
      </c>
      <c r="G9561" s="203">
        <f>SUM(C9561,C9537,C9513,C9489,C9465,C9441,C9417,C9393,C9369,C9345,C9321,C9297,C9273,C9249)/POBLA!$B$8*100000</f>
        <v>173.8144146913225</v>
      </c>
      <c r="H9561" s="334">
        <f t="shared" si="815"/>
        <v>1.085135135135135</v>
      </c>
    </row>
    <row r="9562" spans="1:8" x14ac:dyDescent="0.25">
      <c r="A9562" s="34" t="s">
        <v>41</v>
      </c>
      <c r="B9562" s="2">
        <v>44291</v>
      </c>
      <c r="C9562" s="1">
        <v>30</v>
      </c>
      <c r="D9562" s="47">
        <f t="shared" si="812"/>
        <v>2349</v>
      </c>
      <c r="F9562" s="47">
        <f t="shared" si="813"/>
        <v>41</v>
      </c>
      <c r="G9562" s="203">
        <f>SUM(C9562,C9538,C9514,C9490,C9466,C9442,C9418,C9394,C9370,C9346,C9322,C9298,C9274,C9250)/POBLA!$B$9*100000</f>
        <v>104.42949604506332</v>
      </c>
      <c r="H9562" s="334">
        <f t="shared" si="815"/>
        <v>1.9446153846153846</v>
      </c>
    </row>
    <row r="9563" spans="1:8" x14ac:dyDescent="0.25">
      <c r="A9563" s="34" t="s">
        <v>32</v>
      </c>
      <c r="B9563" s="2">
        <v>44291</v>
      </c>
      <c r="C9563" s="1">
        <v>46</v>
      </c>
      <c r="D9563" s="47">
        <f t="shared" si="812"/>
        <v>22693</v>
      </c>
      <c r="E9563" s="1">
        <v>1</v>
      </c>
      <c r="F9563" s="47">
        <f t="shared" si="813"/>
        <v>977</v>
      </c>
      <c r="G9563" s="203">
        <f>SUM(C9563,C9539,C9515,C9491,C9467,C9443,C9419,C9395,C9371,C9347,C9323,C9299,C9275,C9251)/POBLA!$B$10*100000</f>
        <v>84.578553628899925</v>
      </c>
      <c r="H9563" s="334">
        <f t="shared" si="815"/>
        <v>0.87516778523489935</v>
      </c>
    </row>
    <row r="9564" spans="1:8" x14ac:dyDescent="0.25">
      <c r="A9564" s="34" t="s">
        <v>33</v>
      </c>
      <c r="B9564" s="2">
        <v>44291</v>
      </c>
      <c r="C9564" s="1">
        <v>138</v>
      </c>
      <c r="D9564" s="47">
        <f t="shared" si="812"/>
        <v>21740</v>
      </c>
      <c r="F9564" s="47">
        <f t="shared" si="813"/>
        <v>322</v>
      </c>
      <c r="G9564" s="203">
        <f>SUM(C9564,C9540,C9516,C9492,C9468,C9444,C9420,C9396,C9372,C9348,C9324,C9300,C9276,C9252)/POBLA!$B$11*100000</f>
        <v>330.33133572153963</v>
      </c>
      <c r="H9564" s="334">
        <f t="shared" si="815"/>
        <v>0.9502407704654896</v>
      </c>
    </row>
    <row r="9565" spans="1:8" x14ac:dyDescent="0.25">
      <c r="A9565" s="34" t="s">
        <v>21</v>
      </c>
      <c r="B9565" s="2">
        <v>44291</v>
      </c>
      <c r="C9565" s="1">
        <v>43</v>
      </c>
      <c r="D9565" s="47">
        <f t="shared" si="812"/>
        <v>11404</v>
      </c>
      <c r="F9565" s="47">
        <f t="shared" si="813"/>
        <v>449</v>
      </c>
      <c r="G9565" s="203">
        <f>SUM(C9565,C9541,C9517,C9493,C9469,C9445,C9421,C9397,C9373,C9349,C9325,C9301,C9277,C9253)/POBLA!$B$12*100000</f>
        <v>176.35205358662978</v>
      </c>
      <c r="H9565" s="334">
        <f t="shared" si="815"/>
        <v>2.103030303030303</v>
      </c>
    </row>
    <row r="9566" spans="1:8" x14ac:dyDescent="0.25">
      <c r="A9566" s="34" t="s">
        <v>17</v>
      </c>
      <c r="B9566" s="2">
        <v>44291</v>
      </c>
      <c r="C9566" s="1">
        <v>597</v>
      </c>
      <c r="D9566" s="47">
        <f t="shared" si="812"/>
        <v>74954</v>
      </c>
      <c r="E9566" s="1">
        <v>6</v>
      </c>
      <c r="F9566" s="47">
        <f t="shared" si="813"/>
        <v>1519</v>
      </c>
      <c r="G9566" s="203">
        <f>SUM(C9566,C9542,C9518,C9494,C9470,C9446,C9422,C9398,C9374,C9350,C9326,C9302,C9278,C9254)/POBLA!$B$13*100000</f>
        <v>220.06312495666566</v>
      </c>
      <c r="H9566" s="334">
        <f t="shared" si="815"/>
        <v>1.9738621000450653</v>
      </c>
    </row>
    <row r="9567" spans="1:8" x14ac:dyDescent="0.25">
      <c r="A9567" s="34" t="s">
        <v>23</v>
      </c>
      <c r="B9567" s="2">
        <v>44291</v>
      </c>
      <c r="C9567" s="1">
        <v>87</v>
      </c>
      <c r="D9567" s="47">
        <f t="shared" si="812"/>
        <v>12396</v>
      </c>
      <c r="E9567" s="1">
        <v>1</v>
      </c>
      <c r="F9567" s="47">
        <f t="shared" si="813"/>
        <v>211</v>
      </c>
      <c r="G9567" s="203">
        <f>SUM(C9567,C9543,C9519,C9495,C9471,C9447,C9423,C9399,C9375,C9351,C9327,C9303,C9279,C9255)/POBLA!$B$14*100000</f>
        <v>118.44978252493075</v>
      </c>
      <c r="H9567" s="334">
        <f t="shared" si="815"/>
        <v>0.89407540394973073</v>
      </c>
    </row>
    <row r="9568" spans="1:8" x14ac:dyDescent="0.25">
      <c r="A9568" s="34" t="s">
        <v>19</v>
      </c>
      <c r="B9568" s="2">
        <v>44291</v>
      </c>
      <c r="C9568" s="1">
        <v>192</v>
      </c>
      <c r="D9568" s="47">
        <f t="shared" si="812"/>
        <v>65690</v>
      </c>
      <c r="F9568" s="47">
        <f t="shared" si="813"/>
        <v>1014</v>
      </c>
      <c r="G9568" s="203">
        <f>SUM(C9568,C9544,C9520,C9496,C9472,C9448,C9424,C9400,C9376,C9352,C9328,C9304,C9280,C9256)/POBLA!$B$15*100000</f>
        <v>225.13127638139497</v>
      </c>
      <c r="H9568" s="334">
        <f t="shared" si="815"/>
        <v>0.8436794582392777</v>
      </c>
    </row>
    <row r="9569" spans="1:8" x14ac:dyDescent="0.25">
      <c r="A9569" s="34" t="s">
        <v>18</v>
      </c>
      <c r="B9569" s="2">
        <v>44291</v>
      </c>
      <c r="C9569" s="1">
        <v>147</v>
      </c>
      <c r="D9569" s="47">
        <f t="shared" si="812"/>
        <v>55878</v>
      </c>
      <c r="E9569" s="1">
        <v>3</v>
      </c>
      <c r="F9569" s="47">
        <f t="shared" si="813"/>
        <v>1287</v>
      </c>
      <c r="G9569" s="203">
        <f>SUM(C9569,C9545,C9521,C9497,C9473,C9449,C9425,C9401,C9377,C9353,C9329,C9305,C9281,C9257)/POBLA!$B$16*100000</f>
        <v>184.18694238974868</v>
      </c>
      <c r="H9569" s="334">
        <f t="shared" si="815"/>
        <v>1.0808477237048666</v>
      </c>
    </row>
    <row r="9570" spans="1:8" x14ac:dyDescent="0.25">
      <c r="A9570" s="34" t="s">
        <v>34</v>
      </c>
      <c r="B9570" s="2">
        <v>44291</v>
      </c>
      <c r="C9570" s="1">
        <v>82</v>
      </c>
      <c r="D9570" s="47">
        <f t="shared" si="812"/>
        <v>29824</v>
      </c>
      <c r="E9570" s="1">
        <v>8</v>
      </c>
      <c r="F9570" s="47">
        <f t="shared" si="813"/>
        <v>1214</v>
      </c>
      <c r="G9570" s="203">
        <f>SUM(C9570,C9546,C9522,C9498,C9474,C9450,C9426,C9402,C9378,C9354,C9330,C9306,C9282,C9258)/POBLA!$B$17*100000</f>
        <v>100.32315428914831</v>
      </c>
      <c r="H9570" s="334">
        <f t="shared" ref="H9570:H9593" si="816">SUM(C9570,C9546,C9522,C9498,C9474,C9450,C9426,C9402,C9378,C9354,C9330,C9306,C9282,C9258)/SUM(C9234,C9210,C9186,C9162,C9138,C9114,C9090,C9066,C9042,C9018,C8994,C8970,C8946,C8922)</f>
        <v>0.95841716968477531</v>
      </c>
    </row>
    <row r="9571" spans="1:8" x14ac:dyDescent="0.25">
      <c r="A9571" s="34" t="s">
        <v>35</v>
      </c>
      <c r="B9571" s="2">
        <v>44291</v>
      </c>
      <c r="C9571" s="1">
        <v>144</v>
      </c>
      <c r="D9571" s="47">
        <f t="shared" si="812"/>
        <v>17621</v>
      </c>
      <c r="F9571" s="47">
        <f t="shared" si="813"/>
        <v>224</v>
      </c>
      <c r="G9571" s="203">
        <f>SUM(C9571,C9547,C9523,C9499,C9475,C9451,C9427,C9403,C9379,C9355,C9331,C9307,C9283,C9259)/POBLA!$B$18*100000</f>
        <v>157.44665054651909</v>
      </c>
      <c r="H9571" s="334">
        <f t="shared" si="816"/>
        <v>1.5789473684210527</v>
      </c>
    </row>
    <row r="9572" spans="1:8" x14ac:dyDescent="0.25">
      <c r="A9572" s="34" t="s">
        <v>36</v>
      </c>
      <c r="B9572" s="2">
        <v>44291</v>
      </c>
      <c r="C9572" s="1">
        <v>270</v>
      </c>
      <c r="D9572" s="47">
        <f t="shared" si="812"/>
        <v>23888</v>
      </c>
      <c r="E9572" s="1">
        <v>8</v>
      </c>
      <c r="F9572" s="47">
        <f t="shared" si="813"/>
        <v>438</v>
      </c>
      <c r="G9572" s="203">
        <f>SUM(C9572,C9548,C9524,C9500,C9476,C9452,C9428,C9404,C9380,C9356,C9332,C9308,C9284,C9260)/POBLA!$B$19*100000</f>
        <v>459.34908169528342</v>
      </c>
      <c r="H9572" s="334">
        <f t="shared" si="816"/>
        <v>3.1216577540106951</v>
      </c>
    </row>
    <row r="9573" spans="1:8" x14ac:dyDescent="0.25">
      <c r="A9573" s="34" t="s">
        <v>37</v>
      </c>
      <c r="B9573" s="2">
        <v>44291</v>
      </c>
      <c r="C9573" s="1">
        <v>187</v>
      </c>
      <c r="D9573" s="47">
        <f t="shared" si="812"/>
        <v>39975</v>
      </c>
      <c r="E9573" s="1">
        <v>3</v>
      </c>
      <c r="F9573" s="47">
        <f t="shared" si="813"/>
        <v>646</v>
      </c>
      <c r="G9573" s="203">
        <f>SUM(C9573,C9549,C9525,C9501,C9477,C9453,C9429,C9405,C9381,C9357,C9333,C9309,C9285,C9261)/POBLA!$B$20*100000</f>
        <v>461.30960519335628</v>
      </c>
      <c r="H9573" s="334">
        <f t="shared" si="816"/>
        <v>1.101894186806009</v>
      </c>
    </row>
    <row r="9574" spans="1:8" x14ac:dyDescent="0.25">
      <c r="A9574" s="34" t="s">
        <v>22</v>
      </c>
      <c r="B9574" s="2">
        <v>44291</v>
      </c>
      <c r="C9574" s="1">
        <v>843</v>
      </c>
      <c r="D9574" s="47">
        <f t="shared" si="812"/>
        <v>234641</v>
      </c>
      <c r="E9574" s="1">
        <v>11</v>
      </c>
      <c r="F9574" s="47">
        <f t="shared" si="813"/>
        <v>4285</v>
      </c>
      <c r="G9574" s="203">
        <f>SUM(C9574,C9550,C9526,C9502,C9478,C9454,C9430,C9406,C9382,C9358,C9334,C9310,C9286,C9262)/POBLA!$B$21*100000</f>
        <v>246.74684949573268</v>
      </c>
      <c r="H9574" s="334">
        <f t="shared" si="816"/>
        <v>1.3713657079993713</v>
      </c>
    </row>
    <row r="9575" spans="1:8" x14ac:dyDescent="0.25">
      <c r="A9575" s="34" t="s">
        <v>38</v>
      </c>
      <c r="B9575" s="2">
        <v>44291</v>
      </c>
      <c r="C9575" s="1">
        <v>122</v>
      </c>
      <c r="D9575" s="47">
        <f t="shared" si="812"/>
        <v>25758</v>
      </c>
      <c r="E9575" s="1">
        <v>5</v>
      </c>
      <c r="F9575" s="47">
        <f t="shared" si="813"/>
        <v>302</v>
      </c>
      <c r="G9575" s="203">
        <f>SUM(C9575,C9551,C9527,C9503,C9479,C9455,C9431,C9407,C9383,C9359,C9335,C9311,C9287,C9263)/POBLA!$B$22*100000</f>
        <v>161.09363772126099</v>
      </c>
      <c r="H9575" s="334">
        <f t="shared" si="816"/>
        <v>1.4340309372156506</v>
      </c>
    </row>
    <row r="9576" spans="1:8" x14ac:dyDescent="0.25">
      <c r="A9576" s="34" t="s">
        <v>39</v>
      </c>
      <c r="B9576" s="2">
        <v>44291</v>
      </c>
      <c r="C9576" s="1">
        <v>59</v>
      </c>
      <c r="D9576" s="47">
        <f t="shared" si="812"/>
        <v>24364</v>
      </c>
      <c r="F9576" s="47">
        <f t="shared" si="813"/>
        <v>367</v>
      </c>
      <c r="G9576" s="203">
        <f>SUM(C9576,C9552,C9528,C9504,C9480,C9456,C9432,C9408,C9384,C9360,C9336,C9312,C9288,C9264)/POBLA!$B$23*100000</f>
        <v>420.74308658033141</v>
      </c>
      <c r="H9576" s="334">
        <f t="shared" si="816"/>
        <v>1.8146341463414635</v>
      </c>
    </row>
    <row r="9577" spans="1:8" ht="15.75" thickBot="1" x14ac:dyDescent="0.3">
      <c r="A9577" s="48" t="s">
        <v>40</v>
      </c>
      <c r="B9577" s="42">
        <v>44291</v>
      </c>
      <c r="C9577" s="300">
        <v>440</v>
      </c>
      <c r="D9577" s="81">
        <f t="shared" si="812"/>
        <v>89604</v>
      </c>
      <c r="E9577" s="300"/>
      <c r="F9577" s="81">
        <f t="shared" si="813"/>
        <v>1502</v>
      </c>
      <c r="G9577" s="323">
        <f>SUM(C9577,C9553,C9529,C9505,C9481,C9457,C9433,C9409,C9385,C9361,C9337,C9313,C9289,C9265)/POBLA!$B$24*100000</f>
        <v>316.70144265266816</v>
      </c>
      <c r="H9577" s="335">
        <f t="shared" si="816"/>
        <v>1.6352833638025595</v>
      </c>
    </row>
    <row r="9578" spans="1:8" x14ac:dyDescent="0.25">
      <c r="A9578" s="36" t="s">
        <v>16</v>
      </c>
      <c r="B9578" s="354">
        <v>44292</v>
      </c>
      <c r="C9578" s="53">
        <v>10402</v>
      </c>
      <c r="D9578" s="211">
        <f t="shared" si="812"/>
        <v>1026895</v>
      </c>
      <c r="E9578" s="53">
        <v>82</v>
      </c>
      <c r="F9578" s="211">
        <f t="shared" si="813"/>
        <v>28672</v>
      </c>
      <c r="G9578" s="212">
        <f>SUM(C9578,C9554,C9530,C9506,C9482,C9458,C9434,C9410,C9386,C9362,C9338,C9314,C9290,C9266)/POBLA!$B$1*100000</f>
        <v>459.82755625760035</v>
      </c>
      <c r="H9578" s="253">
        <f t="shared" si="816"/>
        <v>1.8698333217423557</v>
      </c>
    </row>
    <row r="9579" spans="1:8" x14ac:dyDescent="0.25">
      <c r="A9579" s="84" t="s">
        <v>43</v>
      </c>
      <c r="B9579" s="2">
        <v>44292</v>
      </c>
      <c r="C9579" s="1">
        <v>2281</v>
      </c>
      <c r="D9579" s="47">
        <f t="shared" si="812"/>
        <v>273149</v>
      </c>
      <c r="E9579" s="1">
        <v>12</v>
      </c>
      <c r="F9579" s="47">
        <f t="shared" si="813"/>
        <v>6958</v>
      </c>
      <c r="G9579" s="203">
        <f>SUM(C9579,C9555,C9531,C9507,C9483,C9459,C9435,C9411,C9387,C9363,C9339,C9315,C9291,C9267)/POBLA!$B$2*100000</f>
        <v>743.61613787802628</v>
      </c>
      <c r="H9579" s="254">
        <f t="shared" si="816"/>
        <v>1.8651932800521938</v>
      </c>
    </row>
    <row r="9580" spans="1:8" x14ac:dyDescent="0.25">
      <c r="A9580" s="84" t="s">
        <v>28</v>
      </c>
      <c r="B9580" s="2">
        <v>44292</v>
      </c>
      <c r="C9580" s="1">
        <v>124</v>
      </c>
      <c r="D9580" s="47">
        <f t="shared" si="812"/>
        <v>10993</v>
      </c>
      <c r="F9580" s="47">
        <f t="shared" si="813"/>
        <v>18</v>
      </c>
      <c r="G9580" s="203">
        <f>SUM(C9580,C9556,C9532,C9508,C9484,C9460,C9436,C9412,C9388,C9364,C9340,C9316,C9292,C9268)/POBLA!$B$3*100000</f>
        <v>276.5755660291066</v>
      </c>
      <c r="H9580" s="254">
        <f t="shared" si="816"/>
        <v>0.93795918367346942</v>
      </c>
    </row>
    <row r="9581" spans="1:8" x14ac:dyDescent="0.25">
      <c r="A9581" s="84" t="s">
        <v>15</v>
      </c>
      <c r="B9581" s="2">
        <v>44292</v>
      </c>
      <c r="C9581" s="1">
        <v>229</v>
      </c>
      <c r="D9581" s="47">
        <f t="shared" si="812"/>
        <v>39339</v>
      </c>
      <c r="E9581" s="1">
        <v>4</v>
      </c>
      <c r="F9581" s="47">
        <f t="shared" si="813"/>
        <v>947</v>
      </c>
      <c r="G9581" s="203">
        <f>SUM(C9581,C9557,C9533,C9509,C9485,C9461,C9437,C9413,C9389,C9365,C9341,C9317,C9293,C9269)/POBLA!$B$4*100000</f>
        <v>177.99311106886358</v>
      </c>
      <c r="H9581" s="254">
        <f t="shared" si="816"/>
        <v>1.1195822454308093</v>
      </c>
    </row>
    <row r="9582" spans="1:8" x14ac:dyDescent="0.25">
      <c r="A9582" s="84" t="s">
        <v>29</v>
      </c>
      <c r="B9582" s="2">
        <v>44292</v>
      </c>
      <c r="C9582" s="1">
        <v>154</v>
      </c>
      <c r="D9582" s="47">
        <f t="shared" si="812"/>
        <v>50643</v>
      </c>
      <c r="F9582" s="47">
        <f t="shared" si="813"/>
        <v>870</v>
      </c>
      <c r="G9582" s="203">
        <f>SUM(C9582,C9558,C9534,C9510,C9486,C9462,C9438,C9414,C9390,C9366,C9342,C9318,C9294,C9270)/POBLA!$B$5*100000</f>
        <v>262.52273850796615</v>
      </c>
      <c r="H9582" s="254">
        <f t="shared" si="816"/>
        <v>1.2442572741194486</v>
      </c>
    </row>
    <row r="9583" spans="1:8" x14ac:dyDescent="0.25">
      <c r="A9583" s="84" t="s">
        <v>30</v>
      </c>
      <c r="B9583" s="2">
        <v>44292</v>
      </c>
      <c r="C9583" s="1">
        <v>467</v>
      </c>
      <c r="D9583" s="47">
        <f t="shared" si="812"/>
        <v>31399</v>
      </c>
      <c r="E9583" s="1">
        <v>4</v>
      </c>
      <c r="F9583" s="47">
        <f t="shared" si="813"/>
        <v>335</v>
      </c>
      <c r="G9583" s="203">
        <f>SUM(C9583,C9559,C9535,C9511,C9487,C9463,C9439,C9415,C9391,C9367,C9343,C9319,C9295,C9271)/POBLA!$B$6*100000</f>
        <v>414.79263491021152</v>
      </c>
      <c r="H9583" s="254">
        <f t="shared" si="816"/>
        <v>1.4872040946896994</v>
      </c>
    </row>
    <row r="9584" spans="1:8" x14ac:dyDescent="0.25">
      <c r="A9584" s="84" t="s">
        <v>20</v>
      </c>
      <c r="B9584" s="2">
        <v>44292</v>
      </c>
      <c r="C9584" s="1">
        <v>1843</v>
      </c>
      <c r="D9584" s="47">
        <f t="shared" si="812"/>
        <v>186755</v>
      </c>
      <c r="E9584" s="1">
        <v>13</v>
      </c>
      <c r="F9584" s="47">
        <f t="shared" si="813"/>
        <v>3073</v>
      </c>
      <c r="G9584" s="203">
        <f>SUM(C9584,C9560,C9536,C9512,C9488,C9464,C9440,C9416,C9392,C9368,C9344,C9320,C9296,C9272)/POBLA!$B$7*100000</f>
        <v>349.08056216676198</v>
      </c>
      <c r="H9584" s="254">
        <f t="shared" si="816"/>
        <v>1.5269279981388857</v>
      </c>
    </row>
    <row r="9585" spans="1:8" x14ac:dyDescent="0.25">
      <c r="A9585" s="84" t="s">
        <v>31</v>
      </c>
      <c r="B9585" s="2">
        <v>44292</v>
      </c>
      <c r="C9585" s="1">
        <v>415</v>
      </c>
      <c r="D9585" s="47">
        <f t="shared" si="812"/>
        <v>51122</v>
      </c>
      <c r="E9585" s="1">
        <v>3</v>
      </c>
      <c r="F9585" s="47">
        <f t="shared" si="813"/>
        <v>953</v>
      </c>
      <c r="G9585" s="203">
        <f>SUM(C9585,C9561,C9537,C9513,C9489,C9465,C9441,C9417,C9393,C9369,C9345,C9321,C9297,C9273)/POBLA!$B$8*100000</f>
        <v>190.84231085867498</v>
      </c>
      <c r="H9585" s="254">
        <f t="shared" si="816"/>
        <v>1.1808035714285714</v>
      </c>
    </row>
    <row r="9586" spans="1:8" x14ac:dyDescent="0.25">
      <c r="A9586" s="84" t="s">
        <v>41</v>
      </c>
      <c r="B9586" s="2">
        <v>44292</v>
      </c>
      <c r="C9586" s="1">
        <v>89</v>
      </c>
      <c r="D9586" s="47">
        <f t="shared" ref="D9586:D9650" si="817">C9586+D9562</f>
        <v>2438</v>
      </c>
      <c r="F9586" s="47">
        <f t="shared" ref="F9586:F9649" si="818">E9586+F9562</f>
        <v>41</v>
      </c>
      <c r="G9586" s="203">
        <f>SUM(C9586,C9562,C9538,C9514,C9490,C9466,C9442,C9418,C9394,C9370,C9346,C9322,C9298,C9274)/POBLA!$B$9*100000</f>
        <v>113.84797907444401</v>
      </c>
      <c r="H9586" s="254">
        <f t="shared" si="816"/>
        <v>2.094224924012158</v>
      </c>
    </row>
    <row r="9587" spans="1:8" x14ac:dyDescent="0.25">
      <c r="A9587" s="84" t="s">
        <v>32</v>
      </c>
      <c r="B9587" s="2">
        <v>44292</v>
      </c>
      <c r="C9587" s="1">
        <v>81</v>
      </c>
      <c r="D9587" s="47">
        <f t="shared" si="817"/>
        <v>22774</v>
      </c>
      <c r="F9587" s="47">
        <f t="shared" si="818"/>
        <v>977</v>
      </c>
      <c r="G9587" s="203">
        <f>SUM(C9587,C9563,C9539,C9515,C9491,C9467,C9443,C9419,C9395,C9371,C9347,C9323,C9299,C9275)/POBLA!$B$10*100000</f>
        <v>88.599926577513259</v>
      </c>
      <c r="H9587" s="254">
        <f t="shared" si="816"/>
        <v>0.93947730398899587</v>
      </c>
    </row>
    <row r="9588" spans="1:8" x14ac:dyDescent="0.25">
      <c r="A9588" s="84" t="s">
        <v>33</v>
      </c>
      <c r="B9588" s="2">
        <v>44292</v>
      </c>
      <c r="C9588" s="1">
        <v>165</v>
      </c>
      <c r="D9588" s="47">
        <f t="shared" si="817"/>
        <v>21905</v>
      </c>
      <c r="E9588" s="1">
        <v>5</v>
      </c>
      <c r="F9588" s="47">
        <f t="shared" si="818"/>
        <v>327</v>
      </c>
      <c r="G9588" s="203">
        <f>SUM(C9588,C9564,C9540,C9516,C9492,C9468,C9444,C9420,C9396,C9372,C9348,C9324,C9300,C9276)/POBLA!$B$11*100000</f>
        <v>350.140056022409</v>
      </c>
      <c r="H9588" s="254">
        <f t="shared" si="816"/>
        <v>1.0203252032520325</v>
      </c>
    </row>
    <row r="9589" spans="1:8" x14ac:dyDescent="0.25">
      <c r="A9589" s="84" t="s">
        <v>21</v>
      </c>
      <c r="B9589" s="2">
        <v>44292</v>
      </c>
      <c r="C9589" s="1">
        <v>75</v>
      </c>
      <c r="D9589" s="47">
        <f t="shared" si="817"/>
        <v>11479</v>
      </c>
      <c r="F9589" s="47">
        <f t="shared" si="818"/>
        <v>449</v>
      </c>
      <c r="G9589" s="203">
        <f>SUM(C9589,C9565,C9541,C9517,C9493,C9469,C9445,C9421,C9397,C9373,C9349,C9325,C9301,C9277)/POBLA!$B$12*100000</f>
        <v>189.05753295166073</v>
      </c>
      <c r="H9589" s="254">
        <f t="shared" si="816"/>
        <v>2.1818181818181817</v>
      </c>
    </row>
    <row r="9590" spans="1:8" x14ac:dyDescent="0.25">
      <c r="A9590" s="84" t="s">
        <v>17</v>
      </c>
      <c r="B9590" s="2">
        <v>44292</v>
      </c>
      <c r="C9590" s="1">
        <v>785</v>
      </c>
      <c r="D9590" s="47">
        <f t="shared" si="817"/>
        <v>75739</v>
      </c>
      <c r="E9590" s="1">
        <v>4</v>
      </c>
      <c r="F9590" s="47">
        <f t="shared" si="818"/>
        <v>1523</v>
      </c>
      <c r="G9590" s="203">
        <f>SUM(C9590,C9566,C9542,C9518,C9494,C9470,C9446,C9422,C9398,C9374,C9350,C9326,C9302,C9278)/POBLA!$B$13*100000</f>
        <v>246.84249609865259</v>
      </c>
      <c r="H9590" s="254">
        <f t="shared" si="816"/>
        <v>2.1671812968681077</v>
      </c>
    </row>
    <row r="9591" spans="1:8" x14ac:dyDescent="0.25">
      <c r="A9591" s="84" t="s">
        <v>23</v>
      </c>
      <c r="B9591" s="2">
        <v>44292</v>
      </c>
      <c r="C9591" s="1">
        <v>218</v>
      </c>
      <c r="D9591" s="47">
        <f t="shared" si="817"/>
        <v>12614</v>
      </c>
      <c r="E9591" s="1">
        <v>3</v>
      </c>
      <c r="F9591" s="47">
        <f t="shared" si="818"/>
        <v>214</v>
      </c>
      <c r="G9591" s="203">
        <f>SUM(C9591,C9567,C9543,C9519,C9495,C9471,C9447,C9423,C9399,C9375,C9351,C9327,C9303,C9279)/POBLA!$B$14*100000</f>
        <v>125.90244621793175</v>
      </c>
      <c r="H9591" s="254">
        <f t="shared" si="816"/>
        <v>0.94976076555023925</v>
      </c>
    </row>
    <row r="9592" spans="1:8" x14ac:dyDescent="0.25">
      <c r="A9592" s="84" t="s">
        <v>19</v>
      </c>
      <c r="B9592" s="2">
        <v>44292</v>
      </c>
      <c r="C9592" s="1">
        <v>169</v>
      </c>
      <c r="D9592" s="47">
        <f t="shared" si="817"/>
        <v>65859</v>
      </c>
      <c r="F9592" s="47">
        <f t="shared" si="818"/>
        <v>1014</v>
      </c>
      <c r="G9592" s="203">
        <f>SUM(C9592,C9568,C9544,C9520,C9496,C9472,C9448,C9424,C9400,C9376,C9352,C9328,C9304,C9280)/POBLA!$B$15*100000</f>
        <v>229.04660292715835</v>
      </c>
      <c r="H9592" s="254">
        <f t="shared" si="816"/>
        <v>0.86469584991472426</v>
      </c>
    </row>
    <row r="9593" spans="1:8" x14ac:dyDescent="0.25">
      <c r="A9593" s="84" t="s">
        <v>18</v>
      </c>
      <c r="B9593" s="2">
        <v>44292</v>
      </c>
      <c r="C9593" s="1">
        <v>214</v>
      </c>
      <c r="D9593" s="47">
        <f t="shared" si="817"/>
        <v>56092</v>
      </c>
      <c r="E9593" s="1">
        <v>5</v>
      </c>
      <c r="F9593" s="47">
        <f t="shared" si="818"/>
        <v>1292</v>
      </c>
      <c r="G9593" s="203">
        <f>SUM(C9593,C9569,C9545,C9521,C9497,C9473,C9449,C9425,C9401,C9377,C9353,C9329,C9305,C9281)/POBLA!$B$16*100000</f>
        <v>197.29538128168429</v>
      </c>
      <c r="H9593" s="254">
        <f t="shared" si="816"/>
        <v>1.18</v>
      </c>
    </row>
    <row r="9594" spans="1:8" x14ac:dyDescent="0.25">
      <c r="A9594" s="84" t="s">
        <v>34</v>
      </c>
      <c r="B9594" s="2">
        <v>44292</v>
      </c>
      <c r="C9594" s="1">
        <v>246</v>
      </c>
      <c r="D9594" s="47">
        <f t="shared" si="817"/>
        <v>30070</v>
      </c>
      <c r="E9594" s="1">
        <v>6</v>
      </c>
      <c r="F9594" s="47">
        <f t="shared" si="818"/>
        <v>1220</v>
      </c>
      <c r="G9594" s="203">
        <f>SUM(C9594,C9570,C9546,C9522,C9498,C9474,C9450,C9426,C9402,C9378,C9354,C9330,C9306,C9282)/POBLA!$B$17*100000</f>
        <v>108.32654098541347</v>
      </c>
      <c r="H9594" s="254">
        <f t="shared" ref="H9594:H9617" si="819">SUM(C9594,C9570,C9546,C9522,C9498,C9474,C9450,C9426,C9402,C9378,C9354,C9330,C9306,C9282)/SUM(C9258,C9234,C9210,C9186,C9162,C9138,C9114,C9090,C9066,C9042,C9018,C8994,C8970,C8946)</f>
        <v>1.0341823056300268</v>
      </c>
    </row>
    <row r="9595" spans="1:8" x14ac:dyDescent="0.25">
      <c r="A9595" s="84" t="s">
        <v>35</v>
      </c>
      <c r="B9595" s="2">
        <v>44292</v>
      </c>
      <c r="C9595" s="1">
        <v>251</v>
      </c>
      <c r="D9595" s="47">
        <f t="shared" si="817"/>
        <v>17872</v>
      </c>
      <c r="E9595" s="1">
        <v>3</v>
      </c>
      <c r="F9595" s="47">
        <f t="shared" si="818"/>
        <v>227</v>
      </c>
      <c r="G9595" s="203">
        <f>SUM(C9595,C9571,C9547,C9523,C9499,C9475,C9451,C9427,C9403,C9379,C9355,C9331,C9307,C9283)/POBLA!$B$18*100000</f>
        <v>177.79951025131302</v>
      </c>
      <c r="H9595" s="254">
        <f t="shared" si="819"/>
        <v>1.721189591078067</v>
      </c>
    </row>
    <row r="9596" spans="1:8" x14ac:dyDescent="0.25">
      <c r="A9596" s="84" t="s">
        <v>36</v>
      </c>
      <c r="B9596" s="2">
        <v>44292</v>
      </c>
      <c r="C9596" s="1">
        <v>402</v>
      </c>
      <c r="D9596" s="47">
        <f t="shared" si="817"/>
        <v>24290</v>
      </c>
      <c r="E9596" s="1">
        <v>2</v>
      </c>
      <c r="F9596" s="47">
        <f t="shared" si="818"/>
        <v>440</v>
      </c>
      <c r="G9596" s="203">
        <f>SUM(C9596,C9572,C9548,C9524,C9500,C9476,C9452,C9428,C9404,C9380,C9356,C9332,C9308,C9284)/POBLA!$B$19*100000</f>
        <v>538.23515525408789</v>
      </c>
      <c r="H9596" s="254">
        <f t="shared" si="819"/>
        <v>3.6823687752355316</v>
      </c>
    </row>
    <row r="9597" spans="1:8" x14ac:dyDescent="0.25">
      <c r="A9597" s="84" t="s">
        <v>37</v>
      </c>
      <c r="B9597" s="2">
        <v>44292</v>
      </c>
      <c r="C9597" s="1">
        <v>162</v>
      </c>
      <c r="D9597" s="47">
        <f t="shared" si="817"/>
        <v>40137</v>
      </c>
      <c r="E9597" s="1">
        <v>7</v>
      </c>
      <c r="F9597" s="47">
        <f t="shared" si="818"/>
        <v>653</v>
      </c>
      <c r="G9597" s="203">
        <f>SUM(C9597,C9573,C9549,C9525,C9501,C9477,C9453,C9429,C9405,C9381,C9357,C9333,C9309,C9285)/POBLA!$B$20*100000</f>
        <v>472.79449162970542</v>
      </c>
      <c r="H9597" s="254">
        <f t="shared" si="819"/>
        <v>1.0922299431459255</v>
      </c>
    </row>
    <row r="9598" spans="1:8" x14ac:dyDescent="0.25">
      <c r="A9598" s="84" t="s">
        <v>22</v>
      </c>
      <c r="B9598" s="2">
        <v>44292</v>
      </c>
      <c r="C9598" s="1">
        <v>1296</v>
      </c>
      <c r="D9598" s="47">
        <f t="shared" si="817"/>
        <v>235937</v>
      </c>
      <c r="E9598" s="1">
        <v>10</v>
      </c>
      <c r="F9598" s="47">
        <f t="shared" si="818"/>
        <v>4295</v>
      </c>
      <c r="G9598" s="203">
        <f>SUM(C9598,C9574,C9550,C9526,C9502,C9478,C9454,C9430,C9406,C9382,C9358,C9334,C9310,C9286)/POBLA!$B$21*100000</f>
        <v>264.84425766411101</v>
      </c>
      <c r="H9598" s="254">
        <f t="shared" si="819"/>
        <v>1.439815526518063</v>
      </c>
    </row>
    <row r="9599" spans="1:8" x14ac:dyDescent="0.25">
      <c r="A9599" s="84" t="s">
        <v>38</v>
      </c>
      <c r="B9599" s="2">
        <v>44292</v>
      </c>
      <c r="C9599" s="1">
        <v>104</v>
      </c>
      <c r="D9599" s="47">
        <f t="shared" si="817"/>
        <v>25862</v>
      </c>
      <c r="F9599" s="47">
        <f t="shared" si="818"/>
        <v>302</v>
      </c>
      <c r="G9599" s="203">
        <f>SUM(C9599,C9575,C9551,C9527,C9503,C9479,C9455,C9431,C9407,C9383,C9359,C9335,C9311,C9287)/POBLA!$B$22*100000</f>
        <v>166.20447648145327</v>
      </c>
      <c r="H9599" s="254">
        <f t="shared" si="819"/>
        <v>1.4635463546354635</v>
      </c>
    </row>
    <row r="9600" spans="1:8" x14ac:dyDescent="0.25">
      <c r="A9600" s="84" t="s">
        <v>39</v>
      </c>
      <c r="B9600" s="2">
        <v>44292</v>
      </c>
      <c r="C9600" s="1">
        <v>75</v>
      </c>
      <c r="D9600" s="47">
        <f t="shared" si="817"/>
        <v>24439</v>
      </c>
      <c r="F9600" s="47">
        <f t="shared" si="818"/>
        <v>367</v>
      </c>
      <c r="G9600" s="203">
        <f>SUM(C9600,C9576,C9552,C9528,C9504,C9480,C9456,C9432,C9408,C9384,C9360,C9336,C9312,C9288)/POBLA!$B$23*100000</f>
        <v>439.40507832381383</v>
      </c>
      <c r="H9600" s="254">
        <f t="shared" si="819"/>
        <v>1.845605700712589</v>
      </c>
    </row>
    <row r="9601" spans="1:12" ht="15.75" thickBot="1" x14ac:dyDescent="0.3">
      <c r="A9601" s="85" t="s">
        <v>40</v>
      </c>
      <c r="B9601" s="355">
        <v>44292</v>
      </c>
      <c r="C9601" s="54">
        <v>623</v>
      </c>
      <c r="D9601" s="214">
        <f t="shared" si="817"/>
        <v>90227</v>
      </c>
      <c r="E9601" s="54"/>
      <c r="F9601" s="214">
        <f t="shared" si="818"/>
        <v>1502</v>
      </c>
      <c r="G9601" s="215">
        <f>SUM(C9601,C9577,C9553,C9529,C9505,C9481,C9457,C9433,C9409,C9385,C9361,C9337,C9313,C9289)/POBLA!$B$24*100000</f>
        <v>327.44108538842102</v>
      </c>
      <c r="H9601" s="255">
        <f t="shared" si="819"/>
        <v>1.5715094873973379</v>
      </c>
    </row>
    <row r="9602" spans="1:12" ht="15.75" thickBot="1" x14ac:dyDescent="0.3">
      <c r="A9602" s="36" t="s">
        <v>16</v>
      </c>
      <c r="B9602" s="355">
        <v>44293</v>
      </c>
      <c r="C9602" s="293">
        <v>11059</v>
      </c>
      <c r="D9602" s="211">
        <f t="shared" si="817"/>
        <v>1037954</v>
      </c>
      <c r="E9602" s="293">
        <v>116</v>
      </c>
      <c r="F9602" s="211">
        <f t="shared" si="818"/>
        <v>28788</v>
      </c>
      <c r="G9602" s="212">
        <f>SUM(C9602,C9578,C9554,C9530,C9506,C9482,C9458,C9434,C9410,C9386,C9362,C9338,C9314,C9290)/POBLA!$B$1*100000</f>
        <v>500.62877893747054</v>
      </c>
      <c r="H9602" s="253">
        <f t="shared" si="819"/>
        <v>2.0060307017543861</v>
      </c>
      <c r="J9602" s="336"/>
      <c r="K9602" s="227"/>
      <c r="L9602" s="228"/>
    </row>
    <row r="9603" spans="1:12" ht="15.75" thickBot="1" x14ac:dyDescent="0.3">
      <c r="A9603" s="84" t="s">
        <v>43</v>
      </c>
      <c r="B9603" s="355">
        <v>44293</v>
      </c>
      <c r="C9603" s="1">
        <v>2480</v>
      </c>
      <c r="D9603" s="47">
        <f t="shared" si="817"/>
        <v>275629</v>
      </c>
      <c r="E9603" s="1">
        <v>38</v>
      </c>
      <c r="F9603" s="47">
        <f t="shared" si="818"/>
        <v>6996</v>
      </c>
      <c r="G9603" s="203">
        <f>SUM(C9603,C9579,C9555,C9531,C9507,C9483,C9459,C9435,C9411,C9387,C9363,C9339,C9315,C9291)/POBLA!$B$2*100000</f>
        <v>794.85740556618032</v>
      </c>
      <c r="H9603" s="254">
        <f t="shared" si="819"/>
        <v>1.9986102027468935</v>
      </c>
      <c r="J9603" s="336"/>
      <c r="K9603" s="227"/>
      <c r="L9603" s="228"/>
    </row>
    <row r="9604" spans="1:12" ht="15.75" thickBot="1" x14ac:dyDescent="0.3">
      <c r="A9604" s="84" t="s">
        <v>28</v>
      </c>
      <c r="B9604" s="355">
        <v>44293</v>
      </c>
      <c r="C9604" s="1">
        <v>123</v>
      </c>
      <c r="D9604" s="47">
        <f t="shared" si="817"/>
        <v>11116</v>
      </c>
      <c r="F9604" s="47">
        <f t="shared" si="818"/>
        <v>18</v>
      </c>
      <c r="G9604" s="203">
        <f>SUM(C9604,C9580,C9556,C9532,C9508,C9484,C9460,C9436,C9412,C9388,C9364,C9340,C9316,C9292)/POBLA!$B$3*100000</f>
        <v>289.33318569798621</v>
      </c>
      <c r="H9604" s="254">
        <f t="shared" si="819"/>
        <v>0.98202614379084963</v>
      </c>
      <c r="J9604" s="336"/>
      <c r="K9604" s="227"/>
      <c r="L9604" s="231"/>
    </row>
    <row r="9605" spans="1:12" ht="15.75" thickBot="1" x14ac:dyDescent="0.3">
      <c r="A9605" s="84" t="s">
        <v>15</v>
      </c>
      <c r="B9605" s="355">
        <v>44293</v>
      </c>
      <c r="C9605" s="1">
        <v>185</v>
      </c>
      <c r="D9605" s="47">
        <f t="shared" si="817"/>
        <v>39524</v>
      </c>
      <c r="E9605" s="1">
        <v>3</v>
      </c>
      <c r="F9605" s="47">
        <f t="shared" si="818"/>
        <v>950</v>
      </c>
      <c r="G9605" s="203">
        <f>SUM(C9605,C9581,C9557,C9533,C9509,C9485,C9461,C9437,C9413,C9389,C9365,C9341,C9317,C9293)/POBLA!$B$4*100000</f>
        <v>178.40820694355776</v>
      </c>
      <c r="H9605" s="254">
        <f t="shared" si="819"/>
        <v>1.0986707566462168</v>
      </c>
      <c r="J9605" s="336"/>
      <c r="K9605" s="227"/>
      <c r="L9605" s="231"/>
    </row>
    <row r="9606" spans="1:12" ht="15.75" thickBot="1" x14ac:dyDescent="0.3">
      <c r="A9606" s="84" t="s">
        <v>29</v>
      </c>
      <c r="B9606" s="355">
        <v>44293</v>
      </c>
      <c r="C9606" s="1">
        <v>193</v>
      </c>
      <c r="D9606" s="47">
        <f t="shared" si="817"/>
        <v>50836</v>
      </c>
      <c r="F9606" s="47">
        <f t="shared" si="818"/>
        <v>870</v>
      </c>
      <c r="G9606" s="203">
        <f>SUM(C9606,C9582,C9558,C9534,C9510,C9486,C9462,C9438,C9414,C9390,C9366,C9342,C9318,C9294)/POBLA!$B$5*100000</f>
        <v>277.38556431887872</v>
      </c>
      <c r="H9606" s="254">
        <f t="shared" si="819"/>
        <v>1.3086890243902438</v>
      </c>
      <c r="J9606" s="336"/>
      <c r="K9606" s="227"/>
      <c r="L9606" s="228"/>
    </row>
    <row r="9607" spans="1:12" ht="15.75" thickBot="1" x14ac:dyDescent="0.3">
      <c r="A9607" s="84" t="s">
        <v>30</v>
      </c>
      <c r="B9607" s="355">
        <v>44293</v>
      </c>
      <c r="C9607" s="1">
        <v>433</v>
      </c>
      <c r="D9607" s="47">
        <f t="shared" si="817"/>
        <v>31832</v>
      </c>
      <c r="E9607" s="1">
        <v>2</v>
      </c>
      <c r="F9607" s="47">
        <f t="shared" si="818"/>
        <v>337</v>
      </c>
      <c r="G9607" s="203">
        <f>SUM(C9607,C9583,C9559,C9535,C9511,C9487,C9463,C9439,C9415,C9391,C9367,C9343,C9319,C9295)/POBLA!$B$6*100000</f>
        <v>422.73338442774411</v>
      </c>
      <c r="H9607" s="254">
        <f t="shared" si="819"/>
        <v>1.5108418367346939</v>
      </c>
      <c r="J9607" s="336"/>
      <c r="K9607" s="227"/>
      <c r="L9607" s="231"/>
    </row>
    <row r="9608" spans="1:12" ht="15.75" thickBot="1" x14ac:dyDescent="0.3">
      <c r="A9608" s="84" t="s">
        <v>20</v>
      </c>
      <c r="B9608" s="355">
        <v>44293</v>
      </c>
      <c r="C9608" s="1">
        <v>2109</v>
      </c>
      <c r="D9608" s="47">
        <f t="shared" si="817"/>
        <v>188864</v>
      </c>
      <c r="E9608" s="1">
        <v>9</v>
      </c>
      <c r="F9608" s="47">
        <f t="shared" si="818"/>
        <v>3082</v>
      </c>
      <c r="G9608" s="203">
        <f>SUM(C9608,C9584,C9560,C9536,C9512,C9488,C9464,C9440,C9416,C9392,C9368,C9344,C9320,C9296)/POBLA!$B$7*100000</f>
        <v>384.71459532768688</v>
      </c>
      <c r="H9608" s="254">
        <f t="shared" si="819"/>
        <v>1.6596306068601583</v>
      </c>
      <c r="J9608" s="336"/>
      <c r="K9608" s="227"/>
      <c r="L9608" s="228"/>
    </row>
    <row r="9609" spans="1:12" ht="15.75" thickBot="1" x14ac:dyDescent="0.3">
      <c r="A9609" s="84" t="s">
        <v>31</v>
      </c>
      <c r="B9609" s="355">
        <v>44293</v>
      </c>
      <c r="C9609" s="1">
        <v>411</v>
      </c>
      <c r="D9609" s="47">
        <f t="shared" si="817"/>
        <v>51533</v>
      </c>
      <c r="E9609" s="1">
        <v>1</v>
      </c>
      <c r="F9609" s="47">
        <f t="shared" si="818"/>
        <v>954</v>
      </c>
      <c r="G9609" s="203">
        <f>SUM(C9609,C9585,C9561,C9537,C9513,C9489,C9465,C9441,C9417,C9393,C9369,C9345,C9321,C9297)/POBLA!$B$8*100000</f>
        <v>211.33350794142115</v>
      </c>
      <c r="H9609" s="254">
        <f t="shared" si="819"/>
        <v>1.3350045578851413</v>
      </c>
      <c r="J9609" s="336"/>
      <c r="K9609" s="227"/>
      <c r="L9609" s="228"/>
    </row>
    <row r="9610" spans="1:12" ht="15.75" thickBot="1" x14ac:dyDescent="0.3">
      <c r="A9610" s="84" t="s">
        <v>41</v>
      </c>
      <c r="B9610" s="355">
        <v>44293</v>
      </c>
      <c r="C9610" s="1">
        <v>91</v>
      </c>
      <c r="D9610" s="47">
        <f t="shared" si="817"/>
        <v>2529</v>
      </c>
      <c r="F9610" s="47">
        <f t="shared" si="818"/>
        <v>41</v>
      </c>
      <c r="G9610" s="203">
        <f>SUM(C9610,C9586,C9562,C9538,C9514,C9490,C9466,C9442,C9418,C9394,C9370,C9346,C9322,C9298)/POBLA!$B$9*100000</f>
        <v>125.57977372507614</v>
      </c>
      <c r="H9610" s="254">
        <f t="shared" si="819"/>
        <v>2.2287390029325511</v>
      </c>
      <c r="J9610" s="336"/>
      <c r="K9610" s="229"/>
      <c r="L9610" s="230"/>
    </row>
    <row r="9611" spans="1:12" ht="15.75" thickBot="1" x14ac:dyDescent="0.3">
      <c r="A9611" s="84" t="s">
        <v>32</v>
      </c>
      <c r="B9611" s="355">
        <v>44293</v>
      </c>
      <c r="C9611" s="1">
        <v>48</v>
      </c>
      <c r="D9611" s="47">
        <f t="shared" si="817"/>
        <v>22822</v>
      </c>
      <c r="E9611" s="1">
        <v>2</v>
      </c>
      <c r="F9611" s="47">
        <f t="shared" si="818"/>
        <v>979</v>
      </c>
      <c r="G9611" s="203">
        <f>SUM(C9611,C9587,C9563,C9539,C9515,C9491,C9467,C9443,C9419,C9395,C9371,C9347,C9323,C9299)/POBLA!$B$10*100000</f>
        <v>91.842969278007885</v>
      </c>
      <c r="H9611" s="254">
        <f t="shared" si="819"/>
        <v>1.0582959641255605</v>
      </c>
      <c r="J9611" s="336"/>
      <c r="K9611" s="232"/>
      <c r="L9611" s="231"/>
    </row>
    <row r="9612" spans="1:12" ht="15.75" thickBot="1" x14ac:dyDescent="0.3">
      <c r="A9612" s="84" t="s">
        <v>33</v>
      </c>
      <c r="B9612" s="355">
        <v>44293</v>
      </c>
      <c r="C9612" s="1">
        <v>173</v>
      </c>
      <c r="D9612" s="47">
        <f t="shared" si="817"/>
        <v>22078</v>
      </c>
      <c r="F9612" s="47">
        <f t="shared" si="818"/>
        <v>327</v>
      </c>
      <c r="G9612" s="203">
        <f>SUM(C9612,C9588,C9564,C9540,C9516,C9492,C9468,C9444,C9420,C9396,C9372,C9348,C9324,C9300)/POBLA!$B$11*100000</f>
        <v>379.71363844342517</v>
      </c>
      <c r="H9612" s="254">
        <f t="shared" si="819"/>
        <v>1.1247933884297521</v>
      </c>
      <c r="J9612" s="336"/>
      <c r="K9612" s="227"/>
      <c r="L9612" s="231"/>
    </row>
    <row r="9613" spans="1:12" ht="15.75" thickBot="1" x14ac:dyDescent="0.3">
      <c r="A9613" s="84" t="s">
        <v>21</v>
      </c>
      <c r="B9613" s="355">
        <v>44293</v>
      </c>
      <c r="C9613" s="1">
        <v>126</v>
      </c>
      <c r="D9613" s="47">
        <f t="shared" si="817"/>
        <v>11605</v>
      </c>
      <c r="E9613" s="1">
        <v>2</v>
      </c>
      <c r="F9613" s="47">
        <f t="shared" si="818"/>
        <v>451</v>
      </c>
      <c r="G9613" s="203">
        <f>SUM(C9613,C9589,C9565,C9541,C9517,C9493,C9469,C9445,C9421,C9397,C9373,C9349,C9325,C9301)/POBLA!$B$12*100000</f>
        <v>214.7226012690233</v>
      </c>
      <c r="H9613" s="254">
        <f t="shared" si="819"/>
        <v>2.4926253687315634</v>
      </c>
      <c r="J9613" s="336"/>
      <c r="K9613" s="227"/>
      <c r="L9613" s="231"/>
    </row>
    <row r="9614" spans="1:12" ht="15.75" thickBot="1" x14ac:dyDescent="0.3">
      <c r="A9614" s="84" t="s">
        <v>17</v>
      </c>
      <c r="B9614" s="355">
        <v>44293</v>
      </c>
      <c r="C9614" s="1">
        <v>1005</v>
      </c>
      <c r="D9614" s="47">
        <f t="shared" si="817"/>
        <v>76744</v>
      </c>
      <c r="E9614" s="1">
        <v>3</v>
      </c>
      <c r="F9614" s="47">
        <f t="shared" si="818"/>
        <v>1526</v>
      </c>
      <c r="G9614" s="203">
        <f>SUM(C9614,C9590,C9566,C9542,C9518,C9494,C9470,C9446,C9422,C9398,C9374,C9350,C9326,C9302)/POBLA!$B$13*100000</f>
        <v>288.84541218627186</v>
      </c>
      <c r="H9614" s="254">
        <f t="shared" si="819"/>
        <v>2.6275137111517366</v>
      </c>
      <c r="J9614" s="336"/>
      <c r="K9614" s="227"/>
      <c r="L9614" s="228"/>
    </row>
    <row r="9615" spans="1:12" ht="15.75" thickBot="1" x14ac:dyDescent="0.3">
      <c r="A9615" s="84" t="s">
        <v>23</v>
      </c>
      <c r="B9615" s="355">
        <v>44293</v>
      </c>
      <c r="C9615" s="1">
        <v>101</v>
      </c>
      <c r="D9615" s="47">
        <f t="shared" si="817"/>
        <v>12715</v>
      </c>
      <c r="E9615" s="1">
        <v>2</v>
      </c>
      <c r="F9615" s="47">
        <f t="shared" si="818"/>
        <v>216</v>
      </c>
      <c r="G9615" s="203">
        <f>SUM(C9615,C9591,C9567,C9543,C9519,C9495,C9471,C9447,C9423,C9399,C9375,C9351,C9327,C9303)/POBLA!$B$14*100000</f>
        <v>122.96895093451646</v>
      </c>
      <c r="H9615" s="254">
        <f t="shared" si="819"/>
        <v>0.91396582203889221</v>
      </c>
      <c r="J9615" s="336"/>
      <c r="K9615" s="227"/>
      <c r="L9615" s="231"/>
    </row>
    <row r="9616" spans="1:12" ht="15.75" thickBot="1" x14ac:dyDescent="0.3">
      <c r="A9616" s="84" t="s">
        <v>19</v>
      </c>
      <c r="B9616" s="355">
        <v>44293</v>
      </c>
      <c r="C9616" s="1">
        <v>183</v>
      </c>
      <c r="D9616" s="47">
        <f t="shared" si="817"/>
        <v>66042</v>
      </c>
      <c r="E9616" s="1">
        <v>2</v>
      </c>
      <c r="F9616" s="47">
        <f t="shared" si="818"/>
        <v>1016</v>
      </c>
      <c r="G9616" s="203">
        <f>SUM(C9616,C9592,C9568,C9544,C9520,C9496,C9472,C9448,C9424,C9400,C9376,C9352,C9328,C9304)/POBLA!$B$15*100000</f>
        <v>236.72666653615579</v>
      </c>
      <c r="H9616" s="254">
        <f t="shared" si="819"/>
        <v>0.90657439446366783</v>
      </c>
      <c r="J9616" s="336"/>
      <c r="K9616" s="227"/>
      <c r="L9616" s="228"/>
    </row>
    <row r="9617" spans="1:12" ht="15.75" thickBot="1" x14ac:dyDescent="0.3">
      <c r="A9617" s="84" t="s">
        <v>18</v>
      </c>
      <c r="B9617" s="355">
        <v>44293</v>
      </c>
      <c r="C9617" s="1">
        <v>131</v>
      </c>
      <c r="D9617" s="47">
        <f t="shared" si="817"/>
        <v>56223</v>
      </c>
      <c r="E9617" s="1">
        <v>2</v>
      </c>
      <c r="F9617" s="47">
        <f t="shared" si="818"/>
        <v>1294</v>
      </c>
      <c r="G9617" s="203">
        <f>SUM(C9617,C9593,C9569,C9545,C9521,C9497,C9473,C9449,C9425,C9401,C9377,C9353,C9329,C9305)/POBLA!$B$16*100000</f>
        <v>203.44832198606224</v>
      </c>
      <c r="H9617" s="254">
        <f t="shared" si="819"/>
        <v>1.2792262405382675</v>
      </c>
      <c r="J9617" s="336"/>
      <c r="K9617" s="227"/>
      <c r="L9617" s="228"/>
    </row>
    <row r="9618" spans="1:12" ht="15.75" thickBot="1" x14ac:dyDescent="0.3">
      <c r="A9618" s="84" t="s">
        <v>34</v>
      </c>
      <c r="B9618" s="355">
        <v>44293</v>
      </c>
      <c r="C9618" s="1">
        <v>193</v>
      </c>
      <c r="D9618" s="47">
        <f t="shared" si="817"/>
        <v>30263</v>
      </c>
      <c r="E9618" s="1">
        <v>2</v>
      </c>
      <c r="F9618" s="47">
        <f t="shared" si="818"/>
        <v>1222</v>
      </c>
      <c r="G9618" s="203">
        <f>SUM(C9618,C9594,C9570,C9546,C9522,C9498,C9474,C9450,C9426,C9402,C9378,C9354,C9330,C9306)/POBLA!$B$17*100000</f>
        <v>115.62787621709398</v>
      </c>
      <c r="H9618" s="254">
        <f t="shared" ref="H9618:H9641" si="820">SUM(C9618,C9594,C9570,C9546,C9522,C9498,C9474,C9450,C9426,C9402,C9378,C9354,C9330,C9306)/SUM(C9282,C9258,C9234,C9210,C9186,C9162,C9138,C9114,C9090,C9066,C9042,C9018,C8994,C8970)</f>
        <v>1.1722419928825623</v>
      </c>
      <c r="J9618" s="336"/>
      <c r="K9618" s="227"/>
      <c r="L9618" s="231"/>
    </row>
    <row r="9619" spans="1:12" ht="15.75" thickBot="1" x14ac:dyDescent="0.3">
      <c r="A9619" s="84" t="s">
        <v>35</v>
      </c>
      <c r="B9619" s="355">
        <v>44293</v>
      </c>
      <c r="C9619" s="1">
        <v>258</v>
      </c>
      <c r="D9619" s="47">
        <f t="shared" si="817"/>
        <v>18130</v>
      </c>
      <c r="F9619" s="47">
        <f t="shared" si="818"/>
        <v>227</v>
      </c>
      <c r="G9619" s="203">
        <f>SUM(C9619,C9595,C9571,C9547,C9523,C9499,C9475,C9451,C9427,C9403,C9379,C9355,C9331,C9307)/POBLA!$B$18*100000</f>
        <v>205.83269437301033</v>
      </c>
      <c r="H9619" s="254">
        <f t="shared" si="820"/>
        <v>2.0775193798449614</v>
      </c>
      <c r="J9619" s="336"/>
      <c r="K9619" s="227"/>
      <c r="L9619" s="231"/>
    </row>
    <row r="9620" spans="1:12" ht="15.75" thickBot="1" x14ac:dyDescent="0.3">
      <c r="A9620" s="84" t="s">
        <v>36</v>
      </c>
      <c r="B9620" s="355">
        <v>44293</v>
      </c>
      <c r="C9620" s="1">
        <v>346</v>
      </c>
      <c r="D9620" s="47">
        <f t="shared" si="817"/>
        <v>24636</v>
      </c>
      <c r="E9620" s="1">
        <v>1</v>
      </c>
      <c r="F9620" s="47">
        <f t="shared" si="818"/>
        <v>441</v>
      </c>
      <c r="G9620" s="203">
        <f>SUM(C9620,C9596,C9572,C9548,C9524,C9500,C9476,C9452,C9428,C9404,C9380,C9356,C9332,C9308)/POBLA!$B$19*100000</f>
        <v>606.10471978722398</v>
      </c>
      <c r="H9620" s="254">
        <f t="shared" si="820"/>
        <v>4.1522911051212938</v>
      </c>
      <c r="J9620" s="336"/>
      <c r="K9620" s="227"/>
      <c r="L9620" s="231"/>
    </row>
    <row r="9621" spans="1:12" ht="15.75" thickBot="1" x14ac:dyDescent="0.3">
      <c r="A9621" s="84" t="s">
        <v>37</v>
      </c>
      <c r="B9621" s="355">
        <v>44293</v>
      </c>
      <c r="C9621" s="1">
        <v>188</v>
      </c>
      <c r="D9621" s="47">
        <f t="shared" si="817"/>
        <v>40325</v>
      </c>
      <c r="E9621" s="1">
        <v>1</v>
      </c>
      <c r="F9621" s="47">
        <f t="shared" si="818"/>
        <v>654</v>
      </c>
      <c r="G9621" s="203">
        <f>SUM(C9621,C9597,C9573,C9549,C9525,C9501,C9477,C9453,C9429,C9405,C9381,C9357,C9333,C9309)/POBLA!$B$20*100000</f>
        <v>492.20941870067651</v>
      </c>
      <c r="H9621" s="254">
        <f t="shared" si="820"/>
        <v>1.1523687580025608</v>
      </c>
      <c r="J9621" s="336"/>
      <c r="K9621" s="227"/>
      <c r="L9621" s="231"/>
    </row>
    <row r="9622" spans="1:12" ht="15.75" thickBot="1" x14ac:dyDescent="0.3">
      <c r="A9622" s="84" t="s">
        <v>22</v>
      </c>
      <c r="B9622" s="355">
        <v>44293</v>
      </c>
      <c r="C9622" s="1">
        <v>1296</v>
      </c>
      <c r="D9622" s="47">
        <f t="shared" si="817"/>
        <v>237233</v>
      </c>
      <c r="E9622" s="1">
        <v>10</v>
      </c>
      <c r="F9622" s="47">
        <f t="shared" si="818"/>
        <v>4305</v>
      </c>
      <c r="G9622" s="203">
        <f>SUM(C9622,C9598,C9574,C9550,C9526,C9502,C9478,C9454,C9430,C9406,C9382,C9358,C9334,C9310)/POBLA!$B$21*100000</f>
        <v>285.37350505511512</v>
      </c>
      <c r="H9622" s="254">
        <f t="shared" si="820"/>
        <v>1.5370088333840999</v>
      </c>
      <c r="J9622" s="336"/>
      <c r="K9622" s="227"/>
      <c r="L9622" s="228"/>
    </row>
    <row r="9623" spans="1:12" ht="15.75" thickBot="1" x14ac:dyDescent="0.3">
      <c r="A9623" s="84" t="s">
        <v>38</v>
      </c>
      <c r="B9623" s="355">
        <v>44293</v>
      </c>
      <c r="C9623" s="1">
        <v>176</v>
      </c>
      <c r="D9623" s="47">
        <f t="shared" si="817"/>
        <v>26038</v>
      </c>
      <c r="F9623" s="47">
        <f t="shared" si="818"/>
        <v>302</v>
      </c>
      <c r="G9623" s="203">
        <f>SUM(C9623,C9599,C9575,C9551,C9527,C9503,C9479,C9455,C9431,C9407,C9383,C9359,C9335,C9311)/POBLA!$B$22*100000</f>
        <v>174.17738494735326</v>
      </c>
      <c r="H9623" s="254">
        <f t="shared" si="820"/>
        <v>1.471502590673575</v>
      </c>
      <c r="J9623" s="336"/>
      <c r="K9623" s="227"/>
      <c r="L9623" s="231"/>
    </row>
    <row r="9624" spans="1:12" ht="15.75" thickBot="1" x14ac:dyDescent="0.3">
      <c r="A9624" s="84" t="s">
        <v>39</v>
      </c>
      <c r="B9624" s="355">
        <v>44293</v>
      </c>
      <c r="C9624" s="1">
        <v>46</v>
      </c>
      <c r="D9624" s="47">
        <f t="shared" si="817"/>
        <v>24485</v>
      </c>
      <c r="E9624" s="1">
        <v>3</v>
      </c>
      <c r="F9624" s="47">
        <f t="shared" si="818"/>
        <v>370</v>
      </c>
      <c r="G9624" s="203">
        <f>SUM(C9624,C9600,C9576,C9552,C9528,C9504,C9480,C9456,C9432,C9408,C9384,C9360,C9336,C9312)/POBLA!$B$23*100000</f>
        <v>430.35683990273145</v>
      </c>
      <c r="H9624" s="254">
        <f t="shared" si="820"/>
        <v>1.6260683760683761</v>
      </c>
      <c r="J9624" s="336"/>
      <c r="K9624" s="232"/>
      <c r="L9624" s="231"/>
    </row>
    <row r="9625" spans="1:12" ht="15.75" thickBot="1" x14ac:dyDescent="0.3">
      <c r="A9625" s="85" t="s">
        <v>40</v>
      </c>
      <c r="B9625" s="355">
        <v>44293</v>
      </c>
      <c r="C9625" s="1">
        <v>685</v>
      </c>
      <c r="D9625" s="214">
        <f t="shared" si="817"/>
        <v>90912</v>
      </c>
      <c r="F9625" s="214">
        <f t="shared" si="818"/>
        <v>1502</v>
      </c>
      <c r="G9625" s="215">
        <f>SUM(C9625,C9601,C9577,C9553,C9529,C9505,C9481,C9457,C9433,C9409,C9385,C9361,C9337,C9313)/POBLA!$B$24*100000</f>
        <v>352.04784923901957</v>
      </c>
      <c r="H9625" s="255">
        <f t="shared" si="820"/>
        <v>1.6599888703394547</v>
      </c>
      <c r="J9625" s="336"/>
      <c r="K9625" s="227"/>
      <c r="L9625" s="228"/>
    </row>
    <row r="9626" spans="1:12" ht="15.75" thickBot="1" x14ac:dyDescent="0.3">
      <c r="A9626" s="36" t="s">
        <v>16</v>
      </c>
      <c r="B9626" s="355">
        <v>44294</v>
      </c>
      <c r="C9626" s="1">
        <v>12026</v>
      </c>
      <c r="D9626" s="211">
        <f t="shared" si="817"/>
        <v>1049980</v>
      </c>
      <c r="E9626" s="1">
        <v>189</v>
      </c>
      <c r="F9626" s="211">
        <f t="shared" si="818"/>
        <v>28977</v>
      </c>
      <c r="G9626" s="212">
        <f>SUM(C9626,C9602,C9578,C9554,C9530,C9506,C9482,C9458,C9434,C9410,C9386,C9362,C9338,C9314)/POBLA!$B$1*100000</f>
        <v>548.08293257548075</v>
      </c>
      <c r="H9626" s="253">
        <f t="shared" si="820"/>
        <v>2.1836104297265377</v>
      </c>
    </row>
    <row r="9627" spans="1:12" ht="15.75" thickBot="1" x14ac:dyDescent="0.3">
      <c r="A9627" s="84" t="s">
        <v>43</v>
      </c>
      <c r="B9627" s="355">
        <v>44294</v>
      </c>
      <c r="C9627" s="1">
        <v>2364</v>
      </c>
      <c r="D9627" s="47">
        <f t="shared" si="817"/>
        <v>277993</v>
      </c>
      <c r="E9627" s="1">
        <v>23</v>
      </c>
      <c r="F9627" s="47">
        <f t="shared" si="818"/>
        <v>7019</v>
      </c>
      <c r="G9627" s="203">
        <f>SUM(C9627,C9603,C9579,C9555,C9531,C9507,C9483,C9459,C9435,C9411,C9387,C9363,C9339,C9315)/POBLA!$B$2*100000</f>
        <v>826.26544147148275</v>
      </c>
      <c r="H9627" s="254">
        <f t="shared" si="820"/>
        <v>1.9846153846153847</v>
      </c>
    </row>
    <row r="9628" spans="1:12" ht="15.75" thickBot="1" x14ac:dyDescent="0.3">
      <c r="A9628" s="84" t="s">
        <v>28</v>
      </c>
      <c r="B9628" s="355">
        <v>44294</v>
      </c>
      <c r="C9628" s="1">
        <v>171</v>
      </c>
      <c r="D9628" s="47">
        <f t="shared" si="817"/>
        <v>11287</v>
      </c>
      <c r="F9628" s="47">
        <f t="shared" si="818"/>
        <v>18</v>
      </c>
      <c r="G9628" s="203">
        <f>SUM(C9628,C9604,C9580,C9556,C9532,C9508,C9484,C9460,C9436,C9412,C9388,C9364,C9340,C9316)/POBLA!$B$3*100000</f>
        <v>310.51564854442779</v>
      </c>
      <c r="H9628" s="254">
        <f t="shared" si="820"/>
        <v>1.0513447432762837</v>
      </c>
    </row>
    <row r="9629" spans="1:12" ht="15.75" thickBot="1" x14ac:dyDescent="0.3">
      <c r="A9629" s="84" t="s">
        <v>15</v>
      </c>
      <c r="B9629" s="355">
        <v>44294</v>
      </c>
      <c r="C9629" s="1">
        <v>260</v>
      </c>
      <c r="D9629" s="47">
        <f t="shared" si="817"/>
        <v>39784</v>
      </c>
      <c r="E9629" s="1">
        <v>7</v>
      </c>
      <c r="F9629" s="47">
        <f t="shared" si="818"/>
        <v>957</v>
      </c>
      <c r="G9629" s="203">
        <f>SUM(C9629,C9605,C9581,C9557,C9533,C9509,C9485,C9461,C9437,C9413,C9389,C9365,C9341,C9317)/POBLA!$B$4*100000</f>
        <v>189.61579556030057</v>
      </c>
      <c r="H9629" s="254">
        <f t="shared" si="820"/>
        <v>1.1767130345182895</v>
      </c>
    </row>
    <row r="9630" spans="1:12" ht="15.75" thickBot="1" x14ac:dyDescent="0.3">
      <c r="A9630" s="84" t="s">
        <v>29</v>
      </c>
      <c r="B9630" s="355">
        <v>44294</v>
      </c>
      <c r="C9630" s="1">
        <v>177</v>
      </c>
      <c r="D9630" s="47">
        <f t="shared" si="817"/>
        <v>51013</v>
      </c>
      <c r="F9630" s="47">
        <f t="shared" si="818"/>
        <v>870</v>
      </c>
      <c r="G9630" s="203">
        <f>SUM(C9630,C9606,C9582,C9558,C9534,C9510,C9486,C9462,C9438,C9414,C9390,C9366,C9342,C9318)/POBLA!$B$5*100000</f>
        <v>285.14008213326787</v>
      </c>
      <c r="H9630" s="254">
        <f t="shared" si="820"/>
        <v>1.3211077844311376</v>
      </c>
    </row>
    <row r="9631" spans="1:12" ht="15.75" thickBot="1" x14ac:dyDescent="0.3">
      <c r="A9631" s="84" t="s">
        <v>30</v>
      </c>
      <c r="B9631" s="355">
        <v>44294</v>
      </c>
      <c r="C9631" s="1">
        <v>509</v>
      </c>
      <c r="D9631" s="47">
        <f t="shared" si="817"/>
        <v>32341</v>
      </c>
      <c r="E9631" s="1">
        <v>1</v>
      </c>
      <c r="F9631" s="47">
        <f t="shared" si="818"/>
        <v>338</v>
      </c>
      <c r="G9631" s="203">
        <f>SUM(C9631,C9607,C9583,C9559,C9535,C9511,C9487,C9463,C9439,C9415,C9391,C9367,C9343,C9319)/POBLA!$B$6*100000</f>
        <v>465.64912058429638</v>
      </c>
      <c r="H9631" s="254">
        <f t="shared" si="820"/>
        <v>1.6873585515680569</v>
      </c>
    </row>
    <row r="9632" spans="1:12" ht="15.75" thickBot="1" x14ac:dyDescent="0.3">
      <c r="A9632" s="84" t="s">
        <v>20</v>
      </c>
      <c r="B9632" s="355">
        <v>44294</v>
      </c>
      <c r="C9632" s="1">
        <v>2189</v>
      </c>
      <c r="D9632" s="47">
        <f t="shared" si="817"/>
        <v>191053</v>
      </c>
      <c r="E9632" s="1">
        <v>7</v>
      </c>
      <c r="F9632" s="47">
        <f t="shared" si="818"/>
        <v>3089</v>
      </c>
      <c r="G9632" s="203">
        <f>SUM(C9632,C9608,C9584,C9560,C9536,C9512,C9488,C9464,C9440,C9416,C9392,C9368,C9344,C9320)/POBLA!$B$7*100000</f>
        <v>423.69929130822106</v>
      </c>
      <c r="H9632" s="254">
        <f t="shared" si="820"/>
        <v>1.8225806451612903</v>
      </c>
    </row>
    <row r="9633" spans="1:8" ht="15.75" thickBot="1" x14ac:dyDescent="0.3">
      <c r="A9633" s="84" t="s">
        <v>31</v>
      </c>
      <c r="B9633" s="355">
        <v>44294</v>
      </c>
      <c r="C9633" s="1">
        <v>437</v>
      </c>
      <c r="D9633" s="47">
        <f t="shared" si="817"/>
        <v>51970</v>
      </c>
      <c r="E9633" s="1">
        <v>6</v>
      </c>
      <c r="F9633" s="47">
        <f t="shared" si="818"/>
        <v>960</v>
      </c>
      <c r="G9633" s="203">
        <f>SUM(C9633,C9609,C9585,C9561,C9537,C9513,C9489,C9465,C9441,C9417,C9393,C9369,C9345,C9321)/POBLA!$B$8*100000</f>
        <v>233.05129076503596</v>
      </c>
      <c r="H9633" s="254">
        <f t="shared" si="820"/>
        <v>1.4755596162631339</v>
      </c>
    </row>
    <row r="9634" spans="1:8" ht="15.75" thickBot="1" x14ac:dyDescent="0.3">
      <c r="A9634" s="84" t="s">
        <v>41</v>
      </c>
      <c r="B9634" s="355">
        <v>44294</v>
      </c>
      <c r="C9634" s="1">
        <v>12</v>
      </c>
      <c r="D9634" s="47">
        <f t="shared" si="817"/>
        <v>2541</v>
      </c>
      <c r="E9634" s="1">
        <v>7</v>
      </c>
      <c r="F9634" s="47">
        <f t="shared" si="818"/>
        <v>48</v>
      </c>
      <c r="G9634" s="203">
        <f>SUM(C9634,C9610,C9586,C9562,C9538,C9514,C9490,C9466,C9442,C9418,C9394,C9370,C9346,C9322)/POBLA!$B$9*100000</f>
        <v>118.14412922819663</v>
      </c>
      <c r="H9634" s="254">
        <f t="shared" si="820"/>
        <v>2.0487106017191978</v>
      </c>
    </row>
    <row r="9635" spans="1:8" ht="15.75" thickBot="1" x14ac:dyDescent="0.3">
      <c r="A9635" s="84" t="s">
        <v>32</v>
      </c>
      <c r="B9635" s="355">
        <v>44294</v>
      </c>
      <c r="C9635" s="1">
        <v>68</v>
      </c>
      <c r="D9635" s="47">
        <f t="shared" si="817"/>
        <v>22890</v>
      </c>
      <c r="F9635" s="47">
        <f t="shared" si="818"/>
        <v>979</v>
      </c>
      <c r="G9635" s="203">
        <f>SUM(C9635,C9611,C9587,C9563,C9539,C9515,C9491,C9467,C9443,C9419,C9395,C9371,C9347,C9323)/POBLA!$B$10*100000</f>
        <v>95.734620518601446</v>
      </c>
      <c r="H9635" s="254">
        <f t="shared" si="820"/>
        <v>1.153125</v>
      </c>
    </row>
    <row r="9636" spans="1:8" ht="15.75" thickBot="1" x14ac:dyDescent="0.3">
      <c r="A9636" s="84" t="s">
        <v>33</v>
      </c>
      <c r="B9636" s="355">
        <v>44294</v>
      </c>
      <c r="C9636" s="1">
        <v>178</v>
      </c>
      <c r="D9636" s="47">
        <f t="shared" si="817"/>
        <v>22256</v>
      </c>
      <c r="E9636" s="1">
        <v>1</v>
      </c>
      <c r="F9636" s="47">
        <f t="shared" si="818"/>
        <v>328</v>
      </c>
      <c r="G9636" s="203">
        <f>SUM(C9636,C9612,C9588,C9564,C9540,C9516,C9492,C9468,C9444,C9420,C9396,C9372,C9348,C9324)/POBLA!$B$11*100000</f>
        <v>405.10227995580703</v>
      </c>
      <c r="H9636" s="254">
        <f t="shared" si="820"/>
        <v>1.214046822742475</v>
      </c>
    </row>
    <row r="9637" spans="1:8" ht="15.75" thickBot="1" x14ac:dyDescent="0.3">
      <c r="A9637" s="84" t="s">
        <v>21</v>
      </c>
      <c r="B9637" s="355">
        <v>44294</v>
      </c>
      <c r="C9637" s="1">
        <v>109</v>
      </c>
      <c r="D9637" s="47">
        <f t="shared" si="817"/>
        <v>11714</v>
      </c>
      <c r="F9637" s="47">
        <f t="shared" si="818"/>
        <v>451</v>
      </c>
      <c r="G9637" s="203">
        <f>SUM(C9637,C9613,C9589,C9565,C9541,C9517,C9493,C9469,C9445,C9421,C9397,C9373,C9349,C9325)/POBLA!$B$12*100000</f>
        <v>232.76438196736726</v>
      </c>
      <c r="H9637" s="254">
        <f t="shared" si="820"/>
        <v>2.647398843930636</v>
      </c>
    </row>
    <row r="9638" spans="1:8" ht="15.75" thickBot="1" x14ac:dyDescent="0.3">
      <c r="A9638" s="84" t="s">
        <v>17</v>
      </c>
      <c r="B9638" s="355">
        <v>44294</v>
      </c>
      <c r="C9638" s="1">
        <v>1046</v>
      </c>
      <c r="D9638" s="47">
        <f t="shared" si="817"/>
        <v>77790</v>
      </c>
      <c r="E9638" s="1">
        <v>3</v>
      </c>
      <c r="F9638" s="47">
        <f t="shared" si="818"/>
        <v>1529</v>
      </c>
      <c r="G9638" s="203">
        <f>SUM(C9638,C9614,C9590,C9566,C9542,C9518,C9494,C9470,C9446,C9422,C9398,C9374,C9350,C9326)/POBLA!$B$13*100000</f>
        <v>332.00391089352661</v>
      </c>
      <c r="H9638" s="254">
        <f t="shared" si="820"/>
        <v>3.035369774919614</v>
      </c>
    </row>
    <row r="9639" spans="1:8" ht="15.75" thickBot="1" x14ac:dyDescent="0.3">
      <c r="A9639" s="84" t="s">
        <v>23</v>
      </c>
      <c r="B9639" s="355">
        <v>44294</v>
      </c>
      <c r="C9639" s="1">
        <v>153</v>
      </c>
      <c r="D9639" s="47">
        <f t="shared" si="817"/>
        <v>12868</v>
      </c>
      <c r="E9639" s="1">
        <v>1</v>
      </c>
      <c r="F9639" s="47">
        <f t="shared" si="818"/>
        <v>217</v>
      </c>
      <c r="G9639" s="203">
        <f>SUM(C9639,C9615,C9591,C9567,C9543,C9519,C9495,C9471,C9447,C9423,C9399,C9375,C9351,C9327)/POBLA!$B$14*100000</f>
        <v>125.34746062377209</v>
      </c>
      <c r="H9639" s="254">
        <f t="shared" si="820"/>
        <v>0.93384524512699352</v>
      </c>
    </row>
    <row r="9640" spans="1:8" ht="15.75" thickBot="1" x14ac:dyDescent="0.3">
      <c r="A9640" s="84" t="s">
        <v>19</v>
      </c>
      <c r="B9640" s="355">
        <v>44294</v>
      </c>
      <c r="C9640" s="1">
        <v>131</v>
      </c>
      <c r="D9640" s="47">
        <f t="shared" si="817"/>
        <v>66173</v>
      </c>
      <c r="E9640" s="1">
        <v>1</v>
      </c>
      <c r="F9640" s="47">
        <f t="shared" si="818"/>
        <v>1017</v>
      </c>
      <c r="G9640" s="203">
        <f>SUM(C9640,C9616,C9592,C9568,C9544,C9520,C9496,C9472,C9448,C9424,C9400,C9376,C9352,C9328)/POBLA!$B$15*100000</f>
        <v>244.4067301451532</v>
      </c>
      <c r="H9640" s="254">
        <f t="shared" si="820"/>
        <v>0.98483009708737868</v>
      </c>
    </row>
    <row r="9641" spans="1:8" ht="15.75" thickBot="1" x14ac:dyDescent="0.3">
      <c r="A9641" s="84" t="s">
        <v>18</v>
      </c>
      <c r="B9641" s="355">
        <v>44294</v>
      </c>
      <c r="C9641" s="1">
        <v>163</v>
      </c>
      <c r="D9641" s="47">
        <f t="shared" si="817"/>
        <v>56386</v>
      </c>
      <c r="E9641" s="1">
        <v>4</v>
      </c>
      <c r="F9641" s="47">
        <f t="shared" si="818"/>
        <v>1298</v>
      </c>
      <c r="G9641" s="203">
        <f>SUM(C9641,C9617,C9593,C9569,C9545,C9521,C9497,C9473,C9449,C9425,C9401,C9377,C9353,C9329)/POBLA!$B$16*100000</f>
        <v>214.01532884792874</v>
      </c>
      <c r="H9641" s="254">
        <f t="shared" si="820"/>
        <v>1.3513513513513513</v>
      </c>
    </row>
    <row r="9642" spans="1:8" ht="15.75" thickBot="1" x14ac:dyDescent="0.3">
      <c r="A9642" s="84" t="s">
        <v>34</v>
      </c>
      <c r="B9642" s="355">
        <v>44294</v>
      </c>
      <c r="C9642" s="1">
        <v>224</v>
      </c>
      <c r="D9642" s="47">
        <f t="shared" si="817"/>
        <v>30487</v>
      </c>
      <c r="E9642" s="1">
        <v>4</v>
      </c>
      <c r="F9642" s="47">
        <f t="shared" si="818"/>
        <v>1226</v>
      </c>
      <c r="G9642" s="203">
        <f>SUM(C9642,C9618,C9594,C9570,C9546,C9522,C9498,C9474,C9450,C9426,C9402,C9378,C9354,C9330)/POBLA!$B$17*100000</f>
        <v>126.43946877169779</v>
      </c>
      <c r="H9642" s="254">
        <f t="shared" ref="H9642:H9665" si="821">SUM(C9642,C9618,C9594,C9570,C9546,C9522,C9498,C9474,C9450,C9426,C9402,C9378,C9354,C9330)/SUM(C9306,C9282,C9258,C9234,C9210,C9186,C9162,C9138,C9114,C9090,C9066,C9042,C9018,C8994)</f>
        <v>1.3500749625187407</v>
      </c>
    </row>
    <row r="9643" spans="1:8" ht="15.75" thickBot="1" x14ac:dyDescent="0.3">
      <c r="A9643" s="84" t="s">
        <v>35</v>
      </c>
      <c r="B9643" s="355">
        <v>44294</v>
      </c>
      <c r="C9643" s="1">
        <v>331</v>
      </c>
      <c r="D9643" s="47">
        <f t="shared" si="817"/>
        <v>18461</v>
      </c>
      <c r="E9643" s="1">
        <v>2</v>
      </c>
      <c r="F9643" s="47">
        <f t="shared" si="818"/>
        <v>229</v>
      </c>
      <c r="G9643" s="203">
        <f>SUM(C9643,C9619,C9595,C9571,C9547,C9523,C9499,C9475,C9451,C9427,C9403,C9379,C9355,C9331)/POBLA!$B$18*100000</f>
        <v>236.42598663367542</v>
      </c>
      <c r="H9643" s="254">
        <f t="shared" si="821"/>
        <v>2.291563275434243</v>
      </c>
    </row>
    <row r="9644" spans="1:8" ht="15.75" thickBot="1" x14ac:dyDescent="0.3">
      <c r="A9644" s="84" t="s">
        <v>36</v>
      </c>
      <c r="B9644" s="355">
        <v>44294</v>
      </c>
      <c r="C9644" s="1">
        <v>523</v>
      </c>
      <c r="D9644" s="47">
        <f t="shared" si="817"/>
        <v>25159</v>
      </c>
      <c r="F9644" s="47">
        <f t="shared" si="818"/>
        <v>441</v>
      </c>
      <c r="G9644" s="203">
        <f>SUM(C9644,C9620,C9596,C9572,C9548,C9524,C9500,C9476,C9452,C9428,C9404,C9380,C9356,C9332)/POBLA!$B$19*100000</f>
        <v>691.28594136069626</v>
      </c>
      <c r="H9644" s="254">
        <f t="shared" si="821"/>
        <v>13.063197026022305</v>
      </c>
    </row>
    <row r="9645" spans="1:8" ht="15.75" thickBot="1" x14ac:dyDescent="0.3">
      <c r="A9645" s="84" t="s">
        <v>37</v>
      </c>
      <c r="B9645" s="355">
        <v>44294</v>
      </c>
      <c r="C9645" s="1">
        <v>180</v>
      </c>
      <c r="D9645" s="47">
        <f t="shared" si="817"/>
        <v>40505</v>
      </c>
      <c r="E9645" s="1">
        <v>3</v>
      </c>
      <c r="F9645" s="47">
        <f t="shared" si="818"/>
        <v>657</v>
      </c>
      <c r="G9645" s="203">
        <f>SUM(C9645,C9621,C9597,C9573,C9549,C9525,C9501,C9477,C9453,C9429,C9405,C9381,C9357,C9333)/POBLA!$B$20*100000</f>
        <v>519.28093672921375</v>
      </c>
      <c r="H9645" s="254">
        <f t="shared" si="821"/>
        <v>1.2428010471204189</v>
      </c>
    </row>
    <row r="9646" spans="1:8" ht="15.75" thickBot="1" x14ac:dyDescent="0.3">
      <c r="A9646" s="84" t="s">
        <v>22</v>
      </c>
      <c r="B9646" s="355">
        <v>44294</v>
      </c>
      <c r="C9646" s="1">
        <v>1365</v>
      </c>
      <c r="D9646" s="47">
        <f t="shared" si="817"/>
        <v>238598</v>
      </c>
      <c r="E9646" s="1">
        <v>14</v>
      </c>
      <c r="F9646" s="47">
        <f t="shared" si="818"/>
        <v>4319</v>
      </c>
      <c r="G9646" s="203">
        <f>SUM(C9646,C9622,C9598,C9574,C9550,C9526,C9502,C9478,C9454,C9430,C9406,C9382,C9358,C9334)/POBLA!$B$21*100000</f>
        <v>311.41680649742199</v>
      </c>
      <c r="H9646" s="254">
        <f t="shared" si="821"/>
        <v>1.7218574108818012</v>
      </c>
    </row>
    <row r="9647" spans="1:8" ht="15.75" thickBot="1" x14ac:dyDescent="0.3">
      <c r="A9647" s="84" t="s">
        <v>38</v>
      </c>
      <c r="B9647" s="355">
        <v>44294</v>
      </c>
      <c r="C9647" s="1">
        <v>169</v>
      </c>
      <c r="D9647" s="47">
        <f t="shared" si="817"/>
        <v>26207</v>
      </c>
      <c r="F9647" s="47">
        <f t="shared" si="818"/>
        <v>302</v>
      </c>
      <c r="G9647" s="203">
        <f>SUM(C9647,C9623,C9599,C9575,C9551,C9527,C9503,C9479,C9455,C9431,C9407,C9383,C9359,C9335)/POBLA!$B$22*100000</f>
        <v>177.75497207948786</v>
      </c>
      <c r="H9647" s="254">
        <f t="shared" si="821"/>
        <v>1.4195918367346938</v>
      </c>
    </row>
    <row r="9648" spans="1:8" ht="15.75" thickBot="1" x14ac:dyDescent="0.3">
      <c r="A9648" s="84" t="s">
        <v>39</v>
      </c>
      <c r="B9648" s="355">
        <v>44294</v>
      </c>
      <c r="C9648" s="1">
        <v>69</v>
      </c>
      <c r="D9648" s="47">
        <f t="shared" si="817"/>
        <v>24554</v>
      </c>
      <c r="F9648" s="47">
        <f t="shared" si="818"/>
        <v>370</v>
      </c>
      <c r="G9648" s="203">
        <f>SUM(C9648,C9624,C9600,C9576,C9552,C9528,C9504,C9480,C9456,C9432,C9408,C9384,C9360,C9336)/POBLA!$B$23*100000</f>
        <v>443.92919753435507</v>
      </c>
      <c r="H9648" s="254">
        <f t="shared" si="821"/>
        <v>1.6457023060796645</v>
      </c>
    </row>
    <row r="9649" spans="1:8" ht="15.75" thickBot="1" x14ac:dyDescent="0.3">
      <c r="A9649" s="86" t="s">
        <v>40</v>
      </c>
      <c r="B9649" s="42">
        <v>44294</v>
      </c>
      <c r="C9649" s="300">
        <v>829</v>
      </c>
      <c r="D9649" s="81">
        <f t="shared" si="817"/>
        <v>91741</v>
      </c>
      <c r="E9649" s="300">
        <v>17</v>
      </c>
      <c r="F9649" s="81">
        <f t="shared" si="818"/>
        <v>1519</v>
      </c>
      <c r="G9649" s="323">
        <f>SUM(C9649,C9625,C9601,C9577,C9553,C9529,C9505,C9481,C9457,C9433,C9409,C9385,C9361,C9337)/POBLA!$B$24*100000</f>
        <v>385.38794894066996</v>
      </c>
      <c r="H9649" s="324">
        <f t="shared" si="821"/>
        <v>1.8202341137123745</v>
      </c>
    </row>
    <row r="9650" spans="1:8" x14ac:dyDescent="0.25">
      <c r="A9650" s="36" t="s">
        <v>16</v>
      </c>
      <c r="B9650" s="354">
        <v>44295</v>
      </c>
      <c r="C9650" s="53">
        <v>12452</v>
      </c>
      <c r="D9650" s="211">
        <f t="shared" si="817"/>
        <v>1062432</v>
      </c>
      <c r="E9650" s="53">
        <v>125</v>
      </c>
      <c r="F9650" s="211">
        <f t="shared" ref="F9650:F9673" si="822">E9650+F9626</f>
        <v>29102</v>
      </c>
      <c r="G9650" s="212">
        <f>SUM(C9650,C9626,C9602,C9578,C9554,C9530,C9506,C9482,C9458,C9434,C9410,C9386,C9362,C9338)/POBLA!$B$1*100000</f>
        <v>586.65510983578554</v>
      </c>
      <c r="H9650" s="253">
        <f t="shared" si="821"/>
        <v>2.2150806121790043</v>
      </c>
    </row>
    <row r="9651" spans="1:8" x14ac:dyDescent="0.25">
      <c r="A9651" s="84" t="s">
        <v>43</v>
      </c>
      <c r="B9651" s="2">
        <v>44295</v>
      </c>
      <c r="C9651" s="1">
        <v>2601</v>
      </c>
      <c r="D9651" s="47">
        <f t="shared" ref="D9651:D9714" si="823">C9651+D9627</f>
        <v>280594</v>
      </c>
      <c r="E9651" s="1">
        <v>14</v>
      </c>
      <c r="F9651" s="47">
        <f t="shared" si="822"/>
        <v>7033</v>
      </c>
      <c r="G9651" s="203">
        <f>SUM(C9651,C9627,C9603,C9579,C9555,C9531,C9507,C9483,C9459,C9435,C9411,C9387,C9363,C9339)/POBLA!$B$2*100000</f>
        <v>865.15158116376199</v>
      </c>
      <c r="H9651" s="254">
        <f t="shared" si="821"/>
        <v>1.9885658769897616</v>
      </c>
    </row>
    <row r="9652" spans="1:8" x14ac:dyDescent="0.25">
      <c r="A9652" s="84" t="s">
        <v>28</v>
      </c>
      <c r="B9652" s="2">
        <v>44295</v>
      </c>
      <c r="C9652" s="1">
        <v>128</v>
      </c>
      <c r="D9652" s="47">
        <f t="shared" si="823"/>
        <v>11415</v>
      </c>
      <c r="F9652" s="47">
        <f t="shared" si="822"/>
        <v>18</v>
      </c>
      <c r="G9652" s="203">
        <f>SUM(C9652,C9628,C9604,C9580,C9556,C9532,C9508,C9484,C9460,C9436,C9412,C9388,C9364,C9340)/POBLA!$B$3*100000</f>
        <v>317.73694269662383</v>
      </c>
      <c r="H9652" s="254">
        <f t="shared" si="821"/>
        <v>1.0784313725490196</v>
      </c>
    </row>
    <row r="9653" spans="1:8" x14ac:dyDescent="0.25">
      <c r="A9653" s="84" t="s">
        <v>15</v>
      </c>
      <c r="B9653" s="2">
        <v>44295</v>
      </c>
      <c r="C9653" s="1">
        <v>224</v>
      </c>
      <c r="D9653" s="47">
        <f t="shared" si="823"/>
        <v>40008</v>
      </c>
      <c r="E9653" s="1">
        <v>6</v>
      </c>
      <c r="F9653" s="47">
        <f t="shared" si="822"/>
        <v>963</v>
      </c>
      <c r="G9653" s="203">
        <f>SUM(C9653,C9629,C9605,C9581,C9557,C9533,C9509,C9485,C9461,C9437,C9413,C9389,C9365,C9341)/POBLA!$B$4*100000</f>
        <v>195.01204193132486</v>
      </c>
      <c r="H9653" s="254">
        <f t="shared" si="821"/>
        <v>1.2083333333333333</v>
      </c>
    </row>
    <row r="9654" spans="1:8" x14ac:dyDescent="0.25">
      <c r="A9654" s="84" t="s">
        <v>29</v>
      </c>
      <c r="B9654" s="2">
        <v>44295</v>
      </c>
      <c r="C9654" s="1">
        <v>193</v>
      </c>
      <c r="D9654" s="47">
        <f t="shared" si="823"/>
        <v>51206</v>
      </c>
      <c r="E9654" s="1">
        <v>6</v>
      </c>
      <c r="F9654" s="47">
        <f t="shared" si="822"/>
        <v>876</v>
      </c>
      <c r="G9654" s="203">
        <f>SUM(C9654,C9630,C9606,C9582,C9558,C9534,C9510,C9486,C9462,C9438,C9414,C9390,C9366,C9342)/POBLA!$B$5*100000</f>
        <v>291.27907540299259</v>
      </c>
      <c r="H9654" s="254">
        <f t="shared" si="821"/>
        <v>1.3036876355748372</v>
      </c>
    </row>
    <row r="9655" spans="1:8" x14ac:dyDescent="0.25">
      <c r="A9655" s="84" t="s">
        <v>30</v>
      </c>
      <c r="B9655" s="2">
        <v>44295</v>
      </c>
      <c r="C9655" s="1">
        <v>433</v>
      </c>
      <c r="D9655" s="47">
        <f t="shared" si="823"/>
        <v>32774</v>
      </c>
      <c r="E9655" s="1">
        <v>3</v>
      </c>
      <c r="F9655" s="47">
        <f t="shared" si="822"/>
        <v>341</v>
      </c>
      <c r="G9655" s="203">
        <f>SUM(C9655,C9631,C9607,C9583,C9559,C9535,C9511,C9487,C9463,C9439,C9415,C9391,C9367,C9343)/POBLA!$B$6*100000</f>
        <v>435.49211679861099</v>
      </c>
      <c r="H9655" s="254">
        <f t="shared" si="821"/>
        <v>1.4561455847255369</v>
      </c>
    </row>
    <row r="9656" spans="1:8" x14ac:dyDescent="0.25">
      <c r="A9656" s="84" t="s">
        <v>20</v>
      </c>
      <c r="B9656" s="2">
        <v>44295</v>
      </c>
      <c r="C9656" s="1">
        <v>1867</v>
      </c>
      <c r="D9656" s="47">
        <f t="shared" si="823"/>
        <v>192920</v>
      </c>
      <c r="E9656" s="1">
        <v>15</v>
      </c>
      <c r="F9656" s="47">
        <f t="shared" si="822"/>
        <v>3104</v>
      </c>
      <c r="G9656" s="203">
        <f>SUM(C9656,C9632,C9608,C9584,C9560,C9536,C9512,C9488,C9464,C9440,C9416,C9392,C9368,C9344)/POBLA!$B$7*100000</f>
        <v>443.96282359823959</v>
      </c>
      <c r="H9656" s="254">
        <f t="shared" si="821"/>
        <v>1.8107375271149675</v>
      </c>
    </row>
    <row r="9657" spans="1:8" x14ac:dyDescent="0.25">
      <c r="A9657" s="84" t="s">
        <v>31</v>
      </c>
      <c r="B9657" s="2">
        <v>44295</v>
      </c>
      <c r="C9657" s="1">
        <v>452</v>
      </c>
      <c r="D9657" s="47">
        <f t="shared" si="823"/>
        <v>52422</v>
      </c>
      <c r="E9657" s="1">
        <v>1</v>
      </c>
      <c r="F9657" s="47">
        <f t="shared" si="822"/>
        <v>961</v>
      </c>
      <c r="G9657" s="203">
        <f>SUM(C9657,C9633,C9609,C9585,C9561,C9537,C9513,C9489,C9465,C9441,C9417,C9393,C9369,C9345)/POBLA!$B$8*100000</f>
        <v>249.21336170353999</v>
      </c>
      <c r="H9657" s="254">
        <f t="shared" si="821"/>
        <v>1.5242718446601942</v>
      </c>
    </row>
    <row r="9658" spans="1:8" x14ac:dyDescent="0.25">
      <c r="A9658" s="84" t="s">
        <v>41</v>
      </c>
      <c r="B9658" s="2">
        <v>44295</v>
      </c>
      <c r="C9658" s="1">
        <v>100</v>
      </c>
      <c r="D9658" s="47">
        <f t="shared" si="823"/>
        <v>2641</v>
      </c>
      <c r="E9658" s="1">
        <v>1</v>
      </c>
      <c r="F9658" s="47">
        <f t="shared" si="822"/>
        <v>49</v>
      </c>
      <c r="G9658" s="203">
        <f>SUM(C9658,C9634,C9610,C9586,C9562,C9538,C9514,C9490,C9466,C9442,C9418,C9394,C9370,C9346)/POBLA!$B$9*100000</f>
        <v>119.96173121632272</v>
      </c>
      <c r="H9658" s="254">
        <f t="shared" si="821"/>
        <v>1.7621359223300972</v>
      </c>
    </row>
    <row r="9659" spans="1:8" x14ac:dyDescent="0.25">
      <c r="A9659" s="84" t="s">
        <v>32</v>
      </c>
      <c r="B9659" s="2">
        <v>44295</v>
      </c>
      <c r="C9659" s="1">
        <v>54</v>
      </c>
      <c r="D9659" s="47">
        <f t="shared" si="823"/>
        <v>22944</v>
      </c>
      <c r="E9659" s="1">
        <v>4</v>
      </c>
      <c r="F9659" s="47">
        <f t="shared" si="822"/>
        <v>983</v>
      </c>
      <c r="G9659" s="203">
        <f>SUM(C9659,C9635,C9611,C9587,C9563,C9539,C9515,C9491,C9467,C9443,C9419,C9395,C9371,C9347)/POBLA!$B$10*100000</f>
        <v>95.475177102561872</v>
      </c>
      <c r="H9659" s="254">
        <f t="shared" si="821"/>
        <v>1.1813804173354736</v>
      </c>
    </row>
    <row r="9660" spans="1:8" x14ac:dyDescent="0.25">
      <c r="A9660" s="84" t="s">
        <v>33</v>
      </c>
      <c r="B9660" s="2">
        <v>44295</v>
      </c>
      <c r="C9660" s="1">
        <v>214</v>
      </c>
      <c r="D9660" s="47">
        <f t="shared" si="823"/>
        <v>22470</v>
      </c>
      <c r="E9660" s="1">
        <v>2</v>
      </c>
      <c r="F9660" s="47">
        <f t="shared" si="822"/>
        <v>330</v>
      </c>
      <c r="G9660" s="203">
        <f>SUM(C9660,C9636,C9612,C9588,C9564,C9540,C9516,C9492,C9468,C9444,C9420,C9396,C9372,C9348)/POBLA!$B$11*100000</f>
        <v>436.90783086142829</v>
      </c>
      <c r="H9660" s="254">
        <f t="shared" si="821"/>
        <v>1.3204047217537942</v>
      </c>
    </row>
    <row r="9661" spans="1:8" x14ac:dyDescent="0.25">
      <c r="A9661" s="84" t="s">
        <v>21</v>
      </c>
      <c r="B9661" s="2">
        <v>44295</v>
      </c>
      <c r="C9661" s="1">
        <v>60</v>
      </c>
      <c r="D9661" s="47">
        <f t="shared" si="823"/>
        <v>11774</v>
      </c>
      <c r="F9661" s="47">
        <f t="shared" si="822"/>
        <v>451</v>
      </c>
      <c r="G9661" s="203">
        <f>SUM(C9661,C9637,C9613,C9589,C9565,C9541,C9517,C9493,C9469,C9445,C9421,C9397,C9373,C9349)/POBLA!$B$12*100000</f>
        <v>241.14999834828768</v>
      </c>
      <c r="H9661" s="254">
        <f t="shared" si="821"/>
        <v>2.7994100294985249</v>
      </c>
    </row>
    <row r="9662" spans="1:8" x14ac:dyDescent="0.25">
      <c r="A9662" s="84" t="s">
        <v>17</v>
      </c>
      <c r="B9662" s="2">
        <v>44295</v>
      </c>
      <c r="C9662" s="1">
        <v>1056</v>
      </c>
      <c r="D9662" s="47">
        <f t="shared" si="823"/>
        <v>78846</v>
      </c>
      <c r="E9662" s="1">
        <v>9</v>
      </c>
      <c r="F9662" s="47">
        <f t="shared" si="822"/>
        <v>1538</v>
      </c>
      <c r="G9662" s="203">
        <f>SUM(C9662,C9638,C9614,C9590,C9566,C9542,C9518,C9494,C9470,C9446,C9422,C9398,C9374,C9350)/POBLA!$B$13*100000</f>
        <v>368.17867116037581</v>
      </c>
      <c r="H9662" s="254">
        <f t="shared" si="821"/>
        <v>3.1249466950959488</v>
      </c>
    </row>
    <row r="9663" spans="1:8" x14ac:dyDescent="0.25">
      <c r="A9663" s="84" t="s">
        <v>23</v>
      </c>
      <c r="B9663" s="2">
        <v>44295</v>
      </c>
      <c r="C9663" s="1">
        <v>170</v>
      </c>
      <c r="D9663" s="47">
        <f t="shared" si="823"/>
        <v>13038</v>
      </c>
      <c r="E9663" s="1">
        <v>2</v>
      </c>
      <c r="F9663" s="47">
        <f t="shared" si="822"/>
        <v>219</v>
      </c>
      <c r="G9663" s="203">
        <f>SUM(C9663,C9639,C9615,C9591,C9567,C9543,C9519,C9495,C9471,C9447,C9423,C9399,C9375,C9351)/POBLA!$B$14*100000</f>
        <v>126.93313374994251</v>
      </c>
      <c r="H9663" s="254">
        <f t="shared" si="821"/>
        <v>0.93735362997658078</v>
      </c>
    </row>
    <row r="9664" spans="1:8" x14ac:dyDescent="0.25">
      <c r="A9664" s="84" t="s">
        <v>19</v>
      </c>
      <c r="B9664" s="2">
        <v>44295</v>
      </c>
      <c r="C9664" s="1">
        <v>175</v>
      </c>
      <c r="D9664" s="47">
        <f t="shared" si="823"/>
        <v>66348</v>
      </c>
      <c r="E9664" s="1">
        <v>1</v>
      </c>
      <c r="F9664" s="47">
        <f t="shared" si="822"/>
        <v>1018</v>
      </c>
      <c r="G9664" s="203">
        <f>SUM(C9664,C9640,C9616,C9592,C9568,C9544,C9520,C9496,C9472,C9448,C9424,C9400,C9376,C9352)/POBLA!$B$15*100000</f>
        <v>248.47264617344598</v>
      </c>
      <c r="H9664" s="254">
        <f t="shared" si="821"/>
        <v>1.0054844606946984</v>
      </c>
    </row>
    <row r="9665" spans="1:8" x14ac:dyDescent="0.25">
      <c r="A9665" s="84" t="s">
        <v>18</v>
      </c>
      <c r="B9665" s="2">
        <v>44295</v>
      </c>
      <c r="C9665" s="1">
        <v>208</v>
      </c>
      <c r="D9665" s="47">
        <f t="shared" si="823"/>
        <v>56594</v>
      </c>
      <c r="E9665" s="1">
        <v>3</v>
      </c>
      <c r="F9665" s="47">
        <f t="shared" si="822"/>
        <v>1301</v>
      </c>
      <c r="G9665" s="203">
        <f>SUM(C9665,C9641,C9617,C9593,C9569,C9545,C9521,C9497,C9473,C9449,C9425,C9401,C9377,C9353)/POBLA!$B$16*100000</f>
        <v>225.38489319297497</v>
      </c>
      <c r="H9665" s="254">
        <f t="shared" si="821"/>
        <v>1.4100418410041842</v>
      </c>
    </row>
    <row r="9666" spans="1:8" x14ac:dyDescent="0.25">
      <c r="A9666" s="84" t="s">
        <v>34</v>
      </c>
      <c r="B9666" s="2">
        <v>44295</v>
      </c>
      <c r="C9666" s="1">
        <v>247</v>
      </c>
      <c r="D9666" s="47">
        <f t="shared" si="823"/>
        <v>30734</v>
      </c>
      <c r="E9666" s="1">
        <v>6</v>
      </c>
      <c r="F9666" s="47">
        <f t="shared" si="822"/>
        <v>1232</v>
      </c>
      <c r="G9666" s="203">
        <f>SUM(C9666,C9642,C9618,C9594,C9570,C9546,C9522,C9498,C9474,C9450,C9426,C9402,C9378,C9354)/POBLA!$B$17*100000</f>
        <v>134.23224002858754</v>
      </c>
      <c r="H9666" s="254">
        <f t="shared" ref="H9666:H9689" si="824">SUM(C9666,C9642,C9618,C9594,C9570,C9546,C9522,C9498,C9474,C9450,C9426,C9402,C9378,C9354)/SUM(C9330,C9306,C9282,C9258,C9234,C9210,C9186,C9162,C9138,C9114,C9090,C9066,C9042,C9018)</f>
        <v>1.3956204379562043</v>
      </c>
    </row>
    <row r="9667" spans="1:8" x14ac:dyDescent="0.25">
      <c r="A9667" s="84" t="s">
        <v>35</v>
      </c>
      <c r="B9667" s="2">
        <v>44295</v>
      </c>
      <c r="C9667" s="1">
        <v>226</v>
      </c>
      <c r="D9667" s="47">
        <f t="shared" si="823"/>
        <v>18687</v>
      </c>
      <c r="F9667" s="47">
        <f t="shared" si="822"/>
        <v>229</v>
      </c>
      <c r="G9667" s="203">
        <f>SUM(C9667,C9643,C9619,C9595,C9571,C9547,C9523,C9499,C9475,C9451,C9427,C9403,C9379,C9355)/POBLA!$B$18*100000</f>
        <v>245.13035430616588</v>
      </c>
      <c r="H9667" s="254">
        <f t="shared" si="824"/>
        <v>2.0974808324205916</v>
      </c>
    </row>
    <row r="9668" spans="1:8" x14ac:dyDescent="0.25">
      <c r="A9668" s="84" t="s">
        <v>36</v>
      </c>
      <c r="B9668" s="2">
        <v>44295</v>
      </c>
      <c r="C9668" s="1">
        <v>443</v>
      </c>
      <c r="D9668" s="47">
        <f t="shared" si="823"/>
        <v>25602</v>
      </c>
      <c r="F9668" s="47">
        <f t="shared" si="822"/>
        <v>441</v>
      </c>
      <c r="G9668" s="203">
        <f>SUM(C9668,C9644,C9620,C9596,C9572,C9548,C9524,C9500,C9476,C9452,C9428,C9404,C9380,C9356)/POBLA!$B$19*100000</f>
        <v>696.40074912261377</v>
      </c>
      <c r="H9668" s="254">
        <f t="shared" si="824"/>
        <v>6.4716636197440582</v>
      </c>
    </row>
    <row r="9669" spans="1:8" x14ac:dyDescent="0.25">
      <c r="A9669" s="84" t="s">
        <v>37</v>
      </c>
      <c r="B9669" s="2">
        <v>44295</v>
      </c>
      <c r="C9669" s="1">
        <v>176</v>
      </c>
      <c r="D9669" s="47">
        <f t="shared" si="823"/>
        <v>40681</v>
      </c>
      <c r="E9669" s="1">
        <v>3</v>
      </c>
      <c r="F9669" s="47">
        <f t="shared" si="822"/>
        <v>660</v>
      </c>
      <c r="G9669" s="203">
        <f>SUM(C9669,C9645,C9621,C9597,C9573,C9549,C9525,C9501,C9477,C9453,C9429,C9405,C9381,C9357)/POBLA!$B$20*100000</f>
        <v>538.9693134772408</v>
      </c>
      <c r="H9669" s="254">
        <f t="shared" si="824"/>
        <v>1.3272727272727274</v>
      </c>
    </row>
    <row r="9670" spans="1:8" x14ac:dyDescent="0.25">
      <c r="A9670" s="84" t="s">
        <v>22</v>
      </c>
      <c r="B9670" s="2">
        <v>44295</v>
      </c>
      <c r="C9670" s="1">
        <v>1427</v>
      </c>
      <c r="D9670" s="47">
        <f t="shared" si="823"/>
        <v>240025</v>
      </c>
      <c r="E9670" s="1">
        <v>20</v>
      </c>
      <c r="F9670" s="47">
        <f t="shared" si="822"/>
        <v>4339</v>
      </c>
      <c r="G9670" s="203">
        <f>SUM(C9670,C9646,C9622,C9598,C9574,C9550,C9526,C9502,C9478,C9454,C9430,C9406,C9382,C9358)/POBLA!$B$21*100000</f>
        <v>333.33163670131751</v>
      </c>
      <c r="H9670" s="254">
        <f t="shared" si="824"/>
        <v>1.790400972053463</v>
      </c>
    </row>
    <row r="9671" spans="1:8" x14ac:dyDescent="0.25">
      <c r="A9671" s="84" t="s">
        <v>38</v>
      </c>
      <c r="B9671" s="2">
        <v>44295</v>
      </c>
      <c r="C9671" s="1">
        <v>223</v>
      </c>
      <c r="D9671" s="47">
        <f t="shared" si="823"/>
        <v>26430</v>
      </c>
      <c r="E9671" s="1">
        <v>1</v>
      </c>
      <c r="F9671" s="47">
        <f t="shared" si="822"/>
        <v>303</v>
      </c>
      <c r="G9671" s="203">
        <f>SUM(C9671,C9647,C9623,C9599,C9575,C9551,C9527,C9503,C9479,C9455,C9431,C9407,C9383,C9359)/POBLA!$B$22*100000</f>
        <v>189.9187683287455</v>
      </c>
      <c r="H9671" s="254">
        <f t="shared" si="824"/>
        <v>1.4734337827121333</v>
      </c>
    </row>
    <row r="9672" spans="1:8" x14ac:dyDescent="0.25">
      <c r="A9672" s="84" t="s">
        <v>39</v>
      </c>
      <c r="B9672" s="2">
        <v>44295</v>
      </c>
      <c r="C9672" s="1">
        <v>151</v>
      </c>
      <c r="D9672" s="47">
        <f t="shared" si="823"/>
        <v>24705</v>
      </c>
      <c r="F9672" s="47">
        <f t="shared" si="822"/>
        <v>370</v>
      </c>
      <c r="G9672" s="203">
        <f>SUM(C9672,C9648,C9624,C9600,C9576,C9552,C9528,C9504,C9480,C9456,C9432,C9408,C9384,C9360)/POBLA!$B$23*100000</f>
        <v>501.61171746875533</v>
      </c>
      <c r="H9672" s="254">
        <f t="shared" si="824"/>
        <v>1.7704590818363273</v>
      </c>
    </row>
    <row r="9673" spans="1:8" ht="15.75" thickBot="1" x14ac:dyDescent="0.3">
      <c r="A9673" s="85" t="s">
        <v>40</v>
      </c>
      <c r="B9673" s="355">
        <v>44295</v>
      </c>
      <c r="C9673" s="54">
        <v>850</v>
      </c>
      <c r="D9673" s="214">
        <f t="shared" si="823"/>
        <v>92591</v>
      </c>
      <c r="E9673" s="54">
        <v>6</v>
      </c>
      <c r="F9673" s="214">
        <f t="shared" si="822"/>
        <v>1525</v>
      </c>
      <c r="G9673" s="215">
        <f>SUM(C9673,C9649,C9625,C9601,C9577,C9553,C9529,C9505,C9481,C9457,C9433,C9409,C9385,C9361)/POBLA!$B$24*100000</f>
        <v>395.41948336417539</v>
      </c>
      <c r="H9673" s="255">
        <f t="shared" si="824"/>
        <v>1.6891857827073355</v>
      </c>
    </row>
    <row r="9674" spans="1:8" x14ac:dyDescent="0.25">
      <c r="A9674" s="36" t="s">
        <v>16</v>
      </c>
      <c r="B9674" s="354">
        <v>44296</v>
      </c>
      <c r="C9674" s="53">
        <v>10349</v>
      </c>
      <c r="D9674" s="211">
        <f t="shared" si="823"/>
        <v>1072781</v>
      </c>
      <c r="E9674" s="53">
        <v>214</v>
      </c>
      <c r="F9674" s="211">
        <f t="shared" ref="F9674:F9697" si="825">E9674+F9650</f>
        <v>29316</v>
      </c>
      <c r="G9674" s="212">
        <f>SUM(C9674,C9650,C9626,C9602,C9578,C9554,C9530,C9506,C9482,C9458,C9434,C9410,C9386,C9362)/POBLA!$B$1*100000</f>
        <v>615.29634816800115</v>
      </c>
      <c r="H9674" s="253">
        <f t="shared" si="824"/>
        <v>2.1986147891627623</v>
      </c>
    </row>
    <row r="9675" spans="1:8" x14ac:dyDescent="0.25">
      <c r="A9675" s="84" t="s">
        <v>43</v>
      </c>
      <c r="B9675" s="2">
        <v>44296</v>
      </c>
      <c r="C9675" s="1">
        <v>2491</v>
      </c>
      <c r="D9675" s="47">
        <f t="shared" si="823"/>
        <v>283085</v>
      </c>
      <c r="E9675" s="1">
        <v>17</v>
      </c>
      <c r="F9675" s="47">
        <f t="shared" si="825"/>
        <v>7050</v>
      </c>
      <c r="G9675" s="203">
        <f>SUM(C9675,C9651,C9627,C9603,C9579,C9555,C9531,C9507,C9483,C9459,C9435,C9411,C9387,C9363)/POBLA!$B$2*100000</f>
        <v>898.15277831063781</v>
      </c>
      <c r="H9675" s="254">
        <f t="shared" si="824"/>
        <v>1.9645828888414765</v>
      </c>
    </row>
    <row r="9676" spans="1:8" x14ac:dyDescent="0.25">
      <c r="A9676" s="84" t="s">
        <v>28</v>
      </c>
      <c r="B9676" s="2">
        <v>44296</v>
      </c>
      <c r="C9676" s="1">
        <v>159</v>
      </c>
      <c r="D9676" s="47">
        <f t="shared" si="823"/>
        <v>11574</v>
      </c>
      <c r="F9676" s="47">
        <f t="shared" si="825"/>
        <v>18</v>
      </c>
      <c r="G9676" s="203">
        <f>SUM(C9676,C9652,C9628,C9604,C9580,C9556,C9532,C9508,C9484,C9460,C9436,C9412,C9388,C9364)/POBLA!$B$3*100000</f>
        <v>343.73360164452941</v>
      </c>
      <c r="H9676" s="254">
        <f t="shared" si="824"/>
        <v>1.2194705380017079</v>
      </c>
    </row>
    <row r="9677" spans="1:8" x14ac:dyDescent="0.25">
      <c r="A9677" s="84" t="s">
        <v>15</v>
      </c>
      <c r="B9677" s="2">
        <v>44296</v>
      </c>
      <c r="C9677" s="1">
        <v>196</v>
      </c>
      <c r="D9677" s="47">
        <f t="shared" si="823"/>
        <v>40204</v>
      </c>
      <c r="E9677" s="1">
        <v>1</v>
      </c>
      <c r="F9677" s="47">
        <f t="shared" si="825"/>
        <v>964</v>
      </c>
      <c r="G9677" s="203">
        <f>SUM(C9677,C9653,C9629,C9605,C9581,C9557,C9533,C9509,C9485,C9461,C9437,C9413,C9389,C9365)/POBLA!$B$4*100000</f>
        <v>192.27240915834332</v>
      </c>
      <c r="H9677" s="254">
        <f t="shared" si="824"/>
        <v>1.1392031480570586</v>
      </c>
    </row>
    <row r="9678" spans="1:8" x14ac:dyDescent="0.25">
      <c r="A9678" s="84" t="s">
        <v>29</v>
      </c>
      <c r="B9678" s="2">
        <v>44296</v>
      </c>
      <c r="C9678" s="1">
        <v>88</v>
      </c>
      <c r="D9678" s="47">
        <f t="shared" si="823"/>
        <v>51294</v>
      </c>
      <c r="E9678" s="1">
        <v>1</v>
      </c>
      <c r="F9678" s="47">
        <f t="shared" si="825"/>
        <v>877</v>
      </c>
      <c r="G9678" s="203">
        <f>SUM(C9678,C9654,C9630,C9606,C9582,C9558,C9534,C9510,C9486,C9462,C9438,C9414,C9390,C9366)/POBLA!$B$5*100000</f>
        <v>291.11752294852619</v>
      </c>
      <c r="H9678" s="254">
        <f t="shared" si="824"/>
        <v>1.2992069214131219</v>
      </c>
    </row>
    <row r="9679" spans="1:8" x14ac:dyDescent="0.25">
      <c r="A9679" s="84" t="s">
        <v>30</v>
      </c>
      <c r="B9679" s="2">
        <v>44296</v>
      </c>
      <c r="C9679" s="1">
        <v>238</v>
      </c>
      <c r="D9679" s="47">
        <f t="shared" si="823"/>
        <v>33012</v>
      </c>
      <c r="E9679" s="1">
        <v>2</v>
      </c>
      <c r="F9679" s="47">
        <f t="shared" si="825"/>
        <v>343</v>
      </c>
      <c r="G9679" s="203">
        <f>SUM(C9679,C9655,C9631,C9607,C9583,C9559,C9535,C9511,C9487,C9463,C9439,C9415,C9391,C9367)/POBLA!$B$6*100000</f>
        <v>455.12093583071396</v>
      </c>
      <c r="H9679" s="254">
        <f t="shared" si="824"/>
        <v>1.6604817708333333</v>
      </c>
    </row>
    <row r="9680" spans="1:8" x14ac:dyDescent="0.25">
      <c r="A9680" s="84" t="s">
        <v>20</v>
      </c>
      <c r="B9680" s="2">
        <v>44296</v>
      </c>
      <c r="C9680" s="1">
        <v>1212</v>
      </c>
      <c r="D9680" s="47">
        <f t="shared" si="823"/>
        <v>194132</v>
      </c>
      <c r="E9680" s="1">
        <v>1</v>
      </c>
      <c r="F9680" s="47">
        <f t="shared" si="825"/>
        <v>3105</v>
      </c>
      <c r="G9680" s="203">
        <f>SUM(C9680,C9656,C9632,C9608,C9584,C9560,C9536,C9512,C9488,C9464,C9440,C9416,C9392,C9368)/POBLA!$B$7*100000</f>
        <v>454.83918148093977</v>
      </c>
      <c r="H9680" s="254">
        <f t="shared" si="824"/>
        <v>1.8137857900318133</v>
      </c>
    </row>
    <row r="9681" spans="1:8" x14ac:dyDescent="0.25">
      <c r="A9681" s="84" t="s">
        <v>31</v>
      </c>
      <c r="B9681" s="2">
        <v>44296</v>
      </c>
      <c r="C9681" s="1">
        <v>442</v>
      </c>
      <c r="D9681" s="47">
        <f t="shared" si="823"/>
        <v>52864</v>
      </c>
      <c r="E9681" s="1">
        <v>1</v>
      </c>
      <c r="F9681" s="47">
        <f t="shared" si="825"/>
        <v>962</v>
      </c>
      <c r="G9681" s="203">
        <f>SUM(C9681,C9657,C9633,C9609,C9585,C9561,C9537,C9513,C9489,C9465,C9441,C9417,C9393,C9369)/POBLA!$B$8*100000</f>
        <v>268.91088565984182</v>
      </c>
      <c r="H9681" s="254">
        <f t="shared" si="824"/>
        <v>1.6016330038676407</v>
      </c>
    </row>
    <row r="9682" spans="1:8" x14ac:dyDescent="0.25">
      <c r="A9682" s="84" t="s">
        <v>41</v>
      </c>
      <c r="B9682" s="2">
        <v>44296</v>
      </c>
      <c r="C9682" s="1">
        <v>7</v>
      </c>
      <c r="D9682" s="47">
        <f t="shared" si="823"/>
        <v>2648</v>
      </c>
      <c r="F9682" s="47">
        <f t="shared" si="825"/>
        <v>49</v>
      </c>
      <c r="G9682" s="203">
        <f>SUM(C9682,C9658,C9634,C9610,C9586,C9562,C9538,C9514,C9490,C9466,C9442,C9418,C9394,C9370)/POBLA!$B$9*100000</f>
        <v>115.83081760694522</v>
      </c>
      <c r="H9682" s="254">
        <f t="shared" si="824"/>
        <v>1.6494117647058824</v>
      </c>
    </row>
    <row r="9683" spans="1:8" x14ac:dyDescent="0.25">
      <c r="A9683" s="84" t="s">
        <v>32</v>
      </c>
      <c r="B9683" s="2">
        <v>44296</v>
      </c>
      <c r="C9683" s="1">
        <v>36</v>
      </c>
      <c r="D9683" s="47">
        <f t="shared" si="823"/>
        <v>22980</v>
      </c>
      <c r="E9683" s="1">
        <v>2</v>
      </c>
      <c r="F9683" s="47">
        <f t="shared" si="825"/>
        <v>985</v>
      </c>
      <c r="G9683" s="203">
        <f>SUM(C9683,C9659,C9635,C9611,C9587,C9563,C9539,C9515,C9491,C9467,C9443,C9419,C9395,C9371)/POBLA!$B$10*100000</f>
        <v>94.826568562462938</v>
      </c>
      <c r="H9683" s="254">
        <f t="shared" si="824"/>
        <v>1.1475667189952905</v>
      </c>
    </row>
    <row r="9684" spans="1:8" x14ac:dyDescent="0.25">
      <c r="A9684" s="84" t="s">
        <v>33</v>
      </c>
      <c r="B9684" s="2">
        <v>44296</v>
      </c>
      <c r="C9684" s="1">
        <v>141</v>
      </c>
      <c r="D9684" s="47">
        <f t="shared" si="823"/>
        <v>22611</v>
      </c>
      <c r="E9684" s="1">
        <v>1</v>
      </c>
      <c r="F9684" s="47">
        <f t="shared" si="825"/>
        <v>331</v>
      </c>
      <c r="G9684" s="203">
        <f>SUM(C9684,C9660,C9636,C9612,C9588,C9564,C9540,C9516,C9492,C9468,C9444,C9420,C9396,C9372)/POBLA!$B$11*100000</f>
        <v>446.6726929815751</v>
      </c>
      <c r="H9684" s="254">
        <f t="shared" si="824"/>
        <v>1.3375104427736006</v>
      </c>
    </row>
    <row r="9685" spans="1:8" x14ac:dyDescent="0.25">
      <c r="A9685" s="84" t="s">
        <v>21</v>
      </c>
      <c r="B9685" s="2">
        <v>44296</v>
      </c>
      <c r="C9685" s="1">
        <v>127</v>
      </c>
      <c r="D9685" s="47">
        <f t="shared" si="823"/>
        <v>11901</v>
      </c>
      <c r="F9685" s="47">
        <f t="shared" si="825"/>
        <v>451</v>
      </c>
      <c r="G9685" s="203">
        <f>SUM(C9685,C9661,C9637,C9613,C9589,C9565,C9541,C9517,C9493,C9469,C9445,C9421,C9397,C9373)/POBLA!$B$12*100000</f>
        <v>265.79862831644772</v>
      </c>
      <c r="H9685" s="254">
        <f t="shared" si="824"/>
        <v>2.9885714285714284</v>
      </c>
    </row>
    <row r="9686" spans="1:8" x14ac:dyDescent="0.25">
      <c r="A9686" s="84" t="s">
        <v>17</v>
      </c>
      <c r="B9686" s="2">
        <v>44296</v>
      </c>
      <c r="C9686" s="1">
        <v>759</v>
      </c>
      <c r="D9686" s="47">
        <f t="shared" si="823"/>
        <v>79605</v>
      </c>
      <c r="E9686" s="1">
        <v>50</v>
      </c>
      <c r="F9686" s="47">
        <f t="shared" si="825"/>
        <v>1588</v>
      </c>
      <c r="G9686" s="203">
        <f>SUM(C9686,C9662,C9638,C9614,C9590,C9566,C9542,C9518,C9494,C9470,C9446,C9422,C9398,C9374)/POBLA!$B$13*100000</f>
        <v>395.86241130903392</v>
      </c>
      <c r="H9686" s="254">
        <f t="shared" si="824"/>
        <v>3.2584780810587262</v>
      </c>
    </row>
    <row r="9687" spans="1:8" x14ac:dyDescent="0.25">
      <c r="A9687" s="84" t="s">
        <v>23</v>
      </c>
      <c r="B9687" s="2">
        <v>44296</v>
      </c>
      <c r="C9687" s="1">
        <v>187</v>
      </c>
      <c r="D9687" s="47">
        <f t="shared" si="823"/>
        <v>13225</v>
      </c>
      <c r="E9687" s="1">
        <v>2</v>
      </c>
      <c r="F9687" s="47">
        <f t="shared" si="825"/>
        <v>221</v>
      </c>
      <c r="G9687" s="203">
        <f>SUM(C9687,C9663,C9639,C9615,C9591,C9567,C9543,C9519,C9495,C9471,C9447,C9423,C9399,C9375)/POBLA!$B$14*100000</f>
        <v>132.32442237892198</v>
      </c>
      <c r="H9687" s="254">
        <f t="shared" si="824"/>
        <v>0.97716627634660425</v>
      </c>
    </row>
    <row r="9688" spans="1:8" x14ac:dyDescent="0.25">
      <c r="A9688" s="84" t="s">
        <v>19</v>
      </c>
      <c r="B9688" s="2">
        <v>44296</v>
      </c>
      <c r="C9688" s="1">
        <v>145</v>
      </c>
      <c r="D9688" s="47">
        <f t="shared" si="823"/>
        <v>66493</v>
      </c>
      <c r="F9688" s="47">
        <f t="shared" si="825"/>
        <v>1018</v>
      </c>
      <c r="G9688" s="203">
        <f>SUM(C9688,C9664,C9640,C9616,C9592,C9568,C9544,C9520,C9496,C9472,C9448,C9424,C9400,C9376)/POBLA!$B$15*100000</f>
        <v>255.09858340473784</v>
      </c>
      <c r="H9688" s="254">
        <f t="shared" si="824"/>
        <v>1.0210970464135021</v>
      </c>
    </row>
    <row r="9689" spans="1:8" x14ac:dyDescent="0.25">
      <c r="A9689" s="84" t="s">
        <v>18</v>
      </c>
      <c r="B9689" s="2">
        <v>44296</v>
      </c>
      <c r="C9689" s="1">
        <v>110</v>
      </c>
      <c r="D9689" s="47">
        <f t="shared" si="823"/>
        <v>56704</v>
      </c>
      <c r="E9689" s="1">
        <v>2</v>
      </c>
      <c r="F9689" s="47">
        <f t="shared" si="825"/>
        <v>1303</v>
      </c>
      <c r="G9689" s="203">
        <f>SUM(C9689,C9665,C9641,C9617,C9593,C9569,C9545,C9521,C9497,C9473,C9449,C9425,C9401,C9377)/POBLA!$B$16*100000</f>
        <v>229.93271893099345</v>
      </c>
      <c r="H9689" s="254">
        <f t="shared" si="824"/>
        <v>1.3919028340080972</v>
      </c>
    </row>
    <row r="9690" spans="1:8" x14ac:dyDescent="0.25">
      <c r="A9690" s="84" t="s">
        <v>34</v>
      </c>
      <c r="B9690" s="2">
        <v>44296</v>
      </c>
      <c r="C9690" s="1">
        <v>222</v>
      </c>
      <c r="D9690" s="47">
        <f t="shared" si="823"/>
        <v>30956</v>
      </c>
      <c r="F9690" s="47">
        <f t="shared" si="825"/>
        <v>1232</v>
      </c>
      <c r="G9690" s="203">
        <f>SUM(C9690,C9666,C9642,C9618,C9594,C9570,C9546,C9522,C9498,C9474,C9450,C9426,C9402,C9378)/POBLA!$B$17*100000</f>
        <v>142.6568576036035</v>
      </c>
      <c r="H9690" s="254">
        <f t="shared" ref="H9690:H9713" si="826">SUM(C9690,C9666,C9642,C9618,C9594,C9570,C9546,C9522,C9498,C9474,C9450,C9426,C9402,C9378)/SUM(C9354,C9330,C9306,C9282,C9258,C9234,C9210,C9186,C9162,C9138,C9114,C9090,C9066,C9042)</f>
        <v>1.5255255255255256</v>
      </c>
    </row>
    <row r="9691" spans="1:8" x14ac:dyDescent="0.25">
      <c r="A9691" s="84" t="s">
        <v>35</v>
      </c>
      <c r="B9691" s="2">
        <v>44296</v>
      </c>
      <c r="C9691" s="1">
        <v>50</v>
      </c>
      <c r="D9691" s="47">
        <f t="shared" si="823"/>
        <v>18737</v>
      </c>
      <c r="F9691" s="47">
        <f t="shared" si="825"/>
        <v>229</v>
      </c>
      <c r="G9691" s="203">
        <f>SUM(C9691,C9667,C9643,C9619,C9595,C9571,C9547,C9523,C9499,C9475,C9451,C9427,C9403,C9379)/POBLA!$B$18*100000</f>
        <v>247.4344516312369</v>
      </c>
      <c r="H9691" s="254">
        <f t="shared" si="826"/>
        <v>2.0695931477516059</v>
      </c>
    </row>
    <row r="9692" spans="1:8" x14ac:dyDescent="0.25">
      <c r="A9692" s="84" t="s">
        <v>36</v>
      </c>
      <c r="B9692" s="2">
        <v>44296</v>
      </c>
      <c r="C9692" s="1">
        <v>392</v>
      </c>
      <c r="D9692" s="47">
        <f t="shared" si="823"/>
        <v>25994</v>
      </c>
      <c r="E9692" s="1">
        <v>1</v>
      </c>
      <c r="F9692" s="47">
        <f t="shared" si="825"/>
        <v>442</v>
      </c>
      <c r="G9692" s="203">
        <f>SUM(C9692,C9668,C9644,C9620,C9596,C9572,C9548,C9524,C9500,C9476,C9452,C9428,C9404,C9380)/POBLA!$B$19*100000</f>
        <v>756.99154876379032</v>
      </c>
      <c r="H9692" s="254">
        <f t="shared" si="826"/>
        <v>6.1079365079365076</v>
      </c>
    </row>
    <row r="9693" spans="1:8" x14ac:dyDescent="0.25">
      <c r="A9693" s="84" t="s">
        <v>37</v>
      </c>
      <c r="B9693" s="2">
        <v>44296</v>
      </c>
      <c r="C9693" s="1">
        <v>193</v>
      </c>
      <c r="D9693" s="47">
        <f t="shared" si="823"/>
        <v>40874</v>
      </c>
      <c r="F9693" s="47">
        <f t="shared" si="825"/>
        <v>660</v>
      </c>
      <c r="G9693" s="203">
        <f>SUM(C9693,C9669,C9645,C9621,C9597,C9573,C9549,C9525,C9501,C9477,C9453,C9429,C9405,C9381)/POBLA!$B$20*100000</f>
        <v>552.36834765298147</v>
      </c>
      <c r="H9693" s="254">
        <f t="shared" si="826"/>
        <v>1.3202614379084967</v>
      </c>
    </row>
    <row r="9694" spans="1:8" x14ac:dyDescent="0.25">
      <c r="A9694" s="84" t="s">
        <v>22</v>
      </c>
      <c r="B9694" s="2">
        <v>44296</v>
      </c>
      <c r="C9694" s="1">
        <v>1185</v>
      </c>
      <c r="D9694" s="47">
        <f t="shared" si="823"/>
        <v>241210</v>
      </c>
      <c r="E9694" s="1">
        <v>1</v>
      </c>
      <c r="F9694" s="47">
        <f t="shared" si="825"/>
        <v>4340</v>
      </c>
      <c r="G9694" s="203">
        <f>SUM(C9694,C9670,C9646,C9622,C9598,C9574,C9550,C9526,C9502,C9478,C9454,C9430,C9406,C9382)/POBLA!$B$21*100000</f>
        <v>347.44195963259995</v>
      </c>
      <c r="H9694" s="254">
        <f t="shared" si="826"/>
        <v>1.8071775261067804</v>
      </c>
    </row>
    <row r="9695" spans="1:8" x14ac:dyDescent="0.25">
      <c r="A9695" s="84" t="s">
        <v>38</v>
      </c>
      <c r="B9695" s="2">
        <v>44296</v>
      </c>
      <c r="C9695" s="1">
        <v>207</v>
      </c>
      <c r="D9695" s="47">
        <f t="shared" si="823"/>
        <v>26637</v>
      </c>
      <c r="E9695" s="1">
        <v>1</v>
      </c>
      <c r="F9695" s="47">
        <f t="shared" si="825"/>
        <v>304</v>
      </c>
      <c r="G9695" s="203">
        <f>SUM(C9695,C9671,C9647,C9623,C9599,C9575,C9551,C9527,C9503,C9479,C9455,C9431,C9407,C9383)/POBLA!$B$22*100000</f>
        <v>197.78946001944163</v>
      </c>
      <c r="H9695" s="254">
        <f t="shared" si="826"/>
        <v>1.4659090909090908</v>
      </c>
    </row>
    <row r="9696" spans="1:8" x14ac:dyDescent="0.25">
      <c r="A9696" s="84" t="s">
        <v>39</v>
      </c>
      <c r="B9696" s="2">
        <v>44296</v>
      </c>
      <c r="C9696" s="1">
        <v>69</v>
      </c>
      <c r="D9696" s="47">
        <f t="shared" si="823"/>
        <v>24774</v>
      </c>
      <c r="F9696" s="47">
        <f t="shared" si="825"/>
        <v>370</v>
      </c>
      <c r="G9696" s="203">
        <f>SUM(C9696,C9672,C9648,C9624,C9600,C9576,C9552,C9528,C9504,C9480,C9456,C9432,C9408,C9384)/POBLA!$B$23*100000</f>
        <v>516.8806198043319</v>
      </c>
      <c r="H9696" s="254">
        <f t="shared" si="826"/>
        <v>1.7212806026365348</v>
      </c>
    </row>
    <row r="9697" spans="1:8" ht="15.75" thickBot="1" x14ac:dyDescent="0.3">
      <c r="A9697" s="86" t="s">
        <v>40</v>
      </c>
      <c r="B9697" s="42">
        <v>44296</v>
      </c>
      <c r="C9697" s="300">
        <v>414</v>
      </c>
      <c r="D9697" s="81">
        <f t="shared" si="823"/>
        <v>93005</v>
      </c>
      <c r="E9697" s="300"/>
      <c r="F9697" s="81">
        <f t="shared" si="825"/>
        <v>1525</v>
      </c>
      <c r="G9697" s="323">
        <f>SUM(C9697,C9673,C9649,C9625,C9601,C9577,C9553,C9529,C9505,C9481,C9457,C9433,C9409,C9385)/POBLA!$B$24*100000</f>
        <v>405.39200876166024</v>
      </c>
      <c r="H9697" s="324">
        <f t="shared" si="826"/>
        <v>1.6805283757338552</v>
      </c>
    </row>
    <row r="9698" spans="1:8" x14ac:dyDescent="0.25">
      <c r="A9698" s="36" t="s">
        <v>16</v>
      </c>
      <c r="B9698" s="354">
        <v>44297</v>
      </c>
      <c r="C9698" s="53">
        <v>7696</v>
      </c>
      <c r="D9698" s="211">
        <f t="shared" si="823"/>
        <v>1080477</v>
      </c>
      <c r="E9698" s="53">
        <v>99</v>
      </c>
      <c r="F9698" s="211">
        <f t="shared" ref="F9698:F9721" si="827">E9698+F9674</f>
        <v>29415</v>
      </c>
      <c r="G9698" s="212">
        <f>SUM(C9698,C9674,C9650,C9626,C9602,C9578,C9554,C9530,C9506,C9482,C9458,C9434,C9410,C9386)/POBLA!$B$1*100000</f>
        <v>640.60256969600778</v>
      </c>
      <c r="H9698" s="253">
        <f t="shared" si="826"/>
        <v>2.211639899228468</v>
      </c>
    </row>
    <row r="9699" spans="1:8" x14ac:dyDescent="0.25">
      <c r="A9699" s="84" t="s">
        <v>43</v>
      </c>
      <c r="B9699" s="2">
        <v>44297</v>
      </c>
      <c r="C9699" s="1">
        <v>2691</v>
      </c>
      <c r="D9699" s="47">
        <f t="shared" si="823"/>
        <v>285776</v>
      </c>
      <c r="E9699" s="1">
        <v>8</v>
      </c>
      <c r="F9699" s="47">
        <f t="shared" si="827"/>
        <v>7058</v>
      </c>
      <c r="G9699" s="203">
        <f>SUM(C9699,C9675,C9651,C9627,C9603,C9579,C9555,C9531,C9507,C9483,C9459,C9435,C9411,C9387)/POBLA!$B$2*100000</f>
        <v>951.70250412433677</v>
      </c>
      <c r="H9699" s="254">
        <f t="shared" si="826"/>
        <v>2.0118908516049214</v>
      </c>
    </row>
    <row r="9700" spans="1:8" x14ac:dyDescent="0.25">
      <c r="A9700" s="84" t="s">
        <v>28</v>
      </c>
      <c r="B9700" s="2">
        <v>44297</v>
      </c>
      <c r="C9700" s="1">
        <v>101</v>
      </c>
      <c r="D9700" s="47">
        <f t="shared" si="823"/>
        <v>11675</v>
      </c>
      <c r="F9700" s="47">
        <f t="shared" si="827"/>
        <v>18</v>
      </c>
      <c r="G9700" s="203">
        <f>SUM(C9700,C9676,C9652,C9628,C9604,C9580,C9556,C9532,C9508,C9484,C9460,C9436,C9412,C9388)/POBLA!$B$3*100000</f>
        <v>348.78850755106657</v>
      </c>
      <c r="H9700" s="254">
        <f t="shared" si="826"/>
        <v>1.2095158597662772</v>
      </c>
    </row>
    <row r="9701" spans="1:8" x14ac:dyDescent="0.25">
      <c r="A9701" s="84" t="s">
        <v>15</v>
      </c>
      <c r="B9701" s="2">
        <v>44297</v>
      </c>
      <c r="C9701" s="1">
        <v>136</v>
      </c>
      <c r="D9701" s="47">
        <f t="shared" si="823"/>
        <v>40340</v>
      </c>
      <c r="E9701" s="1">
        <v>3</v>
      </c>
      <c r="F9701" s="47">
        <f t="shared" si="827"/>
        <v>967</v>
      </c>
      <c r="G9701" s="203">
        <f>SUM(C9701,C9677,C9653,C9629,C9605,C9581,C9557,C9533,C9509,C9485,C9461,C9437,C9413,C9389)/POBLA!$B$4*100000</f>
        <v>195.67619533083555</v>
      </c>
      <c r="H9701" s="254">
        <f t="shared" si="826"/>
        <v>1.1548260656540912</v>
      </c>
    </row>
    <row r="9702" spans="1:8" x14ac:dyDescent="0.25">
      <c r="A9702" s="84" t="s">
        <v>29</v>
      </c>
      <c r="B9702" s="2">
        <v>44297</v>
      </c>
      <c r="C9702" s="1">
        <v>49</v>
      </c>
      <c r="D9702" s="47">
        <f t="shared" si="823"/>
        <v>51343</v>
      </c>
      <c r="F9702" s="47">
        <f t="shared" si="827"/>
        <v>877</v>
      </c>
      <c r="G9702" s="203">
        <f>SUM(C9702,C9678,C9654,C9630,C9606,C9582,C9558,C9534,C9510,C9486,C9462,C9438,C9414,C9390)/POBLA!$B$5*100000</f>
        <v>287.72492140473094</v>
      </c>
      <c r="H9702" s="254">
        <f t="shared" si="826"/>
        <v>1.2419804741980474</v>
      </c>
    </row>
    <row r="9703" spans="1:8" x14ac:dyDescent="0.25">
      <c r="A9703" s="84" t="s">
        <v>30</v>
      </c>
      <c r="B9703" s="2">
        <v>44297</v>
      </c>
      <c r="C9703" s="1">
        <v>219</v>
      </c>
      <c r="D9703" s="47">
        <f t="shared" si="823"/>
        <v>33231</v>
      </c>
      <c r="E9703" s="1">
        <v>1</v>
      </c>
      <c r="F9703" s="47">
        <f t="shared" si="827"/>
        <v>344</v>
      </c>
      <c r="G9703" s="203">
        <f>SUM(C9703,C9679,C9655,C9631,C9607,C9583,C9559,C9535,C9511,C9487,C9463,C9439,C9415,C9391)/POBLA!$B$6*100000</f>
        <v>432.19090632503003</v>
      </c>
      <c r="H9703" s="254">
        <f t="shared" si="826"/>
        <v>1.4134811788736503</v>
      </c>
    </row>
    <row r="9704" spans="1:8" x14ac:dyDescent="0.25">
      <c r="A9704" s="84" t="s">
        <v>20</v>
      </c>
      <c r="B9704" s="2">
        <v>44297</v>
      </c>
      <c r="C9704" s="1">
        <v>1095</v>
      </c>
      <c r="D9704" s="47">
        <f t="shared" si="823"/>
        <v>195227</v>
      </c>
      <c r="F9704" s="47">
        <f t="shared" si="827"/>
        <v>3105</v>
      </c>
      <c r="G9704" s="203">
        <f>SUM(C9704,C9680,C9656,C9632,C9608,C9584,C9560,C9536,C9512,C9488,C9464,C9440,C9416,C9392)/POBLA!$B$7*100000</f>
        <v>472.17753194431515</v>
      </c>
      <c r="H9704" s="254">
        <f t="shared" si="826"/>
        <v>1.8511259382819016</v>
      </c>
    </row>
    <row r="9705" spans="1:8" x14ac:dyDescent="0.25">
      <c r="A9705" s="84" t="s">
        <v>31</v>
      </c>
      <c r="B9705" s="2">
        <v>44297</v>
      </c>
      <c r="C9705" s="1">
        <v>208</v>
      </c>
      <c r="D9705" s="47">
        <f t="shared" si="823"/>
        <v>53072</v>
      </c>
      <c r="E9705" s="1">
        <v>1</v>
      </c>
      <c r="F9705" s="47">
        <f t="shared" si="827"/>
        <v>963</v>
      </c>
      <c r="G9705" s="203">
        <f>SUM(C9705,C9681,C9657,C9633,C9609,C9585,C9561,C9537,C9513,C9489,C9465,C9441,C9417,C9393)/POBLA!$B$8*100000</f>
        <v>277.92989846034629</v>
      </c>
      <c r="H9705" s="254">
        <f t="shared" si="826"/>
        <v>1.6405451448040886</v>
      </c>
    </row>
    <row r="9706" spans="1:8" x14ac:dyDescent="0.25">
      <c r="A9706" s="84" t="s">
        <v>41</v>
      </c>
      <c r="B9706" s="2">
        <v>44297</v>
      </c>
      <c r="C9706" s="1">
        <v>6</v>
      </c>
      <c r="D9706" s="47">
        <f t="shared" si="823"/>
        <v>2654</v>
      </c>
      <c r="F9706" s="47">
        <f t="shared" si="827"/>
        <v>49</v>
      </c>
      <c r="G9706" s="203">
        <f>SUM(C9706,C9682,C9658,C9634,C9610,C9586,C9562,C9538,C9514,C9490,C9466,C9442,C9418,C9394)/POBLA!$B$9*100000</f>
        <v>111.53466745319261</v>
      </c>
      <c r="H9706" s="254">
        <f t="shared" si="826"/>
        <v>1.6383495145631068</v>
      </c>
    </row>
    <row r="9707" spans="1:8" x14ac:dyDescent="0.25">
      <c r="A9707" s="84" t="s">
        <v>32</v>
      </c>
      <c r="B9707" s="2">
        <v>44297</v>
      </c>
      <c r="C9707" s="1">
        <v>57</v>
      </c>
      <c r="D9707" s="47">
        <f t="shared" si="823"/>
        <v>23037</v>
      </c>
      <c r="E9707" s="1">
        <v>1</v>
      </c>
      <c r="F9707" s="47">
        <f t="shared" si="827"/>
        <v>986</v>
      </c>
      <c r="G9707" s="203">
        <f>SUM(C9707,C9683,C9659,C9635,C9611,C9587,C9563,C9539,C9515,C9491,C9467,C9443,C9419,C9395)/POBLA!$B$10*100000</f>
        <v>96.123785642660806</v>
      </c>
      <c r="H9707" s="254">
        <f t="shared" si="826"/>
        <v>1.2048780487804878</v>
      </c>
    </row>
    <row r="9708" spans="1:8" x14ac:dyDescent="0.25">
      <c r="A9708" s="84" t="s">
        <v>33</v>
      </c>
      <c r="B9708" s="2">
        <v>44297</v>
      </c>
      <c r="C9708" s="1">
        <v>123</v>
      </c>
      <c r="D9708" s="47">
        <f t="shared" si="823"/>
        <v>22734</v>
      </c>
      <c r="F9708" s="47">
        <f t="shared" si="827"/>
        <v>331</v>
      </c>
      <c r="G9708" s="203">
        <f>SUM(C9708,C9684,C9660,C9636,C9612,C9588,C9564,C9540,C9516,C9492,C9468,C9444,C9420,C9396)/POBLA!$B$11*100000</f>
        <v>468.15538964589825</v>
      </c>
      <c r="H9708" s="254">
        <f t="shared" si="826"/>
        <v>1.3799342105263157</v>
      </c>
    </row>
    <row r="9709" spans="1:8" x14ac:dyDescent="0.25">
      <c r="A9709" s="84" t="s">
        <v>21</v>
      </c>
      <c r="B9709" s="2">
        <v>44297</v>
      </c>
      <c r="C9709" s="1">
        <v>128</v>
      </c>
      <c r="D9709" s="47">
        <f t="shared" si="823"/>
        <v>12029</v>
      </c>
      <c r="F9709" s="47">
        <f t="shared" si="827"/>
        <v>451</v>
      </c>
      <c r="G9709" s="203">
        <f>SUM(C9709,C9685,C9661,C9637,C9613,C9589,C9565,C9541,C9517,C9493,C9469,C9445,C9421,C9397)/POBLA!$B$12*100000</f>
        <v>286.38150488779792</v>
      </c>
      <c r="H9709" s="254">
        <f t="shared" si="826"/>
        <v>3.0708446866485013</v>
      </c>
    </row>
    <row r="9710" spans="1:8" x14ac:dyDescent="0.25">
      <c r="A9710" s="84" t="s">
        <v>17</v>
      </c>
      <c r="B9710" s="2">
        <v>44297</v>
      </c>
      <c r="C9710" s="1">
        <v>451</v>
      </c>
      <c r="D9710" s="47">
        <f t="shared" si="823"/>
        <v>80056</v>
      </c>
      <c r="E9710" s="1">
        <v>9</v>
      </c>
      <c r="F9710" s="47">
        <f t="shared" si="827"/>
        <v>1597</v>
      </c>
      <c r="G9710" s="203">
        <f>SUM(C9710,C9686,C9662,C9638,C9614,C9590,C9566,C9542,C9518,C9494,C9470,C9446,C9422,C9398)/POBLA!$B$13*100000</f>
        <v>412.69372337763741</v>
      </c>
      <c r="H9710" s="254">
        <f t="shared" si="826"/>
        <v>3.3201293451899758</v>
      </c>
    </row>
    <row r="9711" spans="1:8" x14ac:dyDescent="0.25">
      <c r="A9711" s="84" t="s">
        <v>23</v>
      </c>
      <c r="B9711" s="2">
        <v>44297</v>
      </c>
      <c r="C9711" s="1">
        <v>138</v>
      </c>
      <c r="D9711" s="47">
        <f t="shared" si="823"/>
        <v>13363</v>
      </c>
      <c r="F9711" s="47">
        <f t="shared" si="827"/>
        <v>221</v>
      </c>
      <c r="G9711" s="203">
        <f>SUM(C9711,C9687,C9663,C9639,C9615,C9591,C9567,C9543,C9519,C9495,C9471,C9447,C9423,C9399)/POBLA!$B$14*100000</f>
        <v>132.00728775368788</v>
      </c>
      <c r="H9711" s="254">
        <f t="shared" si="826"/>
        <v>0.96354166666666663</v>
      </c>
    </row>
    <row r="9712" spans="1:8" x14ac:dyDescent="0.25">
      <c r="A9712" s="84" t="s">
        <v>19</v>
      </c>
      <c r="B9712" s="2">
        <v>44297</v>
      </c>
      <c r="C9712" s="1">
        <v>63</v>
      </c>
      <c r="D9712" s="47">
        <f t="shared" si="823"/>
        <v>66556</v>
      </c>
      <c r="F9712" s="47">
        <f t="shared" si="827"/>
        <v>1018</v>
      </c>
      <c r="G9712" s="203">
        <f>SUM(C9712,C9688,C9664,C9640,C9616,C9592,C9568,C9544,C9520,C9496,C9472,C9448,C9424,C9400)/POBLA!$B$15*100000</f>
        <v>253.7432780619736</v>
      </c>
      <c r="H9712" s="254">
        <f t="shared" si="826"/>
        <v>1.0156720916214588</v>
      </c>
    </row>
    <row r="9713" spans="1:8" x14ac:dyDescent="0.25">
      <c r="A9713" s="84" t="s">
        <v>18</v>
      </c>
      <c r="B9713" s="2">
        <v>44297</v>
      </c>
      <c r="C9713" s="1">
        <v>76</v>
      </c>
      <c r="D9713" s="47">
        <f t="shared" si="823"/>
        <v>56780</v>
      </c>
      <c r="F9713" s="47">
        <f t="shared" si="827"/>
        <v>1303</v>
      </c>
      <c r="G9713" s="203">
        <f>SUM(C9713,C9689,C9665,C9641,C9617,C9593,C9569,C9545,C9521,C9497,C9473,C9449,C9425,C9401)/POBLA!$B$16*100000</f>
        <v>234.07926592742206</v>
      </c>
      <c r="H9713" s="254">
        <f t="shared" si="826"/>
        <v>1.4078841512469831</v>
      </c>
    </row>
    <row r="9714" spans="1:8" x14ac:dyDescent="0.25">
      <c r="A9714" s="84" t="s">
        <v>34</v>
      </c>
      <c r="B9714" s="2">
        <v>44297</v>
      </c>
      <c r="C9714" s="1">
        <v>56</v>
      </c>
      <c r="D9714" s="47">
        <f t="shared" si="823"/>
        <v>31012</v>
      </c>
      <c r="F9714" s="47">
        <f t="shared" si="827"/>
        <v>1232</v>
      </c>
      <c r="G9714" s="203">
        <f>SUM(C9714,C9690,C9666,C9642,C9618,C9594,C9570,C9546,C9522,C9498,C9474,C9450,C9426,C9402)/POBLA!$B$17*100000</f>
        <v>142.79726789652042</v>
      </c>
      <c r="H9714" s="254">
        <f t="shared" ref="H9714:H9737" si="828">SUM(C9714,C9690,C9666,C9642,C9618,C9594,C9570,C9546,C9522,C9498,C9474,C9450,C9426,C9402)/SUM(C9378,C9354,C9330,C9306,C9282,C9258,C9234,C9210,C9186,C9162,C9138,C9114,C9090,C9066)</f>
        <v>1.5055514433752775</v>
      </c>
    </row>
    <row r="9715" spans="1:8" x14ac:dyDescent="0.25">
      <c r="A9715" s="84" t="s">
        <v>35</v>
      </c>
      <c r="B9715" s="2">
        <v>44297</v>
      </c>
      <c r="C9715" s="1">
        <v>47</v>
      </c>
      <c r="D9715" s="47">
        <f t="shared" ref="D9715:D9778" si="829">C9715+D9691</f>
        <v>18784</v>
      </c>
      <c r="F9715" s="47">
        <f t="shared" si="827"/>
        <v>229</v>
      </c>
      <c r="G9715" s="203">
        <f>SUM(C9715,C9691,C9667,C9643,C9619,C9595,C9571,C9547,C9523,C9499,C9475,C9451,C9427,C9403)/POBLA!$B$18*100000</f>
        <v>250.63458680494665</v>
      </c>
      <c r="H9715" s="254">
        <f t="shared" si="828"/>
        <v>2.0567226890756301</v>
      </c>
    </row>
    <row r="9716" spans="1:8" x14ac:dyDescent="0.25">
      <c r="A9716" s="84" t="s">
        <v>36</v>
      </c>
      <c r="B9716" s="2">
        <v>44297</v>
      </c>
      <c r="C9716" s="1">
        <v>364</v>
      </c>
      <c r="D9716" s="47">
        <f t="shared" si="829"/>
        <v>26358</v>
      </c>
      <c r="F9716" s="47">
        <f t="shared" si="827"/>
        <v>442</v>
      </c>
      <c r="G9716" s="203">
        <f>SUM(C9716,C9692,C9668,C9644,C9620,C9596,C9572,C9548,C9524,C9500,C9476,C9452,C9428,C9404)/POBLA!$B$19*100000</f>
        <v>788.66401221258718</v>
      </c>
      <c r="H9716" s="254">
        <f t="shared" si="828"/>
        <v>4.8243080625752102</v>
      </c>
    </row>
    <row r="9717" spans="1:8" x14ac:dyDescent="0.25">
      <c r="A9717" s="84" t="s">
        <v>37</v>
      </c>
      <c r="B9717" s="2">
        <v>44297</v>
      </c>
      <c r="C9717" s="1">
        <v>121</v>
      </c>
      <c r="D9717" s="47">
        <f t="shared" si="829"/>
        <v>40995</v>
      </c>
      <c r="E9717" s="1">
        <v>1</v>
      </c>
      <c r="F9717" s="47">
        <f t="shared" si="827"/>
        <v>661</v>
      </c>
      <c r="G9717" s="203">
        <f>SUM(C9717,C9693,C9669,C9645,C9621,C9597,C9573,C9549,C9525,C9501,C9477,C9453,C9429,C9405)/POBLA!$B$20*100000</f>
        <v>558.11079087115604</v>
      </c>
      <c r="H9717" s="254">
        <f t="shared" si="828"/>
        <v>1.3008285532186106</v>
      </c>
    </row>
    <row r="9718" spans="1:8" x14ac:dyDescent="0.25">
      <c r="A9718" s="84" t="s">
        <v>22</v>
      </c>
      <c r="B9718" s="2">
        <v>44297</v>
      </c>
      <c r="C9718" s="1">
        <v>868</v>
      </c>
      <c r="D9718" s="47">
        <f t="shared" si="829"/>
        <v>242078</v>
      </c>
      <c r="E9718" s="1">
        <v>1</v>
      </c>
      <c r="F9718" s="47">
        <f t="shared" si="827"/>
        <v>4341</v>
      </c>
      <c r="G9718" s="203">
        <f>SUM(C9718,C9694,C9670,C9646,C9622,C9598,C9574,C9550,C9526,C9502,C9478,C9454,C9430,C9406)/POBLA!$B$21*100000</f>
        <v>365.36970459939971</v>
      </c>
      <c r="H9718" s="254">
        <f t="shared" si="828"/>
        <v>1.8882069267864972</v>
      </c>
    </row>
    <row r="9719" spans="1:8" x14ac:dyDescent="0.25">
      <c r="A9719" s="84" t="s">
        <v>38</v>
      </c>
      <c r="B9719" s="2">
        <v>44297</v>
      </c>
      <c r="C9719" s="1">
        <v>190</v>
      </c>
      <c r="D9719" s="47">
        <f t="shared" si="829"/>
        <v>26827</v>
      </c>
      <c r="E9719" s="1">
        <v>1</v>
      </c>
      <c r="F9719" s="47">
        <f t="shared" si="827"/>
        <v>305</v>
      </c>
      <c r="G9719" s="203">
        <f>SUM(C9719,C9695,C9671,C9647,C9623,C9599,C9575,C9551,C9527,C9503,C9479,C9455,C9431,C9407)/POBLA!$B$22*100000</f>
        <v>203.30916588044931</v>
      </c>
      <c r="H9719" s="254">
        <f t="shared" si="828"/>
        <v>1.4433962264150944</v>
      </c>
    </row>
    <row r="9720" spans="1:8" x14ac:dyDescent="0.25">
      <c r="A9720" s="84" t="s">
        <v>39</v>
      </c>
      <c r="B9720" s="2">
        <v>44297</v>
      </c>
      <c r="C9720" s="1">
        <v>75</v>
      </c>
      <c r="D9720" s="47">
        <f t="shared" si="829"/>
        <v>24849</v>
      </c>
      <c r="E9720" s="1">
        <v>2</v>
      </c>
      <c r="F9720" s="47">
        <f t="shared" si="827"/>
        <v>372</v>
      </c>
      <c r="G9720" s="203">
        <f>SUM(C9720,C9696,C9672,C9648,C9624,C9600,C9576,C9552,C9528,C9504,C9480,C9456,C9432,C9408)/POBLA!$B$23*100000</f>
        <v>519.14267940960235</v>
      </c>
      <c r="H9720" s="254">
        <f t="shared" si="828"/>
        <v>1.6161971830985915</v>
      </c>
    </row>
    <row r="9721" spans="1:8" ht="15.75" thickBot="1" x14ac:dyDescent="0.3">
      <c r="A9721" s="85" t="s">
        <v>40</v>
      </c>
      <c r="B9721" s="355">
        <v>44297</v>
      </c>
      <c r="C9721" s="54">
        <v>304</v>
      </c>
      <c r="D9721" s="214">
        <f t="shared" si="829"/>
        <v>93309</v>
      </c>
      <c r="E9721" s="54">
        <v>5</v>
      </c>
      <c r="F9721" s="214">
        <f t="shared" si="827"/>
        <v>1530</v>
      </c>
      <c r="G9721" s="215">
        <f>SUM(C9721,C9697,C9673,C9649,C9625,C9601,C9577,C9553,C9529,C9505,C9481,C9457,C9433,C9409)/POBLA!$B$24*100000</f>
        <v>406.04110804788701</v>
      </c>
      <c r="H9721" s="255">
        <f t="shared" si="828"/>
        <v>1.6107209737827715</v>
      </c>
    </row>
    <row r="9722" spans="1:8" x14ac:dyDescent="0.25">
      <c r="A9722" s="122" t="s">
        <v>16</v>
      </c>
      <c r="B9722" s="356">
        <v>44298</v>
      </c>
      <c r="C9722" s="293">
        <v>9535</v>
      </c>
      <c r="D9722" s="348">
        <f t="shared" si="829"/>
        <v>1090012</v>
      </c>
      <c r="E9722" s="293">
        <v>54</v>
      </c>
      <c r="F9722" s="348">
        <f t="shared" ref="F9722:F9745" si="830">E9722+F9698</f>
        <v>29469</v>
      </c>
      <c r="G9722" s="349">
        <f>SUM(C9722,C9698,C9674,C9650,C9626,C9602,C9578,C9554,C9530,C9506,C9482,C9458,C9434,C9410)/POBLA!$B$1*100000</f>
        <v>658.15558976465661</v>
      </c>
      <c r="H9722" s="350">
        <f t="shared" si="828"/>
        <v>2.1123431038899256</v>
      </c>
    </row>
    <row r="9723" spans="1:8" x14ac:dyDescent="0.25">
      <c r="A9723" s="84" t="s">
        <v>43</v>
      </c>
      <c r="B9723" s="2">
        <v>44298</v>
      </c>
      <c r="C9723" s="1">
        <v>3358</v>
      </c>
      <c r="D9723" s="47">
        <f t="shared" si="829"/>
        <v>289134</v>
      </c>
      <c r="E9723" s="1">
        <v>37</v>
      </c>
      <c r="F9723" s="47">
        <f t="shared" si="830"/>
        <v>7095</v>
      </c>
      <c r="G9723" s="203">
        <f>SUM(C9723,C9699,C9675,C9651,C9627,C9603,C9579,C9555,C9531,C9507,C9483,C9459,C9435,C9411)/POBLA!$B$2*100000</f>
        <v>992.31185903709343</v>
      </c>
      <c r="H9723" s="254">
        <f t="shared" si="828"/>
        <v>1.9599280760339071</v>
      </c>
    </row>
    <row r="9724" spans="1:8" x14ac:dyDescent="0.25">
      <c r="A9724" s="84" t="s">
        <v>28</v>
      </c>
      <c r="B9724" s="2">
        <v>44298</v>
      </c>
      <c r="C9724" s="1">
        <v>188</v>
      </c>
      <c r="D9724" s="47">
        <f t="shared" si="829"/>
        <v>11863</v>
      </c>
      <c r="F9724" s="47">
        <f t="shared" si="830"/>
        <v>18</v>
      </c>
      <c r="G9724" s="203">
        <f>SUM(C9724,C9700,C9676,C9652,C9628,C9604,C9580,C9556,C9532,C9508,C9484,C9460,C9436,C9412)/POBLA!$B$3*100000</f>
        <v>373.82232727867938</v>
      </c>
      <c r="H9724" s="254">
        <f t="shared" si="828"/>
        <v>1.3039462636439967</v>
      </c>
    </row>
    <row r="9725" spans="1:8" x14ac:dyDescent="0.25">
      <c r="A9725" s="84" t="s">
        <v>15</v>
      </c>
      <c r="B9725" s="2">
        <v>44298</v>
      </c>
      <c r="C9725" s="1">
        <v>241</v>
      </c>
      <c r="D9725" s="47">
        <f t="shared" si="829"/>
        <v>40581</v>
      </c>
      <c r="E9725" s="1">
        <v>6</v>
      </c>
      <c r="F9725" s="47">
        <f t="shared" si="830"/>
        <v>973</v>
      </c>
      <c r="G9725" s="203">
        <f>SUM(C9725,C9701,C9677,C9653,C9629,C9605,C9581,C9557,C9533,C9509,C9485,C9461,C9437,C9413)/POBLA!$B$4*100000</f>
        <v>195.9252528556521</v>
      </c>
      <c r="H9725" s="254">
        <f t="shared" si="828"/>
        <v>1.093098656785549</v>
      </c>
    </row>
    <row r="9726" spans="1:8" x14ac:dyDescent="0.25">
      <c r="A9726" s="84" t="s">
        <v>29</v>
      </c>
      <c r="B9726" s="2">
        <v>44298</v>
      </c>
      <c r="C9726" s="1">
        <v>164</v>
      </c>
      <c r="D9726" s="47">
        <f t="shared" si="829"/>
        <v>51507</v>
      </c>
      <c r="E9726" s="1">
        <v>4</v>
      </c>
      <c r="F9726" s="47">
        <f t="shared" si="830"/>
        <v>881</v>
      </c>
      <c r="G9726" s="203">
        <f>SUM(C9726,C9702,C9678,C9654,C9630,C9606,C9582,C9558,C9534,C9510,C9486,C9462,C9438,C9414)/POBLA!$B$5*100000</f>
        <v>281.26282322607324</v>
      </c>
      <c r="H9726" s="254">
        <f t="shared" si="828"/>
        <v>1.1491749174917492</v>
      </c>
    </row>
    <row r="9727" spans="1:8" x14ac:dyDescent="0.25">
      <c r="A9727" s="84" t="s">
        <v>30</v>
      </c>
      <c r="B9727" s="2">
        <v>44298</v>
      </c>
      <c r="C9727" s="1">
        <v>70</v>
      </c>
      <c r="D9727" s="47">
        <f t="shared" si="829"/>
        <v>33301</v>
      </c>
      <c r="E9727" s="1">
        <v>12</v>
      </c>
      <c r="F9727" s="47">
        <f t="shared" si="830"/>
        <v>356</v>
      </c>
      <c r="G9727" s="203">
        <f>SUM(C9727,C9703,C9679,C9655,C9631,C9607,C9583,C9559,C9535,C9511,C9487,C9463,C9439,C9415)/POBLA!$B$6*100000</f>
        <v>394.53926254526897</v>
      </c>
      <c r="H9727" s="254">
        <f t="shared" si="828"/>
        <v>1.1485714285714286</v>
      </c>
    </row>
    <row r="9728" spans="1:8" x14ac:dyDescent="0.25">
      <c r="A9728" s="84" t="s">
        <v>20</v>
      </c>
      <c r="B9728" s="2">
        <v>44298</v>
      </c>
      <c r="C9728" s="1">
        <v>1300</v>
      </c>
      <c r="D9728" s="47">
        <f t="shared" si="829"/>
        <v>196527</v>
      </c>
      <c r="E9728" s="1">
        <v>11</v>
      </c>
      <c r="F9728" s="47">
        <f t="shared" si="830"/>
        <v>3116</v>
      </c>
      <c r="G9728" s="203">
        <f>SUM(C9728,C9704,C9680,C9656,C9632,C9608,C9584,C9560,C9536,C9512,C9488,C9464,C9440,C9416)/POBLA!$B$7*100000</f>
        <v>478.13426584584295</v>
      </c>
      <c r="H9728" s="254">
        <f t="shared" si="828"/>
        <v>1.7481769567331065</v>
      </c>
    </row>
    <row r="9729" spans="1:8" x14ac:dyDescent="0.25">
      <c r="A9729" s="84" t="s">
        <v>31</v>
      </c>
      <c r="B9729" s="2">
        <v>44298</v>
      </c>
      <c r="C9729" s="1">
        <v>231</v>
      </c>
      <c r="D9729" s="47">
        <f t="shared" si="829"/>
        <v>53303</v>
      </c>
      <c r="E9729" s="1">
        <v>6</v>
      </c>
      <c r="F9729" s="47">
        <f t="shared" si="830"/>
        <v>969</v>
      </c>
      <c r="G9729" s="203">
        <f>SUM(C9729,C9705,C9681,C9657,C9633,C9609,C9585,C9561,C9537,C9513,C9489,C9465,C9441,C9417)/POBLA!$B$8*100000</f>
        <v>279.08433209881088</v>
      </c>
      <c r="H9729" s="254">
        <f t="shared" si="828"/>
        <v>1.5839475839475838</v>
      </c>
    </row>
    <row r="9730" spans="1:8" x14ac:dyDescent="0.25">
      <c r="A9730" s="84" t="s">
        <v>41</v>
      </c>
      <c r="B9730" s="2">
        <v>44298</v>
      </c>
      <c r="C9730" s="1">
        <v>348</v>
      </c>
      <c r="D9730" s="47">
        <f t="shared" si="829"/>
        <v>3002</v>
      </c>
      <c r="F9730" s="47">
        <f t="shared" si="830"/>
        <v>49</v>
      </c>
      <c r="G9730" s="203">
        <f>SUM(C9730,C9706,C9682,C9658,C9634,C9610,C9586,C9562,C9538,C9514,C9490,C9466,C9442,C9418)/POBLA!$B$9*100000</f>
        <v>156.64424406759497</v>
      </c>
      <c r="H9730" s="254">
        <f t="shared" si="828"/>
        <v>2.0835164835164837</v>
      </c>
    </row>
    <row r="9731" spans="1:8" x14ac:dyDescent="0.25">
      <c r="A9731" s="84" t="s">
        <v>32</v>
      </c>
      <c r="B9731" s="2">
        <v>44298</v>
      </c>
      <c r="C9731" s="1">
        <v>72</v>
      </c>
      <c r="D9731" s="47">
        <f t="shared" si="829"/>
        <v>23109</v>
      </c>
      <c r="E9731" s="1">
        <v>3</v>
      </c>
      <c r="F9731" s="47">
        <f t="shared" si="830"/>
        <v>989</v>
      </c>
      <c r="G9731" s="203">
        <f>SUM(C9731,C9707,C9683,C9659,C9635,C9611,C9587,C9563,C9539,C9515,C9491,C9467,C9443,C9419)/POBLA!$B$10*100000</f>
        <v>101.83154079553135</v>
      </c>
      <c r="H9731" s="254">
        <f t="shared" si="828"/>
        <v>1.2764227642276422</v>
      </c>
    </row>
    <row r="9732" spans="1:8" x14ac:dyDescent="0.25">
      <c r="A9732" s="84" t="s">
        <v>33</v>
      </c>
      <c r="B9732" s="2">
        <v>44298</v>
      </c>
      <c r="C9732" s="1">
        <v>69</v>
      </c>
      <c r="D9732" s="47">
        <f t="shared" si="829"/>
        <v>22803</v>
      </c>
      <c r="E9732" s="1">
        <v>2</v>
      </c>
      <c r="F9732" s="47">
        <f t="shared" si="830"/>
        <v>333</v>
      </c>
      <c r="G9732" s="203">
        <f>SUM(C9732,C9708,C9684,C9660,C9636,C9612,C9588,C9564,C9540,C9516,C9492,C9468,C9444,C9420)/POBLA!$B$11*100000</f>
        <v>458.94851964690258</v>
      </c>
      <c r="H9732" s="254">
        <f t="shared" si="828"/>
        <v>1.3662790697674418</v>
      </c>
    </row>
    <row r="9733" spans="1:8" x14ac:dyDescent="0.25">
      <c r="A9733" s="84" t="s">
        <v>21</v>
      </c>
      <c r="B9733" s="2">
        <v>44298</v>
      </c>
      <c r="C9733" s="1">
        <v>12</v>
      </c>
      <c r="D9733" s="47">
        <f t="shared" si="829"/>
        <v>12041</v>
      </c>
      <c r="F9733" s="47">
        <f t="shared" si="830"/>
        <v>451</v>
      </c>
      <c r="G9733" s="203">
        <f>SUM(C9733,C9709,C9685,C9661,C9637,C9613,C9589,C9565,C9541,C9517,C9493,C9469,C9445,C9421)/POBLA!$B$12*100000</f>
        <v>262.49520368153969</v>
      </c>
      <c r="H9733" s="254">
        <f t="shared" si="828"/>
        <v>2.2505446623093683</v>
      </c>
    </row>
    <row r="9734" spans="1:8" x14ac:dyDescent="0.25">
      <c r="A9734" s="84" t="s">
        <v>17</v>
      </c>
      <c r="B9734" s="2">
        <v>44298</v>
      </c>
      <c r="C9734" s="1">
        <v>639</v>
      </c>
      <c r="D9734" s="47">
        <f t="shared" si="829"/>
        <v>80695</v>
      </c>
      <c r="E9734" s="1">
        <v>9</v>
      </c>
      <c r="F9734" s="47">
        <f t="shared" si="830"/>
        <v>1606</v>
      </c>
      <c r="G9734" s="203">
        <f>SUM(C9734,C9710,C9686,C9662,C9638,C9614,C9590,C9566,C9542,C9518,C9494,C9470,C9446,C9422)/POBLA!$B$13*100000</f>
        <v>426.05828758733441</v>
      </c>
      <c r="H9734" s="254">
        <f t="shared" si="828"/>
        <v>3.1153563556208672</v>
      </c>
    </row>
    <row r="9735" spans="1:8" x14ac:dyDescent="0.25">
      <c r="A9735" s="84" t="s">
        <v>23</v>
      </c>
      <c r="B9735" s="2">
        <v>44298</v>
      </c>
      <c r="C9735" s="1">
        <v>117</v>
      </c>
      <c r="D9735" s="47">
        <f t="shared" si="829"/>
        <v>13480</v>
      </c>
      <c r="E9735" s="1">
        <v>2</v>
      </c>
      <c r="F9735" s="47">
        <f t="shared" si="830"/>
        <v>223</v>
      </c>
      <c r="G9735" s="203">
        <f>SUM(C9735,C9711,C9687,C9663,C9639,C9615,C9591,C9567,C9543,C9519,C9495,C9471,C9447,C9423)/POBLA!$B$14*100000</f>
        <v>131.29373484691121</v>
      </c>
      <c r="H9735" s="254">
        <f t="shared" si="828"/>
        <v>0.95391705069124422</v>
      </c>
    </row>
    <row r="9736" spans="1:8" x14ac:dyDescent="0.25">
      <c r="A9736" s="84" t="s">
        <v>19</v>
      </c>
      <c r="B9736" s="2">
        <v>44298</v>
      </c>
      <c r="C9736" s="1">
        <v>102</v>
      </c>
      <c r="D9736" s="47">
        <f t="shared" si="829"/>
        <v>66658</v>
      </c>
      <c r="F9736" s="47">
        <f t="shared" si="830"/>
        <v>1018</v>
      </c>
      <c r="G9736" s="203">
        <f>SUM(C9736,C9712,C9688,C9664,C9640,C9616,C9592,C9568,C9544,C9520,C9496,C9472,C9448,C9424)/POBLA!$B$15*100000</f>
        <v>250.88207789391572</v>
      </c>
      <c r="H9736" s="254">
        <f t="shared" si="828"/>
        <v>1.0054315027157514</v>
      </c>
    </row>
    <row r="9737" spans="1:8" x14ac:dyDescent="0.25">
      <c r="A9737" s="84" t="s">
        <v>18</v>
      </c>
      <c r="B9737" s="2">
        <v>44298</v>
      </c>
      <c r="C9737" s="1">
        <v>162</v>
      </c>
      <c r="D9737" s="47">
        <f t="shared" si="829"/>
        <v>56942</v>
      </c>
      <c r="E9737" s="1">
        <v>3</v>
      </c>
      <c r="F9737" s="47">
        <f t="shared" si="830"/>
        <v>1306</v>
      </c>
      <c r="G9737" s="203">
        <f>SUM(C9737,C9713,C9689,C9665,C9641,C9617,C9593,C9569,C9545,C9521,C9497,C9473,C9449,C9425)/POBLA!$B$16*100000</f>
        <v>234.07926592742206</v>
      </c>
      <c r="H9737" s="254">
        <f t="shared" si="828"/>
        <v>1.3348588863463005</v>
      </c>
    </row>
    <row r="9738" spans="1:8" x14ac:dyDescent="0.25">
      <c r="A9738" s="84" t="s">
        <v>34</v>
      </c>
      <c r="B9738" s="2">
        <v>44298</v>
      </c>
      <c r="C9738" s="1">
        <v>98</v>
      </c>
      <c r="D9738" s="47">
        <f t="shared" si="829"/>
        <v>31110</v>
      </c>
      <c r="E9738" s="1">
        <v>5</v>
      </c>
      <c r="F9738" s="47">
        <f t="shared" si="830"/>
        <v>1237</v>
      </c>
      <c r="G9738" s="203">
        <f>SUM(C9738,C9714,C9690,C9666,C9642,C9618,C9594,C9570,C9546,C9522,C9498,C9474,C9450,C9426)/POBLA!$B$17*100000</f>
        <v>139.35721572005559</v>
      </c>
      <c r="H9738" s="254">
        <f t="shared" ref="H9738:H9761" si="831">SUM(C9738,C9714,C9690,C9666,C9642,C9618,C9594,C9570,C9546,C9522,C9498,C9474,C9450,C9426)/SUM(C9402,C9378,C9354,C9330,C9306,C9282,C9258,C9234,C9210,C9186,C9162,C9138,C9114,C9090)</f>
        <v>1.3832752613240418</v>
      </c>
    </row>
    <row r="9739" spans="1:8" x14ac:dyDescent="0.25">
      <c r="A9739" s="84" t="s">
        <v>35</v>
      </c>
      <c r="B9739" s="2">
        <v>44298</v>
      </c>
      <c r="C9739" s="1">
        <v>173</v>
      </c>
      <c r="D9739" s="47">
        <f t="shared" si="829"/>
        <v>18957</v>
      </c>
      <c r="E9739" s="1">
        <v>4</v>
      </c>
      <c r="F9739" s="47">
        <f t="shared" si="830"/>
        <v>233</v>
      </c>
      <c r="G9739" s="203">
        <f>SUM(C9739,C9715,C9691,C9667,C9643,C9619,C9595,C9571,C9547,C9523,C9499,C9475,C9451,C9427)/POBLA!$B$18*100000</f>
        <v>252.55466790917248</v>
      </c>
      <c r="H9739" s="254">
        <f t="shared" si="831"/>
        <v>1.8952929875120077</v>
      </c>
    </row>
    <row r="9740" spans="1:8" x14ac:dyDescent="0.25">
      <c r="A9740" s="84" t="s">
        <v>36</v>
      </c>
      <c r="B9740" s="2">
        <v>44298</v>
      </c>
      <c r="C9740" s="1">
        <v>556</v>
      </c>
      <c r="D9740" s="47">
        <f t="shared" si="829"/>
        <v>26914</v>
      </c>
      <c r="E9740" s="1">
        <v>1</v>
      </c>
      <c r="F9740" s="47">
        <f t="shared" si="830"/>
        <v>443</v>
      </c>
      <c r="G9740" s="203">
        <f>SUM(C9740,C9716,C9692,C9668,C9644,C9620,C9596,C9572,C9548,C9524,C9500,C9476,C9452,C9428)/POBLA!$B$19*100000</f>
        <v>860.46804425489051</v>
      </c>
      <c r="H9740" s="254">
        <f t="shared" si="831"/>
        <v>4.2840352595494613</v>
      </c>
    </row>
    <row r="9741" spans="1:8" x14ac:dyDescent="0.25">
      <c r="A9741" s="84" t="s">
        <v>37</v>
      </c>
      <c r="B9741" s="2">
        <v>44298</v>
      </c>
      <c r="C9741" s="1">
        <v>115</v>
      </c>
      <c r="D9741" s="47">
        <f t="shared" si="829"/>
        <v>41110</v>
      </c>
      <c r="E9741" s="1">
        <v>5</v>
      </c>
      <c r="F9741" s="47">
        <f t="shared" si="830"/>
        <v>666</v>
      </c>
      <c r="G9741" s="203">
        <f>SUM(C9741,C9717,C9693,C9669,C9645,C9621,C9597,C9573,C9549,C9525,C9501,C9477,C9453,C9429)/POBLA!$B$20*100000</f>
        <v>541.97725992485607</v>
      </c>
      <c r="H9741" s="254">
        <f t="shared" si="831"/>
        <v>1.1946955997588908</v>
      </c>
    </row>
    <row r="9742" spans="1:8" x14ac:dyDescent="0.25">
      <c r="A9742" s="84" t="s">
        <v>22</v>
      </c>
      <c r="B9742" s="2">
        <v>44298</v>
      </c>
      <c r="C9742" s="1">
        <v>1104</v>
      </c>
      <c r="D9742" s="47">
        <f t="shared" si="829"/>
        <v>243182</v>
      </c>
      <c r="E9742" s="1">
        <v>9</v>
      </c>
      <c r="F9742" s="47">
        <f t="shared" si="830"/>
        <v>4350</v>
      </c>
      <c r="G9742" s="203">
        <f>SUM(C9742,C9718,C9694,C9670,C9646,C9622,C9598,C9574,C9550,C9526,C9502,C9478,C9454,C9430)/POBLA!$B$21*100000</f>
        <v>372.01484666122616</v>
      </c>
      <c r="H9742" s="254">
        <f t="shared" si="831"/>
        <v>1.782897411573384</v>
      </c>
    </row>
    <row r="9743" spans="1:8" x14ac:dyDescent="0.25">
      <c r="A9743" s="84" t="s">
        <v>38</v>
      </c>
      <c r="B9743" s="2">
        <v>44298</v>
      </c>
      <c r="C9743" s="1">
        <v>119</v>
      </c>
      <c r="D9743" s="47">
        <f t="shared" si="829"/>
        <v>26946</v>
      </c>
      <c r="E9743" s="1">
        <v>2</v>
      </c>
      <c r="F9743" s="47">
        <f t="shared" si="830"/>
        <v>307</v>
      </c>
      <c r="G9743" s="203">
        <f>SUM(C9743,C9719,C9695,C9671,C9647,C9623,C9599,C9575,C9551,C9527,C9503,C9479,C9455,C9431)/POBLA!$B$22*100000</f>
        <v>205.96680203574928</v>
      </c>
      <c r="H9743" s="254">
        <f t="shared" si="831"/>
        <v>1.4392857142857143</v>
      </c>
    </row>
    <row r="9744" spans="1:8" x14ac:dyDescent="0.25">
      <c r="A9744" s="84" t="s">
        <v>39</v>
      </c>
      <c r="B9744" s="2">
        <v>44298</v>
      </c>
      <c r="C9744" s="1">
        <v>104</v>
      </c>
      <c r="D9744" s="47">
        <f t="shared" si="829"/>
        <v>24953</v>
      </c>
      <c r="F9744" s="47">
        <f t="shared" si="830"/>
        <v>372</v>
      </c>
      <c r="G9744" s="203">
        <f>SUM(C9744,C9720,C9696,C9672,C9648,C9624,C9600,C9576,C9552,C9528,C9504,C9480,C9456,C9432)/POBLA!$B$23*100000</f>
        <v>547.41842447548493</v>
      </c>
      <c r="H9744" s="254">
        <f t="shared" si="831"/>
        <v>1.6490630323679727</v>
      </c>
    </row>
    <row r="9745" spans="1:8" ht="15.75" thickBot="1" x14ac:dyDescent="0.3">
      <c r="A9745" s="85" t="s">
        <v>40</v>
      </c>
      <c r="B9745" s="42">
        <v>44298</v>
      </c>
      <c r="C9745" s="54">
        <v>560</v>
      </c>
      <c r="D9745" s="214">
        <f t="shared" si="829"/>
        <v>93869</v>
      </c>
      <c r="E9745" s="54">
        <v>4</v>
      </c>
      <c r="F9745" s="214">
        <f t="shared" si="830"/>
        <v>1534</v>
      </c>
      <c r="G9745" s="215">
        <f>SUM(C9745,C9721,C9697,C9673,C9649,C9625,C9601,C9577,C9553,C9529,C9505,C9481,C9457,C9433)/POBLA!$B$24*100000</f>
        <v>417.7839042259904</v>
      </c>
      <c r="H9745" s="255">
        <f t="shared" si="831"/>
        <v>1.6179159049360146</v>
      </c>
    </row>
    <row r="9746" spans="1:8" x14ac:dyDescent="0.25">
      <c r="A9746" s="122" t="s">
        <v>16</v>
      </c>
      <c r="B9746" s="2">
        <v>44299</v>
      </c>
      <c r="C9746" s="293">
        <v>14004</v>
      </c>
      <c r="D9746" s="348">
        <f t="shared" si="829"/>
        <v>1104016</v>
      </c>
      <c r="E9746" s="293">
        <v>112</v>
      </c>
      <c r="F9746" s="348">
        <f t="shared" ref="F9746:F9769" si="832">E9746+F9722</f>
        <v>29581</v>
      </c>
      <c r="G9746" s="349">
        <f>SUM(C9746,C9722,C9698,C9674,C9650,C9626,C9602,C9578,C9554,C9530,C9506,C9482,C9458,C9434)/POBLA!$B$1*100000</f>
        <v>709.82839713790565</v>
      </c>
      <c r="H9746" s="350">
        <f t="shared" si="831"/>
        <v>2.2301189282132112</v>
      </c>
    </row>
    <row r="9747" spans="1:8" x14ac:dyDescent="0.25">
      <c r="A9747" s="84" t="s">
        <v>43</v>
      </c>
      <c r="B9747" s="2">
        <v>44299</v>
      </c>
      <c r="C9747" s="1">
        <v>2934</v>
      </c>
      <c r="D9747" s="47">
        <f t="shared" si="829"/>
        <v>292068</v>
      </c>
      <c r="E9747" s="1">
        <v>27</v>
      </c>
      <c r="F9747" s="47">
        <f t="shared" si="832"/>
        <v>7122</v>
      </c>
      <c r="G9747" s="203">
        <f>SUM(C9747,C9723,C9699,C9675,C9651,C9627,C9603,C9579,C9555,C9531,C9507,C9483,C9459,C9435)/POBLA!$B$2*100000</f>
        <v>1054.8027959004385</v>
      </c>
      <c r="H9747" s="254">
        <f t="shared" si="831"/>
        <v>2.077351604021259</v>
      </c>
    </row>
    <row r="9748" spans="1:8" x14ac:dyDescent="0.25">
      <c r="A9748" s="84" t="s">
        <v>28</v>
      </c>
      <c r="B9748" s="2">
        <v>44299</v>
      </c>
      <c r="C9748" s="1">
        <v>155</v>
      </c>
      <c r="D9748" s="47">
        <f t="shared" si="829"/>
        <v>12018</v>
      </c>
      <c r="F9748" s="47">
        <f t="shared" si="832"/>
        <v>18</v>
      </c>
      <c r="G9748" s="203">
        <f>SUM(C9748,C9724,C9700,C9676,C9652,C9628,C9604,C9580,C9556,C9532,C9508,C9484,C9460,C9436)/POBLA!$B$3*100000</f>
        <v>394.04195090482813</v>
      </c>
      <c r="H9748" s="254">
        <f t="shared" si="831"/>
        <v>1.4422907488986785</v>
      </c>
    </row>
    <row r="9749" spans="1:8" x14ac:dyDescent="0.25">
      <c r="A9749" s="84" t="s">
        <v>15</v>
      </c>
      <c r="B9749" s="2">
        <v>44299</v>
      </c>
      <c r="C9749" s="1">
        <v>250</v>
      </c>
      <c r="D9749" s="47">
        <f t="shared" si="829"/>
        <v>40831</v>
      </c>
      <c r="E9749" s="1">
        <v>4</v>
      </c>
      <c r="F9749" s="47">
        <f t="shared" si="832"/>
        <v>977</v>
      </c>
      <c r="G9749" s="203">
        <f>SUM(C9749,C9725,C9701,C9677,C9653,C9629,C9605,C9581,C9557,C9533,C9509,C9485,C9461,C9437)/POBLA!$B$4*100000</f>
        <v>208.71020579623277</v>
      </c>
      <c r="H9749" s="254">
        <f t="shared" si="831"/>
        <v>1.1797278273111216</v>
      </c>
    </row>
    <row r="9750" spans="1:8" x14ac:dyDescent="0.25">
      <c r="A9750" s="84" t="s">
        <v>29</v>
      </c>
      <c r="B9750" s="2">
        <v>44299</v>
      </c>
      <c r="C9750" s="1">
        <v>220</v>
      </c>
      <c r="D9750" s="47">
        <f t="shared" si="829"/>
        <v>51727</v>
      </c>
      <c r="F9750" s="47">
        <f t="shared" si="832"/>
        <v>881</v>
      </c>
      <c r="G9750" s="203">
        <f>SUM(C9750,C9726,C9702,C9678,C9654,C9630,C9606,C9582,C9558,C9534,C9510,C9486,C9462,C9438)/POBLA!$B$5*100000</f>
        <v>295.47943921912008</v>
      </c>
      <c r="H9750" s="254">
        <f t="shared" si="831"/>
        <v>1.1822882999353588</v>
      </c>
    </row>
    <row r="9751" spans="1:8" x14ac:dyDescent="0.25">
      <c r="A9751" s="84" t="s">
        <v>30</v>
      </c>
      <c r="B9751" s="2">
        <v>44299</v>
      </c>
      <c r="C9751" s="1">
        <v>441</v>
      </c>
      <c r="D9751" s="47">
        <f t="shared" si="829"/>
        <v>33742</v>
      </c>
      <c r="E9751" s="1">
        <v>9</v>
      </c>
      <c r="F9751" s="47">
        <f t="shared" si="832"/>
        <v>365</v>
      </c>
      <c r="G9751" s="203">
        <f>SUM(C9751,C9727,C9703,C9679,C9655,C9631,C9607,C9583,C9559,C9535,C9511,C9487,C9463,C9439)/POBLA!$B$6*100000</f>
        <v>354.83551495760622</v>
      </c>
      <c r="H9751" s="254">
        <f t="shared" si="831"/>
        <v>0.87062171628721541</v>
      </c>
    </row>
    <row r="9752" spans="1:8" x14ac:dyDescent="0.25">
      <c r="A9752" s="84" t="s">
        <v>20</v>
      </c>
      <c r="B9752" s="2">
        <v>44299</v>
      </c>
      <c r="C9752" s="1">
        <v>2268</v>
      </c>
      <c r="D9752" s="47">
        <f t="shared" si="829"/>
        <v>198795</v>
      </c>
      <c r="E9752" s="1">
        <v>10</v>
      </c>
      <c r="F9752" s="47">
        <f t="shared" si="832"/>
        <v>3126</v>
      </c>
      <c r="G9752" s="203">
        <f>SUM(C9752,C9728,C9704,C9680,C9656,C9632,C9608,C9584,C9560,C9536,C9512,C9488,C9464,C9440)/POBLA!$B$7*100000</f>
        <v>516.48074033692774</v>
      </c>
      <c r="H9752" s="254">
        <f t="shared" si="831"/>
        <v>1.885264997087944</v>
      </c>
    </row>
    <row r="9753" spans="1:8" x14ac:dyDescent="0.25">
      <c r="A9753" s="84" t="s">
        <v>31</v>
      </c>
      <c r="B9753" s="2">
        <v>44299</v>
      </c>
      <c r="C9753" s="1">
        <v>635</v>
      </c>
      <c r="D9753" s="47">
        <f t="shared" si="829"/>
        <v>53938</v>
      </c>
      <c r="E9753" s="1">
        <v>11</v>
      </c>
      <c r="F9753" s="47">
        <f t="shared" si="832"/>
        <v>980</v>
      </c>
      <c r="G9753" s="203">
        <f>SUM(C9753,C9729,C9705,C9681,C9657,C9633,C9609,C9585,C9561,C9537,C9513,C9489,C9465,C9441)/POBLA!$B$8*100000</f>
        <v>310.10973613254635</v>
      </c>
      <c r="H9753" s="254">
        <f t="shared" si="831"/>
        <v>1.7564364527993461</v>
      </c>
    </row>
    <row r="9754" spans="1:8" x14ac:dyDescent="0.25">
      <c r="A9754" s="84" t="s">
        <v>41</v>
      </c>
      <c r="B9754" s="2">
        <v>44299</v>
      </c>
      <c r="C9754" s="1">
        <v>131</v>
      </c>
      <c r="D9754" s="47">
        <f t="shared" si="829"/>
        <v>3133</v>
      </c>
      <c r="E9754" s="1">
        <v>4</v>
      </c>
      <c r="F9754" s="47">
        <f t="shared" si="832"/>
        <v>53</v>
      </c>
      <c r="G9754" s="203">
        <f>SUM(C9754,C9730,C9706,C9682,C9658,C9634,C9610,C9586,C9562,C9538,C9514,C9490,C9466,C9442)/POBLA!$B$9*100000</f>
        <v>173.66360813823027</v>
      </c>
      <c r="H9754" s="254">
        <f t="shared" si="831"/>
        <v>2.3048245614035086</v>
      </c>
    </row>
    <row r="9755" spans="1:8" x14ac:dyDescent="0.25">
      <c r="A9755" s="84" t="s">
        <v>32</v>
      </c>
      <c r="B9755" s="2">
        <v>44299</v>
      </c>
      <c r="C9755" s="1">
        <v>93</v>
      </c>
      <c r="D9755" s="47">
        <f t="shared" si="829"/>
        <v>23202</v>
      </c>
      <c r="E9755" s="1">
        <v>2</v>
      </c>
      <c r="F9755" s="47">
        <f t="shared" si="832"/>
        <v>991</v>
      </c>
      <c r="G9755" s="203">
        <f>SUM(C9755,C9731,C9707,C9683,C9659,C9635,C9611,C9587,C9563,C9539,C9515,C9491,C9467,C9443)/POBLA!$B$10*100000</f>
        <v>107.5392959484019</v>
      </c>
      <c r="H9755" s="254">
        <f t="shared" si="831"/>
        <v>1.3590163934426229</v>
      </c>
    </row>
    <row r="9756" spans="1:8" x14ac:dyDescent="0.25">
      <c r="A9756" s="84" t="s">
        <v>33</v>
      </c>
      <c r="B9756" s="2">
        <v>44299</v>
      </c>
      <c r="C9756" s="1">
        <v>110</v>
      </c>
      <c r="D9756" s="47">
        <f t="shared" si="829"/>
        <v>22913</v>
      </c>
      <c r="F9756" s="47">
        <f t="shared" si="832"/>
        <v>333</v>
      </c>
      <c r="G9756" s="203">
        <f>SUM(C9756,C9732,C9708,C9684,C9660,C9636,C9612,C9588,C9564,C9540,C9516,C9492,C9468,C9444)/POBLA!$B$11*100000</f>
        <v>477.64125570546946</v>
      </c>
      <c r="H9756" s="254">
        <f t="shared" si="831"/>
        <v>1.5110326566637247</v>
      </c>
    </row>
    <row r="9757" spans="1:8" x14ac:dyDescent="0.25">
      <c r="A9757" s="84" t="s">
        <v>21</v>
      </c>
      <c r="B9757" s="2">
        <v>44299</v>
      </c>
      <c r="C9757" s="1">
        <v>59</v>
      </c>
      <c r="D9757" s="47">
        <f t="shared" si="829"/>
        <v>12100</v>
      </c>
      <c r="F9757" s="47">
        <f t="shared" si="832"/>
        <v>451</v>
      </c>
      <c r="G9757" s="203">
        <f>SUM(C9757,C9733,C9709,C9685,C9661,C9637,C9613,C9589,C9565,C9541,C9517,C9493,C9469,C9445)/POBLA!$B$12*100000</f>
        <v>272.91369676086509</v>
      </c>
      <c r="H9757" s="254">
        <f t="shared" si="831"/>
        <v>2.3347826086956522</v>
      </c>
    </row>
    <row r="9758" spans="1:8" x14ac:dyDescent="0.25">
      <c r="A9758" s="84" t="s">
        <v>17</v>
      </c>
      <c r="B9758" s="2">
        <v>44299</v>
      </c>
      <c r="C9758" s="1">
        <v>953</v>
      </c>
      <c r="D9758" s="47">
        <f t="shared" si="829"/>
        <v>81648</v>
      </c>
      <c r="E9758" s="1">
        <v>2</v>
      </c>
      <c r="F9758" s="47">
        <f t="shared" si="832"/>
        <v>1608</v>
      </c>
      <c r="G9758" s="203">
        <f>SUM(C9758,C9734,C9710,C9686,C9662,C9638,C9614,C9590,C9566,C9542,C9518,C9494,C9470,C9446)/POBLA!$B$13*100000</f>
        <v>460.32382439565538</v>
      </c>
      <c r="H9758" s="254">
        <f t="shared" si="831"/>
        <v>3.2397454031117396</v>
      </c>
    </row>
    <row r="9759" spans="1:8" x14ac:dyDescent="0.25">
      <c r="A9759" s="84" t="s">
        <v>23</v>
      </c>
      <c r="B9759" s="2">
        <v>44299</v>
      </c>
      <c r="C9759" s="1">
        <v>170</v>
      </c>
      <c r="D9759" s="47">
        <f t="shared" si="829"/>
        <v>13650</v>
      </c>
      <c r="E9759" s="1">
        <v>2</v>
      </c>
      <c r="F9759" s="47">
        <f t="shared" si="832"/>
        <v>225</v>
      </c>
      <c r="G9759" s="203">
        <f>SUM(C9759,C9735,C9711,C9687,C9663,C9639,C9615,C9591,C9567,C9543,C9519,C9495,C9471,C9447)/POBLA!$B$14*100000</f>
        <v>135.73361960018838</v>
      </c>
      <c r="H9759" s="254">
        <f t="shared" si="831"/>
        <v>0.97884505431675239</v>
      </c>
    </row>
    <row r="9760" spans="1:8" x14ac:dyDescent="0.25">
      <c r="A9760" s="84" t="s">
        <v>19</v>
      </c>
      <c r="B9760" s="2">
        <v>44299</v>
      </c>
      <c r="C9760" s="1">
        <v>241</v>
      </c>
      <c r="D9760" s="47">
        <f t="shared" si="829"/>
        <v>66899</v>
      </c>
      <c r="F9760" s="47">
        <f t="shared" si="832"/>
        <v>1018</v>
      </c>
      <c r="G9760" s="203">
        <f>SUM(C9760,C9736,C9712,C9688,C9664,C9640,C9616,C9592,C9568,C9544,C9520,C9496,C9472,C9448)/POBLA!$B$15*100000</f>
        <v>274.82580561608415</v>
      </c>
      <c r="H9760" s="254">
        <f t="shared" si="831"/>
        <v>1.1321339950372209</v>
      </c>
    </row>
    <row r="9761" spans="1:8" x14ac:dyDescent="0.25">
      <c r="A9761" s="84" t="s">
        <v>18</v>
      </c>
      <c r="B9761" s="2">
        <v>44299</v>
      </c>
      <c r="C9761" s="1">
        <v>249</v>
      </c>
      <c r="D9761" s="47">
        <f t="shared" si="829"/>
        <v>57191</v>
      </c>
      <c r="E9761" s="1">
        <v>1</v>
      </c>
      <c r="F9761" s="47">
        <f t="shared" si="832"/>
        <v>1307</v>
      </c>
      <c r="G9761" s="203">
        <f>SUM(C9761,C9737,C9713,C9689,C9665,C9641,C9617,C9593,C9569,C9545,C9521,C9497,C9473,C9449)/POBLA!$B$16*100000</f>
        <v>256.28335629539464</v>
      </c>
      <c r="H9761" s="254">
        <f t="shared" si="831"/>
        <v>1.4980453479280689</v>
      </c>
    </row>
    <row r="9762" spans="1:8" x14ac:dyDescent="0.25">
      <c r="A9762" s="84" t="s">
        <v>34</v>
      </c>
      <c r="B9762" s="2">
        <v>44299</v>
      </c>
      <c r="C9762" s="1">
        <v>232</v>
      </c>
      <c r="D9762" s="47">
        <f t="shared" si="829"/>
        <v>31342</v>
      </c>
      <c r="E9762" s="1">
        <v>3</v>
      </c>
      <c r="F9762" s="47">
        <f t="shared" si="832"/>
        <v>1240</v>
      </c>
      <c r="G9762" s="203">
        <f>SUM(C9762,C9738,C9714,C9690,C9666,C9642,C9618,C9594,C9570,C9546,C9522,C9498,C9474,C9450)/POBLA!$B$17*100000</f>
        <v>149.74757739590859</v>
      </c>
      <c r="H9762" s="254">
        <f t="shared" ref="H9762:H9785" si="833">SUM(C9762,C9738,C9714,C9690,C9666,C9642,C9618,C9594,C9570,C9546,C9522,C9498,C9474,C9450)/SUM(C9426,C9402,C9378,C9354,C9330,C9306,C9282,C9258,C9234,C9210,C9186,C9162,C9138,C9114)</f>
        <v>1.5367435158501441</v>
      </c>
    </row>
    <row r="9763" spans="1:8" x14ac:dyDescent="0.25">
      <c r="A9763" s="84" t="s">
        <v>35</v>
      </c>
      <c r="B9763" s="2">
        <v>44299</v>
      </c>
      <c r="C9763" s="1">
        <v>332</v>
      </c>
      <c r="D9763" s="47">
        <f t="shared" si="829"/>
        <v>19289</v>
      </c>
      <c r="E9763" s="1">
        <v>1</v>
      </c>
      <c r="F9763" s="47">
        <f t="shared" si="832"/>
        <v>234</v>
      </c>
      <c r="G9763" s="203">
        <f>SUM(C9763,C9739,C9715,C9691,C9667,C9643,C9619,C9595,C9571,C9547,C9523,C9499,C9475,C9451)/POBLA!$B$18*100000</f>
        <v>277.25971145021163</v>
      </c>
      <c r="H9763" s="254">
        <f t="shared" si="833"/>
        <v>1.9584086799276672</v>
      </c>
    </row>
    <row r="9764" spans="1:8" x14ac:dyDescent="0.25">
      <c r="A9764" s="84" t="s">
        <v>36</v>
      </c>
      <c r="B9764" s="2">
        <v>44299</v>
      </c>
      <c r="C9764" s="1">
        <v>516</v>
      </c>
      <c r="D9764" s="47">
        <f t="shared" si="829"/>
        <v>27430</v>
      </c>
      <c r="E9764" s="1">
        <v>2</v>
      </c>
      <c r="F9764" s="47">
        <f t="shared" si="832"/>
        <v>445</v>
      </c>
      <c r="G9764" s="203">
        <f>SUM(C9764,C9740,C9716,C9692,C9668,C9644,C9620,C9596,C9572,C9548,C9524,C9500,C9476,C9452)/POBLA!$B$19*100000</f>
        <v>950.17390346390528</v>
      </c>
      <c r="H9764" s="254">
        <f t="shared" si="833"/>
        <v>4.4722222222222223</v>
      </c>
    </row>
    <row r="9765" spans="1:8" x14ac:dyDescent="0.25">
      <c r="A9765" s="84" t="s">
        <v>37</v>
      </c>
      <c r="B9765" s="2">
        <v>44299</v>
      </c>
      <c r="C9765" s="1">
        <v>242</v>
      </c>
      <c r="D9765" s="47">
        <f t="shared" si="829"/>
        <v>41352</v>
      </c>
      <c r="E9765" s="1">
        <v>4</v>
      </c>
      <c r="F9765" s="47">
        <f t="shared" si="832"/>
        <v>670</v>
      </c>
      <c r="G9765" s="203">
        <f>SUM(C9765,C9741,C9717,C9693,C9669,C9645,C9621,C9597,C9573,C9549,C9525,C9501,C9477,C9453)/POBLA!$B$20*100000</f>
        <v>585.72920825380504</v>
      </c>
      <c r="H9765" s="254">
        <f t="shared" si="833"/>
        <v>1.3092909535452322</v>
      </c>
    </row>
    <row r="9766" spans="1:8" x14ac:dyDescent="0.25">
      <c r="A9766" s="84" t="s">
        <v>22</v>
      </c>
      <c r="B9766" s="2">
        <v>44299</v>
      </c>
      <c r="C9766" s="1">
        <v>1762</v>
      </c>
      <c r="D9766" s="47">
        <f t="shared" si="829"/>
        <v>244944</v>
      </c>
      <c r="E9766" s="1">
        <v>18</v>
      </c>
      <c r="F9766" s="47">
        <f t="shared" si="832"/>
        <v>4368</v>
      </c>
      <c r="G9766" s="203">
        <f>SUM(C9766,C9742,C9718,C9694,C9670,C9646,C9622,C9598,C9574,C9550,C9526,C9502,C9478,C9454)/POBLA!$B$21*100000</f>
        <v>406.34336778061868</v>
      </c>
      <c r="H9766" s="254">
        <f t="shared" si="833"/>
        <v>1.9566993464052287</v>
      </c>
    </row>
    <row r="9767" spans="1:8" x14ac:dyDescent="0.25">
      <c r="A9767" s="84" t="s">
        <v>38</v>
      </c>
      <c r="B9767" s="2">
        <v>44299</v>
      </c>
      <c r="C9767" s="1">
        <v>137</v>
      </c>
      <c r="D9767" s="47">
        <f t="shared" si="829"/>
        <v>27083</v>
      </c>
      <c r="E9767" s="1">
        <v>2</v>
      </c>
      <c r="F9767" s="47">
        <f t="shared" si="832"/>
        <v>309</v>
      </c>
      <c r="G9767" s="203">
        <f>SUM(C9767,C9743,C9719,C9695,C9671,C9647,C9623,C9599,C9575,C9551,C9527,C9503,C9479,C9455)/POBLA!$B$22*100000</f>
        <v>214.75744470328002</v>
      </c>
      <c r="H9767" s="254">
        <f t="shared" si="833"/>
        <v>1.528</v>
      </c>
    </row>
    <row r="9768" spans="1:8" x14ac:dyDescent="0.25">
      <c r="A9768" s="84" t="s">
        <v>39</v>
      </c>
      <c r="B9768" s="2">
        <v>44299</v>
      </c>
      <c r="C9768" s="1">
        <v>104</v>
      </c>
      <c r="D9768" s="47">
        <f t="shared" si="829"/>
        <v>25057</v>
      </c>
      <c r="F9768" s="47">
        <f t="shared" si="832"/>
        <v>372</v>
      </c>
      <c r="G9768" s="203">
        <f>SUM(C9768,C9744,C9720,C9696,C9672,C9648,C9624,C9600,C9576,C9552,C9528,C9504,C9480,C9456)/POBLA!$B$23*100000</f>
        <v>595.48719108748514</v>
      </c>
      <c r="H9768" s="254">
        <f t="shared" si="833"/>
        <v>1.7908163265306123</v>
      </c>
    </row>
    <row r="9769" spans="1:8" ht="15.75" thickBot="1" x14ac:dyDescent="0.3">
      <c r="A9769" s="85" t="s">
        <v>40</v>
      </c>
      <c r="B9769" s="2">
        <v>44299</v>
      </c>
      <c r="C9769" s="1">
        <v>763</v>
      </c>
      <c r="D9769" s="214">
        <f t="shared" si="829"/>
        <v>94632</v>
      </c>
      <c r="E9769" s="1">
        <v>3</v>
      </c>
      <c r="F9769" s="214">
        <f t="shared" si="832"/>
        <v>1537</v>
      </c>
      <c r="G9769" s="215">
        <f>SUM(C9769,C9745,C9721,C9697,C9673,C9649,C9625,C9601,C9577,C9553,C9529,C9505,C9481,C9457)/POBLA!$B$24*100000</f>
        <v>444.2199478832282</v>
      </c>
      <c r="H9769" s="255">
        <f t="shared" si="833"/>
        <v>1.7027821759782855</v>
      </c>
    </row>
    <row r="9770" spans="1:8" x14ac:dyDescent="0.25">
      <c r="A9770" s="122" t="s">
        <v>16</v>
      </c>
      <c r="B9770" s="2">
        <v>44300</v>
      </c>
      <c r="C9770" s="1">
        <v>13241</v>
      </c>
      <c r="D9770" s="348">
        <f t="shared" si="829"/>
        <v>1117257</v>
      </c>
      <c r="E9770" s="1">
        <v>241</v>
      </c>
      <c r="F9770" s="348">
        <f t="shared" ref="F9770:F9793" si="834">E9770+F9746</f>
        <v>29822</v>
      </c>
      <c r="G9770" s="349">
        <f>SUM(C9770,C9746,C9722,C9698,C9674,C9650,C9626,C9602,C9578,C9554,C9530,C9506,C9482,C9458)/POBLA!$B$1*100000</f>
        <v>739.3475715177251</v>
      </c>
      <c r="H9770" s="350">
        <f t="shared" si="833"/>
        <v>2.1507819366822005</v>
      </c>
    </row>
    <row r="9771" spans="1:8" x14ac:dyDescent="0.25">
      <c r="A9771" s="84" t="s">
        <v>43</v>
      </c>
      <c r="B9771" s="2">
        <v>44300</v>
      </c>
      <c r="C9771" s="1">
        <v>2658</v>
      </c>
      <c r="D9771" s="47">
        <f t="shared" si="829"/>
        <v>294726</v>
      </c>
      <c r="E9771" s="1">
        <v>31</v>
      </c>
      <c r="F9771" s="47">
        <f t="shared" si="834"/>
        <v>7153</v>
      </c>
      <c r="G9771" s="203">
        <f>SUM(C9771,C9747,C9723,C9699,C9675,C9651,C9627,C9603,C9579,C9555,C9531,C9507,C9483,C9459)/POBLA!$B$2*100000</f>
        <v>1085.7231293848511</v>
      </c>
      <c r="H9771" s="254">
        <f t="shared" si="833"/>
        <v>2.0367795059469351</v>
      </c>
    </row>
    <row r="9772" spans="1:8" x14ac:dyDescent="0.25">
      <c r="A9772" s="84" t="s">
        <v>28</v>
      </c>
      <c r="B9772" s="2">
        <v>44300</v>
      </c>
      <c r="C9772" s="1">
        <v>167</v>
      </c>
      <c r="D9772" s="47">
        <f t="shared" si="829"/>
        <v>12185</v>
      </c>
      <c r="F9772" s="47">
        <f t="shared" si="834"/>
        <v>18</v>
      </c>
      <c r="G9772" s="203">
        <f>SUM(C9772,C9748,C9724,C9700,C9676,C9652,C9628,C9604,C9580,C9556,C9532,C9508,C9484,C9460)/POBLA!$B$3*100000</f>
        <v>415.22441375126976</v>
      </c>
      <c r="H9772" s="254">
        <f t="shared" si="833"/>
        <v>1.5653357531760435</v>
      </c>
    </row>
    <row r="9773" spans="1:8" x14ac:dyDescent="0.25">
      <c r="A9773" s="84" t="s">
        <v>15</v>
      </c>
      <c r="B9773" s="2">
        <v>44300</v>
      </c>
      <c r="C9773" s="1">
        <v>247</v>
      </c>
      <c r="D9773" s="47">
        <f t="shared" si="829"/>
        <v>41078</v>
      </c>
      <c r="E9773" s="1">
        <v>1</v>
      </c>
      <c r="F9773" s="47">
        <f t="shared" si="834"/>
        <v>978</v>
      </c>
      <c r="G9773" s="203">
        <f>SUM(C9773,C9749,C9725,C9701,C9677,C9653,C9629,C9605,C9581,C9557,C9533,C9509,C9485,C9461)/POBLA!$B$4*100000</f>
        <v>214.68758639182892</v>
      </c>
      <c r="H9773" s="254">
        <f t="shared" si="833"/>
        <v>1.1933548684817721</v>
      </c>
    </row>
    <row r="9774" spans="1:8" x14ac:dyDescent="0.25">
      <c r="A9774" s="84" t="s">
        <v>29</v>
      </c>
      <c r="B9774" s="2">
        <v>44300</v>
      </c>
      <c r="C9774" s="1">
        <v>261</v>
      </c>
      <c r="D9774" s="47">
        <f t="shared" si="829"/>
        <v>51988</v>
      </c>
      <c r="F9774" s="47">
        <f t="shared" si="834"/>
        <v>881</v>
      </c>
      <c r="G9774" s="203">
        <f>SUM(C9774,C9750,C9726,C9702,C9678,C9654,C9630,C9606,C9582,C9558,C9534,C9510,C9486,C9462)/POBLA!$B$5*100000</f>
        <v>302.91085212457631</v>
      </c>
      <c r="H9774" s="254">
        <f t="shared" si="833"/>
        <v>1.1460880195599021</v>
      </c>
    </row>
    <row r="9775" spans="1:8" x14ac:dyDescent="0.25">
      <c r="A9775" s="84" t="s">
        <v>30</v>
      </c>
      <c r="B9775" s="2">
        <v>44300</v>
      </c>
      <c r="C9775" s="1">
        <v>165</v>
      </c>
      <c r="D9775" s="47">
        <f t="shared" si="829"/>
        <v>33907</v>
      </c>
      <c r="E9775" s="1">
        <v>6</v>
      </c>
      <c r="F9775" s="47">
        <f t="shared" si="834"/>
        <v>371</v>
      </c>
      <c r="G9775" s="203">
        <f>SUM(C9775,C9751,C9727,C9703,C9679,C9655,C9631,C9607,C9583,C9559,C9535,C9511,C9487,C9463)/POBLA!$B$6*100000</f>
        <v>343.59355496649272</v>
      </c>
      <c r="H9775" s="254">
        <f t="shared" si="833"/>
        <v>0.83808487486398264</v>
      </c>
    </row>
    <row r="9776" spans="1:8" x14ac:dyDescent="0.25">
      <c r="A9776" s="84" t="s">
        <v>20</v>
      </c>
      <c r="B9776" s="2">
        <v>44300</v>
      </c>
      <c r="C9776" s="1">
        <v>1841</v>
      </c>
      <c r="D9776" s="47">
        <f t="shared" si="829"/>
        <v>200636</v>
      </c>
      <c r="E9776" s="1">
        <v>18</v>
      </c>
      <c r="F9776" s="47">
        <f t="shared" si="834"/>
        <v>3144</v>
      </c>
      <c r="G9776" s="203">
        <f>SUM(C9776,C9752,C9728,C9704,C9680,C9656,C9632,C9608,C9584,C9560,C9536,C9512,C9488,C9464)/POBLA!$B$7*100000</f>
        <v>531.93101889401532</v>
      </c>
      <c r="H9776" s="254">
        <f t="shared" si="833"/>
        <v>1.8553937482608291</v>
      </c>
    </row>
    <row r="9777" spans="1:8" x14ac:dyDescent="0.25">
      <c r="A9777" s="84" t="s">
        <v>31</v>
      </c>
      <c r="B9777" s="2">
        <v>44300</v>
      </c>
      <c r="C9777" s="1">
        <v>609</v>
      </c>
      <c r="D9777" s="47">
        <f t="shared" si="829"/>
        <v>54547</v>
      </c>
      <c r="E9777" s="1">
        <v>9</v>
      </c>
      <c r="F9777" s="47">
        <f t="shared" si="834"/>
        <v>989</v>
      </c>
      <c r="G9777" s="203">
        <f>SUM(C9777,C9753,C9729,C9705,C9681,C9657,C9633,C9609,C9585,C9561,C9537,C9513,C9489,C9465)/POBLA!$B$8*100000</f>
        <v>332.47688787779742</v>
      </c>
      <c r="H9777" s="254">
        <f t="shared" si="833"/>
        <v>1.8120330318521432</v>
      </c>
    </row>
    <row r="9778" spans="1:8" x14ac:dyDescent="0.25">
      <c r="A9778" s="84" t="s">
        <v>41</v>
      </c>
      <c r="B9778" s="2">
        <v>44300</v>
      </c>
      <c r="C9778" s="1">
        <v>92</v>
      </c>
      <c r="D9778" s="47">
        <f t="shared" si="829"/>
        <v>3225</v>
      </c>
      <c r="F9778" s="47">
        <f t="shared" si="834"/>
        <v>53</v>
      </c>
      <c r="G9778" s="203">
        <f>SUM(C9778,C9754,C9730,C9706,C9682,C9658,C9634,C9610,C9586,C9562,C9538,C9514,C9490,C9466)/POBLA!$B$9*100000</f>
        <v>159.94897495509696</v>
      </c>
      <c r="H9778" s="254">
        <f t="shared" si="833"/>
        <v>1.5868852459016394</v>
      </c>
    </row>
    <row r="9779" spans="1:8" x14ac:dyDescent="0.25">
      <c r="A9779" s="84" t="s">
        <v>32</v>
      </c>
      <c r="B9779" s="2">
        <v>44300</v>
      </c>
      <c r="C9779" s="1">
        <v>76</v>
      </c>
      <c r="D9779" s="47">
        <f t="shared" ref="D9779:D9817" si="835">C9779+D9755</f>
        <v>23278</v>
      </c>
      <c r="E9779" s="1">
        <v>7</v>
      </c>
      <c r="F9779" s="47">
        <f t="shared" si="834"/>
        <v>998</v>
      </c>
      <c r="G9779" s="203">
        <f>SUM(C9779,C9755,C9731,C9707,C9683,C9659,C9635,C9611,C9587,C9563,C9539,C9515,C9491,C9467)/POBLA!$B$10*100000</f>
        <v>107.5392959484019</v>
      </c>
      <c r="H9779" s="254">
        <f t="shared" si="833"/>
        <v>1.3567921440261865</v>
      </c>
    </row>
    <row r="9780" spans="1:8" x14ac:dyDescent="0.25">
      <c r="A9780" s="84" t="s">
        <v>33</v>
      </c>
      <c r="B9780" s="2">
        <v>44300</v>
      </c>
      <c r="C9780" s="1">
        <v>207</v>
      </c>
      <c r="D9780" s="47">
        <f t="shared" si="835"/>
        <v>23120</v>
      </c>
      <c r="F9780" s="47">
        <f t="shared" si="834"/>
        <v>333</v>
      </c>
      <c r="G9780" s="203">
        <f>SUM(C9780,C9756,C9732,C9708,C9684,C9660,C9636,C9612,C9588,C9564,C9540,C9516,C9492,C9468)/POBLA!$B$11*100000</f>
        <v>510.56279085339321</v>
      </c>
      <c r="H9780" s="254">
        <f t="shared" si="833"/>
        <v>1.7231638418079096</v>
      </c>
    </row>
    <row r="9781" spans="1:8" x14ac:dyDescent="0.25">
      <c r="A9781" s="84" t="s">
        <v>21</v>
      </c>
      <c r="B9781" s="2">
        <v>44300</v>
      </c>
      <c r="C9781" s="1">
        <v>79</v>
      </c>
      <c r="D9781" s="47">
        <f t="shared" si="835"/>
        <v>12179</v>
      </c>
      <c r="F9781" s="47">
        <f t="shared" si="834"/>
        <v>451</v>
      </c>
      <c r="G9781" s="203">
        <f>SUM(C9781,C9757,C9733,C9709,C9685,C9661,C9637,C9613,C9589,C9565,C9541,C9517,C9493,C9469)/POBLA!$B$12*100000</f>
        <v>274.69246387196944</v>
      </c>
      <c r="H9781" s="254">
        <f t="shared" si="833"/>
        <v>2.0357815442561207</v>
      </c>
    </row>
    <row r="9782" spans="1:8" x14ac:dyDescent="0.25">
      <c r="A9782" s="84" t="s">
        <v>17</v>
      </c>
      <c r="B9782" s="2">
        <v>44300</v>
      </c>
      <c r="C9782" s="1">
        <v>966</v>
      </c>
      <c r="D9782" s="47">
        <f t="shared" si="835"/>
        <v>82614</v>
      </c>
      <c r="E9782" s="1">
        <v>9</v>
      </c>
      <c r="F9782" s="47">
        <f t="shared" si="834"/>
        <v>1617</v>
      </c>
      <c r="G9782" s="203">
        <f>SUM(C9782,C9758,C9734,C9710,C9686,C9662,C9638,C9614,C9590,C9566,C9542,C9518,C9494,C9470)/POBLA!$B$13*100000</f>
        <v>482.68183594947186</v>
      </c>
      <c r="H9782" s="254">
        <f t="shared" si="833"/>
        <v>3.0021874999999998</v>
      </c>
    </row>
    <row r="9783" spans="1:8" x14ac:dyDescent="0.25">
      <c r="A9783" s="84" t="s">
        <v>23</v>
      </c>
      <c r="B9783" s="2">
        <v>44300</v>
      </c>
      <c r="C9783" s="1">
        <v>128</v>
      </c>
      <c r="D9783" s="47">
        <f t="shared" si="835"/>
        <v>13778</v>
      </c>
      <c r="F9783" s="47">
        <f t="shared" si="834"/>
        <v>225</v>
      </c>
      <c r="G9783" s="203">
        <f>SUM(C9783,C9759,C9735,C9711,C9687,C9663,C9639,C9615,C9591,C9567,C9543,C9519,C9495,C9471)/POBLA!$B$14*100000</f>
        <v>135.25791766233723</v>
      </c>
      <c r="H9783" s="254">
        <f t="shared" si="833"/>
        <v>0.97933409873708377</v>
      </c>
    </row>
    <row r="9784" spans="1:8" x14ac:dyDescent="0.25">
      <c r="A9784" s="84" t="s">
        <v>19</v>
      </c>
      <c r="B9784" s="2">
        <v>44300</v>
      </c>
      <c r="C9784" s="1">
        <v>183</v>
      </c>
      <c r="D9784" s="47">
        <f t="shared" si="835"/>
        <v>67082</v>
      </c>
      <c r="E9784" s="1">
        <v>8</v>
      </c>
      <c r="F9784" s="47">
        <f t="shared" si="834"/>
        <v>1026</v>
      </c>
      <c r="G9784" s="203">
        <f>SUM(C9784,C9760,C9736,C9712,C9688,C9664,C9640,C9616,C9592,C9568,C9544,C9520,C9496,C9472)/POBLA!$B$15*100000</f>
        <v>281.3011533648467</v>
      </c>
      <c r="H9784" s="254">
        <f t="shared" si="833"/>
        <v>1.1523750771128933</v>
      </c>
    </row>
    <row r="9785" spans="1:8" x14ac:dyDescent="0.25">
      <c r="A9785" s="84" t="s">
        <v>18</v>
      </c>
      <c r="B9785" s="2">
        <v>44300</v>
      </c>
      <c r="C9785" s="1">
        <v>253</v>
      </c>
      <c r="D9785" s="47">
        <f t="shared" si="835"/>
        <v>57444</v>
      </c>
      <c r="E9785" s="1">
        <v>1</v>
      </c>
      <c r="F9785" s="47">
        <f t="shared" si="834"/>
        <v>1308</v>
      </c>
      <c r="G9785" s="203">
        <f>SUM(C9785,C9761,C9737,C9713,C9689,C9665,C9641,C9617,C9593,C9569,C9545,C9521,C9497,C9473)/POBLA!$B$16*100000</f>
        <v>270.0605930899801</v>
      </c>
      <c r="H9785" s="254">
        <f t="shared" si="833"/>
        <v>1.530705079605762</v>
      </c>
    </row>
    <row r="9786" spans="1:8" x14ac:dyDescent="0.25">
      <c r="A9786" s="84" t="s">
        <v>34</v>
      </c>
      <c r="B9786" s="2">
        <v>44300</v>
      </c>
      <c r="C9786" s="1">
        <v>261</v>
      </c>
      <c r="D9786" s="47">
        <f t="shared" si="835"/>
        <v>31603</v>
      </c>
      <c r="E9786" s="1">
        <v>4</v>
      </c>
      <c r="F9786" s="47">
        <f t="shared" si="834"/>
        <v>1244</v>
      </c>
      <c r="G9786" s="203">
        <f>SUM(C9786,C9762,C9738,C9714,C9690,C9666,C9642,C9618,C9594,C9570,C9546,C9522,C9498,C9474)/POBLA!$B$17*100000</f>
        <v>157.32973321342294</v>
      </c>
      <c r="H9786" s="254">
        <f t="shared" ref="H9786:H9809" si="836">SUM(C9786,C9762,C9738,C9714,C9690,C9666,C9642,C9618,C9594,C9570,C9546,C9522,C9498,C9474)/SUM(C9450,C9426,C9402,C9378,C9354,C9330,C9306,C9282,C9258,C9234,C9210,C9186,C9162,C9138)</f>
        <v>1.5803949224259521</v>
      </c>
    </row>
    <row r="9787" spans="1:8" x14ac:dyDescent="0.25">
      <c r="A9787" s="84" t="s">
        <v>35</v>
      </c>
      <c r="B9787" s="2">
        <v>44300</v>
      </c>
      <c r="C9787" s="1">
        <v>233</v>
      </c>
      <c r="D9787" s="47">
        <f t="shared" si="835"/>
        <v>19522</v>
      </c>
      <c r="F9787" s="47">
        <f t="shared" si="834"/>
        <v>234</v>
      </c>
      <c r="G9787" s="203">
        <f>SUM(C9787,C9763,C9739,C9715,C9691,C9667,C9643,C9619,C9595,C9571,C9547,C9523,C9499,C9475)/POBLA!$B$18*100000</f>
        <v>284.17200342542469</v>
      </c>
      <c r="H9787" s="254">
        <f t="shared" si="836"/>
        <v>1.8331957060280759</v>
      </c>
    </row>
    <row r="9788" spans="1:8" x14ac:dyDescent="0.25">
      <c r="A9788" s="84" t="s">
        <v>36</v>
      </c>
      <c r="B9788" s="2">
        <v>44300</v>
      </c>
      <c r="C9788" s="1">
        <v>486</v>
      </c>
      <c r="D9788" s="47">
        <f t="shared" si="835"/>
        <v>27916</v>
      </c>
      <c r="E9788" s="1">
        <v>2</v>
      </c>
      <c r="F9788" s="47">
        <f t="shared" si="834"/>
        <v>447</v>
      </c>
      <c r="G9788" s="203">
        <f>SUM(C9788,C9764,C9740,C9716,C9692,C9668,C9644,C9620,C9596,C9572,C9548,C9524,C9500,C9476)/POBLA!$B$19*100000</f>
        <v>1005.8466187186227</v>
      </c>
      <c r="H9788" s="254">
        <f t="shared" si="836"/>
        <v>3.9976544175136826</v>
      </c>
    </row>
    <row r="9789" spans="1:8" x14ac:dyDescent="0.25">
      <c r="A9789" s="84" t="s">
        <v>37</v>
      </c>
      <c r="B9789" s="2">
        <v>44300</v>
      </c>
      <c r="C9789" s="1">
        <v>243</v>
      </c>
      <c r="D9789" s="47">
        <f t="shared" si="835"/>
        <v>41595</v>
      </c>
      <c r="E9789" s="1">
        <v>2</v>
      </c>
      <c r="F9789" s="47">
        <f t="shared" si="834"/>
        <v>672</v>
      </c>
      <c r="G9789" s="203">
        <f>SUM(C9789,C9765,C9741,C9717,C9693,C9669,C9645,C9621,C9597,C9573,C9549,C9525,C9501,C9477)/POBLA!$B$20*100000</f>
        <v>598.85479275248974</v>
      </c>
      <c r="H9789" s="254">
        <f t="shared" si="836"/>
        <v>1.2966252220248669</v>
      </c>
    </row>
    <row r="9790" spans="1:8" x14ac:dyDescent="0.25">
      <c r="A9790" s="84" t="s">
        <v>22</v>
      </c>
      <c r="B9790" s="2">
        <v>44300</v>
      </c>
      <c r="C9790" s="1">
        <v>1697</v>
      </c>
      <c r="D9790" s="47">
        <f t="shared" si="835"/>
        <v>246641</v>
      </c>
      <c r="E9790" s="1">
        <v>6</v>
      </c>
      <c r="F9790" s="47">
        <f t="shared" si="834"/>
        <v>4374</v>
      </c>
      <c r="G9790" s="203">
        <f>SUM(C9790,C9766,C9742,C9718,C9694,C9670,C9646,C9622,C9598,C9574,C9550,C9526,C9502,C9478)/POBLA!$B$21*100000</f>
        <v>428.31475238504044</v>
      </c>
      <c r="H9790" s="254">
        <f t="shared" si="836"/>
        <v>1.9753521126760563</v>
      </c>
    </row>
    <row r="9791" spans="1:8" x14ac:dyDescent="0.25">
      <c r="A9791" s="84" t="s">
        <v>38</v>
      </c>
      <c r="B9791" s="2">
        <v>44300</v>
      </c>
      <c r="C9791" s="1">
        <v>223</v>
      </c>
      <c r="D9791" s="47">
        <f t="shared" si="835"/>
        <v>27306</v>
      </c>
      <c r="E9791" s="1">
        <v>3</v>
      </c>
      <c r="F9791" s="47">
        <f t="shared" si="834"/>
        <v>312</v>
      </c>
      <c r="G9791" s="203">
        <f>SUM(C9791,C9767,C9743,C9719,C9695,C9671,C9647,C9623,C9599,C9575,C9551,C9527,C9503,C9479)/POBLA!$B$22*100000</f>
        <v>224.4680383476454</v>
      </c>
      <c r="H9791" s="254">
        <f t="shared" si="836"/>
        <v>1.5741935483870968</v>
      </c>
    </row>
    <row r="9792" spans="1:8" x14ac:dyDescent="0.25">
      <c r="A9792" s="84" t="s">
        <v>39</v>
      </c>
      <c r="B9792" s="2">
        <v>44300</v>
      </c>
      <c r="C9792" s="1">
        <v>120</v>
      </c>
      <c r="D9792" s="47">
        <f t="shared" si="835"/>
        <v>25177</v>
      </c>
      <c r="F9792" s="47">
        <f t="shared" si="834"/>
        <v>372</v>
      </c>
      <c r="G9792" s="203">
        <f>SUM(C9792,C9768,C9744,C9720,C9696,C9672,C9648,C9624,C9600,C9576,C9552,C9528,C9504,C9480)/POBLA!$B$23*100000</f>
        <v>615.84572753492057</v>
      </c>
      <c r="H9792" s="254">
        <f t="shared" si="836"/>
        <v>1.704225352112676</v>
      </c>
    </row>
    <row r="9793" spans="1:8" ht="15.75" thickBot="1" x14ac:dyDescent="0.3">
      <c r="A9793" s="85" t="s">
        <v>40</v>
      </c>
      <c r="B9793" s="2">
        <v>44300</v>
      </c>
      <c r="C9793" s="1">
        <v>721</v>
      </c>
      <c r="D9793" s="214">
        <f t="shared" si="835"/>
        <v>95353</v>
      </c>
      <c r="E9793" s="1">
        <v>20</v>
      </c>
      <c r="F9793" s="214">
        <f t="shared" si="834"/>
        <v>1557</v>
      </c>
      <c r="G9793" s="215">
        <f>SUM(C9793,C9769,C9745,C9721,C9697,C9673,C9649,C9625,C9601,C9577,C9553,C9529,C9505,C9481)/POBLA!$B$24*100000</f>
        <v>442.62670418067148</v>
      </c>
      <c r="H9793" s="255">
        <f t="shared" si="836"/>
        <v>1.5361458120008191</v>
      </c>
    </row>
    <row r="9794" spans="1:8" x14ac:dyDescent="0.25">
      <c r="A9794" s="122" t="s">
        <v>16</v>
      </c>
      <c r="B9794" s="2">
        <v>44301</v>
      </c>
      <c r="C9794" s="347">
        <v>12891</v>
      </c>
      <c r="D9794" s="348">
        <f t="shared" si="835"/>
        <v>1130148</v>
      </c>
      <c r="E9794" s="1">
        <v>271</v>
      </c>
      <c r="F9794" s="348">
        <f t="shared" ref="F9794:F9817" si="837">E9794+F9770</f>
        <v>30093</v>
      </c>
      <c r="G9794" s="349">
        <f>SUM(C9794,C9770,C9746,C9722,C9698,C9674,C9650,C9626,C9602,C9578,C9554,C9530,C9506,C9482)/POBLA!$B$1*100000</f>
        <v>772.43549892221949</v>
      </c>
      <c r="H9794" s="350">
        <f t="shared" si="836"/>
        <v>2.1236305502876038</v>
      </c>
    </row>
    <row r="9795" spans="1:8" x14ac:dyDescent="0.25">
      <c r="A9795" s="84" t="s">
        <v>43</v>
      </c>
      <c r="B9795" s="2">
        <v>44301</v>
      </c>
      <c r="C9795" s="347">
        <v>2843</v>
      </c>
      <c r="D9795" s="47">
        <f t="shared" si="835"/>
        <v>297569</v>
      </c>
      <c r="E9795" s="1">
        <v>24</v>
      </c>
      <c r="F9795" s="47">
        <f t="shared" si="837"/>
        <v>7177</v>
      </c>
      <c r="G9795" s="203">
        <f>SUM(C9795,C9771,C9747,C9723,C9699,C9675,C9651,C9627,C9603,C9579,C9555,C9531,C9507,C9483)/POBLA!$B$2*100000</f>
        <v>1126.9177272026755</v>
      </c>
      <c r="H9795" s="254">
        <f t="shared" si="836"/>
        <v>2.0322486074464967</v>
      </c>
    </row>
    <row r="9796" spans="1:8" x14ac:dyDescent="0.25">
      <c r="A9796" s="84" t="s">
        <v>28</v>
      </c>
      <c r="B9796" s="2">
        <v>44301</v>
      </c>
      <c r="C9796" s="347">
        <v>163</v>
      </c>
      <c r="D9796" s="47">
        <f t="shared" si="835"/>
        <v>12348</v>
      </c>
      <c r="F9796" s="47">
        <f t="shared" si="837"/>
        <v>18</v>
      </c>
      <c r="G9796" s="203">
        <f>SUM(C9796,C9772,C9748,C9724,C9700,C9676,C9652,C9628,C9604,C9580,C9556,C9532,C9508,C9484)/POBLA!$B$3*100000</f>
        <v>437.61042562307733</v>
      </c>
      <c r="H9796" s="254">
        <f t="shared" si="836"/>
        <v>1.6974789915966386</v>
      </c>
    </row>
    <row r="9797" spans="1:8" x14ac:dyDescent="0.25">
      <c r="A9797" s="84" t="s">
        <v>15</v>
      </c>
      <c r="B9797" s="2">
        <v>44301</v>
      </c>
      <c r="C9797" s="347">
        <v>347</v>
      </c>
      <c r="D9797" s="47">
        <f t="shared" si="835"/>
        <v>41425</v>
      </c>
      <c r="E9797" s="1">
        <v>3</v>
      </c>
      <c r="F9797" s="47">
        <f t="shared" si="837"/>
        <v>981</v>
      </c>
      <c r="G9797" s="203">
        <f>SUM(C9797,C9773,C9749,C9725,C9701,C9677,C9653,C9629,C9605,C9581,C9557,C9533,C9509,C9485)/POBLA!$B$4*100000</f>
        <v>228.55178860661448</v>
      </c>
      <c r="H9797" s="254">
        <f t="shared" si="836"/>
        <v>1.2710064635272391</v>
      </c>
    </row>
    <row r="9798" spans="1:8" x14ac:dyDescent="0.25">
      <c r="A9798" s="84" t="s">
        <v>29</v>
      </c>
      <c r="B9798" s="2">
        <v>44301</v>
      </c>
      <c r="C9798" s="347">
        <v>185</v>
      </c>
      <c r="D9798" s="47">
        <f t="shared" si="835"/>
        <v>52173</v>
      </c>
      <c r="F9798" s="47">
        <f t="shared" si="837"/>
        <v>881</v>
      </c>
      <c r="G9798" s="203">
        <f>SUM(C9798,C9774,C9750,C9726,C9702,C9678,C9654,C9630,C9606,C9582,C9558,C9534,C9510,C9486)/POBLA!$B$5*100000</f>
        <v>314.86573375509295</v>
      </c>
      <c r="H9798" s="254">
        <f t="shared" si="836"/>
        <v>1.1769323671497585</v>
      </c>
    </row>
    <row r="9799" spans="1:8" x14ac:dyDescent="0.25">
      <c r="A9799" s="84" t="s">
        <v>30</v>
      </c>
      <c r="B9799" s="2">
        <v>44301</v>
      </c>
      <c r="C9799" s="347">
        <v>167</v>
      </c>
      <c r="D9799" s="47">
        <f t="shared" si="835"/>
        <v>34074</v>
      </c>
      <c r="E9799" s="1">
        <v>10</v>
      </c>
      <c r="F9799" s="47">
        <f t="shared" si="837"/>
        <v>381</v>
      </c>
      <c r="G9799" s="203">
        <f>SUM(C9799,C9775,C9751,C9727,C9703,C9679,C9655,C9631,C9607,C9583,C9559,C9535,C9511,C9487)/POBLA!$B$6*100000</f>
        <v>320.84196927019161</v>
      </c>
      <c r="H9799" s="254">
        <f t="shared" si="836"/>
        <v>0.76526920621408812</v>
      </c>
    </row>
    <row r="9800" spans="1:8" x14ac:dyDescent="0.25">
      <c r="A9800" s="84" t="s">
        <v>20</v>
      </c>
      <c r="B9800" s="2">
        <v>44301</v>
      </c>
      <c r="C9800" s="347">
        <v>1605</v>
      </c>
      <c r="D9800" s="47">
        <f t="shared" si="835"/>
        <v>202241</v>
      </c>
      <c r="E9800" s="1">
        <v>18</v>
      </c>
      <c r="F9800" s="47">
        <f t="shared" si="837"/>
        <v>3162</v>
      </c>
      <c r="G9800" s="203">
        <f>SUM(C9800,C9776,C9752,C9728,C9704,C9680,C9656,C9632,C9608,C9584,C9560,C9536,C9512,C9488)/POBLA!$B$7*100000</f>
        <v>542.86056190083627</v>
      </c>
      <c r="H9800" s="254">
        <f t="shared" si="836"/>
        <v>1.8120007101011895</v>
      </c>
    </row>
    <row r="9801" spans="1:8" x14ac:dyDescent="0.25">
      <c r="A9801" s="84" t="s">
        <v>31</v>
      </c>
      <c r="B9801" s="2">
        <v>44301</v>
      </c>
      <c r="C9801" s="347">
        <v>524</v>
      </c>
      <c r="D9801" s="47">
        <f t="shared" si="835"/>
        <v>55071</v>
      </c>
      <c r="E9801" s="1">
        <v>6</v>
      </c>
      <c r="F9801" s="47">
        <f t="shared" si="837"/>
        <v>995</v>
      </c>
      <c r="G9801" s="203">
        <f>SUM(C9801,C9777,C9753,C9729,C9705,C9681,C9657,C9633,C9609,C9585,C9561,C9537,C9513,C9489)/POBLA!$B$8*100000</f>
        <v>353.25669337015978</v>
      </c>
      <c r="H9801" s="254">
        <f t="shared" si="836"/>
        <v>1.9065420560747663</v>
      </c>
    </row>
    <row r="9802" spans="1:8" x14ac:dyDescent="0.25">
      <c r="A9802" s="84" t="s">
        <v>41</v>
      </c>
      <c r="B9802" s="2">
        <v>44301</v>
      </c>
      <c r="C9802" s="347">
        <v>94</v>
      </c>
      <c r="D9802" s="47">
        <f t="shared" si="835"/>
        <v>3319</v>
      </c>
      <c r="E9802" s="1">
        <v>8</v>
      </c>
      <c r="F9802" s="47">
        <f t="shared" si="837"/>
        <v>61</v>
      </c>
      <c r="G9802" s="203">
        <f>SUM(C9802,C9778,C9754,C9730,C9706,C9682,C9658,C9634,C9610,C9586,C9562,C9538,C9514,C9490)/POBLA!$B$9*100000</f>
        <v>169.36745798447768</v>
      </c>
      <c r="H9802" s="254">
        <f t="shared" si="836"/>
        <v>1.6167192429022081</v>
      </c>
    </row>
    <row r="9803" spans="1:8" x14ac:dyDescent="0.25">
      <c r="A9803" s="84" t="s">
        <v>32</v>
      </c>
      <c r="B9803" s="2">
        <v>44301</v>
      </c>
      <c r="C9803" s="347">
        <v>81</v>
      </c>
      <c r="D9803" s="47">
        <f t="shared" si="835"/>
        <v>23359</v>
      </c>
      <c r="F9803" s="47">
        <f t="shared" si="837"/>
        <v>998</v>
      </c>
      <c r="G9803" s="203">
        <f>SUM(C9803,C9779,C9755,C9731,C9707,C9683,C9659,C9635,C9611,C9587,C9563,C9539,C9515,C9491)/POBLA!$B$10*100000</f>
        <v>107.15013082434254</v>
      </c>
      <c r="H9803" s="254">
        <f t="shared" si="836"/>
        <v>1.2846034214618973</v>
      </c>
    </row>
    <row r="9804" spans="1:8" x14ac:dyDescent="0.25">
      <c r="A9804" s="84" t="s">
        <v>33</v>
      </c>
      <c r="B9804" s="2">
        <v>44301</v>
      </c>
      <c r="C9804" s="347">
        <v>207</v>
      </c>
      <c r="D9804" s="47">
        <f t="shared" si="835"/>
        <v>23327</v>
      </c>
      <c r="F9804" s="47">
        <f t="shared" si="837"/>
        <v>333</v>
      </c>
      <c r="G9804" s="203">
        <f>SUM(C9804,C9780,C9756,C9732,C9708,C9684,C9660,C9636,C9612,C9588,C9564,C9540,C9516,C9492)/POBLA!$B$11*100000</f>
        <v>541.81034963786317</v>
      </c>
      <c r="H9804" s="254">
        <f t="shared" si="836"/>
        <v>1.808193668528864</v>
      </c>
    </row>
    <row r="9805" spans="1:8" x14ac:dyDescent="0.25">
      <c r="A9805" s="84" t="s">
        <v>21</v>
      </c>
      <c r="B9805" s="2">
        <v>44301</v>
      </c>
      <c r="C9805" s="347">
        <v>110</v>
      </c>
      <c r="D9805" s="47">
        <f t="shared" si="835"/>
        <v>12289</v>
      </c>
      <c r="F9805" s="47">
        <f t="shared" si="837"/>
        <v>451</v>
      </c>
      <c r="G9805" s="203">
        <f>SUM(C9805,C9781,C9757,C9733,C9709,C9685,C9661,C9637,C9613,C9589,C9565,C9541,C9517,C9493)/POBLA!$B$12*100000</f>
        <v>288.66849117350347</v>
      </c>
      <c r="H9805" s="254">
        <f t="shared" si="836"/>
        <v>2.1313320825515949</v>
      </c>
    </row>
    <row r="9806" spans="1:8" x14ac:dyDescent="0.25">
      <c r="A9806" s="84" t="s">
        <v>17</v>
      </c>
      <c r="B9806" s="2">
        <v>44301</v>
      </c>
      <c r="C9806" s="347">
        <v>1050</v>
      </c>
      <c r="D9806" s="47">
        <f t="shared" si="835"/>
        <v>83664</v>
      </c>
      <c r="E9806" s="1">
        <v>6</v>
      </c>
      <c r="F9806" s="47">
        <f t="shared" si="837"/>
        <v>1623</v>
      </c>
      <c r="G9806" s="203">
        <f>SUM(C9806,C9782,C9758,C9734,C9710,C9686,C9662,C9638,C9614,C9590,C9566,C9542,C9518,C9494)/POBLA!$B$13*100000</f>
        <v>510.91824604665135</v>
      </c>
      <c r="H9806" s="254">
        <f t="shared" si="836"/>
        <v>2.9305475504322764</v>
      </c>
    </row>
    <row r="9807" spans="1:8" x14ac:dyDescent="0.25">
      <c r="A9807" s="84" t="s">
        <v>23</v>
      </c>
      <c r="B9807" s="2">
        <v>44301</v>
      </c>
      <c r="C9807" s="347">
        <v>99</v>
      </c>
      <c r="D9807" s="47">
        <f t="shared" si="835"/>
        <v>13877</v>
      </c>
      <c r="F9807" s="47">
        <f t="shared" si="837"/>
        <v>225</v>
      </c>
      <c r="G9807" s="203">
        <f>SUM(C9807,C9783,C9759,C9735,C9711,C9687,C9663,C9639,C9615,C9591,C9567,C9543,C9519,C9495)/POBLA!$B$14*100000</f>
        <v>136.60573981958211</v>
      </c>
      <c r="H9807" s="254">
        <f t="shared" si="836"/>
        <v>1.0183215130023642</v>
      </c>
    </row>
    <row r="9808" spans="1:8" x14ac:dyDescent="0.25">
      <c r="A9808" s="84" t="s">
        <v>19</v>
      </c>
      <c r="B9808" s="2">
        <v>44301</v>
      </c>
      <c r="C9808" s="347">
        <v>206</v>
      </c>
      <c r="D9808" s="47">
        <f t="shared" si="835"/>
        <v>67288</v>
      </c>
      <c r="E9808" s="1">
        <v>1</v>
      </c>
      <c r="F9808" s="47">
        <f t="shared" si="837"/>
        <v>1027</v>
      </c>
      <c r="G9808" s="203">
        <f>SUM(C9808,C9784,C9760,C9736,C9712,C9688,C9664,C9640,C9616,C9592,C9568,C9544,C9520,C9496)/POBLA!$B$15*100000</f>
        <v>297.71540696054706</v>
      </c>
      <c r="H9808" s="254">
        <f t="shared" si="836"/>
        <v>1.2664958360025624</v>
      </c>
    </row>
    <row r="9809" spans="1:8" x14ac:dyDescent="0.25">
      <c r="A9809" s="84" t="s">
        <v>18</v>
      </c>
      <c r="B9809" s="2">
        <v>44301</v>
      </c>
      <c r="C9809" s="347">
        <v>202</v>
      </c>
      <c r="D9809" s="47">
        <f t="shared" si="835"/>
        <v>57646</v>
      </c>
      <c r="E9809" s="1">
        <v>2</v>
      </c>
      <c r="F9809" s="47">
        <f t="shared" si="837"/>
        <v>1310</v>
      </c>
      <c r="G9809" s="203">
        <f>SUM(C9809,C9785,C9761,C9737,C9713,C9689,C9665,C9641,C9617,C9593,C9569,C9545,C9521,C9497)/POBLA!$B$16*100000</f>
        <v>279.95880204919678</v>
      </c>
      <c r="H9809" s="254">
        <f t="shared" si="836"/>
        <v>1.5760542168674698</v>
      </c>
    </row>
    <row r="9810" spans="1:8" x14ac:dyDescent="0.25">
      <c r="A9810" s="84" t="s">
        <v>34</v>
      </c>
      <c r="B9810" s="2">
        <v>44301</v>
      </c>
      <c r="C9810" s="347">
        <v>268</v>
      </c>
      <c r="D9810" s="47">
        <f t="shared" si="835"/>
        <v>31871</v>
      </c>
      <c r="E9810" s="1">
        <v>3</v>
      </c>
      <c r="F9810" s="47">
        <f t="shared" si="837"/>
        <v>1247</v>
      </c>
      <c r="G9810" s="203">
        <f>SUM(C9810,C9786,C9762,C9738,C9714,C9690,C9666,C9642,C9618,C9594,C9570,C9546,C9522,C9498)/POBLA!$B$17*100000</f>
        <v>164.70127359156191</v>
      </c>
      <c r="H9810" s="254">
        <f t="shared" ref="H9810:H9817" si="838">SUM(C9810,C9786,C9762,C9738,C9714,C9690,C9666,C9642,C9618,C9594,C9570,C9546,C9522,C9498)/SUM(C9474,C9450,C9426,C9402,C9378,C9354,C9330,C9306,C9282,C9258,C9234,C9210,C9186,C9162)</f>
        <v>1.6337047353760445</v>
      </c>
    </row>
    <row r="9811" spans="1:8" x14ac:dyDescent="0.25">
      <c r="A9811" s="84" t="s">
        <v>35</v>
      </c>
      <c r="B9811" s="2">
        <v>44301</v>
      </c>
      <c r="C9811" s="347">
        <v>271</v>
      </c>
      <c r="D9811" s="47">
        <f t="shared" si="835"/>
        <v>19793</v>
      </c>
      <c r="E9811" s="1">
        <v>4</v>
      </c>
      <c r="F9811" s="47">
        <f t="shared" si="837"/>
        <v>238</v>
      </c>
      <c r="G9811" s="203">
        <f>SUM(C9811,C9787,C9763,C9739,C9715,C9691,C9667,C9643,C9619,C9595,C9571,C9547,C9523,C9499)/POBLA!$B$18*100000</f>
        <v>307.21297667613476</v>
      </c>
      <c r="H9811" s="254">
        <f t="shared" si="838"/>
        <v>1.9753086419753085</v>
      </c>
    </row>
    <row r="9812" spans="1:8" x14ac:dyDescent="0.25">
      <c r="A9812" s="84" t="s">
        <v>36</v>
      </c>
      <c r="B9812" s="2">
        <v>44301</v>
      </c>
      <c r="C9812" s="347">
        <v>433</v>
      </c>
      <c r="D9812" s="47">
        <f t="shared" si="835"/>
        <v>28349</v>
      </c>
      <c r="E9812" s="1">
        <v>1</v>
      </c>
      <c r="F9812" s="47">
        <f t="shared" si="837"/>
        <v>448</v>
      </c>
      <c r="G9812" s="203">
        <f>SUM(C9812,C9788,C9764,C9740,C9716,C9692,C9668,C9644,C9620,C9596,C9572,C9548,C9524,C9500)/POBLA!$B$19*100000</f>
        <v>1042.6338899293369</v>
      </c>
      <c r="H9812" s="254">
        <f t="shared" si="838"/>
        <v>3.5029742233972239</v>
      </c>
    </row>
    <row r="9813" spans="1:8" x14ac:dyDescent="0.25">
      <c r="A9813" s="84" t="s">
        <v>37</v>
      </c>
      <c r="B9813" s="2">
        <v>44301</v>
      </c>
      <c r="C9813" s="347">
        <v>189</v>
      </c>
      <c r="D9813" s="47">
        <f t="shared" si="835"/>
        <v>41784</v>
      </c>
      <c r="E9813" s="1">
        <v>2</v>
      </c>
      <c r="F9813" s="47">
        <f t="shared" si="837"/>
        <v>674</v>
      </c>
      <c r="G9813" s="203">
        <f>SUM(C9813,C9789,C9765,C9741,C9717,C9693,C9669,C9645,C9621,C9597,C9573,C9549,C9525,C9501)/POBLA!$B$20*100000</f>
        <v>601.86273920010501</v>
      </c>
      <c r="H9813" s="254">
        <f t="shared" si="838"/>
        <v>1.278164924506388</v>
      </c>
    </row>
    <row r="9814" spans="1:8" x14ac:dyDescent="0.25">
      <c r="A9814" s="84" t="s">
        <v>22</v>
      </c>
      <c r="B9814" s="2">
        <v>44301</v>
      </c>
      <c r="C9814" s="347">
        <v>2012</v>
      </c>
      <c r="D9814" s="47">
        <f t="shared" si="835"/>
        <v>248653</v>
      </c>
      <c r="E9814" s="1">
        <v>14</v>
      </c>
      <c r="F9814" s="47">
        <f t="shared" si="837"/>
        <v>4388</v>
      </c>
      <c r="G9814" s="203">
        <f>SUM(C9814,C9790,C9766,C9742,C9718,C9694,C9670,C9646,C9622,C9598,C9574,C9550,C9526,C9502)/POBLA!$B$21*100000</f>
        <v>456.30918064550059</v>
      </c>
      <c r="H9814" s="254">
        <f t="shared" si="838"/>
        <v>1.9669673330082886</v>
      </c>
    </row>
    <row r="9815" spans="1:8" x14ac:dyDescent="0.25">
      <c r="A9815" s="84" t="s">
        <v>38</v>
      </c>
      <c r="B9815" s="2">
        <v>44301</v>
      </c>
      <c r="C9815" s="347">
        <v>201</v>
      </c>
      <c r="D9815" s="47">
        <f t="shared" si="835"/>
        <v>27507</v>
      </c>
      <c r="F9815" s="47">
        <f t="shared" si="837"/>
        <v>312</v>
      </c>
      <c r="G9815" s="203">
        <f>SUM(C9815,C9791,C9767,C9743,C9719,C9695,C9671,C9647,C9623,C9599,C9575,C9551,C9527,C9503)/POBLA!$B$22*100000</f>
        <v>225.49020609968383</v>
      </c>
      <c r="H9815" s="254">
        <f t="shared" si="838"/>
        <v>1.494579945799458</v>
      </c>
    </row>
    <row r="9816" spans="1:8" x14ac:dyDescent="0.25">
      <c r="A9816" s="84" t="s">
        <v>39</v>
      </c>
      <c r="B9816" s="2">
        <v>44301</v>
      </c>
      <c r="C9816" s="347">
        <v>54</v>
      </c>
      <c r="D9816" s="47">
        <f t="shared" si="835"/>
        <v>25231</v>
      </c>
      <c r="E9816" s="1">
        <v>2</v>
      </c>
      <c r="F9816" s="47">
        <f t="shared" si="837"/>
        <v>374</v>
      </c>
      <c r="G9816" s="203">
        <f>SUM(C9816,C9792,C9768,C9744,C9720,C9696,C9672,C9648,C9624,C9600,C9576,C9552,C9528,C9504)/POBLA!$B$23*100000</f>
        <v>614.14918283096756</v>
      </c>
      <c r="H9816" s="254">
        <f t="shared" si="838"/>
        <v>1.6811145510835914</v>
      </c>
    </row>
    <row r="9817" spans="1:8" ht="15.75" thickBot="1" x14ac:dyDescent="0.3">
      <c r="A9817" s="85" t="s">
        <v>40</v>
      </c>
      <c r="B9817" s="2">
        <v>44301</v>
      </c>
      <c r="C9817" s="347">
        <v>797</v>
      </c>
      <c r="D9817" s="214">
        <f t="shared" si="835"/>
        <v>96150</v>
      </c>
      <c r="E9817" s="1">
        <v>8</v>
      </c>
      <c r="F9817" s="214">
        <f t="shared" si="837"/>
        <v>1565</v>
      </c>
      <c r="G9817" s="215">
        <f>SUM(C9817,C9793,C9769,C9745,C9721,C9697,C9673,C9649,C9625,C9601,C9577,C9553,C9529,C9505)/POBLA!$B$24*100000</f>
        <v>457.79202386797078</v>
      </c>
      <c r="H9817" s="255">
        <f t="shared" si="838"/>
        <v>1.5310834813499112</v>
      </c>
    </row>
  </sheetData>
  <autoFilter ref="A1:H9769" xr:uid="{5FE24857-404C-485B-9226-DFEF87E52CC6}"/>
  <sortState xmlns:xlrd2="http://schemas.microsoft.com/office/spreadsheetml/2017/richdata2" ref="A2:E3889">
    <sortCondition ref="B2:B3889"/>
    <sortCondition ref="A2:A3889"/>
  </sortState>
  <conditionalFormatting sqref="C3893:E3913 C3890:E3891 D3891:D3913">
    <cfRule type="colorScale" priority="16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890:A3913 C3893:E3913 C3890:E3891 D3891:D3913">
    <cfRule type="colorScale" priority="1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93:C3913 C3890:C3891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90:D3913"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893:E3913 E3890:E3891"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14:A3937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38:A3961">
    <cfRule type="colorScale" priority="1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62:A3985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86:A4009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15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86:D4009">
    <cfRule type="colorScale" priority="1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15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62:D3985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15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38:D3961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15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14:D3937">
    <cfRule type="colorScale" priority="1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10:A4033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15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10:D4033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1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34:A4057">
    <cfRule type="colorScale" priority="1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15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34:D4057">
    <cfRule type="colorScale" priority="1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1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58:A4081"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15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58:D4081">
    <cfRule type="colorScale" priority="1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82:A4105">
    <cfRule type="colorScale" priority="1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15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82:D4105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1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82:C4105">
    <cfRule type="colorScale" priority="1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06:A4129"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15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06:D4129">
    <cfRule type="colorScale" priority="1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1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30:A4153">
    <cfRule type="colorScale" priority="1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15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30:D4153">
    <cfRule type="colorScale" priority="1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1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54:A4177">
    <cfRule type="colorScale" priority="1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15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54:D4177">
    <cfRule type="colorScale" priority="1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1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78:A4201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15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78:D4201">
    <cfRule type="colorScale" priority="1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02:A4225">
    <cfRule type="colorScale" priority="1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15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02:D4225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1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26:A4249">
    <cfRule type="colorScale" priority="1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15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26:D4249">
    <cfRule type="colorScale" priority="1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1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50:A4273"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15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50:D4273">
    <cfRule type="colorScale" priority="1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74:A4297">
    <cfRule type="colorScale" priority="1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15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74:D4297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1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98:A4321">
    <cfRule type="colorScale" priority="1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15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98:D4321">
    <cfRule type="colorScale" priority="1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1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22:A4345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15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22:D4345">
    <cfRule type="colorScale" priority="1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46:A4369">
    <cfRule type="colorScale" priority="1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15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46:D4369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1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70:A4393">
    <cfRule type="colorScale" priority="1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15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70:D4393">
    <cfRule type="colorScale" priority="1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1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94:A4417">
    <cfRule type="colorScale" priority="1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15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94:D4417">
    <cfRule type="colorScale" priority="1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18:A4441">
    <cfRule type="colorScale" priority="1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14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18:D4441">
    <cfRule type="colorScale" priority="1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1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42:A4465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14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42:D4465">
    <cfRule type="colorScale" priority="1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1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66:A4489">
    <cfRule type="colorScale" priority="1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14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66:D4489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1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90:A4513">
    <cfRule type="colorScale" priority="1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14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90:D4513">
    <cfRule type="colorScale" priority="1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1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14:A4537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14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14:D4537">
    <cfRule type="colorScale" priority="1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38:A4561">
    <cfRule type="colorScale" priority="1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14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38:D4561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1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62:A4585">
    <cfRule type="colorScale" priority="1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14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62:D4585">
    <cfRule type="colorScale" priority="1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1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54:E1354">
    <cfRule type="colorScale" priority="14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5:E3889 B2:E1353">
    <cfRule type="colorScale" priority="16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4">
    <cfRule type="colorScale" priority="14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4563:F4569 F4571:F4578 F4580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86:A4609">
    <cfRule type="colorScale" priority="1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86:C4609">
    <cfRule type="colorScale" priority="1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13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86:D4609">
    <cfRule type="colorScale" priority="1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1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87:F4593 F4595:F4602 F4604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10:A4633">
    <cfRule type="colorScale" priority="1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13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10:D4633">
    <cfRule type="colorScale" priority="1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1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11:F4617 F4619:F4626 F4628 F4631:F4632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34:A4657">
    <cfRule type="colorScale" priority="1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13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34:D4657">
    <cfRule type="colorScale" priority="1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1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5:F4641 F4643:F4650 F4652 F4655:F4656">
    <cfRule type="colorScale" priority="1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4:F4657">
    <cfRule type="colorScale" priority="1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34:E4657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10:E4633">
    <cfRule type="colorScale" priority="1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D4633">
    <cfRule type="colorScale" priority="1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C4633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58:A4681">
    <cfRule type="colorScale" priority="1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3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58:D4681">
    <cfRule type="colorScale" priority="1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9:F4665 F4667:F4674 F4676 F4679:F4680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8:F4681">
    <cfRule type="colorScale" priority="1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82:A4705">
    <cfRule type="colorScale" priority="1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3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82:D4705">
    <cfRule type="colorScale" priority="1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3:F4689 F4691:F4698 F4700 F4703:F4704">
    <cfRule type="colorScale" priority="1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2:F4705">
    <cfRule type="colorScale" priority="1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3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06:D4729">
    <cfRule type="colorScale" priority="1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7:F4713 F4715:F4722 F4724 F4727:F4728">
    <cfRule type="colorScale" priority="1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6:F4729">
    <cfRule type="colorScale" priority="1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3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30:D4753">
    <cfRule type="colorScale" priority="1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1:F4737 F4739:F4746 F4748 F4751:F4752">
    <cfRule type="colorScale" priority="1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0:F4753">
    <cfRule type="colorScale" priority="1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3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54:D4777">
    <cfRule type="colorScale" priority="1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5:F4761 F4763:F4770 F4772 F4775:F4776"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4:F4777">
    <cfRule type="colorScale" priority="1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9:F4785 F4787:F4794 F4796 F4799:F4800">
    <cfRule type="colorScale" priority="1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8:F4801"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3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78:D4801">
    <cfRule type="colorScale" priority="1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3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02:D4825">
    <cfRule type="colorScale" priority="1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3:F4809 F4811:F4818 F4820 F4823:F4824">
    <cfRule type="colorScale" priority="1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2:F4825">
    <cfRule type="colorScale" priority="1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3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26:D4849">
    <cfRule type="colorScale" priority="1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7:F4833 F4835:F4842 F4844 F4847:F4848">
    <cfRule type="colorScale" priority="1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6:F4849">
    <cfRule type="colorScale" priority="1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3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50:D4873">
    <cfRule type="colorScale" priority="1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1:F4857 F4859:F4866 F4868 F4871:F4872">
    <cfRule type="colorScale" priority="1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0:F4873">
    <cfRule type="colorScale" priority="1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3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74:D4897">
    <cfRule type="colorScale" priority="1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5:F4881 F4883:F4890 F4892 F4895:F4896">
    <cfRule type="colorScale" priority="1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4:F4897">
    <cfRule type="colorScale" priority="1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3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98:D4921">
    <cfRule type="colorScale" priority="1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9:F4905 F4907:F4914 F4916 F4919:F4920">
    <cfRule type="colorScale" priority="1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8:F4921">
    <cfRule type="colorScale" priority="1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3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22:D4945">
    <cfRule type="colorScale" priority="1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3:F4929 F4931:F4938 F4940 F4943:F4944">
    <cfRule type="colorScale" priority="1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2:F4945">
    <cfRule type="colorScale" priority="1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3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46:D4969">
    <cfRule type="colorScale" priority="1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7:F4953 F4955:F4962 F4964 F4967:F4968">
    <cfRule type="colorScale" priority="1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6:F4969">
    <cfRule type="colorScale" priority="1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3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70:D4993">
    <cfRule type="colorScale" priority="1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1:F4977 F4979:F4986 F4988 F4991:F4992">
    <cfRule type="colorScale" priority="1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0:F4993">
    <cfRule type="colorScale" priority="1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3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94:D5017">
    <cfRule type="colorScale" priority="1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5:F5001 F5003:F5010 F5012 F5015:F5016">
    <cfRule type="colorScale" priority="1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4:F5017">
    <cfRule type="colorScale" priority="1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3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18:D5041">
    <cfRule type="colorScale" priority="1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9:F5025 F5027:F5034 F5036 F5039:F5040">
    <cfRule type="colorScale" priority="1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8:F5041">
    <cfRule type="colorScale" priority="1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2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42:D5065">
    <cfRule type="colorScale" priority="1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3:F5049 F5051:F5058 F5060 F5063:F5064">
    <cfRule type="colorScale" priority="1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2:F5065">
    <cfRule type="colorScale" priority="1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2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66:D5089">
    <cfRule type="colorScale" priority="1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7:F5073 F5075:F5082 F5084 F5087:F5088">
    <cfRule type="colorScale" priority="1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6:F5089">
    <cfRule type="colorScale" priority="1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2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90:D5113">
    <cfRule type="colorScale" priority="1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1:F5097 F5099:F5106 F5108 F5111:F5112">
    <cfRule type="colorScale" priority="1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0:F5113">
    <cfRule type="colorScale" priority="1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2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14:D5137">
    <cfRule type="colorScale" priority="1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5:F5121 F5123:F5130 F5132 F5135:F5136">
    <cfRule type="colorScale" priority="1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4:F5137">
    <cfRule type="colorScale" priority="1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2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38:D5161">
    <cfRule type="colorScale" priority="1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9:F5145 F5147:F5154 F5156 F5159:F5160">
    <cfRule type="colorScale" priority="1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8:F5161">
    <cfRule type="colorScale" priority="1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2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62:D5185">
    <cfRule type="colorScale" priority="1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3:F5169 F5171:F5178 F5180 F5183:F5184">
    <cfRule type="colorScale" priority="1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2:F5185">
    <cfRule type="colorScale" priority="1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2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86:D5209">
    <cfRule type="colorScale" priority="1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7:F5193 F5195:F5202 F5204 F5207:F5208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6:F5209">
    <cfRule type="colorScale" priority="1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2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10:D5233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1:F5217 F5219:F5226 F5228 F5231:F5232">
    <cfRule type="colorScale" priority="1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0:F5233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2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34:D5257">
    <cfRule type="colorScale" priority="1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5:F5241 F5243:F5250 F5252 F5255:F5256">
    <cfRule type="colorScale" priority="1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4:F5257">
    <cfRule type="colorScale" priority="1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2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58:D5281">
    <cfRule type="colorScale" priority="1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9:F5265 F5267:F5274 F5276 F5279:F5280">
    <cfRule type="colorScale" priority="1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8:F5281">
    <cfRule type="colorScale" priority="1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2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82:D5305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3:F5289 F5291:F5298 F5300 F5303:F5304">
    <cfRule type="colorScale" priority="1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2:F5305">
    <cfRule type="colorScale" priority="1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82:C5305">
    <cfRule type="colorScale" priority="1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2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06:D5329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7:F5313 F5315:F5322 F5324 F5327:F5328">
    <cfRule type="colorScale" priority="1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6:F5329">
    <cfRule type="colorScale" priority="1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2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30:D5353">
    <cfRule type="colorScale" priority="1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1:F5337 F5339:F5346 F5348 F5351:F5352">
    <cfRule type="colorScale" priority="1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0:F5353">
    <cfRule type="colorScale" priority="1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2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54:D5377">
    <cfRule type="colorScale" priority="1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5:F5361 F5363:F5370 F5372 F5375:F5376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4:F5377">
    <cfRule type="colorScale" priority="1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2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78:D5401">
    <cfRule type="colorScale" priority="1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9:F5385 F5387:F5394 F5396 F5399:F5400">
    <cfRule type="colorScale" priority="1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8:F5401">
    <cfRule type="colorScale" priority="1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2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02:D5425">
    <cfRule type="colorScale" priority="1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3:F5409 F5411:F5418 F5420 F5423:F5424">
    <cfRule type="colorScale" priority="1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2:F5425">
    <cfRule type="colorScale" priority="1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2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26:D5449">
    <cfRule type="colorScale" priority="1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7:F5433 F5435:F5442 F5444 F5447:F5448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6:F5449">
    <cfRule type="colorScale" priority="1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2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50:D5473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1:F5457 F5459:F5466 F5468 F5471:F5472">
    <cfRule type="colorScale" priority="1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0:F5473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5:F5481 F5483:F5490 F5492 F5495:F5496">
    <cfRule type="colorScale" priority="1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4:F5497">
    <cfRule type="colorScale" priority="1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9:F5505 F5507:F5514 F5516 F5519:F5520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8:F5521">
    <cfRule type="colorScale" priority="1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22:F5545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46:F5569">
    <cfRule type="colorScale" priority="1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690:E5713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714:E5737">
    <cfRule type="colorScale" priority="1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38:D5761">
    <cfRule type="colorScale" priority="1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14:D5737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90:D5713">
    <cfRule type="colorScale" priority="1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66:D5689">
    <cfRule type="colorScale" priority="1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42:D5665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18:D5641">
    <cfRule type="colorScale" priority="1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94:D5617">
    <cfRule type="colorScale" priority="1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70:D5593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46:D5569">
    <cfRule type="colorScale" priority="1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22:D5545">
    <cfRule type="colorScale" priority="1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98:D5521">
    <cfRule type="colorScale" priority="1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74:D5497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62:D5785">
    <cfRule type="colorScale" priority="1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86:D5809">
    <cfRule type="colorScale" priority="1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10:D5833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70:F5593">
    <cfRule type="colorScale" priority="1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94:F5617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18:F5641">
    <cfRule type="colorScale" priority="1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42:F5665">
    <cfRule type="colorScale" priority="1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66:F5689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90:F5713">
    <cfRule type="colorScale" priority="1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14:F5737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38:F5761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62:F5785">
    <cfRule type="colorScale" priority="1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86:F5809">
    <cfRule type="colorScale" priority="1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10:F5833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34:D5857">
    <cfRule type="colorScale" priority="1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34:F5857">
    <cfRule type="colorScale" priority="1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58:D5881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58:F5881">
    <cfRule type="colorScale" priority="1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82:D5905">
    <cfRule type="colorScale" priority="1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82:F5905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06:D5929">
    <cfRule type="colorScale" priority="1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06:F5929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30:D5953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30:F5953">
    <cfRule type="colorScale" priority="1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54:D5977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54:F5977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78:D6001">
    <cfRule type="colorScale" priority="1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78:F6001">
    <cfRule type="colorScale" priority="1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02:D6025">
    <cfRule type="colorScale" priority="1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02:F6025">
    <cfRule type="colorScale" priority="1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26:D6049">
    <cfRule type="colorScale" priority="1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26:F6049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50:D6073">
    <cfRule type="colorScale" priority="1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50:F6073">
    <cfRule type="colorScale" priority="1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74:D6097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74:F6097">
    <cfRule type="colorScale" priority="1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98:D6121">
    <cfRule type="colorScale" priority="1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98:F6121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22:D6145">
    <cfRule type="colorScale" priority="1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22:F6145">
    <cfRule type="colorScale" priority="1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46:D6169">
    <cfRule type="colorScale" priority="1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46:F6169">
    <cfRule type="colorScale" priority="1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70:D6193">
    <cfRule type="colorScale" priority="1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70:F6193">
    <cfRule type="colorScale" priority="1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94:D6217">
    <cfRule type="colorScale" priority="1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94:F6217">
    <cfRule type="colorScale" priority="1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18:D6241">
    <cfRule type="colorScale" priority="1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18:F6241">
    <cfRule type="colorScale" priority="1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42:D6265">
    <cfRule type="colorScale" priority="1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42:F6265">
    <cfRule type="colorScale" priority="1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66:D6289">
    <cfRule type="colorScale" priority="1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66:F6289">
    <cfRule type="colorScale" priority="1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90:D6313">
    <cfRule type="colorScale" priority="1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90:F6313">
    <cfRule type="colorScale" priority="1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14:D6337">
    <cfRule type="colorScale" priority="1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14:F6337">
    <cfRule type="colorScale" priority="1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38:D6361">
    <cfRule type="colorScale" priority="1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38:F6361">
    <cfRule type="colorScale" priority="1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62:D6385">
    <cfRule type="colorScale" priority="1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62:F6385">
    <cfRule type="colorScale" priority="1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86:D6409">
    <cfRule type="colorScale" priority="1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86:F6409">
    <cfRule type="colorScale" priority="1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10:D6433">
    <cfRule type="colorScale" priority="1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10:F6433">
    <cfRule type="colorScale" priority="1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34:D6457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34:F6457">
    <cfRule type="colorScale" priority="1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58:D6481">
    <cfRule type="colorScale" priority="1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58:F6481">
    <cfRule type="colorScale" priority="1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82:D6505">
    <cfRule type="colorScale" priority="1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82:F6505">
    <cfRule type="colorScale" priority="1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06:D6529">
    <cfRule type="colorScale" priority="1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06:F6529">
    <cfRule type="colorScale" priority="1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30:D6553">
    <cfRule type="colorScale" priority="1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30:F6553">
    <cfRule type="colorScale" priority="1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54:D6577">
    <cfRule type="colorScale" priority="1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54:F6577">
    <cfRule type="colorScale" priority="1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78:D6601">
    <cfRule type="colorScale" priority="1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78:F6601">
    <cfRule type="colorScale" priority="1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02:D6625">
    <cfRule type="colorScale" priority="1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02:F6625">
    <cfRule type="colorScale" priority="1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26:D6649">
    <cfRule type="colorScale" priority="1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26:F6649">
    <cfRule type="colorScale" priority="1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50:D6673">
    <cfRule type="colorScale" priority="1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50:F6673">
    <cfRule type="colorScale" priority="1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74:D6697">
    <cfRule type="colorScale" priority="1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74:F6697">
    <cfRule type="colorScale" priority="1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98:D6721">
    <cfRule type="colorScale" priority="1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98:F6721"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22:D6745">
    <cfRule type="colorScale" priority="1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22:F6745">
    <cfRule type="colorScale" priority="1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46:D6769">
    <cfRule type="colorScale" priority="1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46:F6769">
    <cfRule type="colorScale" priority="1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70:D6793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70:F6793">
    <cfRule type="colorScale" priority="1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94:D6817">
    <cfRule type="colorScale" priority="1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94:F6817">
    <cfRule type="colorScale" priority="1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18:D6841">
    <cfRule type="colorScale" priority="1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18:F6841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42:D6865">
    <cfRule type="colorScale" priority="1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42:F6865">
    <cfRule type="colorScale" priority="1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66:D6889">
    <cfRule type="colorScale" priority="1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66:F6889">
    <cfRule type="colorScale" priority="1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90:D6913">
    <cfRule type="colorScale" priority="1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90:F6913">
    <cfRule type="colorScale" priority="1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14:D6937">
    <cfRule type="colorScale" priority="1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14:F6937">
    <cfRule type="colorScale" priority="1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38:D6961">
    <cfRule type="colorScale" priority="1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38:F6961">
    <cfRule type="colorScale" priority="1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62:D6985">
    <cfRule type="colorScale" priority="1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62:F6985">
    <cfRule type="colorScale" priority="1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86:D7009">
    <cfRule type="colorScale" priority="1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86:F7009">
    <cfRule type="colorScale" priority="1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10:D7033">
    <cfRule type="colorScale" priority="1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10:F7033">
    <cfRule type="colorScale" priority="1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34:D7057">
    <cfRule type="colorScale" priority="1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34:F7057">
    <cfRule type="colorScale" priority="1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58:D7081">
    <cfRule type="colorScale" priority="1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58:F7081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82:D7105">
    <cfRule type="colorScale" priority="1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82:F7105">
    <cfRule type="colorScale" priority="1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06:D7129">
    <cfRule type="colorScale" priority="1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06:F7129">
    <cfRule type="colorScale" priority="1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30:D7153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30:F7153">
    <cfRule type="colorScale" priority="1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54:D7177">
    <cfRule type="colorScale" priority="1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54:F7177">
    <cfRule type="colorScale" priority="1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78:D7201">
    <cfRule type="colorScale" priority="1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78:F7201">
    <cfRule type="colorScale" priority="1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02:D7225">
    <cfRule type="colorScale" priority="1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02:F7225">
    <cfRule type="colorScale" priority="1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26:D7249">
    <cfRule type="colorScale" priority="1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26:F7249">
    <cfRule type="colorScale" priority="1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50:D7273">
    <cfRule type="colorScale" priority="1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50:F7273">
    <cfRule type="colorScale" priority="1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74:D7297">
    <cfRule type="colorScale" priority="1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74:F7297">
    <cfRule type="colorScale" priority="1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98:D7321">
    <cfRule type="colorScale" priority="1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98:F7321">
    <cfRule type="colorScale" priority="1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22:D7345">
    <cfRule type="colorScale" priority="1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22:F7345">
    <cfRule type="colorScale" priority="1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46:D7369">
    <cfRule type="colorScale" priority="1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46:F7369">
    <cfRule type="colorScale" priority="1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70:D7393">
    <cfRule type="colorScale" priority="1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70:F7393">
    <cfRule type="colorScale" priority="1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94:D7417">
    <cfRule type="colorScale" priority="1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94:F7417">
    <cfRule type="colorScale" priority="1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18:D7441">
    <cfRule type="colorScale" priority="1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18:F7441">
    <cfRule type="colorScale" priority="1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42:D7465">
    <cfRule type="colorScale" priority="1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42:F7465"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66:D7489"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66:F7489">
    <cfRule type="colorScale" priority="1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90:D7513">
    <cfRule type="colorScale" priority="1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90:F7513">
    <cfRule type="colorScale" priority="1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14:D7537">
    <cfRule type="colorScale" priority="1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14:F7537">
    <cfRule type="colorScale" priority="1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38:D7561">
    <cfRule type="colorScale" priority="1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38:F7561">
    <cfRule type="colorScale" priority="1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62:D7585">
    <cfRule type="colorScale" priority="1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62:F7585">
    <cfRule type="colorScale" priority="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86:D7609">
    <cfRule type="colorScale" priority="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86:F7609">
    <cfRule type="colorScale" priority="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10:D7633">
    <cfRule type="colorScale" priority="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10:F7633">
    <cfRule type="colorScale" priority="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34:D7657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34:F7657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58:D7681"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58:F7681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82:D7705">
    <cfRule type="colorScale" priority="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82:F7705">
    <cfRule type="colorScale" priority="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06:D7729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06:F7729"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30:D7753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30:F7753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54:D7777"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54:F7777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78:D7801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78:F7801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02:D7825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02:F7825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26:D7849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26:F7849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50:D7873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50:F7873"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50">
    <cfRule type="cellIs" dxfId="633" priority="971" operator="lessThan">
      <formula>1.2</formula>
    </cfRule>
    <cfRule type="cellIs" dxfId="632" priority="972" operator="greaterThanOrEqual">
      <formula>1.2</formula>
    </cfRule>
  </conditionalFormatting>
  <conditionalFormatting sqref="H7851:H7873">
    <cfRule type="cellIs" dxfId="631" priority="969" operator="lessThan">
      <formula>1.2</formula>
    </cfRule>
    <cfRule type="cellIs" dxfId="630" priority="970" operator="greaterThanOrEqual">
      <formula>1.2</formula>
    </cfRule>
  </conditionalFormatting>
  <conditionalFormatting sqref="D7874:D7897">
    <cfRule type="colorScale" priority="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74:F7897">
    <cfRule type="colorScale" priority="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74">
    <cfRule type="cellIs" dxfId="629" priority="963" operator="lessThan">
      <formula>1.2</formula>
    </cfRule>
    <cfRule type="cellIs" dxfId="628" priority="964" operator="greaterThanOrEqual">
      <formula>1.2</formula>
    </cfRule>
  </conditionalFormatting>
  <conditionalFormatting sqref="H7875:H7897">
    <cfRule type="cellIs" dxfId="627" priority="961" operator="lessThan">
      <formula>1.2</formula>
    </cfRule>
    <cfRule type="cellIs" dxfId="626" priority="962" operator="greaterThanOrEqual">
      <formula>1.2</formula>
    </cfRule>
  </conditionalFormatting>
  <conditionalFormatting sqref="D7898:D7921">
    <cfRule type="colorScale" priority="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98:F7921">
    <cfRule type="colorScale" priority="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22:D7945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22:F7945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46:F7969">
    <cfRule type="colorScale" priority="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46:D7969">
    <cfRule type="colorScale" priority="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70:D7993"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70:F7993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94:D8017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18:D8041"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18:F8041">
    <cfRule type="colorScale" priority="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26">
    <cfRule type="cellIs" dxfId="625" priority="907" operator="lessThan">
      <formula>1.2</formula>
    </cfRule>
    <cfRule type="cellIs" dxfId="624" priority="908" operator="greaterThanOrEqual">
      <formula>1.2</formula>
    </cfRule>
  </conditionalFormatting>
  <conditionalFormatting sqref="H7827:H7849">
    <cfRule type="cellIs" dxfId="623" priority="905" operator="lessThan">
      <formula>1.2</formula>
    </cfRule>
    <cfRule type="cellIs" dxfId="622" priority="906" operator="greaterThanOrEqual">
      <formula>1.2</formula>
    </cfRule>
  </conditionalFormatting>
  <conditionalFormatting sqref="H7802">
    <cfRule type="cellIs" dxfId="621" priority="901" operator="lessThan">
      <formula>1.2</formula>
    </cfRule>
    <cfRule type="cellIs" dxfId="620" priority="902" operator="greaterThanOrEqual">
      <formula>1.2</formula>
    </cfRule>
  </conditionalFormatting>
  <conditionalFormatting sqref="H7803:H7825">
    <cfRule type="cellIs" dxfId="619" priority="899" operator="lessThan">
      <formula>1.2</formula>
    </cfRule>
    <cfRule type="cellIs" dxfId="618" priority="900" operator="greaterThanOrEqual">
      <formula>1.2</formula>
    </cfRule>
  </conditionalFormatting>
  <conditionalFormatting sqref="D8042:D8065"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42:F8065">
    <cfRule type="colorScale" priority="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66:D8089"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66:F8089">
    <cfRule type="colorScale" priority="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90:D8113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90:F8113">
    <cfRule type="colorScale" priority="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94:F8017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14:D8137">
    <cfRule type="colorScale" priority="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14:F8137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99:H7921">
    <cfRule type="cellIs" dxfId="617" priority="813" operator="lessThan">
      <formula>1.2</formula>
    </cfRule>
    <cfRule type="cellIs" dxfId="616" priority="814" operator="greaterThanOrEqual">
      <formula>1.2</formula>
    </cfRule>
  </conditionalFormatting>
  <conditionalFormatting sqref="H7898">
    <cfRule type="cellIs" dxfId="615" priority="815" operator="lessThan">
      <formula>1.2</formula>
    </cfRule>
    <cfRule type="cellIs" dxfId="614" priority="816" operator="greaterThanOrEqual">
      <formula>1.2</formula>
    </cfRule>
  </conditionalFormatting>
  <conditionalFormatting sqref="D8138:D8161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38:F8161"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62:D8185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62:F8185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86:D8209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86:F8209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10:D8233"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10:F8233"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34:D8257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34:F8257"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58:D8281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58:F8281"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82:D8305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82:F8305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06:D8329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06:F8329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30:D8353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30:F8353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54:D8377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54:F8377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78:D8401"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402:D8425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78:F8401"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3:H8425">
    <cfRule type="cellIs" dxfId="613" priority="717" operator="lessThan">
      <formula>1.2</formula>
    </cfRule>
    <cfRule type="cellIs" dxfId="612" priority="718" operator="greaterThanOrEqual">
      <formula>1.2</formula>
    </cfRule>
  </conditionalFormatting>
  <conditionalFormatting sqref="F8402:F8425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2">
    <cfRule type="cellIs" dxfId="611" priority="719" operator="lessThan">
      <formula>1.2</formula>
    </cfRule>
    <cfRule type="cellIs" dxfId="610" priority="720" operator="greaterThanOrEqual">
      <formula>1.2</formula>
    </cfRule>
  </conditionalFormatting>
  <conditionalFormatting sqref="H8379:H8401">
    <cfRule type="cellIs" dxfId="609" priority="711" operator="lessThan">
      <formula>1.2</formula>
    </cfRule>
    <cfRule type="cellIs" dxfId="608" priority="712" operator="greaterThanOrEqual">
      <formula>1.2</formula>
    </cfRule>
  </conditionalFormatting>
  <conditionalFormatting sqref="H8378">
    <cfRule type="cellIs" dxfId="607" priority="713" operator="lessThan">
      <formula>1.2</formula>
    </cfRule>
    <cfRule type="cellIs" dxfId="606" priority="714" operator="greaterThanOrEqual">
      <formula>1.2</formula>
    </cfRule>
  </conditionalFormatting>
  <conditionalFormatting sqref="H8355:H8377">
    <cfRule type="cellIs" dxfId="605" priority="705" operator="lessThan">
      <formula>1.2</formula>
    </cfRule>
    <cfRule type="cellIs" dxfId="604" priority="706" operator="greaterThanOrEqual">
      <formula>1.2</formula>
    </cfRule>
  </conditionalFormatting>
  <conditionalFormatting sqref="H8354">
    <cfRule type="cellIs" dxfId="603" priority="707" operator="lessThan">
      <formula>1.2</formula>
    </cfRule>
    <cfRule type="cellIs" dxfId="602" priority="708" operator="greaterThanOrEqual">
      <formula>1.2</formula>
    </cfRule>
  </conditionalFormatting>
  <conditionalFormatting sqref="H8331:H8353">
    <cfRule type="cellIs" dxfId="601" priority="699" operator="lessThan">
      <formula>1.2</formula>
    </cfRule>
    <cfRule type="cellIs" dxfId="600" priority="700" operator="greaterThanOrEqual">
      <formula>1.2</formula>
    </cfRule>
  </conditionalFormatting>
  <conditionalFormatting sqref="H8330">
    <cfRule type="cellIs" dxfId="599" priority="701" operator="lessThan">
      <formula>1.2</formula>
    </cfRule>
    <cfRule type="cellIs" dxfId="598" priority="702" operator="greaterThanOrEqual">
      <formula>1.2</formula>
    </cfRule>
  </conditionalFormatting>
  <conditionalFormatting sqref="H8307:H8329">
    <cfRule type="cellIs" dxfId="597" priority="693" operator="lessThan">
      <formula>1.2</formula>
    </cfRule>
    <cfRule type="cellIs" dxfId="596" priority="694" operator="greaterThanOrEqual">
      <formula>1.2</formula>
    </cfRule>
  </conditionalFormatting>
  <conditionalFormatting sqref="H8306">
    <cfRule type="cellIs" dxfId="595" priority="695" operator="lessThan">
      <formula>1.2</formula>
    </cfRule>
    <cfRule type="cellIs" dxfId="594" priority="696" operator="greaterThanOrEqual">
      <formula>1.2</formula>
    </cfRule>
  </conditionalFormatting>
  <conditionalFormatting sqref="H8283:H8305">
    <cfRule type="cellIs" dxfId="593" priority="687" operator="lessThan">
      <formula>1.2</formula>
    </cfRule>
    <cfRule type="cellIs" dxfId="592" priority="688" operator="greaterThanOrEqual">
      <formula>1.2</formula>
    </cfRule>
  </conditionalFormatting>
  <conditionalFormatting sqref="H8282">
    <cfRule type="cellIs" dxfId="591" priority="689" operator="lessThan">
      <formula>1.2</formula>
    </cfRule>
    <cfRule type="cellIs" dxfId="590" priority="690" operator="greaterThanOrEqual">
      <formula>1.2</formula>
    </cfRule>
  </conditionalFormatting>
  <conditionalFormatting sqref="H8259:H8281">
    <cfRule type="cellIs" dxfId="589" priority="681" operator="lessThan">
      <formula>1.2</formula>
    </cfRule>
    <cfRule type="cellIs" dxfId="588" priority="682" operator="greaterThanOrEqual">
      <formula>1.2</formula>
    </cfRule>
  </conditionalFormatting>
  <conditionalFormatting sqref="H8258">
    <cfRule type="cellIs" dxfId="587" priority="683" operator="lessThan">
      <formula>1.2</formula>
    </cfRule>
    <cfRule type="cellIs" dxfId="586" priority="684" operator="greaterThanOrEqual">
      <formula>1.2</formula>
    </cfRule>
  </conditionalFormatting>
  <conditionalFormatting sqref="H8235:H8257">
    <cfRule type="cellIs" dxfId="585" priority="675" operator="lessThan">
      <formula>1.2</formula>
    </cfRule>
    <cfRule type="cellIs" dxfId="584" priority="676" operator="greaterThanOrEqual">
      <formula>1.2</formula>
    </cfRule>
  </conditionalFormatting>
  <conditionalFormatting sqref="H8234">
    <cfRule type="cellIs" dxfId="583" priority="677" operator="lessThan">
      <formula>1.2</formula>
    </cfRule>
    <cfRule type="cellIs" dxfId="582" priority="678" operator="greaterThanOrEqual">
      <formula>1.2</formula>
    </cfRule>
  </conditionalFormatting>
  <conditionalFormatting sqref="H8211:H8233">
    <cfRule type="cellIs" dxfId="581" priority="669" operator="lessThan">
      <formula>1.2</formula>
    </cfRule>
    <cfRule type="cellIs" dxfId="580" priority="670" operator="greaterThanOrEqual">
      <formula>1.2</formula>
    </cfRule>
  </conditionalFormatting>
  <conditionalFormatting sqref="H8210">
    <cfRule type="cellIs" dxfId="579" priority="671" operator="lessThan">
      <formula>1.2</formula>
    </cfRule>
    <cfRule type="cellIs" dxfId="578" priority="672" operator="greaterThanOrEqual">
      <formula>1.2</formula>
    </cfRule>
  </conditionalFormatting>
  <conditionalFormatting sqref="H8187:H8209">
    <cfRule type="cellIs" dxfId="577" priority="663" operator="lessThan">
      <formula>1.2</formula>
    </cfRule>
    <cfRule type="cellIs" dxfId="576" priority="664" operator="greaterThanOrEqual">
      <formula>1.2</formula>
    </cfRule>
  </conditionalFormatting>
  <conditionalFormatting sqref="H8186">
    <cfRule type="cellIs" dxfId="575" priority="665" operator="lessThan">
      <formula>1.2</formula>
    </cfRule>
    <cfRule type="cellIs" dxfId="574" priority="666" operator="greaterThanOrEqual">
      <formula>1.2</formula>
    </cfRule>
  </conditionalFormatting>
  <conditionalFormatting sqref="H8163:H8185">
    <cfRule type="cellIs" dxfId="573" priority="657" operator="lessThan">
      <formula>1.2</formula>
    </cfRule>
    <cfRule type="cellIs" dxfId="572" priority="658" operator="greaterThanOrEqual">
      <formula>1.2</formula>
    </cfRule>
  </conditionalFormatting>
  <conditionalFormatting sqref="H8162">
    <cfRule type="cellIs" dxfId="571" priority="659" operator="lessThan">
      <formula>1.2</formula>
    </cfRule>
    <cfRule type="cellIs" dxfId="570" priority="660" operator="greaterThanOrEqual">
      <formula>1.2</formula>
    </cfRule>
  </conditionalFormatting>
  <conditionalFormatting sqref="H8139:H8161">
    <cfRule type="cellIs" dxfId="569" priority="651" operator="lessThan">
      <formula>1.2</formula>
    </cfRule>
    <cfRule type="cellIs" dxfId="568" priority="652" operator="greaterThanOrEqual">
      <formula>1.2</formula>
    </cfRule>
  </conditionalFormatting>
  <conditionalFormatting sqref="H8138">
    <cfRule type="cellIs" dxfId="567" priority="653" operator="lessThan">
      <formula>1.2</formula>
    </cfRule>
    <cfRule type="cellIs" dxfId="566" priority="654" operator="greaterThanOrEqual">
      <formula>1.2</formula>
    </cfRule>
  </conditionalFormatting>
  <conditionalFormatting sqref="H8115:H8137">
    <cfRule type="cellIs" dxfId="565" priority="645" operator="lessThan">
      <formula>1.2</formula>
    </cfRule>
    <cfRule type="cellIs" dxfId="564" priority="646" operator="greaterThanOrEqual">
      <formula>1.2</formula>
    </cfRule>
  </conditionalFormatting>
  <conditionalFormatting sqref="H8114">
    <cfRule type="cellIs" dxfId="563" priority="647" operator="lessThan">
      <formula>1.2</formula>
    </cfRule>
    <cfRule type="cellIs" dxfId="562" priority="648" operator="greaterThanOrEqual">
      <formula>1.2</formula>
    </cfRule>
  </conditionalFormatting>
  <conditionalFormatting sqref="H8091:H8113">
    <cfRule type="cellIs" dxfId="561" priority="639" operator="lessThan">
      <formula>1.2</formula>
    </cfRule>
    <cfRule type="cellIs" dxfId="560" priority="640" operator="greaterThanOrEqual">
      <formula>1.2</formula>
    </cfRule>
  </conditionalFormatting>
  <conditionalFormatting sqref="H8090">
    <cfRule type="cellIs" dxfId="559" priority="641" operator="lessThan">
      <formula>1.2</formula>
    </cfRule>
    <cfRule type="cellIs" dxfId="558" priority="642" operator="greaterThanOrEqual">
      <formula>1.2</formula>
    </cfRule>
  </conditionalFormatting>
  <conditionalFormatting sqref="H8067:H8089">
    <cfRule type="cellIs" dxfId="557" priority="633" operator="lessThan">
      <formula>1.2</formula>
    </cfRule>
    <cfRule type="cellIs" dxfId="556" priority="634" operator="greaterThanOrEqual">
      <formula>1.2</formula>
    </cfRule>
  </conditionalFormatting>
  <conditionalFormatting sqref="H8066">
    <cfRule type="cellIs" dxfId="555" priority="635" operator="lessThan">
      <formula>1.2</formula>
    </cfRule>
    <cfRule type="cellIs" dxfId="554" priority="636" operator="greaterThanOrEqual">
      <formula>1.2</formula>
    </cfRule>
  </conditionalFormatting>
  <conditionalFormatting sqref="H8043:H8065">
    <cfRule type="cellIs" dxfId="553" priority="627" operator="lessThan">
      <formula>1.2</formula>
    </cfRule>
    <cfRule type="cellIs" dxfId="552" priority="628" operator="greaterThanOrEqual">
      <formula>1.2</formula>
    </cfRule>
  </conditionalFormatting>
  <conditionalFormatting sqref="H8042">
    <cfRule type="cellIs" dxfId="551" priority="629" operator="lessThan">
      <formula>1.2</formula>
    </cfRule>
    <cfRule type="cellIs" dxfId="550" priority="630" operator="greaterThanOrEqual">
      <formula>1.2</formula>
    </cfRule>
  </conditionalFormatting>
  <conditionalFormatting sqref="H8019:H8041">
    <cfRule type="cellIs" dxfId="549" priority="621" operator="lessThan">
      <formula>1.2</formula>
    </cfRule>
    <cfRule type="cellIs" dxfId="548" priority="622" operator="greaterThanOrEqual">
      <formula>1.2</formula>
    </cfRule>
  </conditionalFormatting>
  <conditionalFormatting sqref="H8018">
    <cfRule type="cellIs" dxfId="547" priority="623" operator="lessThan">
      <formula>1.2</formula>
    </cfRule>
    <cfRule type="cellIs" dxfId="546" priority="624" operator="greaterThanOrEqual">
      <formula>1.2</formula>
    </cfRule>
  </conditionalFormatting>
  <conditionalFormatting sqref="H7995:H8017">
    <cfRule type="cellIs" dxfId="545" priority="615" operator="lessThan">
      <formula>1.2</formula>
    </cfRule>
    <cfRule type="cellIs" dxfId="544" priority="616" operator="greaterThanOrEqual">
      <formula>1.2</formula>
    </cfRule>
  </conditionalFormatting>
  <conditionalFormatting sqref="H7994">
    <cfRule type="cellIs" dxfId="543" priority="617" operator="lessThan">
      <formula>1.2</formula>
    </cfRule>
    <cfRule type="cellIs" dxfId="542" priority="618" operator="greaterThanOrEqual">
      <formula>1.2</formula>
    </cfRule>
  </conditionalFormatting>
  <conditionalFormatting sqref="H7971:H7993">
    <cfRule type="cellIs" dxfId="541" priority="609" operator="lessThan">
      <formula>1.2</formula>
    </cfRule>
    <cfRule type="cellIs" dxfId="540" priority="610" operator="greaterThanOrEqual">
      <formula>1.2</formula>
    </cfRule>
  </conditionalFormatting>
  <conditionalFormatting sqref="H7970">
    <cfRule type="cellIs" dxfId="539" priority="611" operator="lessThan">
      <formula>1.2</formula>
    </cfRule>
    <cfRule type="cellIs" dxfId="538" priority="612" operator="greaterThanOrEqual">
      <formula>1.2</formula>
    </cfRule>
  </conditionalFormatting>
  <conditionalFormatting sqref="H7947:H7969">
    <cfRule type="cellIs" dxfId="537" priority="603" operator="lessThan">
      <formula>1.2</formula>
    </cfRule>
    <cfRule type="cellIs" dxfId="536" priority="604" operator="greaterThanOrEqual">
      <formula>1.2</formula>
    </cfRule>
  </conditionalFormatting>
  <conditionalFormatting sqref="H7946">
    <cfRule type="cellIs" dxfId="535" priority="605" operator="lessThan">
      <formula>1.2</formula>
    </cfRule>
    <cfRule type="cellIs" dxfId="534" priority="606" operator="greaterThanOrEqual">
      <formula>1.2</formula>
    </cfRule>
  </conditionalFormatting>
  <conditionalFormatting sqref="H7923:H7945">
    <cfRule type="cellIs" dxfId="533" priority="597" operator="lessThan">
      <formula>1.2</formula>
    </cfRule>
    <cfRule type="cellIs" dxfId="532" priority="598" operator="greaterThanOrEqual">
      <formula>1.2</formula>
    </cfRule>
  </conditionalFormatting>
  <conditionalFormatting sqref="H7922">
    <cfRule type="cellIs" dxfId="531" priority="599" operator="lessThan">
      <formula>1.2</formula>
    </cfRule>
    <cfRule type="cellIs" dxfId="530" priority="600" operator="greaterThanOrEqual">
      <formula>1.2</formula>
    </cfRule>
  </conditionalFormatting>
  <conditionalFormatting sqref="D8426:D8449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7:H8449">
    <cfRule type="cellIs" dxfId="529" priority="537" operator="lessThan">
      <formula>1.2</formula>
    </cfRule>
    <cfRule type="cellIs" dxfId="528" priority="538" operator="greaterThanOrEqual">
      <formula>1.2</formula>
    </cfRule>
  </conditionalFormatting>
  <conditionalFormatting sqref="F8426:F8449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6">
    <cfRule type="cellIs" dxfId="527" priority="539" operator="lessThan">
      <formula>1.2</formula>
    </cfRule>
    <cfRule type="cellIs" dxfId="526" priority="540" operator="greaterThanOrEqual">
      <formula>1.2</formula>
    </cfRule>
  </conditionalFormatting>
  <conditionalFormatting sqref="D8450:D8473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1:H8473">
    <cfRule type="cellIs" dxfId="525" priority="529" operator="lessThan">
      <formula>1.2</formula>
    </cfRule>
    <cfRule type="cellIs" dxfId="524" priority="530" operator="greaterThanOrEqual">
      <formula>1.2</formula>
    </cfRule>
  </conditionalFormatting>
  <conditionalFormatting sqref="F8450:F8473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0">
    <cfRule type="cellIs" dxfId="523" priority="531" operator="lessThan">
      <formula>1.2</formula>
    </cfRule>
    <cfRule type="cellIs" dxfId="522" priority="532" operator="greaterThanOrEqual">
      <formula>1.2</formula>
    </cfRule>
  </conditionalFormatting>
  <conditionalFormatting sqref="H8547:H8569">
    <cfRule type="cellIs" dxfId="521" priority="497" operator="lessThan">
      <formula>1.2</formula>
    </cfRule>
    <cfRule type="cellIs" dxfId="520" priority="498" operator="greaterThanOrEqual">
      <formula>1.2</formula>
    </cfRule>
  </conditionalFormatting>
  <conditionalFormatting sqref="D8474:D8497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5:H8497">
    <cfRule type="cellIs" dxfId="519" priority="521" operator="lessThan">
      <formula>1.2</formula>
    </cfRule>
    <cfRule type="cellIs" dxfId="518" priority="522" operator="greaterThanOrEqual">
      <formula>1.2</formula>
    </cfRule>
  </conditionalFormatting>
  <conditionalFormatting sqref="F8474:F8497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4">
    <cfRule type="cellIs" dxfId="517" priority="523" operator="lessThan">
      <formula>1.2</formula>
    </cfRule>
    <cfRule type="cellIs" dxfId="516" priority="524" operator="greaterThanOrEqual">
      <formula>1.2</formula>
    </cfRule>
  </conditionalFormatting>
  <conditionalFormatting sqref="D8498:D8521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9:H8521">
    <cfRule type="cellIs" dxfId="515" priority="513" operator="lessThan">
      <formula>1.2</formula>
    </cfRule>
    <cfRule type="cellIs" dxfId="514" priority="514" operator="greaterThanOrEqual">
      <formula>1.2</formula>
    </cfRule>
  </conditionalFormatting>
  <conditionalFormatting sqref="F8498:F8521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8">
    <cfRule type="cellIs" dxfId="513" priority="515" operator="lessThan">
      <formula>1.2</formula>
    </cfRule>
    <cfRule type="cellIs" dxfId="512" priority="516" operator="greaterThanOrEqual">
      <formula>1.2</formula>
    </cfRule>
  </conditionalFormatting>
  <conditionalFormatting sqref="D8522:D8545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3:H8545">
    <cfRule type="cellIs" dxfId="511" priority="505" operator="lessThan">
      <formula>1.2</formula>
    </cfRule>
    <cfRule type="cellIs" dxfId="510" priority="506" operator="greaterThanOrEqual">
      <formula>1.2</formula>
    </cfRule>
  </conditionalFormatting>
  <conditionalFormatting sqref="F8522:F8545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2">
    <cfRule type="cellIs" dxfId="509" priority="507" operator="lessThan">
      <formula>1.2</formula>
    </cfRule>
    <cfRule type="cellIs" dxfId="508" priority="508" operator="greaterThanOrEqual">
      <formula>1.2</formula>
    </cfRule>
  </conditionalFormatting>
  <conditionalFormatting sqref="D8546:D8569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94:G8617">
    <cfRule type="cellIs" dxfId="507" priority="422" operator="lessThan">
      <formula>150</formula>
    </cfRule>
    <cfRule type="cellIs" dxfId="506" priority="423" operator="greaterThanOrEqual">
      <formula>150</formula>
    </cfRule>
  </conditionalFormatting>
  <conditionalFormatting sqref="F8546:F8569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46">
    <cfRule type="cellIs" dxfId="505" priority="499" operator="lessThan">
      <formula>1.2</formula>
    </cfRule>
    <cfRule type="cellIs" dxfId="504" priority="500" operator="greaterThanOrEqual">
      <formula>1.2</formula>
    </cfRule>
  </conditionalFormatting>
  <conditionalFormatting sqref="D8570:D8593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1:H8593">
    <cfRule type="cellIs" dxfId="503" priority="489" operator="lessThan">
      <formula>1.2</formula>
    </cfRule>
    <cfRule type="cellIs" dxfId="502" priority="490" operator="greaterThanOrEqual">
      <formula>1.2</formula>
    </cfRule>
  </conditionalFormatting>
  <conditionalFormatting sqref="G8570:G8593">
    <cfRule type="cellIs" dxfId="501" priority="494" operator="lessThan">
      <formula>150</formula>
    </cfRule>
    <cfRule type="cellIs" dxfId="500" priority="495" operator="greaterThanOrEqual">
      <formula>150</formula>
    </cfRule>
  </conditionalFormatting>
  <conditionalFormatting sqref="F8570:F8593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0">
    <cfRule type="cellIs" dxfId="499" priority="491" operator="lessThan">
      <formula>1.2</formula>
    </cfRule>
    <cfRule type="cellIs" dxfId="498" priority="492" operator="greaterThanOrEqual">
      <formula>1.2</formula>
    </cfRule>
  </conditionalFormatting>
  <conditionalFormatting sqref="G8546:G8569">
    <cfRule type="cellIs" dxfId="497" priority="487" operator="lessThan">
      <formula>150</formula>
    </cfRule>
    <cfRule type="cellIs" dxfId="496" priority="488" operator="greaterThanOrEqual">
      <formula>150</formula>
    </cfRule>
  </conditionalFormatting>
  <conditionalFormatting sqref="G8522:G8545">
    <cfRule type="cellIs" dxfId="495" priority="485" operator="lessThan">
      <formula>150</formula>
    </cfRule>
    <cfRule type="cellIs" dxfId="494" priority="486" operator="greaterThanOrEqual">
      <formula>150</formula>
    </cfRule>
  </conditionalFormatting>
  <conditionalFormatting sqref="G8498:G8521">
    <cfRule type="cellIs" dxfId="493" priority="483" operator="lessThan">
      <formula>150</formula>
    </cfRule>
    <cfRule type="cellIs" dxfId="492" priority="484" operator="greaterThanOrEqual">
      <formula>150</formula>
    </cfRule>
  </conditionalFormatting>
  <conditionalFormatting sqref="G8474:G8497">
    <cfRule type="cellIs" dxfId="491" priority="481" operator="lessThan">
      <formula>150</formula>
    </cfRule>
    <cfRule type="cellIs" dxfId="490" priority="482" operator="greaterThanOrEqual">
      <formula>150</formula>
    </cfRule>
  </conditionalFormatting>
  <conditionalFormatting sqref="G8450:G8473">
    <cfRule type="cellIs" dxfId="489" priority="479" operator="lessThan">
      <formula>150</formula>
    </cfRule>
    <cfRule type="cellIs" dxfId="488" priority="480" operator="greaterThanOrEqual">
      <formula>150</formula>
    </cfRule>
  </conditionalFormatting>
  <conditionalFormatting sqref="G8426:G8449">
    <cfRule type="cellIs" dxfId="487" priority="477" operator="lessThan">
      <formula>150</formula>
    </cfRule>
    <cfRule type="cellIs" dxfId="486" priority="478" operator="greaterThanOrEqual">
      <formula>150</formula>
    </cfRule>
  </conditionalFormatting>
  <conditionalFormatting sqref="G8402:G8425">
    <cfRule type="cellIs" dxfId="485" priority="475" operator="lessThan">
      <formula>150</formula>
    </cfRule>
    <cfRule type="cellIs" dxfId="484" priority="476" operator="greaterThanOrEqual">
      <formula>150</formula>
    </cfRule>
  </conditionalFormatting>
  <conditionalFormatting sqref="G8378:G8401">
    <cfRule type="cellIs" dxfId="483" priority="473" operator="lessThan">
      <formula>150</formula>
    </cfRule>
    <cfRule type="cellIs" dxfId="482" priority="474" operator="greaterThanOrEqual">
      <formula>150</formula>
    </cfRule>
  </conditionalFormatting>
  <conditionalFormatting sqref="G8354:G8377">
    <cfRule type="cellIs" dxfId="481" priority="471" operator="lessThan">
      <formula>150</formula>
    </cfRule>
    <cfRule type="cellIs" dxfId="480" priority="472" operator="greaterThanOrEqual">
      <formula>150</formula>
    </cfRule>
  </conditionalFormatting>
  <conditionalFormatting sqref="G8330:G8353">
    <cfRule type="cellIs" dxfId="479" priority="469" operator="lessThan">
      <formula>150</formula>
    </cfRule>
    <cfRule type="cellIs" dxfId="478" priority="470" operator="greaterThanOrEqual">
      <formula>150</formula>
    </cfRule>
  </conditionalFormatting>
  <conditionalFormatting sqref="G8306:G8329">
    <cfRule type="cellIs" dxfId="477" priority="467" operator="lessThan">
      <formula>150</formula>
    </cfRule>
    <cfRule type="cellIs" dxfId="476" priority="468" operator="greaterThanOrEqual">
      <formula>150</formula>
    </cfRule>
  </conditionalFormatting>
  <conditionalFormatting sqref="G8282:G8305">
    <cfRule type="cellIs" dxfId="475" priority="465" operator="lessThan">
      <formula>150</formula>
    </cfRule>
    <cfRule type="cellIs" dxfId="474" priority="466" operator="greaterThanOrEqual">
      <formula>150</formula>
    </cfRule>
  </conditionalFormatting>
  <conditionalFormatting sqref="G8258:G8281">
    <cfRule type="cellIs" dxfId="473" priority="463" operator="lessThan">
      <formula>150</formula>
    </cfRule>
    <cfRule type="cellIs" dxfId="472" priority="464" operator="greaterThanOrEqual">
      <formula>150</formula>
    </cfRule>
  </conditionalFormatting>
  <conditionalFormatting sqref="G8234:G8257">
    <cfRule type="cellIs" dxfId="471" priority="461" operator="lessThan">
      <formula>150</formula>
    </cfRule>
    <cfRule type="cellIs" dxfId="470" priority="462" operator="greaterThanOrEqual">
      <formula>150</formula>
    </cfRule>
  </conditionalFormatting>
  <conditionalFormatting sqref="G8210:G8233">
    <cfRule type="cellIs" dxfId="469" priority="459" operator="lessThan">
      <formula>150</formula>
    </cfRule>
    <cfRule type="cellIs" dxfId="468" priority="460" operator="greaterThanOrEqual">
      <formula>150</formula>
    </cfRule>
  </conditionalFormatting>
  <conditionalFormatting sqref="G8186:G8209">
    <cfRule type="cellIs" dxfId="467" priority="457" operator="lessThan">
      <formula>150</formula>
    </cfRule>
    <cfRule type="cellIs" dxfId="466" priority="458" operator="greaterThanOrEqual">
      <formula>150</formula>
    </cfRule>
  </conditionalFormatting>
  <conditionalFormatting sqref="G8162:G8185">
    <cfRule type="cellIs" dxfId="465" priority="455" operator="lessThan">
      <formula>150</formula>
    </cfRule>
    <cfRule type="cellIs" dxfId="464" priority="456" operator="greaterThanOrEqual">
      <formula>150</formula>
    </cfRule>
  </conditionalFormatting>
  <conditionalFormatting sqref="G8138:G8161">
    <cfRule type="cellIs" dxfId="463" priority="453" operator="lessThan">
      <formula>150</formula>
    </cfRule>
    <cfRule type="cellIs" dxfId="462" priority="454" operator="greaterThanOrEqual">
      <formula>150</formula>
    </cfRule>
  </conditionalFormatting>
  <conditionalFormatting sqref="G8114:G8137">
    <cfRule type="cellIs" dxfId="461" priority="451" operator="lessThan">
      <formula>150</formula>
    </cfRule>
    <cfRule type="cellIs" dxfId="460" priority="452" operator="greaterThanOrEqual">
      <formula>150</formula>
    </cfRule>
  </conditionalFormatting>
  <conditionalFormatting sqref="G8090:G8113">
    <cfRule type="cellIs" dxfId="459" priority="449" operator="lessThan">
      <formula>150</formula>
    </cfRule>
    <cfRule type="cellIs" dxfId="458" priority="450" operator="greaterThanOrEqual">
      <formula>150</formula>
    </cfRule>
  </conditionalFormatting>
  <conditionalFormatting sqref="G8066:G8089">
    <cfRule type="cellIs" dxfId="457" priority="447" operator="lessThan">
      <formula>150</formula>
    </cfRule>
    <cfRule type="cellIs" dxfId="456" priority="448" operator="greaterThanOrEqual">
      <formula>150</formula>
    </cfRule>
  </conditionalFormatting>
  <conditionalFormatting sqref="G8042:G8065">
    <cfRule type="cellIs" dxfId="455" priority="445" operator="lessThan">
      <formula>150</formula>
    </cfRule>
    <cfRule type="cellIs" dxfId="454" priority="446" operator="greaterThanOrEqual">
      <formula>150</formula>
    </cfRule>
  </conditionalFormatting>
  <conditionalFormatting sqref="G8018:G8041">
    <cfRule type="cellIs" dxfId="453" priority="443" operator="lessThan">
      <formula>150</formula>
    </cfRule>
    <cfRule type="cellIs" dxfId="452" priority="444" operator="greaterThanOrEqual">
      <formula>150</formula>
    </cfRule>
  </conditionalFormatting>
  <conditionalFormatting sqref="G7994:G8017">
    <cfRule type="cellIs" dxfId="451" priority="441" operator="lessThan">
      <formula>150</formula>
    </cfRule>
    <cfRule type="cellIs" dxfId="450" priority="442" operator="greaterThanOrEqual">
      <formula>150</formula>
    </cfRule>
  </conditionalFormatting>
  <conditionalFormatting sqref="G7970:G7993">
    <cfRule type="cellIs" dxfId="449" priority="439" operator="lessThan">
      <formula>150</formula>
    </cfRule>
    <cfRule type="cellIs" dxfId="448" priority="440" operator="greaterThanOrEqual">
      <formula>150</formula>
    </cfRule>
  </conditionalFormatting>
  <conditionalFormatting sqref="G7946:G7969">
    <cfRule type="cellIs" dxfId="447" priority="437" operator="lessThan">
      <formula>150</formula>
    </cfRule>
    <cfRule type="cellIs" dxfId="446" priority="438" operator="greaterThanOrEqual">
      <formula>150</formula>
    </cfRule>
  </conditionalFormatting>
  <conditionalFormatting sqref="G7922:G7945">
    <cfRule type="cellIs" dxfId="445" priority="435" operator="lessThan">
      <formula>150</formula>
    </cfRule>
    <cfRule type="cellIs" dxfId="444" priority="436" operator="greaterThanOrEqual">
      <formula>150</formula>
    </cfRule>
  </conditionalFormatting>
  <conditionalFormatting sqref="G7898:G7921">
    <cfRule type="cellIs" dxfId="443" priority="433" operator="lessThan">
      <formula>150</formula>
    </cfRule>
    <cfRule type="cellIs" dxfId="442" priority="434" operator="greaterThanOrEqual">
      <formula>150</formula>
    </cfRule>
  </conditionalFormatting>
  <conditionalFormatting sqref="G7874:G7897">
    <cfRule type="cellIs" dxfId="441" priority="431" operator="lessThan">
      <formula>150</formula>
    </cfRule>
    <cfRule type="cellIs" dxfId="440" priority="432" operator="greaterThanOrEqual">
      <formula>150</formula>
    </cfRule>
  </conditionalFormatting>
  <conditionalFormatting sqref="G7850:G7873">
    <cfRule type="cellIs" dxfId="439" priority="429" operator="lessThan">
      <formula>150</formula>
    </cfRule>
    <cfRule type="cellIs" dxfId="438" priority="430" operator="greaterThanOrEqual">
      <formula>150</formula>
    </cfRule>
  </conditionalFormatting>
  <conditionalFormatting sqref="G7826:G7849">
    <cfRule type="cellIs" dxfId="437" priority="427" operator="lessThan">
      <formula>150</formula>
    </cfRule>
    <cfRule type="cellIs" dxfId="436" priority="428" operator="greaterThanOrEqual">
      <formula>150</formula>
    </cfRule>
  </conditionalFormatting>
  <conditionalFormatting sqref="G7802:G7825">
    <cfRule type="cellIs" dxfId="435" priority="425" operator="lessThan">
      <formula>150</formula>
    </cfRule>
    <cfRule type="cellIs" dxfId="434" priority="426" operator="greaterThanOrEqual">
      <formula>150</formula>
    </cfRule>
  </conditionalFormatting>
  <conditionalFormatting sqref="D8594:D8617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5:H8617">
    <cfRule type="cellIs" dxfId="433" priority="417" operator="lessThan">
      <formula>1.2</formula>
    </cfRule>
    <cfRule type="cellIs" dxfId="432" priority="418" operator="greaterThanOrEqual">
      <formula>1.2</formula>
    </cfRule>
  </conditionalFormatting>
  <conditionalFormatting sqref="F8594:F8617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4">
    <cfRule type="cellIs" dxfId="431" priority="419" operator="lessThan">
      <formula>1.2</formula>
    </cfRule>
    <cfRule type="cellIs" dxfId="430" priority="420" operator="greaterThanOrEqual">
      <formula>1.2</formula>
    </cfRule>
  </conditionalFormatting>
  <conditionalFormatting sqref="D8618:D8641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9:H8641">
    <cfRule type="cellIs" dxfId="429" priority="409" operator="lessThan">
      <formula>1.2</formula>
    </cfRule>
    <cfRule type="cellIs" dxfId="428" priority="410" operator="greaterThanOrEqual">
      <formula>1.2</formula>
    </cfRule>
  </conditionalFormatting>
  <conditionalFormatting sqref="G8618:G8641">
    <cfRule type="cellIs" dxfId="427" priority="414" operator="lessThan">
      <formula>150</formula>
    </cfRule>
    <cfRule type="cellIs" dxfId="426" priority="415" operator="greaterThanOrEqual">
      <formula>150</formula>
    </cfRule>
  </conditionalFormatting>
  <conditionalFormatting sqref="F8618:F8641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8">
    <cfRule type="cellIs" dxfId="425" priority="411" operator="lessThan">
      <formula>1.2</formula>
    </cfRule>
    <cfRule type="cellIs" dxfId="424" priority="412" operator="greaterThanOrEqual">
      <formula>1.2</formula>
    </cfRule>
  </conditionalFormatting>
  <conditionalFormatting sqref="D8642:D8665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3:H8665">
    <cfRule type="cellIs" dxfId="423" priority="401" operator="lessThan">
      <formula>1.2</formula>
    </cfRule>
    <cfRule type="cellIs" dxfId="422" priority="402" operator="greaterThanOrEqual">
      <formula>1.2</formula>
    </cfRule>
  </conditionalFormatting>
  <conditionalFormatting sqref="G8642:G8665">
    <cfRule type="cellIs" dxfId="421" priority="406" operator="lessThan">
      <formula>150</formula>
    </cfRule>
    <cfRule type="cellIs" dxfId="420" priority="407" operator="greaterThanOrEqual">
      <formula>150</formula>
    </cfRule>
  </conditionalFormatting>
  <conditionalFormatting sqref="F8642:F8665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2">
    <cfRule type="cellIs" dxfId="419" priority="403" operator="lessThan">
      <formula>1.2</formula>
    </cfRule>
    <cfRule type="cellIs" dxfId="418" priority="404" operator="greaterThanOrEqual">
      <formula>1.2</formula>
    </cfRule>
  </conditionalFormatting>
  <conditionalFormatting sqref="D8666:D8689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7:H8689">
    <cfRule type="cellIs" dxfId="417" priority="393" operator="lessThan">
      <formula>1.2</formula>
    </cfRule>
    <cfRule type="cellIs" dxfId="416" priority="394" operator="greaterThanOrEqual">
      <formula>1.2</formula>
    </cfRule>
  </conditionalFormatting>
  <conditionalFormatting sqref="G8666:G8689">
    <cfRule type="cellIs" dxfId="415" priority="398" operator="lessThan">
      <formula>150</formula>
    </cfRule>
    <cfRule type="cellIs" dxfId="414" priority="399" operator="greaterThanOrEqual">
      <formula>150</formula>
    </cfRule>
  </conditionalFormatting>
  <conditionalFormatting sqref="F8666:F8689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6">
    <cfRule type="cellIs" dxfId="413" priority="395" operator="lessThan">
      <formula>1.2</formula>
    </cfRule>
    <cfRule type="cellIs" dxfId="412" priority="396" operator="greaterThanOrEqual">
      <formula>1.2</formula>
    </cfRule>
  </conditionalFormatting>
  <conditionalFormatting sqref="D8690:D8713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1:H8713">
    <cfRule type="cellIs" dxfId="411" priority="385" operator="lessThan">
      <formula>1.2</formula>
    </cfRule>
    <cfRule type="cellIs" dxfId="410" priority="386" operator="greaterThanOrEqual">
      <formula>1.2</formula>
    </cfRule>
  </conditionalFormatting>
  <conditionalFormatting sqref="G8690:G8713">
    <cfRule type="cellIs" dxfId="409" priority="390" operator="lessThan">
      <formula>150</formula>
    </cfRule>
    <cfRule type="cellIs" dxfId="408" priority="391" operator="greaterThanOrEqual">
      <formula>150</formula>
    </cfRule>
  </conditionalFormatting>
  <conditionalFormatting sqref="F8690:F8713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0">
    <cfRule type="cellIs" dxfId="407" priority="387" operator="lessThan">
      <formula>1.2</formula>
    </cfRule>
    <cfRule type="cellIs" dxfId="406" priority="388" operator="greaterThanOrEqual">
      <formula>1.2</formula>
    </cfRule>
  </conditionalFormatting>
  <conditionalFormatting sqref="D8714:D8737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5:H8737">
    <cfRule type="cellIs" dxfId="405" priority="377" operator="lessThan">
      <formula>1.2</formula>
    </cfRule>
    <cfRule type="cellIs" dxfId="404" priority="378" operator="greaterThanOrEqual">
      <formula>1.2</formula>
    </cfRule>
  </conditionalFormatting>
  <conditionalFormatting sqref="G8714:G8737">
    <cfRule type="cellIs" dxfId="403" priority="382" operator="lessThan">
      <formula>150</formula>
    </cfRule>
    <cfRule type="cellIs" dxfId="402" priority="383" operator="greaterThanOrEqual">
      <formula>150</formula>
    </cfRule>
  </conditionalFormatting>
  <conditionalFormatting sqref="F8714:F8737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4">
    <cfRule type="cellIs" dxfId="401" priority="379" operator="lessThan">
      <formula>1.2</formula>
    </cfRule>
    <cfRule type="cellIs" dxfId="400" priority="380" operator="greaterThanOrEqual">
      <formula>1.2</formula>
    </cfRule>
  </conditionalFormatting>
  <conditionalFormatting sqref="D8738:D876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9:H8761">
    <cfRule type="cellIs" dxfId="399" priority="369" operator="lessThan">
      <formula>1.2</formula>
    </cfRule>
    <cfRule type="cellIs" dxfId="398" priority="370" operator="greaterThanOrEqual">
      <formula>1.2</formula>
    </cfRule>
  </conditionalFormatting>
  <conditionalFormatting sqref="G8738:G8761">
    <cfRule type="cellIs" dxfId="397" priority="374" operator="lessThan">
      <formula>150</formula>
    </cfRule>
    <cfRule type="cellIs" dxfId="396" priority="375" operator="greaterThanOrEqual">
      <formula>150</formula>
    </cfRule>
  </conditionalFormatting>
  <conditionalFormatting sqref="F8738:F8761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8">
    <cfRule type="cellIs" dxfId="395" priority="371" operator="lessThan">
      <formula>1.2</formula>
    </cfRule>
    <cfRule type="cellIs" dxfId="394" priority="372" operator="greaterThanOrEqual">
      <formula>1.2</formula>
    </cfRule>
  </conditionalFormatting>
  <conditionalFormatting sqref="D8762:D8785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3:H8785">
    <cfRule type="cellIs" dxfId="393" priority="361" operator="lessThan">
      <formula>1.2</formula>
    </cfRule>
    <cfRule type="cellIs" dxfId="392" priority="362" operator="greaterThanOrEqual">
      <formula>1.2</formula>
    </cfRule>
  </conditionalFormatting>
  <conditionalFormatting sqref="G8762:G8785">
    <cfRule type="cellIs" dxfId="391" priority="366" operator="lessThan">
      <formula>150</formula>
    </cfRule>
    <cfRule type="cellIs" dxfId="390" priority="367" operator="greaterThanOrEqual">
      <formula>150</formula>
    </cfRule>
  </conditionalFormatting>
  <conditionalFormatting sqref="F8762:F8785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2">
    <cfRule type="cellIs" dxfId="389" priority="363" operator="lessThan">
      <formula>1.2</formula>
    </cfRule>
    <cfRule type="cellIs" dxfId="388" priority="364" operator="greaterThanOrEqual">
      <formula>1.2</formula>
    </cfRule>
  </conditionalFormatting>
  <conditionalFormatting sqref="D8786:D8809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7:H8809">
    <cfRule type="cellIs" dxfId="387" priority="353" operator="lessThan">
      <formula>1.2</formula>
    </cfRule>
    <cfRule type="cellIs" dxfId="386" priority="354" operator="greaterThanOrEqual">
      <formula>1.2</formula>
    </cfRule>
  </conditionalFormatting>
  <conditionalFormatting sqref="G8786:G8809">
    <cfRule type="cellIs" dxfId="385" priority="358" operator="lessThan">
      <formula>150</formula>
    </cfRule>
    <cfRule type="cellIs" dxfId="384" priority="359" operator="greaterThanOrEqual">
      <formula>150</formula>
    </cfRule>
  </conditionalFormatting>
  <conditionalFormatting sqref="F8786:F8809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6">
    <cfRule type="cellIs" dxfId="383" priority="355" operator="lessThan">
      <formula>1.2</formula>
    </cfRule>
    <cfRule type="cellIs" dxfId="382" priority="356" operator="greaterThanOrEqual">
      <formula>1.2</formula>
    </cfRule>
  </conditionalFormatting>
  <conditionalFormatting sqref="D8810:D8833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1:H8833">
    <cfRule type="cellIs" dxfId="381" priority="345" operator="lessThan">
      <formula>1.2</formula>
    </cfRule>
    <cfRule type="cellIs" dxfId="380" priority="346" operator="greaterThanOrEqual">
      <formula>1.2</formula>
    </cfRule>
  </conditionalFormatting>
  <conditionalFormatting sqref="G8810:G8833">
    <cfRule type="cellIs" dxfId="379" priority="350" operator="lessThan">
      <formula>150</formula>
    </cfRule>
    <cfRule type="cellIs" dxfId="378" priority="351" operator="greaterThanOrEqual">
      <formula>150</formula>
    </cfRule>
  </conditionalFormatting>
  <conditionalFormatting sqref="F8810:F8833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0">
    <cfRule type="cellIs" dxfId="377" priority="347" operator="lessThan">
      <formula>1.2</formula>
    </cfRule>
    <cfRule type="cellIs" dxfId="376" priority="348" operator="greaterThanOrEqual">
      <formula>1.2</formula>
    </cfRule>
  </conditionalFormatting>
  <conditionalFormatting sqref="D8834:D8857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5:H8857">
    <cfRule type="cellIs" dxfId="375" priority="337" operator="lessThan">
      <formula>1.2</formula>
    </cfRule>
    <cfRule type="cellIs" dxfId="374" priority="338" operator="greaterThanOrEqual">
      <formula>1.2</formula>
    </cfRule>
  </conditionalFormatting>
  <conditionalFormatting sqref="G8834:G8857">
    <cfRule type="cellIs" dxfId="373" priority="342" operator="lessThan">
      <formula>150</formula>
    </cfRule>
    <cfRule type="cellIs" dxfId="372" priority="343" operator="greaterThanOrEqual">
      <formula>150</formula>
    </cfRule>
  </conditionalFormatting>
  <conditionalFormatting sqref="F8834:F8857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4">
    <cfRule type="cellIs" dxfId="371" priority="339" operator="lessThan">
      <formula>1.2</formula>
    </cfRule>
    <cfRule type="cellIs" dxfId="370" priority="340" operator="greaterThanOrEqual">
      <formula>1.2</formula>
    </cfRule>
  </conditionalFormatting>
  <conditionalFormatting sqref="D8858:D8881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9:H8881">
    <cfRule type="cellIs" dxfId="369" priority="329" operator="lessThan">
      <formula>1.2</formula>
    </cfRule>
    <cfRule type="cellIs" dxfId="368" priority="330" operator="greaterThanOrEqual">
      <formula>1.2</formula>
    </cfRule>
  </conditionalFormatting>
  <conditionalFormatting sqref="G8858:G8881">
    <cfRule type="cellIs" dxfId="367" priority="334" operator="lessThan">
      <formula>150</formula>
    </cfRule>
    <cfRule type="cellIs" dxfId="366" priority="335" operator="greaterThanOrEqual">
      <formula>150</formula>
    </cfRule>
  </conditionalFormatting>
  <conditionalFormatting sqref="F8858:F8881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8">
    <cfRule type="cellIs" dxfId="365" priority="331" operator="lessThan">
      <formula>1.2</formula>
    </cfRule>
    <cfRule type="cellIs" dxfId="364" priority="332" operator="greaterThanOrEqual">
      <formula>1.2</formula>
    </cfRule>
  </conditionalFormatting>
  <conditionalFormatting sqref="D8882:D8905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3:H8905">
    <cfRule type="cellIs" dxfId="363" priority="321" operator="lessThan">
      <formula>1.2</formula>
    </cfRule>
    <cfRule type="cellIs" dxfId="362" priority="322" operator="greaterThanOrEqual">
      <formula>1.2</formula>
    </cfRule>
  </conditionalFormatting>
  <conditionalFormatting sqref="G8882:G8905">
    <cfRule type="cellIs" dxfId="361" priority="326" operator="lessThan">
      <formula>150</formula>
    </cfRule>
    <cfRule type="cellIs" dxfId="360" priority="327" operator="greaterThanOrEqual">
      <formula>150</formula>
    </cfRule>
  </conditionalFormatting>
  <conditionalFormatting sqref="F8882:F8905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2">
    <cfRule type="cellIs" dxfId="359" priority="323" operator="lessThan">
      <formula>1.2</formula>
    </cfRule>
    <cfRule type="cellIs" dxfId="358" priority="324" operator="greaterThanOrEqual">
      <formula>1.2</formula>
    </cfRule>
  </conditionalFormatting>
  <conditionalFormatting sqref="D8906:D8929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7:H8929">
    <cfRule type="cellIs" dxfId="357" priority="313" operator="lessThan">
      <formula>1.2</formula>
    </cfRule>
    <cfRule type="cellIs" dxfId="356" priority="314" operator="greaterThanOrEqual">
      <formula>1.2</formula>
    </cfRule>
  </conditionalFormatting>
  <conditionalFormatting sqref="G8906:G8929">
    <cfRule type="cellIs" dxfId="355" priority="318" operator="lessThan">
      <formula>150</formula>
    </cfRule>
    <cfRule type="cellIs" dxfId="354" priority="319" operator="greaterThanOrEqual">
      <formula>150</formula>
    </cfRule>
  </conditionalFormatting>
  <conditionalFormatting sqref="F8906:F8929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6">
    <cfRule type="cellIs" dxfId="353" priority="315" operator="lessThan">
      <formula>1.2</formula>
    </cfRule>
    <cfRule type="cellIs" dxfId="352" priority="316" operator="greaterThanOrEqual">
      <formula>1.2</formula>
    </cfRule>
  </conditionalFormatting>
  <conditionalFormatting sqref="D8930:D8953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1:H8953">
    <cfRule type="cellIs" dxfId="351" priority="305" operator="lessThan">
      <formula>1.2</formula>
    </cfRule>
    <cfRule type="cellIs" dxfId="350" priority="306" operator="greaterThanOrEqual">
      <formula>1.2</formula>
    </cfRule>
  </conditionalFormatting>
  <conditionalFormatting sqref="G8930:G8953">
    <cfRule type="cellIs" dxfId="349" priority="310" operator="lessThan">
      <formula>150</formula>
    </cfRule>
    <cfRule type="cellIs" dxfId="348" priority="311" operator="greaterThanOrEqual">
      <formula>150</formula>
    </cfRule>
  </conditionalFormatting>
  <conditionalFormatting sqref="F8930:F8953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0">
    <cfRule type="cellIs" dxfId="347" priority="307" operator="lessThan">
      <formula>1.2</formula>
    </cfRule>
    <cfRule type="cellIs" dxfId="346" priority="308" operator="greaterThanOrEqual">
      <formula>1.2</formula>
    </cfRule>
  </conditionalFormatting>
  <conditionalFormatting sqref="D8954:D8977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5:H8977">
    <cfRule type="cellIs" dxfId="345" priority="297" operator="lessThan">
      <formula>1.2</formula>
    </cfRule>
    <cfRule type="cellIs" dxfId="344" priority="298" operator="greaterThanOrEqual">
      <formula>1.2</formula>
    </cfRule>
  </conditionalFormatting>
  <conditionalFormatting sqref="F8954:F8977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4">
    <cfRule type="cellIs" dxfId="343" priority="299" operator="lessThan">
      <formula>1.2</formula>
    </cfRule>
    <cfRule type="cellIs" dxfId="342" priority="300" operator="greaterThanOrEqual">
      <formula>1.2</formula>
    </cfRule>
  </conditionalFormatting>
  <conditionalFormatting sqref="D8978:D9001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9:H9001">
    <cfRule type="cellIs" dxfId="341" priority="289" operator="lessThan">
      <formula>1.2</formula>
    </cfRule>
    <cfRule type="cellIs" dxfId="340" priority="290" operator="greaterThanOrEqual">
      <formula>1.2</formula>
    </cfRule>
  </conditionalFormatting>
  <conditionalFormatting sqref="F8978:F9001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8">
    <cfRule type="cellIs" dxfId="339" priority="291" operator="lessThan">
      <formula>1.2</formula>
    </cfRule>
    <cfRule type="cellIs" dxfId="338" priority="292" operator="greaterThanOrEqual">
      <formula>1.2</formula>
    </cfRule>
  </conditionalFormatting>
  <conditionalFormatting sqref="D9002:D9025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3:H9025">
    <cfRule type="cellIs" dxfId="337" priority="281" operator="lessThan">
      <formula>1.2</formula>
    </cfRule>
    <cfRule type="cellIs" dxfId="336" priority="282" operator="greaterThanOrEqual">
      <formula>1.2</formula>
    </cfRule>
  </conditionalFormatting>
  <conditionalFormatting sqref="F9002:F9025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2">
    <cfRule type="cellIs" dxfId="335" priority="283" operator="lessThan">
      <formula>1.2</formula>
    </cfRule>
    <cfRule type="cellIs" dxfId="334" priority="284" operator="greaterThanOrEqual">
      <formula>1.2</formula>
    </cfRule>
  </conditionalFormatting>
  <conditionalFormatting sqref="D9026:D9049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7:H9049">
    <cfRule type="cellIs" dxfId="333" priority="273" operator="lessThan">
      <formula>1.2</formula>
    </cfRule>
    <cfRule type="cellIs" dxfId="332" priority="274" operator="greaterThanOrEqual">
      <formula>1.2</formula>
    </cfRule>
  </conditionalFormatting>
  <conditionalFormatting sqref="F9026:F9049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6">
    <cfRule type="cellIs" dxfId="331" priority="275" operator="lessThan">
      <formula>1.2</formula>
    </cfRule>
    <cfRule type="cellIs" dxfId="330" priority="276" operator="greaterThanOrEqual">
      <formula>1.2</formula>
    </cfRule>
  </conditionalFormatting>
  <conditionalFormatting sqref="D9050:D9073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1:H9073">
    <cfRule type="cellIs" dxfId="329" priority="265" operator="lessThan">
      <formula>1.2</formula>
    </cfRule>
    <cfRule type="cellIs" dxfId="328" priority="266" operator="greaterThanOrEqual">
      <formula>1.2</formula>
    </cfRule>
  </conditionalFormatting>
  <conditionalFormatting sqref="F9050:F907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0">
    <cfRule type="cellIs" dxfId="327" priority="267" operator="lessThan">
      <formula>1.2</formula>
    </cfRule>
    <cfRule type="cellIs" dxfId="326" priority="268" operator="greaterThanOrEqual">
      <formula>1.2</formula>
    </cfRule>
  </conditionalFormatting>
  <conditionalFormatting sqref="D9074:D9097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5:H9097">
    <cfRule type="cellIs" dxfId="325" priority="257" operator="lessThan">
      <formula>1.2</formula>
    </cfRule>
    <cfRule type="cellIs" dxfId="324" priority="258" operator="greaterThanOrEqual">
      <formula>1.2</formula>
    </cfRule>
  </conditionalFormatting>
  <conditionalFormatting sqref="F9074:F9097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4">
    <cfRule type="cellIs" dxfId="323" priority="259" operator="lessThan">
      <formula>1.2</formula>
    </cfRule>
    <cfRule type="cellIs" dxfId="322" priority="260" operator="greaterThanOrEqual">
      <formula>1.2</formula>
    </cfRule>
  </conditionalFormatting>
  <conditionalFormatting sqref="D9098:D9121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9:H9121">
    <cfRule type="cellIs" dxfId="321" priority="249" operator="lessThan">
      <formula>1.2</formula>
    </cfRule>
    <cfRule type="cellIs" dxfId="320" priority="250" operator="greaterThanOrEqual">
      <formula>1.2</formula>
    </cfRule>
  </conditionalFormatting>
  <conditionalFormatting sqref="G9266:G9289">
    <cfRule type="cellIs" dxfId="319" priority="184" operator="lessThan">
      <formula>150</formula>
    </cfRule>
    <cfRule type="cellIs" dxfId="318" priority="185" operator="greaterThanOrEqual">
      <formula>150</formula>
    </cfRule>
  </conditionalFormatting>
  <conditionalFormatting sqref="F9098:F9121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8">
    <cfRule type="cellIs" dxfId="317" priority="251" operator="lessThan">
      <formula>1.2</formula>
    </cfRule>
    <cfRule type="cellIs" dxfId="316" priority="252" operator="greaterThanOrEqual">
      <formula>1.2</formula>
    </cfRule>
  </conditionalFormatting>
  <conditionalFormatting sqref="D9122:D9145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3:H9145">
    <cfRule type="cellIs" dxfId="315" priority="241" operator="lessThan">
      <formula>1.2</formula>
    </cfRule>
    <cfRule type="cellIs" dxfId="314" priority="242" operator="greaterThanOrEqual">
      <formula>1.2</formula>
    </cfRule>
  </conditionalFormatting>
  <conditionalFormatting sqref="G9122:G9145">
    <cfRule type="cellIs" dxfId="313" priority="246" operator="lessThan">
      <formula>150</formula>
    </cfRule>
    <cfRule type="cellIs" dxfId="312" priority="247" operator="greaterThanOrEqual">
      <formula>150</formula>
    </cfRule>
  </conditionalFormatting>
  <conditionalFormatting sqref="F9122:F9145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2">
    <cfRule type="cellIs" dxfId="311" priority="243" operator="lessThan">
      <formula>1.2</formula>
    </cfRule>
    <cfRule type="cellIs" dxfId="310" priority="244" operator="greaterThanOrEqual">
      <formula>1.2</formula>
    </cfRule>
  </conditionalFormatting>
  <conditionalFormatting sqref="D9146:D9169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7:H9169">
    <cfRule type="cellIs" dxfId="309" priority="233" operator="lessThan">
      <formula>1.2</formula>
    </cfRule>
    <cfRule type="cellIs" dxfId="308" priority="234" operator="greaterThanOrEqual">
      <formula>1.2</formula>
    </cfRule>
  </conditionalFormatting>
  <conditionalFormatting sqref="G9146:G9169">
    <cfRule type="cellIs" dxfId="307" priority="238" operator="lessThan">
      <formula>150</formula>
    </cfRule>
    <cfRule type="cellIs" dxfId="306" priority="239" operator="greaterThanOrEqual">
      <formula>150</formula>
    </cfRule>
  </conditionalFormatting>
  <conditionalFormatting sqref="F9146:F9169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6">
    <cfRule type="cellIs" dxfId="305" priority="235" operator="lessThan">
      <formula>1.2</formula>
    </cfRule>
    <cfRule type="cellIs" dxfId="304" priority="236" operator="greaterThanOrEqual">
      <formula>1.2</formula>
    </cfRule>
  </conditionalFormatting>
  <conditionalFormatting sqref="G9098:G9121">
    <cfRule type="cellIs" dxfId="303" priority="231" operator="lessThan">
      <formula>150</formula>
    </cfRule>
    <cfRule type="cellIs" dxfId="302" priority="232" operator="greaterThanOrEqual">
      <formula>150</formula>
    </cfRule>
  </conditionalFormatting>
  <conditionalFormatting sqref="G9074:G9097">
    <cfRule type="cellIs" dxfId="301" priority="229" operator="lessThan">
      <formula>150</formula>
    </cfRule>
    <cfRule type="cellIs" dxfId="300" priority="230" operator="greaterThanOrEqual">
      <formula>150</formula>
    </cfRule>
  </conditionalFormatting>
  <conditionalFormatting sqref="G9050:G9073">
    <cfRule type="cellIs" dxfId="299" priority="227" operator="lessThan">
      <formula>150</formula>
    </cfRule>
    <cfRule type="cellIs" dxfId="298" priority="228" operator="greaterThanOrEqual">
      <formula>150</formula>
    </cfRule>
  </conditionalFormatting>
  <conditionalFormatting sqref="G9026:G9049">
    <cfRule type="cellIs" dxfId="297" priority="225" operator="lessThan">
      <formula>150</formula>
    </cfRule>
    <cfRule type="cellIs" dxfId="296" priority="226" operator="greaterThanOrEqual">
      <formula>150</formula>
    </cfRule>
  </conditionalFormatting>
  <conditionalFormatting sqref="G9002:G9025">
    <cfRule type="cellIs" dxfId="295" priority="223" operator="lessThan">
      <formula>150</formula>
    </cfRule>
    <cfRule type="cellIs" dxfId="294" priority="224" operator="greaterThanOrEqual">
      <formula>150</formula>
    </cfRule>
  </conditionalFormatting>
  <conditionalFormatting sqref="G8978:G9001">
    <cfRule type="cellIs" dxfId="293" priority="221" operator="lessThan">
      <formula>150</formula>
    </cfRule>
    <cfRule type="cellIs" dxfId="292" priority="222" operator="greaterThanOrEqual">
      <formula>150</formula>
    </cfRule>
  </conditionalFormatting>
  <conditionalFormatting sqref="G8954:G8977">
    <cfRule type="cellIs" dxfId="291" priority="219" operator="lessThan">
      <formula>150</formula>
    </cfRule>
    <cfRule type="cellIs" dxfId="290" priority="220" operator="greaterThanOrEqual">
      <formula>150</formula>
    </cfRule>
  </conditionalFormatting>
  <conditionalFormatting sqref="D9170:D9193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1:H9193">
    <cfRule type="cellIs" dxfId="289" priority="211" operator="lessThan">
      <formula>1.2</formula>
    </cfRule>
    <cfRule type="cellIs" dxfId="288" priority="212" operator="greaterThanOrEqual">
      <formula>1.2</formula>
    </cfRule>
  </conditionalFormatting>
  <conditionalFormatting sqref="G9170:G9193">
    <cfRule type="cellIs" dxfId="287" priority="216" operator="lessThan">
      <formula>150</formula>
    </cfRule>
    <cfRule type="cellIs" dxfId="286" priority="217" operator="greaterThanOrEqual">
      <formula>150</formula>
    </cfRule>
  </conditionalFormatting>
  <conditionalFormatting sqref="F9170:F9193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0">
    <cfRule type="cellIs" dxfId="285" priority="213" operator="lessThan">
      <formula>1.2</formula>
    </cfRule>
    <cfRule type="cellIs" dxfId="284" priority="214" operator="greaterThanOrEqual">
      <formula>1.2</formula>
    </cfRule>
  </conditionalFormatting>
  <conditionalFormatting sqref="D9194:D9217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5:H9217">
    <cfRule type="cellIs" dxfId="283" priority="203" operator="lessThan">
      <formula>1.2</formula>
    </cfRule>
    <cfRule type="cellIs" dxfId="282" priority="204" operator="greaterThanOrEqual">
      <formula>1.2</formula>
    </cfRule>
  </conditionalFormatting>
  <conditionalFormatting sqref="G9194:G9217">
    <cfRule type="cellIs" dxfId="281" priority="208" operator="lessThan">
      <formula>150</formula>
    </cfRule>
    <cfRule type="cellIs" dxfId="280" priority="209" operator="greaterThanOrEqual">
      <formula>150</formula>
    </cfRule>
  </conditionalFormatting>
  <conditionalFormatting sqref="F9194:F9217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4">
    <cfRule type="cellIs" dxfId="279" priority="205" operator="lessThan">
      <formula>1.2</formula>
    </cfRule>
    <cfRule type="cellIs" dxfId="278" priority="206" operator="greaterThanOrEqual">
      <formula>1.2</formula>
    </cfRule>
  </conditionalFormatting>
  <conditionalFormatting sqref="D9218:D9241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9:H9241">
    <cfRule type="cellIs" dxfId="277" priority="195" operator="lessThan">
      <formula>1.2</formula>
    </cfRule>
    <cfRule type="cellIs" dxfId="276" priority="196" operator="greaterThanOrEqual">
      <formula>1.2</formula>
    </cfRule>
  </conditionalFormatting>
  <conditionalFormatting sqref="G9218:G9241">
    <cfRule type="cellIs" dxfId="275" priority="200" operator="lessThan">
      <formula>150</formula>
    </cfRule>
    <cfRule type="cellIs" dxfId="274" priority="201" operator="greaterThanOrEqual">
      <formula>150</formula>
    </cfRule>
  </conditionalFormatting>
  <conditionalFormatting sqref="F9218:F9241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8">
    <cfRule type="cellIs" dxfId="273" priority="197" operator="lessThan">
      <formula>1.2</formula>
    </cfRule>
    <cfRule type="cellIs" dxfId="272" priority="198" operator="greaterThanOrEqual">
      <formula>1.2</formula>
    </cfRule>
  </conditionalFormatting>
  <conditionalFormatting sqref="D9242:D9265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3:H9265">
    <cfRule type="cellIs" dxfId="271" priority="187" operator="lessThan">
      <formula>1.2</formula>
    </cfRule>
    <cfRule type="cellIs" dxfId="270" priority="188" operator="greaterThanOrEqual">
      <formula>1.2</formula>
    </cfRule>
  </conditionalFormatting>
  <conditionalFormatting sqref="G9242:G9265">
    <cfRule type="cellIs" dxfId="269" priority="192" operator="lessThan">
      <formula>150</formula>
    </cfRule>
    <cfRule type="cellIs" dxfId="268" priority="193" operator="greaterThanOrEqual">
      <formula>150</formula>
    </cfRule>
  </conditionalFormatting>
  <conditionalFormatting sqref="F9242:F9265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2">
    <cfRule type="cellIs" dxfId="267" priority="189" operator="lessThan">
      <formula>1.2</formula>
    </cfRule>
    <cfRule type="cellIs" dxfId="266" priority="190" operator="greaterThanOrEqual">
      <formula>1.2</formula>
    </cfRule>
  </conditionalFormatting>
  <conditionalFormatting sqref="D9266:D9289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7:H9289">
    <cfRule type="cellIs" dxfId="265" priority="179" operator="lessThan">
      <formula>1.2</formula>
    </cfRule>
    <cfRule type="cellIs" dxfId="264" priority="180" operator="greaterThanOrEqual">
      <formula>1.2</formula>
    </cfRule>
  </conditionalFormatting>
  <conditionalFormatting sqref="F9266:F9289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6">
    <cfRule type="cellIs" dxfId="263" priority="181" operator="lessThan">
      <formula>1.2</formula>
    </cfRule>
    <cfRule type="cellIs" dxfId="262" priority="182" operator="greaterThanOrEqual">
      <formula>1.2</formula>
    </cfRule>
  </conditionalFormatting>
  <conditionalFormatting sqref="H9291:H9313">
    <cfRule type="cellIs" dxfId="261" priority="172" operator="lessThan">
      <formula>1.2</formula>
    </cfRule>
    <cfRule type="cellIs" dxfId="260" priority="173" operator="greaterThanOrEqual">
      <formula>1.2</formula>
    </cfRule>
  </conditionalFormatting>
  <conditionalFormatting sqref="G9290:G9313">
    <cfRule type="cellIs" dxfId="259" priority="177" operator="lessThan">
      <formula>150</formula>
    </cfRule>
    <cfRule type="cellIs" dxfId="258" priority="178" operator="greaterThanOrEqual">
      <formula>150</formula>
    </cfRule>
  </conditionalFormatting>
  <conditionalFormatting sqref="F9290:F9313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90">
    <cfRule type="cellIs" dxfId="257" priority="174" operator="lessThan">
      <formula>1.2</formula>
    </cfRule>
    <cfRule type="cellIs" dxfId="256" priority="175" operator="greaterThanOrEqual">
      <formula>1.2</formula>
    </cfRule>
  </conditionalFormatting>
  <conditionalFormatting sqref="D9290:D9313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314:D933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5:H9337">
    <cfRule type="cellIs" dxfId="255" priority="163" operator="lessThan">
      <formula>1.2</formula>
    </cfRule>
    <cfRule type="cellIs" dxfId="254" priority="164" operator="greaterThanOrEqual">
      <formula>1.2</formula>
    </cfRule>
  </conditionalFormatting>
  <conditionalFormatting sqref="G9314:G9337">
    <cfRule type="cellIs" dxfId="253" priority="168" operator="lessThan">
      <formula>150</formula>
    </cfRule>
    <cfRule type="cellIs" dxfId="252" priority="169" operator="greaterThanOrEqual">
      <formula>150</formula>
    </cfRule>
  </conditionalFormatting>
  <conditionalFormatting sqref="F9314:F9337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4">
    <cfRule type="cellIs" dxfId="251" priority="165" operator="lessThan">
      <formula>1.2</formula>
    </cfRule>
    <cfRule type="cellIs" dxfId="250" priority="166" operator="greaterThanOrEqual">
      <formula>1.2</formula>
    </cfRule>
  </conditionalFormatting>
  <conditionalFormatting sqref="D9338:D9361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9:H9361">
    <cfRule type="cellIs" dxfId="249" priority="155" operator="lessThan">
      <formula>1.2</formula>
    </cfRule>
    <cfRule type="cellIs" dxfId="248" priority="156" operator="greaterThanOrEqual">
      <formula>1.2</formula>
    </cfRule>
  </conditionalFormatting>
  <conditionalFormatting sqref="G9338:G9361">
    <cfRule type="cellIs" dxfId="247" priority="160" operator="lessThan">
      <formula>150</formula>
    </cfRule>
    <cfRule type="cellIs" dxfId="246" priority="161" operator="greaterThanOrEqual">
      <formula>150</formula>
    </cfRule>
  </conditionalFormatting>
  <conditionalFormatting sqref="F9338:F9361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8">
    <cfRule type="cellIs" dxfId="245" priority="157" operator="lessThan">
      <formula>1.2</formula>
    </cfRule>
    <cfRule type="cellIs" dxfId="244" priority="158" operator="greaterThanOrEqual">
      <formula>1.2</formula>
    </cfRule>
  </conditionalFormatting>
  <conditionalFormatting sqref="D9362:D9385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3:H9385">
    <cfRule type="cellIs" dxfId="243" priority="147" operator="lessThan">
      <formula>1.2</formula>
    </cfRule>
    <cfRule type="cellIs" dxfId="242" priority="148" operator="greaterThanOrEqual">
      <formula>1.2</formula>
    </cfRule>
  </conditionalFormatting>
  <conditionalFormatting sqref="G9362:G9385">
    <cfRule type="cellIs" dxfId="241" priority="152" operator="lessThan">
      <formula>150</formula>
    </cfRule>
    <cfRule type="cellIs" dxfId="240" priority="153" operator="greaterThanOrEqual">
      <formula>150</formula>
    </cfRule>
  </conditionalFormatting>
  <conditionalFormatting sqref="F9362:F9385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2">
    <cfRule type="cellIs" dxfId="239" priority="149" operator="lessThan">
      <formula>1.2</formula>
    </cfRule>
    <cfRule type="cellIs" dxfId="238" priority="150" operator="greaterThanOrEqual">
      <formula>1.2</formula>
    </cfRule>
  </conditionalFormatting>
  <conditionalFormatting sqref="H9435:H9457">
    <cfRule type="cellIs" dxfId="237" priority="123" operator="lessThan">
      <formula>1.2</formula>
    </cfRule>
    <cfRule type="cellIs" dxfId="236" priority="124" operator="greaterThanOrEqual">
      <formula>1.2</formula>
    </cfRule>
  </conditionalFormatting>
  <conditionalFormatting sqref="D9386:D94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7:H9409">
    <cfRule type="cellIs" dxfId="235" priority="139" operator="lessThan">
      <formula>1.2</formula>
    </cfRule>
    <cfRule type="cellIs" dxfId="234" priority="140" operator="greaterThanOrEqual">
      <formula>1.2</formula>
    </cfRule>
  </conditionalFormatting>
  <conditionalFormatting sqref="G9386:G9409">
    <cfRule type="cellIs" dxfId="233" priority="144" operator="lessThan">
      <formula>150</formula>
    </cfRule>
    <cfRule type="cellIs" dxfId="232" priority="145" operator="greaterThanOrEqual">
      <formula>150</formula>
    </cfRule>
  </conditionalFormatting>
  <conditionalFormatting sqref="F9386:F9409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6">
    <cfRule type="cellIs" dxfId="231" priority="141" operator="lessThan">
      <formula>1.2</formula>
    </cfRule>
    <cfRule type="cellIs" dxfId="230" priority="142" operator="greaterThanOrEqual">
      <formula>1.2</formula>
    </cfRule>
  </conditionalFormatting>
  <conditionalFormatting sqref="D9410:D9433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1:H9433">
    <cfRule type="cellIs" dxfId="229" priority="131" operator="lessThan">
      <formula>1.2</formula>
    </cfRule>
    <cfRule type="cellIs" dxfId="228" priority="132" operator="greaterThanOrEqual">
      <formula>1.2</formula>
    </cfRule>
  </conditionalFormatting>
  <conditionalFormatting sqref="G9410:G9433">
    <cfRule type="cellIs" dxfId="227" priority="136" operator="lessThan">
      <formula>150</formula>
    </cfRule>
    <cfRule type="cellIs" dxfId="226" priority="137" operator="greaterThanOrEqual">
      <formula>150</formula>
    </cfRule>
  </conditionalFormatting>
  <conditionalFormatting sqref="F9410:F9433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0">
    <cfRule type="cellIs" dxfId="225" priority="133" operator="lessThan">
      <formula>1.2</formula>
    </cfRule>
    <cfRule type="cellIs" dxfId="224" priority="134" operator="greaterThanOrEqual">
      <formula>1.2</formula>
    </cfRule>
  </conditionalFormatting>
  <conditionalFormatting sqref="D9434:D9457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434:G9457">
    <cfRule type="cellIs" dxfId="223" priority="128" operator="lessThan">
      <formula>150</formula>
    </cfRule>
    <cfRule type="cellIs" dxfId="222" priority="129" operator="greaterThanOrEqual">
      <formula>150</formula>
    </cfRule>
  </conditionalFormatting>
  <conditionalFormatting sqref="F9434:F945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34">
    <cfRule type="cellIs" dxfId="221" priority="125" operator="lessThan">
      <formula>1.2</formula>
    </cfRule>
    <cfRule type="cellIs" dxfId="220" priority="126" operator="greaterThanOrEqual">
      <formula>1.2</formula>
    </cfRule>
  </conditionalFormatting>
  <conditionalFormatting sqref="D9458:D9481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9:H9481">
    <cfRule type="cellIs" dxfId="219" priority="115" operator="lessThan">
      <formula>1.2</formula>
    </cfRule>
    <cfRule type="cellIs" dxfId="218" priority="116" operator="greaterThanOrEqual">
      <formula>1.2</formula>
    </cfRule>
  </conditionalFormatting>
  <conditionalFormatting sqref="G9458:G9481">
    <cfRule type="cellIs" dxfId="217" priority="120" operator="lessThan">
      <formula>150</formula>
    </cfRule>
    <cfRule type="cellIs" dxfId="216" priority="121" operator="greaterThanOrEqual">
      <formula>150</formula>
    </cfRule>
  </conditionalFormatting>
  <conditionalFormatting sqref="F9458:F9481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8">
    <cfRule type="cellIs" dxfId="215" priority="117" operator="lessThan">
      <formula>1.2</formula>
    </cfRule>
    <cfRule type="cellIs" dxfId="214" priority="118" operator="greaterThanOrEqual">
      <formula>1.2</formula>
    </cfRule>
  </conditionalFormatting>
  <conditionalFormatting sqref="D9482:D9505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3:H9505">
    <cfRule type="cellIs" dxfId="213" priority="107" operator="lessThan">
      <formula>1.2</formula>
    </cfRule>
    <cfRule type="cellIs" dxfId="212" priority="108" operator="greaterThanOrEqual">
      <formula>1.2</formula>
    </cfRule>
  </conditionalFormatting>
  <conditionalFormatting sqref="G9482:G9505">
    <cfRule type="cellIs" dxfId="211" priority="112" operator="lessThan">
      <formula>150</formula>
    </cfRule>
    <cfRule type="cellIs" dxfId="210" priority="113" operator="greaterThanOrEqual">
      <formula>150</formula>
    </cfRule>
  </conditionalFormatting>
  <conditionalFormatting sqref="F9482:F9505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2">
    <cfRule type="cellIs" dxfId="209" priority="109" operator="lessThan">
      <formula>1.2</formula>
    </cfRule>
    <cfRule type="cellIs" dxfId="208" priority="110" operator="greaterThanOrEqual">
      <formula>1.2</formula>
    </cfRule>
  </conditionalFormatting>
  <conditionalFormatting sqref="D9506:D9529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7:H9529">
    <cfRule type="cellIs" dxfId="207" priority="99" operator="lessThan">
      <formula>1.2</formula>
    </cfRule>
    <cfRule type="cellIs" dxfId="206" priority="100" operator="greaterThanOrEqual">
      <formula>1.2</formula>
    </cfRule>
  </conditionalFormatting>
  <conditionalFormatting sqref="G9506:G9529">
    <cfRule type="cellIs" dxfId="205" priority="104" operator="lessThan">
      <formula>150</formula>
    </cfRule>
    <cfRule type="cellIs" dxfId="204" priority="105" operator="greaterThanOrEqual">
      <formula>150</formula>
    </cfRule>
  </conditionalFormatting>
  <conditionalFormatting sqref="F9506:F9529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6">
    <cfRule type="cellIs" dxfId="203" priority="101" operator="lessThan">
      <formula>1.2</formula>
    </cfRule>
    <cfRule type="cellIs" dxfId="202" priority="102" operator="greaterThanOrEqual">
      <formula>1.2</formula>
    </cfRule>
  </conditionalFormatting>
  <conditionalFormatting sqref="D9530:D9553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1:H9553">
    <cfRule type="cellIs" dxfId="201" priority="91" operator="lessThan">
      <formula>1.2</formula>
    </cfRule>
    <cfRule type="cellIs" dxfId="200" priority="92" operator="greaterThanOrEqual">
      <formula>1.2</formula>
    </cfRule>
  </conditionalFormatting>
  <conditionalFormatting sqref="G9530:G9553">
    <cfRule type="cellIs" dxfId="199" priority="96" operator="lessThan">
      <formula>150</formula>
    </cfRule>
    <cfRule type="cellIs" dxfId="198" priority="97" operator="greaterThanOrEqual">
      <formula>150</formula>
    </cfRule>
  </conditionalFormatting>
  <conditionalFormatting sqref="F9530:F9553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0">
    <cfRule type="cellIs" dxfId="197" priority="93" operator="lessThan">
      <formula>1.2</formula>
    </cfRule>
    <cfRule type="cellIs" dxfId="196" priority="94" operator="greaterThanOrEqual">
      <formula>1.2</formula>
    </cfRule>
  </conditionalFormatting>
  <conditionalFormatting sqref="D9554:D9577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5:H9577">
    <cfRule type="cellIs" dxfId="195" priority="83" operator="lessThan">
      <formula>1.2</formula>
    </cfRule>
    <cfRule type="cellIs" dxfId="194" priority="84" operator="greaterThanOrEqual">
      <formula>1.2</formula>
    </cfRule>
  </conditionalFormatting>
  <conditionalFormatting sqref="G9554:G9577">
    <cfRule type="cellIs" dxfId="193" priority="88" operator="lessThan">
      <formula>150</formula>
    </cfRule>
    <cfRule type="cellIs" dxfId="192" priority="89" operator="greaterThanOrEqual">
      <formula>150</formula>
    </cfRule>
  </conditionalFormatting>
  <conditionalFormatting sqref="F9554:F957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4">
    <cfRule type="cellIs" dxfId="191" priority="85" operator="lessThan">
      <formula>1.2</formula>
    </cfRule>
    <cfRule type="cellIs" dxfId="190" priority="86" operator="greaterThanOrEqual">
      <formula>1.2</formula>
    </cfRule>
  </conditionalFormatting>
  <conditionalFormatting sqref="D9578:D9601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78:G9601">
    <cfRule type="cellIs" dxfId="189" priority="74" operator="between">
      <formula>49</formula>
      <formula>149</formula>
    </cfRule>
    <cfRule type="cellIs" dxfId="188" priority="80" operator="lessThan">
      <formula>49</formula>
    </cfRule>
    <cfRule type="cellIs" dxfId="187" priority="81" operator="greaterThanOrEqual">
      <formula>150</formula>
    </cfRule>
  </conditionalFormatting>
  <conditionalFormatting sqref="F9578:F9601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78:H9601">
    <cfRule type="cellIs" dxfId="186" priority="73" operator="between">
      <formula>0.8</formula>
      <formula>1.2</formula>
    </cfRule>
    <cfRule type="cellIs" dxfId="185" priority="75" operator="lessThan">
      <formula>0.8</formula>
    </cfRule>
    <cfRule type="cellIs" dxfId="184" priority="76" operator="greaterThanOrEqual">
      <formula>1.2</formula>
    </cfRule>
  </conditionalFormatting>
  <conditionalFormatting sqref="D9602:D962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02:G9625">
    <cfRule type="cellIs" dxfId="183" priority="66" operator="between">
      <formula>49</formula>
      <formula>149</formula>
    </cfRule>
    <cfRule type="cellIs" dxfId="182" priority="70" operator="lessThan">
      <formula>49</formula>
    </cfRule>
    <cfRule type="cellIs" dxfId="181" priority="71" operator="greaterThanOrEqual">
      <formula>150</formula>
    </cfRule>
  </conditionalFormatting>
  <conditionalFormatting sqref="F9602:F9625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02:H9625">
    <cfRule type="cellIs" dxfId="180" priority="65" operator="between">
      <formula>0.8</formula>
      <formula>1.2</formula>
    </cfRule>
    <cfRule type="cellIs" dxfId="179" priority="67" operator="lessThan">
      <formula>0.8</formula>
    </cfRule>
    <cfRule type="cellIs" dxfId="178" priority="68" operator="greaterThanOrEqual">
      <formula>1.2</formula>
    </cfRule>
  </conditionalFormatting>
  <conditionalFormatting sqref="D9626:D964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26:G9649">
    <cfRule type="cellIs" dxfId="177" priority="58" operator="between">
      <formula>49</formula>
      <formula>149</formula>
    </cfRule>
    <cfRule type="cellIs" dxfId="176" priority="62" operator="lessThan">
      <formula>49</formula>
    </cfRule>
    <cfRule type="cellIs" dxfId="175" priority="63" operator="greaterThanOrEqual">
      <formula>150</formula>
    </cfRule>
  </conditionalFormatting>
  <conditionalFormatting sqref="F9626:F9649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26:H9649">
    <cfRule type="cellIs" dxfId="174" priority="57" operator="between">
      <formula>0.8</formula>
      <formula>1.2</formula>
    </cfRule>
    <cfRule type="cellIs" dxfId="173" priority="59" operator="lessThan">
      <formula>0.8</formula>
    </cfRule>
    <cfRule type="cellIs" dxfId="172" priority="60" operator="greaterThanOrEqual">
      <formula>1.2</formula>
    </cfRule>
  </conditionalFormatting>
  <conditionalFormatting sqref="D9650:D9673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50:G9673">
    <cfRule type="cellIs" dxfId="171" priority="50" operator="between">
      <formula>49</formula>
      <formula>149</formula>
    </cfRule>
    <cfRule type="cellIs" dxfId="170" priority="54" operator="lessThan">
      <formula>49</formula>
    </cfRule>
    <cfRule type="cellIs" dxfId="169" priority="55" operator="greaterThanOrEqual">
      <formula>150</formula>
    </cfRule>
  </conditionalFormatting>
  <conditionalFormatting sqref="F9650:F9673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50:H9673">
    <cfRule type="cellIs" dxfId="168" priority="49" operator="between">
      <formula>0.8</formula>
      <formula>1.2</formula>
    </cfRule>
    <cfRule type="cellIs" dxfId="167" priority="51" operator="lessThan">
      <formula>0.8</formula>
    </cfRule>
    <cfRule type="cellIs" dxfId="166" priority="52" operator="greaterThanOrEqual">
      <formula>1.2</formula>
    </cfRule>
  </conditionalFormatting>
  <conditionalFormatting sqref="D9674:D969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74:G9697">
    <cfRule type="cellIs" dxfId="165" priority="42" operator="between">
      <formula>49</formula>
      <formula>149</formula>
    </cfRule>
    <cfRule type="cellIs" dxfId="164" priority="46" operator="lessThan">
      <formula>49</formula>
    </cfRule>
    <cfRule type="cellIs" dxfId="163" priority="47" operator="greaterThanOrEqual">
      <formula>150</formula>
    </cfRule>
  </conditionalFormatting>
  <conditionalFormatting sqref="F9674:F969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74:H9697">
    <cfRule type="cellIs" dxfId="162" priority="41" operator="between">
      <formula>0.8</formula>
      <formula>1.2</formula>
    </cfRule>
    <cfRule type="cellIs" dxfId="161" priority="43" operator="lessThan">
      <formula>0.8</formula>
    </cfRule>
    <cfRule type="cellIs" dxfId="160" priority="44" operator="greaterThanOrEqual">
      <formula>1.2</formula>
    </cfRule>
  </conditionalFormatting>
  <conditionalFormatting sqref="D9698:D972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98:G9721">
    <cfRule type="cellIs" dxfId="159" priority="34" operator="between">
      <formula>49</formula>
      <formula>149</formula>
    </cfRule>
    <cfRule type="cellIs" dxfId="158" priority="38" operator="lessThan">
      <formula>49</formula>
    </cfRule>
    <cfRule type="cellIs" dxfId="157" priority="39" operator="greaterThanOrEqual">
      <formula>150</formula>
    </cfRule>
  </conditionalFormatting>
  <conditionalFormatting sqref="F9698:F972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98:H9721">
    <cfRule type="cellIs" dxfId="156" priority="33" operator="between">
      <formula>0.8</formula>
      <formula>1.2</formula>
    </cfRule>
    <cfRule type="cellIs" dxfId="155" priority="35" operator="lessThan">
      <formula>0.8</formula>
    </cfRule>
    <cfRule type="cellIs" dxfId="154" priority="36" operator="greaterThanOrEqual">
      <formula>1.2</formula>
    </cfRule>
  </conditionalFormatting>
  <conditionalFormatting sqref="D9722:D974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22:G9745">
    <cfRule type="cellIs" dxfId="153" priority="26" operator="between">
      <formula>49</formula>
      <formula>149</formula>
    </cfRule>
    <cfRule type="cellIs" dxfId="152" priority="30" operator="lessThan">
      <formula>49</formula>
    </cfRule>
    <cfRule type="cellIs" dxfId="151" priority="31" operator="greaterThanOrEqual">
      <formula>150</formula>
    </cfRule>
  </conditionalFormatting>
  <conditionalFormatting sqref="F9722:F974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22:H9745">
    <cfRule type="cellIs" dxfId="150" priority="25" operator="between">
      <formula>0.8</formula>
      <formula>1.2</formula>
    </cfRule>
    <cfRule type="cellIs" dxfId="149" priority="27" operator="lessThan">
      <formula>0.8</formula>
    </cfRule>
    <cfRule type="cellIs" dxfId="148" priority="28" operator="greaterThanOrEqual">
      <formula>1.2</formula>
    </cfRule>
  </conditionalFormatting>
  <conditionalFormatting sqref="D9746:D976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46:G9769">
    <cfRule type="cellIs" dxfId="147" priority="18" operator="between">
      <formula>49</formula>
      <formula>149</formula>
    </cfRule>
    <cfRule type="cellIs" dxfId="146" priority="22" operator="lessThan">
      <formula>49</formula>
    </cfRule>
    <cfRule type="cellIs" dxfId="145" priority="23" operator="greaterThanOrEqual">
      <formula>150</formula>
    </cfRule>
  </conditionalFormatting>
  <conditionalFormatting sqref="F9746:F976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46:H9769">
    <cfRule type="cellIs" dxfId="144" priority="17" operator="between">
      <formula>0.8</formula>
      <formula>1.2</formula>
    </cfRule>
    <cfRule type="cellIs" dxfId="143" priority="19" operator="lessThan">
      <formula>0.8</formula>
    </cfRule>
    <cfRule type="cellIs" dxfId="142" priority="20" operator="greaterThanOrEqual">
      <formula>1.2</formula>
    </cfRule>
  </conditionalFormatting>
  <conditionalFormatting sqref="D9770:D979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70:G9793">
    <cfRule type="cellIs" dxfId="11" priority="10" operator="between">
      <formula>49</formula>
      <formula>149</formula>
    </cfRule>
    <cfRule type="cellIs" dxfId="10" priority="14" operator="lessThan">
      <formula>49</formula>
    </cfRule>
    <cfRule type="cellIs" dxfId="9" priority="15" operator="greaterThanOrEqual">
      <formula>150</formula>
    </cfRule>
  </conditionalFormatting>
  <conditionalFormatting sqref="F9770:F979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70:H9793">
    <cfRule type="cellIs" dxfId="8" priority="9" operator="between">
      <formula>0.8</formula>
      <formula>1.2</formula>
    </cfRule>
    <cfRule type="cellIs" dxfId="7" priority="11" operator="lessThan">
      <formula>0.8</formula>
    </cfRule>
    <cfRule type="cellIs" dxfId="6" priority="12" operator="greaterThanOrEqual">
      <formula>1.2</formula>
    </cfRule>
  </conditionalFormatting>
  <conditionalFormatting sqref="D9794:D981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94:G9817">
    <cfRule type="cellIs" dxfId="5" priority="2" operator="between">
      <formula>49</formula>
      <formula>149</formula>
    </cfRule>
    <cfRule type="cellIs" dxfId="4" priority="6" operator="lessThan">
      <formula>49</formula>
    </cfRule>
    <cfRule type="cellIs" dxfId="3" priority="7" operator="greaterThanOrEqual">
      <formula>150</formula>
    </cfRule>
  </conditionalFormatting>
  <conditionalFormatting sqref="F9794:F981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94:H9817">
    <cfRule type="cellIs" dxfId="2" priority="1" operator="between">
      <formula>0.8</formula>
      <formula>1.2</formula>
    </cfRule>
    <cfRule type="cellIs" dxfId="1" priority="3" operator="lessThan">
      <formula>0.8</formula>
    </cfRule>
    <cfRule type="cellIs" dxfId="0" priority="4" operator="greaterThanOrEqual">
      <formula>1.2</formula>
    </cfRule>
  </conditionalFormatting>
  <pageMargins left="0.7" right="0.7" top="0.75" bottom="0.75" header="0.3" footer="0.3"/>
  <pageSetup orientation="portrait" r:id="rId1"/>
  <ignoredErrors>
    <ignoredError sqref="E4826:E4828 E4830:E484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2420-F7FE-4B56-AA03-6CD9E010AACC}">
  <sheetPr codeName="Hoja6"/>
  <dimension ref="A1:X40"/>
  <sheetViews>
    <sheetView topLeftCell="I6" zoomScale="55" zoomScaleNormal="55" workbookViewId="0">
      <selection activeCell="N1" sqref="M1:O26"/>
    </sheetView>
  </sheetViews>
  <sheetFormatPr baseColWidth="10" defaultRowHeight="15.75" x14ac:dyDescent="0.25"/>
  <cols>
    <col min="1" max="2" width="11.42578125" style="71"/>
    <col min="3" max="3" width="19" style="55" customWidth="1"/>
    <col min="4" max="5" width="11.42578125" style="56"/>
    <col min="6" max="6" width="18.140625" style="56" customWidth="1"/>
    <col min="7" max="7" width="12.85546875" style="56" customWidth="1"/>
    <col min="8" max="8" width="17.7109375" style="56" customWidth="1"/>
    <col min="9" max="12" width="11.42578125" style="71"/>
    <col min="13" max="13" width="30.42578125" style="71" customWidth="1"/>
    <col min="14" max="14" width="18.42578125" style="71" customWidth="1"/>
    <col min="15" max="17" width="18.28515625" style="71" customWidth="1"/>
    <col min="18" max="18" width="24.5703125" style="71" customWidth="1"/>
    <col min="19" max="19" width="13.140625" style="71" customWidth="1"/>
    <col min="20" max="20" width="24.5703125" style="55" customWidth="1"/>
    <col min="21" max="21" width="11.42578125" style="71" customWidth="1"/>
    <col min="22" max="22" width="11.42578125" style="55" customWidth="1"/>
    <col min="23" max="23" width="17.7109375" style="55" customWidth="1"/>
    <col min="24" max="24" width="19.7109375" style="55" customWidth="1"/>
    <col min="25" max="16384" width="11.42578125" style="55"/>
  </cols>
  <sheetData>
    <row r="1" spans="1:24" s="71" customFormat="1" ht="52.5" customHeight="1" thickBot="1" x14ac:dyDescent="0.3">
      <c r="C1" s="379" t="s">
        <v>107</v>
      </c>
      <c r="D1" s="379"/>
      <c r="E1" s="379"/>
      <c r="F1" s="379"/>
      <c r="G1" s="379"/>
      <c r="H1" s="379"/>
      <c r="K1" s="92"/>
      <c r="M1" s="205"/>
      <c r="N1" s="380" t="s">
        <v>115</v>
      </c>
      <c r="O1" s="380"/>
      <c r="P1" s="245"/>
      <c r="Q1" s="245"/>
      <c r="R1" s="205"/>
      <c r="S1" s="205"/>
      <c r="T1" s="205"/>
      <c r="U1" s="205"/>
      <c r="W1" s="380" t="s">
        <v>115</v>
      </c>
      <c r="X1" s="380"/>
    </row>
    <row r="2" spans="1:24" ht="58.5" customHeight="1" x14ac:dyDescent="0.25">
      <c r="C2" s="59" t="s">
        <v>24</v>
      </c>
      <c r="D2" s="60">
        <v>44043</v>
      </c>
      <c r="E2" s="60">
        <v>44074</v>
      </c>
      <c r="F2" s="61" t="s">
        <v>106</v>
      </c>
      <c r="G2" s="62" t="s">
        <v>104</v>
      </c>
      <c r="H2" s="63" t="s">
        <v>105</v>
      </c>
      <c r="K2" s="92"/>
      <c r="M2" s="59" t="s">
        <v>24</v>
      </c>
      <c r="N2" s="60" t="s">
        <v>114</v>
      </c>
      <c r="O2" s="60" t="s">
        <v>119</v>
      </c>
      <c r="P2" s="60" t="s">
        <v>120</v>
      </c>
      <c r="Q2" s="60"/>
      <c r="R2" s="61" t="s">
        <v>106</v>
      </c>
      <c r="S2" s="62" t="s">
        <v>104</v>
      </c>
      <c r="T2" s="63" t="s">
        <v>108</v>
      </c>
      <c r="W2" s="60" t="s">
        <v>116</v>
      </c>
      <c r="X2" s="60" t="s">
        <v>117</v>
      </c>
    </row>
    <row r="3" spans="1:24" s="56" customFormat="1" ht="27.95" customHeight="1" x14ac:dyDescent="0.25">
      <c r="A3" s="72"/>
      <c r="B3" s="72"/>
      <c r="C3" s="64" t="s">
        <v>16</v>
      </c>
      <c r="D3" s="57">
        <v>49911</v>
      </c>
      <c r="E3" s="57">
        <v>156669</v>
      </c>
      <c r="F3" s="58">
        <f>(E3-D3)/D3</f>
        <v>2.1389673619041893</v>
      </c>
      <c r="G3" s="57">
        <v>316506</v>
      </c>
      <c r="H3" s="65">
        <f>(G3-E3)/E3</f>
        <v>1.0202209754322809</v>
      </c>
      <c r="I3" s="72"/>
      <c r="J3" s="72"/>
      <c r="K3" s="92"/>
      <c r="L3" s="72"/>
      <c r="M3" s="64" t="s">
        <v>16</v>
      </c>
      <c r="N3" s="208">
        <v>739.3475715177251</v>
      </c>
      <c r="O3" s="256">
        <v>2.1507819366822005</v>
      </c>
      <c r="P3" s="246"/>
      <c r="Q3" s="246"/>
      <c r="R3" s="206">
        <v>781378</v>
      </c>
      <c r="S3" s="73">
        <v>81</v>
      </c>
      <c r="T3" s="74">
        <v>24194</v>
      </c>
      <c r="U3" s="56">
        <v>2749</v>
      </c>
      <c r="V3" s="50">
        <v>17541141</v>
      </c>
      <c r="W3" s="208">
        <v>153.54189331241338</v>
      </c>
      <c r="X3" s="208">
        <f>U3/V3*100000</f>
        <v>15.671728538069445</v>
      </c>
    </row>
    <row r="4" spans="1:24" s="56" customFormat="1" ht="27.95" customHeight="1" x14ac:dyDescent="0.25">
      <c r="A4" s="72"/>
      <c r="B4" s="72"/>
      <c r="C4" s="66" t="s">
        <v>43</v>
      </c>
      <c r="D4" s="57">
        <v>36520</v>
      </c>
      <c r="E4" s="57">
        <v>71086</v>
      </c>
      <c r="F4" s="58">
        <f t="shared" ref="F4:F26" si="0">(E4-D4)/D4</f>
        <v>0.94649507119386633</v>
      </c>
      <c r="G4" s="57">
        <v>107857</v>
      </c>
      <c r="H4" s="65">
        <f t="shared" ref="H4:H26" si="1">(G4-E4)/E4</f>
        <v>0.51727485018147035</v>
      </c>
      <c r="I4" s="72"/>
      <c r="J4" s="72"/>
      <c r="K4" s="92"/>
      <c r="L4" s="72"/>
      <c r="M4" s="66" t="s">
        <v>43</v>
      </c>
      <c r="N4" s="208">
        <v>1085.7231293848511</v>
      </c>
      <c r="O4" s="256">
        <v>2.0367795059469351</v>
      </c>
      <c r="P4" s="246"/>
      <c r="Q4" s="246"/>
      <c r="R4" s="206">
        <v>203707</v>
      </c>
      <c r="S4" s="73">
        <v>26</v>
      </c>
      <c r="T4" s="74">
        <v>5783</v>
      </c>
      <c r="U4" s="56">
        <v>1094</v>
      </c>
      <c r="V4" s="50">
        <v>3075646</v>
      </c>
      <c r="W4" s="208">
        <v>253.89788031522482</v>
      </c>
      <c r="X4" s="208">
        <f t="shared" ref="X4:X26" si="2">U4/V4*100000</f>
        <v>35.569763230228709</v>
      </c>
    </row>
    <row r="5" spans="1:24" s="56" customFormat="1" ht="27.95" customHeight="1" x14ac:dyDescent="0.25">
      <c r="A5" s="72"/>
      <c r="B5" s="72"/>
      <c r="C5" s="66" t="s">
        <v>28</v>
      </c>
      <c r="D5" s="57">
        <v>38</v>
      </c>
      <c r="E5" s="57">
        <v>62</v>
      </c>
      <c r="F5" s="58">
        <f t="shared" si="0"/>
        <v>0.63157894736842102</v>
      </c>
      <c r="G5" s="57">
        <v>111</v>
      </c>
      <c r="H5" s="65">
        <f t="shared" si="1"/>
        <v>0.79032258064516125</v>
      </c>
      <c r="I5" s="72"/>
      <c r="J5" s="72"/>
      <c r="K5" s="92"/>
      <c r="L5" s="72"/>
      <c r="M5" s="66" t="s">
        <v>28</v>
      </c>
      <c r="N5" s="208">
        <v>415.22441375126976</v>
      </c>
      <c r="O5" s="256">
        <v>1.5653357531760435</v>
      </c>
      <c r="P5" s="246"/>
      <c r="Q5" s="246"/>
      <c r="R5" s="206">
        <v>4761</v>
      </c>
      <c r="S5" s="73"/>
      <c r="T5" s="74">
        <v>17</v>
      </c>
      <c r="U5" s="56">
        <v>30</v>
      </c>
      <c r="V5" s="50">
        <v>415438</v>
      </c>
      <c r="W5" s="208">
        <v>125.40980844313714</v>
      </c>
      <c r="X5" s="208">
        <f t="shared" si="2"/>
        <v>7.2212941521959957</v>
      </c>
    </row>
    <row r="6" spans="1:24" s="56" customFormat="1" ht="27.95" customHeight="1" x14ac:dyDescent="0.25">
      <c r="A6" s="72"/>
      <c r="B6" s="72"/>
      <c r="C6" s="66" t="s">
        <v>15</v>
      </c>
      <c r="D6" s="57">
        <v>2496</v>
      </c>
      <c r="E6" s="57">
        <v>4085</v>
      </c>
      <c r="F6" s="58">
        <f t="shared" si="0"/>
        <v>0.63661858974358976</v>
      </c>
      <c r="G6" s="57">
        <v>6418</v>
      </c>
      <c r="H6" s="65">
        <f t="shared" si="1"/>
        <v>0.57111383108935132</v>
      </c>
      <c r="I6" s="72"/>
      <c r="J6" s="72"/>
      <c r="K6" s="92"/>
      <c r="L6" s="72"/>
      <c r="M6" s="66" t="s">
        <v>15</v>
      </c>
      <c r="N6" s="208">
        <v>214.68758639182892</v>
      </c>
      <c r="O6" s="256">
        <v>1.1933548684817721</v>
      </c>
      <c r="P6" s="246"/>
      <c r="Q6" s="246"/>
      <c r="R6" s="206">
        <v>29890</v>
      </c>
      <c r="S6" s="73">
        <v>5</v>
      </c>
      <c r="T6" s="74">
        <v>777</v>
      </c>
      <c r="U6" s="56">
        <v>76</v>
      </c>
      <c r="V6" s="50">
        <v>1204541</v>
      </c>
      <c r="W6" s="208">
        <v>102.7777385742785</v>
      </c>
      <c r="X6" s="208">
        <f t="shared" si="2"/>
        <v>6.3094572953515078</v>
      </c>
    </row>
    <row r="7" spans="1:24" s="56" customFormat="1" ht="27.95" customHeight="1" x14ac:dyDescent="0.25">
      <c r="A7" s="72"/>
      <c r="B7" s="72"/>
      <c r="C7" s="66" t="s">
        <v>29</v>
      </c>
      <c r="D7" s="57">
        <v>196</v>
      </c>
      <c r="E7" s="57">
        <v>351</v>
      </c>
      <c r="F7" s="58">
        <f t="shared" si="0"/>
        <v>0.79081632653061229</v>
      </c>
      <c r="G7" s="57">
        <v>1390</v>
      </c>
      <c r="H7" s="65">
        <f t="shared" si="1"/>
        <v>2.9601139601139601</v>
      </c>
      <c r="I7" s="72"/>
      <c r="J7" s="72"/>
      <c r="K7" s="72"/>
      <c r="L7" s="72"/>
      <c r="M7" s="66" t="s">
        <v>29</v>
      </c>
      <c r="N7" s="208">
        <v>302.91085212457631</v>
      </c>
      <c r="O7" s="256">
        <v>1.1460880195599021</v>
      </c>
      <c r="P7" s="246"/>
      <c r="Q7" s="246"/>
      <c r="R7" s="206">
        <v>40560</v>
      </c>
      <c r="S7" s="73">
        <v>11</v>
      </c>
      <c r="T7" s="74">
        <v>605</v>
      </c>
      <c r="U7" s="56">
        <v>304</v>
      </c>
      <c r="V7" s="50">
        <v>618994</v>
      </c>
      <c r="W7" s="208">
        <v>345.56070010371667</v>
      </c>
      <c r="X7" s="208">
        <f t="shared" si="2"/>
        <v>49.111946157797973</v>
      </c>
    </row>
    <row r="8" spans="1:24" s="56" customFormat="1" ht="27.95" customHeight="1" x14ac:dyDescent="0.25">
      <c r="A8" s="72"/>
      <c r="B8" s="72"/>
      <c r="C8" s="66" t="s">
        <v>20</v>
      </c>
      <c r="D8" s="57">
        <v>855</v>
      </c>
      <c r="E8" s="57">
        <v>3685</v>
      </c>
      <c r="F8" s="58">
        <f t="shared" si="0"/>
        <v>3.3099415204678362</v>
      </c>
      <c r="G8" s="57">
        <v>13009</v>
      </c>
      <c r="H8" s="65">
        <f t="shared" si="1"/>
        <v>2.5302578018995932</v>
      </c>
      <c r="I8" s="72"/>
      <c r="J8" s="72"/>
      <c r="K8" s="72"/>
      <c r="L8" s="72"/>
      <c r="M8" s="66" t="s">
        <v>30</v>
      </c>
      <c r="N8" s="208">
        <v>343.59355496649272</v>
      </c>
      <c r="O8" s="256">
        <v>0.83808487486398264</v>
      </c>
      <c r="P8" s="246"/>
      <c r="Q8" s="246"/>
      <c r="R8" s="206">
        <v>16463</v>
      </c>
      <c r="S8" s="73">
        <v>1</v>
      </c>
      <c r="T8" s="74">
        <v>2566</v>
      </c>
      <c r="U8" s="56">
        <v>160</v>
      </c>
      <c r="V8" s="50">
        <v>3760450</v>
      </c>
      <c r="W8" s="208">
        <v>23.98649097847332</v>
      </c>
      <c r="X8" s="208">
        <f t="shared" si="2"/>
        <v>4.2548099296626738</v>
      </c>
    </row>
    <row r="9" spans="1:24" s="56" customFormat="1" ht="27.95" customHeight="1" x14ac:dyDescent="0.25">
      <c r="A9" s="72"/>
      <c r="B9" s="72"/>
      <c r="C9" s="66" t="s">
        <v>30</v>
      </c>
      <c r="D9" s="57">
        <v>126</v>
      </c>
      <c r="E9" s="57">
        <v>216</v>
      </c>
      <c r="F9" s="58">
        <f t="shared" si="0"/>
        <v>0.7142857142857143</v>
      </c>
      <c r="G9" s="57">
        <v>491</v>
      </c>
      <c r="H9" s="65">
        <f t="shared" si="1"/>
        <v>1.2731481481481481</v>
      </c>
      <c r="I9" s="72"/>
      <c r="J9" s="72"/>
      <c r="K9" s="72"/>
      <c r="L9" s="72"/>
      <c r="M9" s="66" t="s">
        <v>20</v>
      </c>
      <c r="N9" s="208">
        <v>531.93101889401532</v>
      </c>
      <c r="O9" s="256">
        <v>1.8553937482608291</v>
      </c>
      <c r="P9" s="246"/>
      <c r="Q9" s="246"/>
      <c r="R9" s="206">
        <v>141824</v>
      </c>
      <c r="S9" s="73">
        <v>9</v>
      </c>
      <c r="T9" s="74">
        <v>252</v>
      </c>
      <c r="U9" s="56">
        <v>340</v>
      </c>
      <c r="V9" s="50">
        <v>1120801</v>
      </c>
      <c r="W9" s="208">
        <v>333.77914545044126</v>
      </c>
      <c r="X9" s="208">
        <f t="shared" si="2"/>
        <v>30.335447595068167</v>
      </c>
    </row>
    <row r="10" spans="1:24" s="56" customFormat="1" ht="27.95" customHeight="1" x14ac:dyDescent="0.25">
      <c r="A10" s="72"/>
      <c r="B10" s="72"/>
      <c r="C10" s="66" t="s">
        <v>31</v>
      </c>
      <c r="D10" s="57">
        <v>401</v>
      </c>
      <c r="E10" s="57">
        <v>1208</v>
      </c>
      <c r="F10" s="58">
        <f t="shared" si="0"/>
        <v>2.0124688279301743</v>
      </c>
      <c r="G10" s="57">
        <v>4844</v>
      </c>
      <c r="H10" s="65">
        <f t="shared" si="1"/>
        <v>3.0099337748344372</v>
      </c>
      <c r="I10" s="72"/>
      <c r="J10" s="72"/>
      <c r="K10" s="72"/>
      <c r="L10" s="72"/>
      <c r="M10" s="66" t="s">
        <v>31</v>
      </c>
      <c r="N10" s="208">
        <v>332.47688787779742</v>
      </c>
      <c r="O10" s="256">
        <v>1.8120330318521432</v>
      </c>
      <c r="P10" s="246"/>
      <c r="Q10" s="246"/>
      <c r="R10" s="206">
        <v>39375</v>
      </c>
      <c r="S10" s="73">
        <v>10</v>
      </c>
      <c r="T10" s="74">
        <v>680</v>
      </c>
      <c r="U10" s="56">
        <v>302</v>
      </c>
      <c r="V10" s="50">
        <v>1385961</v>
      </c>
      <c r="W10" s="208">
        <v>190.69800665386688</v>
      </c>
      <c r="X10" s="208">
        <f t="shared" si="2"/>
        <v>21.789934926018841</v>
      </c>
    </row>
    <row r="11" spans="1:24" s="56" customFormat="1" ht="27.95" customHeight="1" x14ac:dyDescent="0.25">
      <c r="A11" s="72"/>
      <c r="B11" s="72"/>
      <c r="C11" s="66" t="s">
        <v>41</v>
      </c>
      <c r="D11" s="57">
        <v>76</v>
      </c>
      <c r="E11" s="57">
        <v>87</v>
      </c>
      <c r="F11" s="58">
        <f t="shared" si="0"/>
        <v>0.14473684210526316</v>
      </c>
      <c r="G11" s="57">
        <v>92</v>
      </c>
      <c r="H11" s="65">
        <f t="shared" si="1"/>
        <v>5.7471264367816091E-2</v>
      </c>
      <c r="I11" s="72"/>
      <c r="J11" s="72"/>
      <c r="K11" s="72"/>
      <c r="L11" s="72"/>
      <c r="M11" s="66" t="s">
        <v>41</v>
      </c>
      <c r="N11" s="208">
        <v>159.94897495509696</v>
      </c>
      <c r="O11" s="256">
        <v>1.5868852459016394</v>
      </c>
      <c r="P11" s="246"/>
      <c r="Q11" s="246"/>
      <c r="R11" s="206">
        <v>807</v>
      </c>
      <c r="S11" s="73"/>
      <c r="T11" s="74">
        <v>6</v>
      </c>
      <c r="U11" s="56">
        <v>1</v>
      </c>
      <c r="V11" s="50">
        <v>605193</v>
      </c>
      <c r="W11" s="208">
        <v>21.645987313138122</v>
      </c>
      <c r="X11" s="208">
        <f t="shared" si="2"/>
        <v>0.16523654437510019</v>
      </c>
    </row>
    <row r="12" spans="1:24" s="56" customFormat="1" ht="27.95" customHeight="1" x14ac:dyDescent="0.25">
      <c r="A12" s="72"/>
      <c r="B12" s="72"/>
      <c r="C12" s="66" t="s">
        <v>32</v>
      </c>
      <c r="D12" s="57">
        <v>334</v>
      </c>
      <c r="E12" s="57">
        <v>3559</v>
      </c>
      <c r="F12" s="58">
        <f t="shared" si="0"/>
        <v>9.6556886227544911</v>
      </c>
      <c r="G12" s="57">
        <v>11397</v>
      </c>
      <c r="H12" s="65">
        <f t="shared" si="1"/>
        <v>2.2023040179825792</v>
      </c>
      <c r="I12" s="72"/>
      <c r="J12" s="72"/>
      <c r="K12" s="72"/>
      <c r="L12" s="72"/>
      <c r="M12" s="66" t="s">
        <v>32</v>
      </c>
      <c r="N12" s="208">
        <v>107.5392959484019</v>
      </c>
      <c r="O12" s="256">
        <v>1.3567921440261865</v>
      </c>
      <c r="P12" s="246"/>
      <c r="Q12" s="246"/>
      <c r="R12" s="206">
        <v>19100</v>
      </c>
      <c r="S12" s="73"/>
      <c r="T12" s="74">
        <v>866</v>
      </c>
      <c r="U12" s="56">
        <v>7</v>
      </c>
      <c r="V12" s="50">
        <v>770881</v>
      </c>
      <c r="W12" s="208">
        <v>23.739072567620685</v>
      </c>
      <c r="X12" s="208">
        <f t="shared" si="2"/>
        <v>0.9080519561384961</v>
      </c>
    </row>
    <row r="13" spans="1:24" s="56" customFormat="1" ht="27.95" customHeight="1" x14ac:dyDescent="0.25">
      <c r="A13" s="72"/>
      <c r="B13" s="72"/>
      <c r="C13" s="66" t="s">
        <v>33</v>
      </c>
      <c r="D13" s="57">
        <v>7</v>
      </c>
      <c r="E13" s="57">
        <v>208</v>
      </c>
      <c r="F13" s="58">
        <f t="shared" si="0"/>
        <v>28.714285714285715</v>
      </c>
      <c r="G13" s="57">
        <v>294</v>
      </c>
      <c r="H13" s="65">
        <f t="shared" si="1"/>
        <v>0.41346153846153844</v>
      </c>
      <c r="I13" s="72"/>
      <c r="J13" s="72"/>
      <c r="K13" s="72"/>
      <c r="L13" s="72"/>
      <c r="M13" s="66" t="s">
        <v>33</v>
      </c>
      <c r="N13" s="208">
        <v>510.56279085339321</v>
      </c>
      <c r="O13" s="256">
        <v>1.7231638418079096</v>
      </c>
      <c r="P13" s="246"/>
      <c r="Q13" s="246"/>
      <c r="R13" s="206">
        <v>15894</v>
      </c>
      <c r="S13" s="73">
        <v>12</v>
      </c>
      <c r="T13" s="74">
        <v>223</v>
      </c>
      <c r="U13" s="56">
        <v>101</v>
      </c>
      <c r="V13" s="50">
        <v>358428</v>
      </c>
      <c r="W13" s="208">
        <v>213.71098240092851</v>
      </c>
      <c r="X13" s="208">
        <f t="shared" si="2"/>
        <v>28.178602118138095</v>
      </c>
    </row>
    <row r="14" spans="1:24" s="56" customFormat="1" ht="27.95" customHeight="1" x14ac:dyDescent="0.25">
      <c r="A14" s="72"/>
      <c r="B14" s="72"/>
      <c r="C14" s="66" t="s">
        <v>21</v>
      </c>
      <c r="D14" s="57">
        <v>131</v>
      </c>
      <c r="E14" s="57">
        <v>518</v>
      </c>
      <c r="F14" s="58">
        <f t="shared" si="0"/>
        <v>2.9541984732824429</v>
      </c>
      <c r="G14" s="57">
        <v>2503</v>
      </c>
      <c r="H14" s="65">
        <f t="shared" si="1"/>
        <v>3.8320463320463318</v>
      </c>
      <c r="I14" s="72"/>
      <c r="J14" s="72"/>
      <c r="K14" s="72"/>
      <c r="L14" s="72"/>
      <c r="M14" s="66" t="s">
        <v>21</v>
      </c>
      <c r="N14" s="208">
        <v>274.69246387196944</v>
      </c>
      <c r="O14" s="256">
        <v>2.0357815442561207</v>
      </c>
      <c r="P14" s="246"/>
      <c r="Q14" s="246"/>
      <c r="R14" s="206">
        <v>9441</v>
      </c>
      <c r="S14" s="73">
        <v>1</v>
      </c>
      <c r="T14" s="74">
        <v>405</v>
      </c>
      <c r="U14" s="56">
        <v>3</v>
      </c>
      <c r="V14" s="50">
        <v>393531</v>
      </c>
      <c r="W14" s="208">
        <v>30.747260063374931</v>
      </c>
      <c r="X14" s="208">
        <f t="shared" si="2"/>
        <v>0.76232876190185772</v>
      </c>
    </row>
    <row r="15" spans="1:24" s="56" customFormat="1" ht="27.95" customHeight="1" x14ac:dyDescent="0.25">
      <c r="A15" s="72"/>
      <c r="B15" s="72"/>
      <c r="C15" s="66" t="s">
        <v>17</v>
      </c>
      <c r="D15" s="57">
        <v>263</v>
      </c>
      <c r="E15" s="57">
        <v>2240</v>
      </c>
      <c r="F15" s="58">
        <f t="shared" si="0"/>
        <v>7.5171102661596958</v>
      </c>
      <c r="G15" s="57">
        <v>12365</v>
      </c>
      <c r="H15" s="65">
        <f t="shared" si="1"/>
        <v>4.5200892857142856</v>
      </c>
      <c r="I15" s="72"/>
      <c r="J15" s="72"/>
      <c r="K15" s="72"/>
      <c r="L15" s="72"/>
      <c r="M15" s="66" t="s">
        <v>17</v>
      </c>
      <c r="N15" s="208">
        <v>482.68183594947186</v>
      </c>
      <c r="O15" s="256">
        <v>3.0021874999999998</v>
      </c>
      <c r="P15" s="246"/>
      <c r="Q15" s="246"/>
      <c r="R15" s="206">
        <v>63210</v>
      </c>
      <c r="S15" s="73">
        <v>3</v>
      </c>
      <c r="T15" s="74">
        <v>1321</v>
      </c>
      <c r="U15" s="56">
        <v>55</v>
      </c>
      <c r="V15" s="50">
        <v>1990338</v>
      </c>
      <c r="W15" s="208">
        <v>46.173062062825508</v>
      </c>
      <c r="X15" s="208">
        <f t="shared" si="2"/>
        <v>2.7633497426065321</v>
      </c>
    </row>
    <row r="16" spans="1:24" s="56" customFormat="1" ht="27.95" customHeight="1" x14ac:dyDescent="0.25">
      <c r="A16" s="72"/>
      <c r="B16" s="72"/>
      <c r="C16" s="66" t="s">
        <v>23</v>
      </c>
      <c r="D16" s="57">
        <v>49</v>
      </c>
      <c r="E16" s="57">
        <v>61</v>
      </c>
      <c r="F16" s="58">
        <f t="shared" si="0"/>
        <v>0.24489795918367346</v>
      </c>
      <c r="G16" s="57">
        <v>65</v>
      </c>
      <c r="H16" s="65">
        <f t="shared" si="1"/>
        <v>6.5573770491803282E-2</v>
      </c>
      <c r="I16" s="72"/>
      <c r="J16" s="72"/>
      <c r="K16" s="72"/>
      <c r="L16" s="72"/>
      <c r="M16" s="66" t="s">
        <v>23</v>
      </c>
      <c r="N16" s="208">
        <v>135.25791766233723</v>
      </c>
      <c r="O16" s="256">
        <v>0.97933409873708377</v>
      </c>
      <c r="P16" s="246"/>
      <c r="Q16" s="246"/>
      <c r="R16" s="206">
        <v>3612</v>
      </c>
      <c r="S16" s="73"/>
      <c r="T16" s="74">
        <v>64</v>
      </c>
      <c r="U16" s="56">
        <v>145</v>
      </c>
      <c r="V16" s="50">
        <v>1261294</v>
      </c>
      <c r="W16" s="208">
        <v>101.80021470014128</v>
      </c>
      <c r="X16" s="208">
        <f t="shared" si="2"/>
        <v>11.496130164735581</v>
      </c>
    </row>
    <row r="17" spans="1:24" s="56" customFormat="1" ht="27.95" customHeight="1" x14ac:dyDescent="0.25">
      <c r="A17" s="72"/>
      <c r="B17" s="72"/>
      <c r="C17" s="66" t="s">
        <v>19</v>
      </c>
      <c r="D17" s="57">
        <v>654</v>
      </c>
      <c r="E17" s="57">
        <v>1483</v>
      </c>
      <c r="F17" s="58">
        <f t="shared" si="0"/>
        <v>1.2675840978593271</v>
      </c>
      <c r="G17" s="57">
        <v>4298</v>
      </c>
      <c r="H17" s="65">
        <f t="shared" si="1"/>
        <v>1.8981793661496966</v>
      </c>
      <c r="I17" s="72"/>
      <c r="J17" s="72"/>
      <c r="K17" s="72"/>
      <c r="L17" s="72"/>
      <c r="M17" s="66" t="s">
        <v>19</v>
      </c>
      <c r="N17" s="208">
        <v>281.3011533648467</v>
      </c>
      <c r="O17" s="256">
        <v>1.1523750771128933</v>
      </c>
      <c r="P17" s="246"/>
      <c r="Q17" s="246"/>
      <c r="R17" s="206">
        <v>51537</v>
      </c>
      <c r="S17" s="73">
        <v>2</v>
      </c>
      <c r="T17" s="74">
        <v>765</v>
      </c>
      <c r="U17" s="56">
        <v>552</v>
      </c>
      <c r="V17" s="50">
        <v>664057</v>
      </c>
      <c r="W17" s="208">
        <v>430.38474106891431</v>
      </c>
      <c r="X17" s="208">
        <f t="shared" si="2"/>
        <v>83.12539435620738</v>
      </c>
    </row>
    <row r="18" spans="1:24" s="56" customFormat="1" ht="27.95" customHeight="1" x14ac:dyDescent="0.25">
      <c r="A18" s="72"/>
      <c r="B18" s="72"/>
      <c r="C18" s="66" t="s">
        <v>18</v>
      </c>
      <c r="D18" s="57">
        <v>1057</v>
      </c>
      <c r="E18" s="57">
        <v>3008</v>
      </c>
      <c r="F18" s="58">
        <f t="shared" si="0"/>
        <v>1.8457899716177861</v>
      </c>
      <c r="G18" s="57">
        <v>8042</v>
      </c>
      <c r="H18" s="65">
        <f t="shared" si="1"/>
        <v>1.6735372340425532</v>
      </c>
      <c r="I18" s="72"/>
      <c r="J18" s="72"/>
      <c r="K18" s="72"/>
      <c r="L18" s="72"/>
      <c r="M18" s="66" t="s">
        <v>18</v>
      </c>
      <c r="N18" s="208">
        <v>270.0605930899801</v>
      </c>
      <c r="O18" s="256">
        <v>1.530705079605762</v>
      </c>
      <c r="P18" s="246"/>
      <c r="Q18" s="246"/>
      <c r="R18" s="206">
        <v>46233</v>
      </c>
      <c r="S18" s="73">
        <v>4</v>
      </c>
      <c r="T18" s="74">
        <v>1037</v>
      </c>
      <c r="U18" s="56">
        <v>255</v>
      </c>
      <c r="V18" s="50">
        <v>747610</v>
      </c>
      <c r="W18" s="208">
        <v>277.28361043859769</v>
      </c>
      <c r="X18" s="208">
        <f t="shared" si="2"/>
        <v>34.108693035138643</v>
      </c>
    </row>
    <row r="19" spans="1:24" s="56" customFormat="1" ht="27.95" customHeight="1" x14ac:dyDescent="0.25">
      <c r="A19" s="72"/>
      <c r="B19" s="72"/>
      <c r="C19" s="66" t="s">
        <v>34</v>
      </c>
      <c r="D19" s="57">
        <v>86</v>
      </c>
      <c r="E19" s="57">
        <v>611</v>
      </c>
      <c r="F19" s="58">
        <f t="shared" si="0"/>
        <v>6.1046511627906979</v>
      </c>
      <c r="G19" s="57">
        <v>5837</v>
      </c>
      <c r="H19" s="65">
        <f t="shared" si="1"/>
        <v>8.5531914893617014</v>
      </c>
      <c r="I19" s="72"/>
      <c r="J19" s="72"/>
      <c r="K19" s="72"/>
      <c r="L19" s="72"/>
      <c r="M19" s="66" t="s">
        <v>34</v>
      </c>
      <c r="N19" s="208">
        <v>157.32973321342294</v>
      </c>
      <c r="O19" s="256">
        <v>1.5803949224259521</v>
      </c>
      <c r="P19" s="246"/>
      <c r="Q19" s="246"/>
      <c r="R19" s="206">
        <v>23464</v>
      </c>
      <c r="S19" s="73">
        <v>1</v>
      </c>
      <c r="T19" s="74">
        <v>1049</v>
      </c>
      <c r="U19" s="56">
        <v>22</v>
      </c>
      <c r="V19" s="50">
        <v>1424397</v>
      </c>
      <c r="W19" s="208">
        <v>25.063237285672464</v>
      </c>
      <c r="X19" s="208">
        <f t="shared" si="2"/>
        <v>1.5445132220862583</v>
      </c>
    </row>
    <row r="20" spans="1:24" s="56" customFormat="1" ht="27.95" customHeight="1" x14ac:dyDescent="0.25">
      <c r="A20" s="72"/>
      <c r="B20" s="72"/>
      <c r="C20" s="66" t="s">
        <v>35</v>
      </c>
      <c r="D20" s="57">
        <v>9</v>
      </c>
      <c r="E20" s="57">
        <v>22</v>
      </c>
      <c r="F20" s="58">
        <f t="shared" si="0"/>
        <v>1.4444444444444444</v>
      </c>
      <c r="G20" s="57">
        <v>385</v>
      </c>
      <c r="H20" s="65">
        <f t="shared" si="1"/>
        <v>16.5</v>
      </c>
      <c r="I20" s="72"/>
      <c r="J20" s="72"/>
      <c r="K20" s="72"/>
      <c r="L20" s="72"/>
      <c r="M20" s="66" t="s">
        <v>35</v>
      </c>
      <c r="N20" s="208">
        <v>284.17200342542469</v>
      </c>
      <c r="O20" s="256">
        <v>1.8331957060280759</v>
      </c>
      <c r="P20" s="246"/>
      <c r="Q20" s="246"/>
      <c r="R20" s="206">
        <v>13625</v>
      </c>
      <c r="S20" s="73"/>
      <c r="T20" s="74">
        <v>217</v>
      </c>
      <c r="U20" s="56">
        <v>80</v>
      </c>
      <c r="V20" s="50">
        <v>781217</v>
      </c>
      <c r="W20" s="208">
        <v>58.370465568465612</v>
      </c>
      <c r="X20" s="208">
        <f t="shared" si="2"/>
        <v>10.240432555871159</v>
      </c>
    </row>
    <row r="21" spans="1:24" s="56" customFormat="1" ht="27.95" customHeight="1" x14ac:dyDescent="0.25">
      <c r="A21" s="72"/>
      <c r="B21" s="72"/>
      <c r="C21" s="66" t="s">
        <v>36</v>
      </c>
      <c r="D21" s="57">
        <v>12</v>
      </c>
      <c r="E21" s="57">
        <v>31</v>
      </c>
      <c r="F21" s="58">
        <f t="shared" si="0"/>
        <v>1.5833333333333333</v>
      </c>
      <c r="G21" s="57">
        <v>356</v>
      </c>
      <c r="H21" s="65">
        <f t="shared" si="1"/>
        <v>10.483870967741936</v>
      </c>
      <c r="I21" s="72"/>
      <c r="J21" s="72"/>
      <c r="K21" s="72"/>
      <c r="L21" s="72"/>
      <c r="M21" s="66" t="s">
        <v>36</v>
      </c>
      <c r="N21" s="208">
        <v>1005.8466187186227</v>
      </c>
      <c r="O21" s="256">
        <v>3.9976544175136826</v>
      </c>
      <c r="P21" s="246"/>
      <c r="Q21" s="246"/>
      <c r="R21" s="206">
        <v>18753</v>
      </c>
      <c r="S21" s="73">
        <v>7</v>
      </c>
      <c r="T21" s="74">
        <v>343</v>
      </c>
      <c r="U21" s="56">
        <v>300</v>
      </c>
      <c r="V21" s="50">
        <v>508328</v>
      </c>
      <c r="W21" s="208">
        <v>351.93811869501582</v>
      </c>
      <c r="X21" s="208">
        <f t="shared" si="2"/>
        <v>59.017012637509637</v>
      </c>
    </row>
    <row r="22" spans="1:24" s="56" customFormat="1" ht="27.95" customHeight="1" x14ac:dyDescent="0.25">
      <c r="A22" s="72"/>
      <c r="B22" s="72"/>
      <c r="C22" s="66" t="s">
        <v>37</v>
      </c>
      <c r="D22" s="57">
        <v>60</v>
      </c>
      <c r="E22" s="57">
        <v>805</v>
      </c>
      <c r="F22" s="58">
        <f t="shared" si="0"/>
        <v>12.416666666666666</v>
      </c>
      <c r="G22" s="57">
        <v>2626</v>
      </c>
      <c r="H22" s="65">
        <f t="shared" si="1"/>
        <v>2.2621118012422361</v>
      </c>
      <c r="I22" s="72"/>
      <c r="J22" s="72"/>
      <c r="K22" s="72"/>
      <c r="L22" s="72"/>
      <c r="M22" s="66" t="s">
        <v>37</v>
      </c>
      <c r="N22" s="208">
        <v>598.85479275248974</v>
      </c>
      <c r="O22" s="256">
        <v>1.2966252220248669</v>
      </c>
      <c r="P22" s="246"/>
      <c r="Q22" s="246"/>
      <c r="R22" s="206">
        <v>31645</v>
      </c>
      <c r="S22" s="73">
        <v>1</v>
      </c>
      <c r="T22" s="74">
        <v>484</v>
      </c>
      <c r="U22" s="56">
        <v>167</v>
      </c>
      <c r="V22" s="50">
        <v>365698</v>
      </c>
      <c r="W22" s="208">
        <v>537.87551476901706</v>
      </c>
      <c r="X22" s="208">
        <f t="shared" si="2"/>
        <v>45.666096068340543</v>
      </c>
    </row>
    <row r="23" spans="1:24" s="56" customFormat="1" ht="27.95" customHeight="1" x14ac:dyDescent="0.25">
      <c r="A23" s="72"/>
      <c r="B23" s="72"/>
      <c r="C23" s="66" t="s">
        <v>22</v>
      </c>
      <c r="D23" s="57">
        <v>486</v>
      </c>
      <c r="E23" s="57">
        <v>2276</v>
      </c>
      <c r="F23" s="58">
        <f t="shared" si="0"/>
        <v>3.6831275720164611</v>
      </c>
      <c r="G23" s="57">
        <v>15743</v>
      </c>
      <c r="H23" s="65">
        <f t="shared" si="1"/>
        <v>5.9169595782073809</v>
      </c>
      <c r="I23" s="72"/>
      <c r="J23" s="72"/>
      <c r="K23" s="72"/>
      <c r="L23" s="72"/>
      <c r="M23" s="66" t="s">
        <v>22</v>
      </c>
      <c r="N23" s="208">
        <v>428.31475238504044</v>
      </c>
      <c r="O23" s="256">
        <v>1.9753521126760563</v>
      </c>
      <c r="P23" s="246"/>
      <c r="Q23" s="246"/>
      <c r="R23" s="206">
        <v>202107</v>
      </c>
      <c r="S23" s="73">
        <v>32</v>
      </c>
      <c r="T23" s="74">
        <v>3338</v>
      </c>
      <c r="U23" s="56">
        <v>482</v>
      </c>
      <c r="V23" s="50">
        <v>3536418</v>
      </c>
      <c r="W23" s="208">
        <v>175.03586962853373</v>
      </c>
      <c r="X23" s="208">
        <f t="shared" si="2"/>
        <v>13.629610526809898</v>
      </c>
    </row>
    <row r="24" spans="1:24" s="56" customFormat="1" ht="27.95" customHeight="1" x14ac:dyDescent="0.25">
      <c r="A24" s="72"/>
      <c r="B24" s="72"/>
      <c r="C24" s="66" t="s">
        <v>103</v>
      </c>
      <c r="D24" s="57">
        <v>36</v>
      </c>
      <c r="E24" s="57">
        <v>138</v>
      </c>
      <c r="F24" s="58">
        <f t="shared" si="0"/>
        <v>2.8333333333333335</v>
      </c>
      <c r="G24" s="57">
        <v>1558</v>
      </c>
      <c r="H24" s="65">
        <f t="shared" si="1"/>
        <v>10.289855072463768</v>
      </c>
      <c r="I24" s="72"/>
      <c r="J24" s="72"/>
      <c r="K24" s="72"/>
      <c r="L24" s="72"/>
      <c r="M24" s="66" t="s">
        <v>38</v>
      </c>
      <c r="N24" s="208">
        <v>224.4680383476454</v>
      </c>
      <c r="O24" s="256">
        <v>1.5741935483870968</v>
      </c>
      <c r="P24" s="246"/>
      <c r="Q24" s="246"/>
      <c r="R24" s="206">
        <v>20472</v>
      </c>
      <c r="S24" s="73"/>
      <c r="T24" s="74">
        <v>246</v>
      </c>
      <c r="U24" s="56">
        <v>84</v>
      </c>
      <c r="V24" s="50">
        <v>978313</v>
      </c>
      <c r="W24" s="208">
        <v>78.809133682165111</v>
      </c>
      <c r="X24" s="208">
        <f t="shared" si="2"/>
        <v>8.5862091171230475</v>
      </c>
    </row>
    <row r="25" spans="1:24" s="56" customFormat="1" ht="27.95" customHeight="1" x14ac:dyDescent="0.25">
      <c r="A25" s="72"/>
      <c r="B25" s="72"/>
      <c r="C25" s="66" t="s">
        <v>39</v>
      </c>
      <c r="D25" s="57">
        <v>155</v>
      </c>
      <c r="E25" s="57">
        <v>1055</v>
      </c>
      <c r="F25" s="58">
        <f t="shared" si="0"/>
        <v>5.806451612903226</v>
      </c>
      <c r="G25" s="57">
        <v>2592</v>
      </c>
      <c r="H25" s="65">
        <f t="shared" si="1"/>
        <v>1.456872037914692</v>
      </c>
      <c r="I25" s="72"/>
      <c r="J25" s="72"/>
      <c r="K25" s="72"/>
      <c r="L25" s="72"/>
      <c r="M25" s="66" t="s">
        <v>39</v>
      </c>
      <c r="N25" s="208">
        <v>615.84572753492057</v>
      </c>
      <c r="O25" s="256">
        <v>1.704225352112676</v>
      </c>
      <c r="P25" s="246"/>
      <c r="Q25" s="246"/>
      <c r="R25" s="206">
        <v>21520</v>
      </c>
      <c r="S25" s="73">
        <v>2</v>
      </c>
      <c r="T25" s="74">
        <v>324</v>
      </c>
      <c r="U25" s="56">
        <v>130</v>
      </c>
      <c r="V25" s="50">
        <v>176830</v>
      </c>
      <c r="W25" s="208">
        <v>359.10196233670757</v>
      </c>
      <c r="X25" s="208">
        <f t="shared" si="2"/>
        <v>73.516937171294458</v>
      </c>
    </row>
    <row r="26" spans="1:24" s="56" customFormat="1" ht="27.95" customHeight="1" thickBot="1" x14ac:dyDescent="0.3">
      <c r="A26" s="72"/>
      <c r="B26" s="72"/>
      <c r="C26" s="67" t="s">
        <v>40</v>
      </c>
      <c r="D26" s="70">
        <v>91</v>
      </c>
      <c r="E26" s="70">
        <v>426</v>
      </c>
      <c r="F26" s="68">
        <f t="shared" si="0"/>
        <v>3.6813186813186811</v>
      </c>
      <c r="G26" s="70">
        <v>5419</v>
      </c>
      <c r="H26" s="69">
        <f t="shared" si="1"/>
        <v>11.720657276995306</v>
      </c>
      <c r="I26" s="72"/>
      <c r="J26" s="72"/>
      <c r="K26" s="72"/>
      <c r="L26" s="72"/>
      <c r="M26" s="67" t="s">
        <v>40</v>
      </c>
      <c r="N26" s="208">
        <v>442.62670418067148</v>
      </c>
      <c r="O26" s="256">
        <v>1.5361458120008191</v>
      </c>
      <c r="P26" s="247"/>
      <c r="Q26" s="247"/>
      <c r="R26" s="207">
        <v>75423</v>
      </c>
      <c r="S26" s="75"/>
      <c r="T26" s="76">
        <v>1418</v>
      </c>
      <c r="U26" s="56">
        <v>139</v>
      </c>
      <c r="V26" s="50">
        <v>1694656</v>
      </c>
      <c r="W26" s="208">
        <v>55.881547641527249</v>
      </c>
      <c r="X26" s="208">
        <f t="shared" si="2"/>
        <v>8.2022546168661954</v>
      </c>
    </row>
    <row r="27" spans="1:24" s="71" customFormat="1" x14ac:dyDescent="0.25">
      <c r="D27" s="72"/>
      <c r="E27" s="72"/>
      <c r="F27" s="72"/>
      <c r="G27" s="72"/>
      <c r="H27" s="72"/>
      <c r="N27" s="72"/>
      <c r="O27" s="72"/>
      <c r="P27" s="72"/>
      <c r="Q27" s="72"/>
      <c r="R27" s="72"/>
      <c r="S27" s="72"/>
      <c r="T27" s="72"/>
    </row>
    <row r="28" spans="1:24" s="71" customFormat="1" x14ac:dyDescent="0.25">
      <c r="D28" s="72"/>
      <c r="E28" s="72"/>
      <c r="F28" s="72"/>
      <c r="G28" s="72"/>
      <c r="H28" s="72"/>
      <c r="N28" s="72"/>
      <c r="O28" s="72"/>
      <c r="P28" s="72"/>
      <c r="Q28" s="72"/>
      <c r="R28" s="72"/>
      <c r="S28" s="72"/>
      <c r="T28" s="72"/>
    </row>
    <row r="29" spans="1:24" s="71" customFormat="1" x14ac:dyDescent="0.25">
      <c r="D29" s="72"/>
      <c r="E29" s="72"/>
      <c r="F29" s="72"/>
      <c r="G29" s="72"/>
      <c r="H29" s="72"/>
      <c r="N29" s="72"/>
      <c r="O29" s="72"/>
      <c r="P29" s="72"/>
      <c r="Q29" s="72"/>
      <c r="R29" s="72"/>
      <c r="S29" s="72"/>
      <c r="T29" s="72"/>
    </row>
    <row r="30" spans="1:24" s="71" customFormat="1" x14ac:dyDescent="0.25">
      <c r="D30" s="72"/>
      <c r="E30" s="72"/>
      <c r="F30" s="72"/>
      <c r="G30" s="72"/>
      <c r="H30" s="72"/>
      <c r="N30" s="72"/>
      <c r="O30" s="72"/>
      <c r="P30" s="72"/>
      <c r="Q30" s="72"/>
      <c r="R30" s="72"/>
      <c r="S30" s="72"/>
      <c r="T30" s="72"/>
    </row>
    <row r="31" spans="1:24" s="71" customFormat="1" x14ac:dyDescent="0.25">
      <c r="D31" s="72"/>
      <c r="E31" s="72"/>
      <c r="F31" s="72"/>
      <c r="G31" s="72"/>
      <c r="H31" s="72"/>
      <c r="N31" s="72"/>
      <c r="O31" s="72"/>
      <c r="P31" s="72"/>
      <c r="Q31" s="72"/>
      <c r="R31" s="72"/>
      <c r="S31" s="72"/>
      <c r="T31" s="72"/>
    </row>
    <row r="32" spans="1:24" s="71" customFormat="1" x14ac:dyDescent="0.25">
      <c r="D32" s="72"/>
      <c r="E32" s="72"/>
      <c r="F32" s="72"/>
      <c r="G32" s="72"/>
      <c r="H32" s="72"/>
    </row>
    <row r="33" spans="3:8" s="71" customFormat="1" x14ac:dyDescent="0.25">
      <c r="D33" s="72"/>
      <c r="E33" s="72"/>
      <c r="F33" s="72"/>
      <c r="G33" s="72"/>
      <c r="H33" s="72"/>
    </row>
    <row r="34" spans="3:8" s="71" customFormat="1" x14ac:dyDescent="0.25">
      <c r="D34" s="72"/>
      <c r="E34" s="72"/>
      <c r="F34" s="72"/>
      <c r="G34" s="72"/>
      <c r="H34" s="72"/>
    </row>
    <row r="35" spans="3:8" s="71" customFormat="1" x14ac:dyDescent="0.25">
      <c r="C35" s="219">
        <f xml:space="preserve"> 0.0139*(23)^5 - 0.1948*(23)^4 - 12.841*(23)^3 + 330.39*(23)^2 - 2570*(23) + 14696</f>
        <v>9078.0039000000106</v>
      </c>
      <c r="D35" s="72"/>
      <c r="E35" s="72"/>
      <c r="F35" s="72"/>
      <c r="G35" s="72"/>
      <c r="H35" s="72"/>
    </row>
    <row r="36" spans="3:8" s="71" customFormat="1" x14ac:dyDescent="0.25">
      <c r="C36" s="219" t="s">
        <v>118</v>
      </c>
      <c r="D36" s="72"/>
      <c r="E36" s="72"/>
      <c r="F36" s="72"/>
      <c r="G36" s="72"/>
      <c r="H36" s="72"/>
    </row>
    <row r="37" spans="3:8" s="71" customFormat="1" x14ac:dyDescent="0.25">
      <c r="D37" s="72"/>
      <c r="E37" s="72"/>
      <c r="F37" s="72"/>
      <c r="G37" s="72"/>
      <c r="H37" s="72"/>
    </row>
    <row r="38" spans="3:8" s="71" customFormat="1" x14ac:dyDescent="0.25">
      <c r="D38" s="72"/>
      <c r="E38" s="72"/>
      <c r="F38" s="72"/>
      <c r="G38" s="72"/>
      <c r="H38" s="72"/>
    </row>
    <row r="39" spans="3:8" s="71" customFormat="1" x14ac:dyDescent="0.25">
      <c r="D39" s="72"/>
      <c r="E39" s="72"/>
      <c r="F39" s="72"/>
      <c r="G39" s="72"/>
      <c r="H39" s="72"/>
    </row>
    <row r="40" spans="3:8" s="71" customFormat="1" x14ac:dyDescent="0.25">
      <c r="D40" s="72"/>
      <c r="E40" s="72"/>
      <c r="F40" s="72"/>
      <c r="G40" s="72"/>
      <c r="H40" s="72"/>
    </row>
  </sheetData>
  <mergeCells count="3">
    <mergeCell ref="C1:H1"/>
    <mergeCell ref="N1:O1"/>
    <mergeCell ref="W1:X1"/>
  </mergeCells>
  <conditionalFormatting sqref="H3:H2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D2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2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2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2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:Q26">
    <cfRule type="cellIs" dxfId="141" priority="25" operator="lessThan">
      <formula>1.2</formula>
    </cfRule>
    <cfRule type="cellIs" dxfId="140" priority="26" operator="greaterThanOrEqual">
      <formula>1.195</formula>
    </cfRule>
  </conditionalFormatting>
  <conditionalFormatting sqref="W3:W26">
    <cfRule type="cellIs" dxfId="139" priority="23" operator="lessThan">
      <formula>10</formula>
    </cfRule>
    <cfRule type="cellIs" dxfId="138" priority="24" operator="greaterThanOrEqual">
      <formula>200</formula>
    </cfRule>
  </conditionalFormatting>
  <conditionalFormatting sqref="W3">
    <cfRule type="cellIs" dxfId="137" priority="21" operator="between">
      <formula>70</formula>
      <formula>199.9</formula>
    </cfRule>
    <cfRule type="cellIs" dxfId="136" priority="22" operator="between">
      <formula>10</formula>
      <formula>69.9</formula>
    </cfRule>
  </conditionalFormatting>
  <conditionalFormatting sqref="W4:W26">
    <cfRule type="cellIs" dxfId="135" priority="19" operator="between">
      <formula>70</formula>
      <formula>199.9</formula>
    </cfRule>
    <cfRule type="cellIs" dxfId="134" priority="20" operator="between">
      <formula>10</formula>
      <formula>69.9</formula>
    </cfRule>
  </conditionalFormatting>
  <conditionalFormatting sqref="X3:X26">
    <cfRule type="cellIs" dxfId="133" priority="17" operator="lessThan">
      <formula>1</formula>
    </cfRule>
    <cfRule type="cellIs" dxfId="132" priority="18" operator="greaterThanOrEqual">
      <formula>25</formula>
    </cfRule>
  </conditionalFormatting>
  <conditionalFormatting sqref="X4:X26">
    <cfRule type="cellIs" dxfId="131" priority="13" operator="between">
      <formula>10</formula>
      <formula>25</formula>
    </cfRule>
    <cfRule type="cellIs" dxfId="130" priority="14" operator="between">
      <formula>1</formula>
      <formula>10</formula>
    </cfRule>
  </conditionalFormatting>
  <conditionalFormatting sqref="X3">
    <cfRule type="cellIs" dxfId="129" priority="11" operator="between">
      <formula>10</formula>
      <formula>25</formula>
    </cfRule>
    <cfRule type="cellIs" dxfId="128" priority="12" operator="between">
      <formula>1</formula>
      <formula>10</formula>
    </cfRule>
  </conditionalFormatting>
  <conditionalFormatting sqref="O3:O26">
    <cfRule type="cellIs" dxfId="127" priority="5" operator="lessThan">
      <formula>0.8</formula>
    </cfRule>
    <cfRule type="cellIs" dxfId="126" priority="8" operator="greaterThanOrEqual">
      <formula>1.2</formula>
    </cfRule>
  </conditionalFormatting>
  <conditionalFormatting sqref="N3">
    <cfRule type="cellIs" dxfId="125" priority="6" operator="lessThanOrEqual">
      <formula>49</formula>
    </cfRule>
    <cfRule type="cellIs" dxfId="124" priority="9" operator="between">
      <formula>50</formula>
      <formula>149</formula>
    </cfRule>
    <cfRule type="cellIs" dxfId="123" priority="10" operator="greaterThanOrEqual">
      <formula>150</formula>
    </cfRule>
  </conditionalFormatting>
  <conditionalFormatting sqref="N4:N26">
    <cfRule type="cellIs" dxfId="122" priority="2" operator="lessThanOrEqual">
      <formula>49</formula>
    </cfRule>
    <cfRule type="cellIs" dxfId="121" priority="3" operator="between">
      <formula>50</formula>
      <formula>149</formula>
    </cfRule>
    <cfRule type="cellIs" dxfId="120" priority="4" operator="greaterThanOrEqual">
      <formula>150</formula>
    </cfRule>
  </conditionalFormatting>
  <conditionalFormatting sqref="O3">
    <cfRule type="cellIs" dxfId="119" priority="7" operator="between">
      <formula>0.8</formula>
      <formula>1.2</formula>
    </cfRule>
  </conditionalFormatting>
  <conditionalFormatting sqref="O4:O26">
    <cfRule type="cellIs" dxfId="118" priority="1" operator="between">
      <formula>0.8</formula>
      <formula>1.2</formula>
    </cfRule>
  </conditionalFormatting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L46"/>
  <sheetViews>
    <sheetView zoomScale="85" zoomScaleNormal="85" workbookViewId="0">
      <pane ySplit="1" topLeftCell="A30" activePane="bottomLeft" state="frozen"/>
      <selection pane="bottomLeft" activeCell="E46" sqref="E46"/>
    </sheetView>
  </sheetViews>
  <sheetFormatPr baseColWidth="10" defaultRowHeight="15" x14ac:dyDescent="0.25"/>
  <cols>
    <col min="1" max="1" width="16.140625" customWidth="1"/>
    <col min="3" max="3" width="13.140625" style="17" customWidth="1"/>
    <col min="4" max="4" width="11.42578125" style="17"/>
    <col min="7" max="7" width="18.85546875" customWidth="1"/>
    <col min="9" max="9" width="26.85546875" customWidth="1"/>
  </cols>
  <sheetData>
    <row r="1" spans="1:11" x14ac:dyDescent="0.25">
      <c r="A1" s="41" t="s">
        <v>25</v>
      </c>
      <c r="B1" s="41" t="s">
        <v>100</v>
      </c>
      <c r="C1" s="377" t="s">
        <v>101</v>
      </c>
      <c r="D1" s="377" t="s">
        <v>247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</row>
    <row r="2" spans="1:11" x14ac:dyDescent="0.25">
      <c r="A2" s="18">
        <v>44256</v>
      </c>
      <c r="B2" s="5"/>
      <c r="C2" s="1"/>
      <c r="D2" s="1">
        <v>59.7</v>
      </c>
      <c r="G2" t="s">
        <v>255</v>
      </c>
      <c r="H2" t="s">
        <v>256</v>
      </c>
      <c r="I2" t="s">
        <v>257</v>
      </c>
      <c r="J2" s="381">
        <v>6500</v>
      </c>
      <c r="K2" t="s">
        <v>258</v>
      </c>
    </row>
    <row r="3" spans="1:11" x14ac:dyDescent="0.25">
      <c r="A3" s="18">
        <v>44257</v>
      </c>
      <c r="B3" s="5"/>
      <c r="C3" s="1"/>
      <c r="D3" s="1">
        <v>60</v>
      </c>
      <c r="G3" t="s">
        <v>259</v>
      </c>
      <c r="H3" t="s">
        <v>260</v>
      </c>
      <c r="I3" t="s">
        <v>261</v>
      </c>
      <c r="J3" s="381">
        <v>4875</v>
      </c>
      <c r="K3" t="s">
        <v>79</v>
      </c>
    </row>
    <row r="4" spans="1:11" x14ac:dyDescent="0.25">
      <c r="A4" s="18">
        <v>44258</v>
      </c>
      <c r="B4" s="5"/>
      <c r="C4" s="1"/>
      <c r="D4" s="1">
        <v>59.3</v>
      </c>
      <c r="G4" t="s">
        <v>262</v>
      </c>
      <c r="H4" t="s">
        <v>263</v>
      </c>
      <c r="I4" t="s">
        <v>264</v>
      </c>
      <c r="J4" s="381">
        <v>4875</v>
      </c>
      <c r="K4" t="s">
        <v>79</v>
      </c>
    </row>
    <row r="5" spans="1:11" x14ac:dyDescent="0.25">
      <c r="A5" s="18">
        <v>44259</v>
      </c>
      <c r="B5" s="5"/>
      <c r="C5" s="1"/>
      <c r="D5" s="1">
        <v>59</v>
      </c>
      <c r="G5" t="s">
        <v>265</v>
      </c>
      <c r="H5" t="s">
        <v>266</v>
      </c>
      <c r="I5" t="s">
        <v>267</v>
      </c>
      <c r="J5" s="381">
        <v>6500</v>
      </c>
      <c r="K5" t="s">
        <v>258</v>
      </c>
    </row>
    <row r="6" spans="1:11" x14ac:dyDescent="0.25">
      <c r="A6" s="18">
        <v>44260</v>
      </c>
      <c r="B6" s="5"/>
      <c r="C6" s="1"/>
      <c r="D6" s="1">
        <v>59.3</v>
      </c>
      <c r="G6" t="s">
        <v>268</v>
      </c>
      <c r="H6" t="s">
        <v>269</v>
      </c>
      <c r="I6" t="s">
        <v>270</v>
      </c>
      <c r="J6" s="381">
        <v>6500</v>
      </c>
      <c r="K6" t="s">
        <v>258</v>
      </c>
    </row>
    <row r="7" spans="1:11" x14ac:dyDescent="0.25">
      <c r="A7" s="18">
        <v>44261</v>
      </c>
      <c r="B7" s="5"/>
      <c r="C7" s="1"/>
      <c r="D7" s="1">
        <v>59.7</v>
      </c>
      <c r="G7" t="s">
        <v>271</v>
      </c>
      <c r="H7" t="s">
        <v>272</v>
      </c>
      <c r="I7" t="s">
        <v>273</v>
      </c>
      <c r="J7" s="381">
        <v>4875</v>
      </c>
      <c r="K7" t="s">
        <v>79</v>
      </c>
    </row>
    <row r="8" spans="1:11" x14ac:dyDescent="0.25">
      <c r="A8" s="18">
        <v>44262</v>
      </c>
      <c r="B8" s="5"/>
      <c r="C8" s="1"/>
      <c r="D8" s="1">
        <v>59</v>
      </c>
      <c r="G8" t="s">
        <v>274</v>
      </c>
      <c r="H8" t="s">
        <v>275</v>
      </c>
      <c r="I8" t="s">
        <v>276</v>
      </c>
      <c r="J8" s="381">
        <v>4875</v>
      </c>
      <c r="K8" t="s">
        <v>79</v>
      </c>
    </row>
    <row r="9" spans="1:11" x14ac:dyDescent="0.25">
      <c r="A9" s="18">
        <v>44263</v>
      </c>
      <c r="B9" s="5"/>
      <c r="C9" s="1"/>
      <c r="D9" s="1">
        <v>59.5</v>
      </c>
      <c r="G9" t="s">
        <v>277</v>
      </c>
      <c r="H9" t="s">
        <v>278</v>
      </c>
      <c r="I9" t="s">
        <v>279</v>
      </c>
      <c r="J9" s="381">
        <v>4875</v>
      </c>
      <c r="K9" t="s">
        <v>79</v>
      </c>
    </row>
    <row r="10" spans="1:11" x14ac:dyDescent="0.25">
      <c r="A10" s="18">
        <v>44264</v>
      </c>
      <c r="B10" s="5"/>
      <c r="C10" s="1"/>
      <c r="D10" s="1">
        <v>60.1</v>
      </c>
      <c r="G10" t="s">
        <v>280</v>
      </c>
      <c r="H10" t="s">
        <v>281</v>
      </c>
      <c r="I10" t="s">
        <v>282</v>
      </c>
      <c r="J10" s="381">
        <v>4875</v>
      </c>
      <c r="K10" t="s">
        <v>79</v>
      </c>
    </row>
    <row r="11" spans="1:11" x14ac:dyDescent="0.25">
      <c r="A11" s="18">
        <v>44265</v>
      </c>
      <c r="B11" s="5"/>
      <c r="C11" s="1"/>
      <c r="D11" s="1">
        <v>59.4</v>
      </c>
      <c r="G11" t="s">
        <v>283</v>
      </c>
      <c r="H11" t="s">
        <v>284</v>
      </c>
      <c r="I11" t="s">
        <v>285</v>
      </c>
      <c r="J11" s="381">
        <v>4878</v>
      </c>
      <c r="K11" t="s">
        <v>79</v>
      </c>
    </row>
    <row r="12" spans="1:11" x14ac:dyDescent="0.25">
      <c r="A12" s="18">
        <v>44266</v>
      </c>
      <c r="B12" s="5"/>
      <c r="C12" s="1"/>
      <c r="D12" s="1">
        <v>60</v>
      </c>
      <c r="G12" t="s">
        <v>286</v>
      </c>
      <c r="H12" t="s">
        <v>287</v>
      </c>
      <c r="I12" t="s">
        <v>288</v>
      </c>
      <c r="J12" s="381">
        <v>6500</v>
      </c>
      <c r="K12" t="s">
        <v>258</v>
      </c>
    </row>
    <row r="13" spans="1:11" x14ac:dyDescent="0.25">
      <c r="A13" s="18">
        <v>44267</v>
      </c>
      <c r="B13" s="5"/>
      <c r="C13" s="1"/>
      <c r="D13" s="1">
        <v>60</v>
      </c>
      <c r="G13" t="s">
        <v>289</v>
      </c>
      <c r="H13" t="s">
        <v>290</v>
      </c>
      <c r="I13" t="s">
        <v>291</v>
      </c>
      <c r="J13" s="381">
        <v>4875</v>
      </c>
      <c r="K13" t="s">
        <v>79</v>
      </c>
    </row>
    <row r="14" spans="1:11" x14ac:dyDescent="0.25">
      <c r="A14" s="18">
        <v>44268</v>
      </c>
      <c r="B14" s="5"/>
      <c r="C14" s="1"/>
      <c r="D14" s="1">
        <v>60</v>
      </c>
      <c r="G14" t="s">
        <v>292</v>
      </c>
      <c r="H14" t="s">
        <v>293</v>
      </c>
      <c r="I14" t="s">
        <v>294</v>
      </c>
      <c r="J14" s="381">
        <v>4875</v>
      </c>
      <c r="K14" t="s">
        <v>79</v>
      </c>
    </row>
    <row r="15" spans="1:11" x14ac:dyDescent="0.25">
      <c r="A15" s="18">
        <v>44269</v>
      </c>
      <c r="B15" s="5"/>
      <c r="C15" s="1"/>
      <c r="D15" s="1">
        <v>59.4</v>
      </c>
      <c r="G15" t="s">
        <v>295</v>
      </c>
      <c r="H15" t="s">
        <v>296</v>
      </c>
      <c r="I15" t="s">
        <v>297</v>
      </c>
      <c r="J15" s="381">
        <v>4875</v>
      </c>
      <c r="K15" t="s">
        <v>79</v>
      </c>
    </row>
    <row r="16" spans="1:11" x14ac:dyDescent="0.25">
      <c r="A16" s="18">
        <v>44270</v>
      </c>
      <c r="B16" s="5"/>
      <c r="C16" s="1"/>
      <c r="D16" s="1">
        <v>58.6</v>
      </c>
      <c r="G16" t="s">
        <v>298</v>
      </c>
      <c r="H16" t="s">
        <v>299</v>
      </c>
      <c r="I16" t="s">
        <v>300</v>
      </c>
      <c r="J16" s="381">
        <v>4875</v>
      </c>
      <c r="K16" t="s">
        <v>79</v>
      </c>
    </row>
    <row r="17" spans="1:12" x14ac:dyDescent="0.25">
      <c r="A17" s="18">
        <v>44271</v>
      </c>
      <c r="B17" s="5"/>
      <c r="C17" s="1"/>
      <c r="D17" s="1">
        <v>59.4</v>
      </c>
      <c r="J17" s="381">
        <f>SUM(J2:J16)</f>
        <v>79628</v>
      </c>
      <c r="L17" s="381">
        <f>J17/K18</f>
        <v>61.252307692307696</v>
      </c>
    </row>
    <row r="18" spans="1:12" ht="15.75" x14ac:dyDescent="0.25">
      <c r="A18" s="18">
        <v>44272</v>
      </c>
      <c r="B18" s="5"/>
      <c r="C18" s="1"/>
      <c r="D18" s="1">
        <v>59.8</v>
      </c>
      <c r="J18" s="382">
        <v>74100</v>
      </c>
      <c r="K18">
        <f>J18/57</f>
        <v>1300</v>
      </c>
    </row>
    <row r="19" spans="1:12" x14ac:dyDescent="0.25">
      <c r="A19" s="18">
        <v>44273</v>
      </c>
      <c r="B19" s="5"/>
      <c r="C19" s="1"/>
      <c r="D19" s="1">
        <v>61.5</v>
      </c>
    </row>
    <row r="20" spans="1:12" x14ac:dyDescent="0.25">
      <c r="A20" s="18">
        <v>44274</v>
      </c>
      <c r="B20" s="5"/>
      <c r="C20" s="1"/>
      <c r="D20" s="1">
        <v>60.8</v>
      </c>
    </row>
    <row r="21" spans="1:12" x14ac:dyDescent="0.25">
      <c r="A21" s="18">
        <v>44275</v>
      </c>
      <c r="B21" s="5"/>
      <c r="C21" s="1"/>
      <c r="D21" s="1">
        <v>60.7</v>
      </c>
    </row>
    <row r="22" spans="1:12" x14ac:dyDescent="0.25">
      <c r="A22" s="18">
        <v>44276</v>
      </c>
      <c r="B22" s="5"/>
      <c r="C22" s="1"/>
      <c r="D22" s="1">
        <v>59.9</v>
      </c>
    </row>
    <row r="23" spans="1:12" x14ac:dyDescent="0.25">
      <c r="A23" s="18">
        <v>44277</v>
      </c>
      <c r="B23" s="5"/>
      <c r="C23" s="1"/>
      <c r="D23" s="1">
        <v>58.1</v>
      </c>
    </row>
    <row r="24" spans="1:12" x14ac:dyDescent="0.25">
      <c r="A24" s="18">
        <v>44278</v>
      </c>
      <c r="B24" s="5"/>
      <c r="C24" s="1"/>
      <c r="D24" s="1">
        <v>58.5</v>
      </c>
    </row>
    <row r="25" spans="1:12" x14ac:dyDescent="0.25">
      <c r="A25" s="18">
        <v>44279</v>
      </c>
      <c r="B25" s="5"/>
      <c r="C25" s="1"/>
      <c r="D25" s="1">
        <v>59.2</v>
      </c>
    </row>
    <row r="26" spans="1:12" x14ac:dyDescent="0.25">
      <c r="A26" s="18">
        <v>44280</v>
      </c>
      <c r="B26" s="5"/>
      <c r="C26" s="1">
        <v>54.9</v>
      </c>
      <c r="D26" s="1">
        <v>57.8</v>
      </c>
    </row>
    <row r="27" spans="1:12" x14ac:dyDescent="0.25">
      <c r="A27" s="18">
        <v>44281</v>
      </c>
      <c r="B27" s="5"/>
      <c r="C27" s="1">
        <v>55.1</v>
      </c>
      <c r="D27" s="1">
        <v>58.6</v>
      </c>
    </row>
    <row r="28" spans="1:12" x14ac:dyDescent="0.25">
      <c r="A28" s="18">
        <v>44282</v>
      </c>
      <c r="B28" s="5"/>
      <c r="C28" s="1">
        <v>55.5</v>
      </c>
      <c r="D28" s="1">
        <v>59.9</v>
      </c>
    </row>
    <row r="29" spans="1:12" x14ac:dyDescent="0.25">
      <c r="A29" s="18">
        <v>44283</v>
      </c>
      <c r="B29" s="5"/>
      <c r="C29" s="1">
        <v>55.5</v>
      </c>
      <c r="D29" s="1">
        <v>59.9</v>
      </c>
    </row>
    <row r="30" spans="1:12" x14ac:dyDescent="0.25">
      <c r="A30" s="18">
        <v>44284</v>
      </c>
      <c r="B30" s="5"/>
      <c r="C30" s="1">
        <v>55.6</v>
      </c>
      <c r="D30" s="1">
        <v>60.3</v>
      </c>
    </row>
    <row r="31" spans="1:12" x14ac:dyDescent="0.25">
      <c r="A31" s="18">
        <v>44285</v>
      </c>
      <c r="B31" s="5"/>
      <c r="C31" s="1">
        <v>56</v>
      </c>
      <c r="D31" s="1">
        <v>61</v>
      </c>
    </row>
    <row r="32" spans="1:12" x14ac:dyDescent="0.25">
      <c r="A32" s="18">
        <v>44286</v>
      </c>
      <c r="B32" s="5"/>
      <c r="C32" s="1">
        <v>55.9</v>
      </c>
      <c r="D32" s="1">
        <v>61.5</v>
      </c>
    </row>
    <row r="33" spans="1:4" x14ac:dyDescent="0.25">
      <c r="A33" s="18">
        <v>44287</v>
      </c>
      <c r="B33" s="5"/>
      <c r="C33" s="1">
        <v>55.8</v>
      </c>
      <c r="D33" s="1">
        <v>61.6</v>
      </c>
    </row>
    <row r="34" spans="1:4" x14ac:dyDescent="0.25">
      <c r="A34" s="18">
        <v>44288</v>
      </c>
      <c r="B34" s="5"/>
      <c r="C34" s="1">
        <v>55.9</v>
      </c>
      <c r="D34" s="1">
        <v>61.9</v>
      </c>
    </row>
    <row r="35" spans="1:4" x14ac:dyDescent="0.25">
      <c r="A35" s="18">
        <v>44289</v>
      </c>
      <c r="B35" s="5"/>
      <c r="C35" s="1">
        <v>55.4</v>
      </c>
      <c r="D35" s="1">
        <v>61.4</v>
      </c>
    </row>
    <row r="36" spans="1:4" x14ac:dyDescent="0.25">
      <c r="A36" s="18">
        <v>44290</v>
      </c>
      <c r="B36" s="5"/>
      <c r="C36" s="1">
        <v>55.6</v>
      </c>
      <c r="D36" s="1">
        <v>61.5</v>
      </c>
    </row>
    <row r="37" spans="1:4" x14ac:dyDescent="0.25">
      <c r="A37" s="18">
        <v>44291</v>
      </c>
      <c r="B37" s="5"/>
      <c r="C37" s="1">
        <v>56.1</v>
      </c>
      <c r="D37" s="1">
        <v>62</v>
      </c>
    </row>
    <row r="38" spans="1:4" x14ac:dyDescent="0.25">
      <c r="A38" s="18">
        <v>44292</v>
      </c>
      <c r="B38" s="5"/>
      <c r="C38" s="1">
        <v>57.4</v>
      </c>
      <c r="D38" s="1">
        <v>63.5</v>
      </c>
    </row>
    <row r="39" spans="1:4" x14ac:dyDescent="0.25">
      <c r="A39" s="18">
        <v>44293</v>
      </c>
      <c r="B39" s="5"/>
      <c r="C39" s="1">
        <v>58.1</v>
      </c>
      <c r="D39" s="1">
        <v>64.5</v>
      </c>
    </row>
    <row r="40" spans="1:4" x14ac:dyDescent="0.25">
      <c r="A40" s="18">
        <v>44294</v>
      </c>
      <c r="B40" s="5"/>
      <c r="C40" s="1">
        <v>58.8</v>
      </c>
      <c r="D40" s="1">
        <v>66.099999999999994</v>
      </c>
    </row>
    <row r="41" spans="1:4" x14ac:dyDescent="0.25">
      <c r="A41" s="18">
        <v>44295</v>
      </c>
      <c r="B41" s="5"/>
      <c r="C41" s="1">
        <v>59.1</v>
      </c>
      <c r="D41" s="1">
        <v>67</v>
      </c>
    </row>
    <row r="42" spans="1:4" x14ac:dyDescent="0.25">
      <c r="A42" s="18">
        <v>44296</v>
      </c>
      <c r="B42" s="5"/>
      <c r="C42" s="1">
        <v>59.3</v>
      </c>
      <c r="D42" s="1">
        <v>68.099999999999994</v>
      </c>
    </row>
    <row r="43" spans="1:4" x14ac:dyDescent="0.25">
      <c r="A43" s="18">
        <v>44297</v>
      </c>
      <c r="B43" s="5"/>
      <c r="C43" s="1">
        <v>58.7</v>
      </c>
      <c r="D43" s="1">
        <v>66.7</v>
      </c>
    </row>
    <row r="44" spans="1:4" x14ac:dyDescent="0.25">
      <c r="A44" s="18">
        <v>44298</v>
      </c>
      <c r="B44" s="5"/>
      <c r="C44" s="1">
        <v>60.3</v>
      </c>
      <c r="D44" s="1">
        <v>67.900000000000006</v>
      </c>
    </row>
    <row r="45" spans="1:4" x14ac:dyDescent="0.25">
      <c r="A45" s="18">
        <v>44299</v>
      </c>
      <c r="B45" s="5"/>
      <c r="C45" s="1">
        <v>62.4</v>
      </c>
      <c r="D45" s="1">
        <v>70.8</v>
      </c>
    </row>
    <row r="46" spans="1:4" x14ac:dyDescent="0.25">
      <c r="A46" s="18">
        <v>44300</v>
      </c>
      <c r="C46" s="17">
        <v>62.7</v>
      </c>
      <c r="D46" s="17">
        <v>71.400000000000006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C3850-4435-4ADC-9FDC-161B34B44836}">
  <dimension ref="A3:OS14"/>
  <sheetViews>
    <sheetView workbookViewId="0"/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9" width="8.7109375" bestFit="1" customWidth="1"/>
    <col min="10" max="31" width="9.7109375" bestFit="1" customWidth="1"/>
    <col min="32" max="40" width="8.7109375" bestFit="1" customWidth="1"/>
    <col min="41" max="61" width="9.7109375" bestFit="1" customWidth="1"/>
    <col min="62" max="70" width="8.7109375" bestFit="1" customWidth="1"/>
    <col min="71" max="92" width="9.7109375" bestFit="1" customWidth="1"/>
    <col min="93" max="101" width="8.7109375" bestFit="1" customWidth="1"/>
    <col min="102" max="122" width="9.7109375" bestFit="1" customWidth="1"/>
    <col min="123" max="131" width="8.7109375" bestFit="1" customWidth="1"/>
    <col min="132" max="153" width="9.7109375" bestFit="1" customWidth="1"/>
    <col min="154" max="162" width="8.7109375" bestFit="1" customWidth="1"/>
    <col min="163" max="184" width="9.7109375" bestFit="1" customWidth="1"/>
    <col min="185" max="193" width="8.7109375" bestFit="1" customWidth="1"/>
    <col min="194" max="223" width="9.7109375" bestFit="1" customWidth="1"/>
    <col min="224" max="245" width="10.7109375" bestFit="1" customWidth="1"/>
    <col min="246" max="254" width="9.7109375" bestFit="1" customWidth="1"/>
    <col min="255" max="275" width="10.7109375" bestFit="1" customWidth="1"/>
    <col min="276" max="284" width="9.7109375" bestFit="1" customWidth="1"/>
    <col min="285" max="306" width="10.7109375" bestFit="1" customWidth="1"/>
    <col min="307" max="315" width="8.7109375" bestFit="1" customWidth="1"/>
    <col min="316" max="337" width="9.7109375" bestFit="1" customWidth="1"/>
    <col min="338" max="346" width="8.7109375" bestFit="1" customWidth="1"/>
    <col min="347" max="365" width="9.7109375" bestFit="1" customWidth="1"/>
    <col min="366" max="374" width="8.7109375" bestFit="1" customWidth="1"/>
    <col min="375" max="396" width="9.7109375" bestFit="1" customWidth="1"/>
    <col min="397" max="405" width="8.7109375" bestFit="1" customWidth="1"/>
    <col min="406" max="408" width="9.7109375" bestFit="1" customWidth="1"/>
    <col min="409" max="409" width="12.5703125" bestFit="1" customWidth="1"/>
  </cols>
  <sheetData>
    <row r="3" spans="1:409" x14ac:dyDescent="0.25">
      <c r="A3" s="383" t="s">
        <v>316</v>
      </c>
      <c r="B3" s="383" t="s">
        <v>313</v>
      </c>
    </row>
    <row r="4" spans="1:409" x14ac:dyDescent="0.25">
      <c r="A4" s="383" t="s">
        <v>315</v>
      </c>
      <c r="B4" s="248">
        <v>43891</v>
      </c>
      <c r="C4" s="248">
        <v>43892</v>
      </c>
      <c r="D4" s="248">
        <v>43893</v>
      </c>
      <c r="E4" s="248">
        <v>43894</v>
      </c>
      <c r="F4" s="248">
        <v>43895</v>
      </c>
      <c r="G4" s="248">
        <v>43896</v>
      </c>
      <c r="H4" s="248">
        <v>43898</v>
      </c>
      <c r="I4" s="248">
        <v>43899</v>
      </c>
      <c r="J4" s="248">
        <v>43900</v>
      </c>
      <c r="K4" s="248">
        <v>43901</v>
      </c>
      <c r="L4" s="248">
        <v>43902</v>
      </c>
      <c r="M4" s="248">
        <v>43903</v>
      </c>
      <c r="N4" s="248">
        <v>43904</v>
      </c>
      <c r="O4" s="248">
        <v>43905</v>
      </c>
      <c r="P4" s="248">
        <v>43906</v>
      </c>
      <c r="Q4" s="248">
        <v>43907</v>
      </c>
      <c r="R4" s="248">
        <v>43908</v>
      </c>
      <c r="S4" s="248">
        <v>43909</v>
      </c>
      <c r="T4" s="248">
        <v>43910</v>
      </c>
      <c r="U4" s="248">
        <v>43911</v>
      </c>
      <c r="V4" s="248">
        <v>43912</v>
      </c>
      <c r="W4" s="248">
        <v>43913</v>
      </c>
      <c r="X4" s="248">
        <v>43914</v>
      </c>
      <c r="Y4" s="248">
        <v>43915</v>
      </c>
      <c r="Z4" s="248">
        <v>43916</v>
      </c>
      <c r="AA4" s="248">
        <v>43917</v>
      </c>
      <c r="AB4" s="248">
        <v>43918</v>
      </c>
      <c r="AC4" s="248">
        <v>43919</v>
      </c>
      <c r="AD4" s="248">
        <v>43920</v>
      </c>
      <c r="AE4" s="248">
        <v>43921</v>
      </c>
      <c r="AF4" s="248">
        <v>43922</v>
      </c>
      <c r="AG4" s="248">
        <v>43923</v>
      </c>
      <c r="AH4" s="248">
        <v>43924</v>
      </c>
      <c r="AI4" s="248">
        <v>43925</v>
      </c>
      <c r="AJ4" s="248">
        <v>43926</v>
      </c>
      <c r="AK4" s="248">
        <v>43927</v>
      </c>
      <c r="AL4" s="248">
        <v>43928</v>
      </c>
      <c r="AM4" s="248">
        <v>43929</v>
      </c>
      <c r="AN4" s="248">
        <v>43930</v>
      </c>
      <c r="AO4" s="248">
        <v>43931</v>
      </c>
      <c r="AP4" s="248">
        <v>43932</v>
      </c>
      <c r="AQ4" s="248">
        <v>43933</v>
      </c>
      <c r="AR4" s="248">
        <v>43934</v>
      </c>
      <c r="AS4" s="248">
        <v>43935</v>
      </c>
      <c r="AT4" s="248">
        <v>43936</v>
      </c>
      <c r="AU4" s="248">
        <v>43937</v>
      </c>
      <c r="AV4" s="248">
        <v>43938</v>
      </c>
      <c r="AW4" s="248">
        <v>43939</v>
      </c>
      <c r="AX4" s="248">
        <v>43940</v>
      </c>
      <c r="AY4" s="248">
        <v>43941</v>
      </c>
      <c r="AZ4" s="248">
        <v>43942</v>
      </c>
      <c r="BA4" s="248">
        <v>43943</v>
      </c>
      <c r="BB4" s="248">
        <v>43944</v>
      </c>
      <c r="BC4" s="248">
        <v>43945</v>
      </c>
      <c r="BD4" s="248">
        <v>43946</v>
      </c>
      <c r="BE4" s="248">
        <v>43947</v>
      </c>
      <c r="BF4" s="248">
        <v>43948</v>
      </c>
      <c r="BG4" s="248">
        <v>43949</v>
      </c>
      <c r="BH4" s="248">
        <v>43950</v>
      </c>
      <c r="BI4" s="248">
        <v>43951</v>
      </c>
      <c r="BJ4" s="248">
        <v>43952</v>
      </c>
      <c r="BK4" s="248">
        <v>43953</v>
      </c>
      <c r="BL4" s="248">
        <v>43954</v>
      </c>
      <c r="BM4" s="248">
        <v>43955</v>
      </c>
      <c r="BN4" s="248">
        <v>43956</v>
      </c>
      <c r="BO4" s="248">
        <v>43957</v>
      </c>
      <c r="BP4" s="248">
        <v>43958</v>
      </c>
      <c r="BQ4" s="248">
        <v>43959</v>
      </c>
      <c r="BR4" s="248">
        <v>43960</v>
      </c>
      <c r="BS4" s="248">
        <v>43961</v>
      </c>
      <c r="BT4" s="248">
        <v>43962</v>
      </c>
      <c r="BU4" s="248">
        <v>43963</v>
      </c>
      <c r="BV4" s="248">
        <v>43964</v>
      </c>
      <c r="BW4" s="248">
        <v>43965</v>
      </c>
      <c r="BX4" s="248">
        <v>43966</v>
      </c>
      <c r="BY4" s="248">
        <v>43967</v>
      </c>
      <c r="BZ4" s="248">
        <v>43968</v>
      </c>
      <c r="CA4" s="248">
        <v>43969</v>
      </c>
      <c r="CB4" s="248">
        <v>43970</v>
      </c>
      <c r="CC4" s="248">
        <v>43971</v>
      </c>
      <c r="CD4" s="248">
        <v>43972</v>
      </c>
      <c r="CE4" s="248">
        <v>43973</v>
      </c>
      <c r="CF4" s="248">
        <v>43974</v>
      </c>
      <c r="CG4" s="248">
        <v>43975</v>
      </c>
      <c r="CH4" s="248">
        <v>43976</v>
      </c>
      <c r="CI4" s="248">
        <v>43977</v>
      </c>
      <c r="CJ4" s="248">
        <v>43978</v>
      </c>
      <c r="CK4" s="248">
        <v>43979</v>
      </c>
      <c r="CL4" s="248">
        <v>43980</v>
      </c>
      <c r="CM4" s="248">
        <v>43981</v>
      </c>
      <c r="CN4" s="248">
        <v>43982</v>
      </c>
      <c r="CO4" s="248">
        <v>43983</v>
      </c>
      <c r="CP4" s="248">
        <v>43984</v>
      </c>
      <c r="CQ4" s="248">
        <v>43985</v>
      </c>
      <c r="CR4" s="248">
        <v>43986</v>
      </c>
      <c r="CS4" s="248">
        <v>43987</v>
      </c>
      <c r="CT4" s="248">
        <v>43988</v>
      </c>
      <c r="CU4" s="248">
        <v>43989</v>
      </c>
      <c r="CV4" s="248">
        <v>43990</v>
      </c>
      <c r="CW4" s="248">
        <v>43991</v>
      </c>
      <c r="CX4" s="248">
        <v>43992</v>
      </c>
      <c r="CY4" s="248">
        <v>43993</v>
      </c>
      <c r="CZ4" s="248">
        <v>43994</v>
      </c>
      <c r="DA4" s="248">
        <v>43995</v>
      </c>
      <c r="DB4" s="248">
        <v>43996</v>
      </c>
      <c r="DC4" s="248">
        <v>43997</v>
      </c>
      <c r="DD4" s="248">
        <v>43998</v>
      </c>
      <c r="DE4" s="248">
        <v>43999</v>
      </c>
      <c r="DF4" s="248">
        <v>44000</v>
      </c>
      <c r="DG4" s="248">
        <v>44001</v>
      </c>
      <c r="DH4" s="248">
        <v>44002</v>
      </c>
      <c r="DI4" s="248">
        <v>44003</v>
      </c>
      <c r="DJ4" s="248">
        <v>44004</v>
      </c>
      <c r="DK4" s="248">
        <v>44005</v>
      </c>
      <c r="DL4" s="248">
        <v>44006</v>
      </c>
      <c r="DM4" s="248">
        <v>44007</v>
      </c>
      <c r="DN4" s="248">
        <v>44008</v>
      </c>
      <c r="DO4" s="248">
        <v>44009</v>
      </c>
      <c r="DP4" s="248">
        <v>44010</v>
      </c>
      <c r="DQ4" s="248">
        <v>44011</v>
      </c>
      <c r="DR4" s="248">
        <v>44012</v>
      </c>
      <c r="DS4" s="248">
        <v>44013</v>
      </c>
      <c r="DT4" s="248">
        <v>44014</v>
      </c>
      <c r="DU4" s="248">
        <v>44015</v>
      </c>
      <c r="DV4" s="248">
        <v>44016</v>
      </c>
      <c r="DW4" s="248">
        <v>44017</v>
      </c>
      <c r="DX4" s="248">
        <v>44018</v>
      </c>
      <c r="DY4" s="248">
        <v>44019</v>
      </c>
      <c r="DZ4" s="248">
        <v>44020</v>
      </c>
      <c r="EA4" s="248">
        <v>44021</v>
      </c>
      <c r="EB4" s="248">
        <v>44022</v>
      </c>
      <c r="EC4" s="248">
        <v>44023</v>
      </c>
      <c r="ED4" s="248">
        <v>44024</v>
      </c>
      <c r="EE4" s="248">
        <v>44025</v>
      </c>
      <c r="EF4" s="248">
        <v>44026</v>
      </c>
      <c r="EG4" s="248">
        <v>44027</v>
      </c>
      <c r="EH4" s="248">
        <v>44028</v>
      </c>
      <c r="EI4" s="248">
        <v>44029</v>
      </c>
      <c r="EJ4" s="248">
        <v>44030</v>
      </c>
      <c r="EK4" s="248">
        <v>44031</v>
      </c>
      <c r="EL4" s="248">
        <v>44032</v>
      </c>
      <c r="EM4" s="248">
        <v>44033</v>
      </c>
      <c r="EN4" s="248">
        <v>44034</v>
      </c>
      <c r="EO4" s="248">
        <v>44035</v>
      </c>
      <c r="EP4" s="248">
        <v>44036</v>
      </c>
      <c r="EQ4" s="248">
        <v>44037</v>
      </c>
      <c r="ER4" s="248">
        <v>44038</v>
      </c>
      <c r="ES4" s="248">
        <v>44039</v>
      </c>
      <c r="ET4" s="248">
        <v>44040</v>
      </c>
      <c r="EU4" s="248">
        <v>44041</v>
      </c>
      <c r="EV4" s="248">
        <v>44042</v>
      </c>
      <c r="EW4" s="248">
        <v>44043</v>
      </c>
      <c r="EX4" s="248">
        <v>44044</v>
      </c>
      <c r="EY4" s="248">
        <v>44045</v>
      </c>
      <c r="EZ4" s="248">
        <v>44046</v>
      </c>
      <c r="FA4" s="248">
        <v>44047</v>
      </c>
      <c r="FB4" s="248">
        <v>44048</v>
      </c>
      <c r="FC4" s="248">
        <v>44049</v>
      </c>
      <c r="FD4" s="248">
        <v>44050</v>
      </c>
      <c r="FE4" s="248">
        <v>44051</v>
      </c>
      <c r="FF4" s="248">
        <v>44052</v>
      </c>
      <c r="FG4" s="248">
        <v>44053</v>
      </c>
      <c r="FH4" s="248">
        <v>44054</v>
      </c>
      <c r="FI4" s="248">
        <v>44055</v>
      </c>
      <c r="FJ4" s="248">
        <v>44056</v>
      </c>
      <c r="FK4" s="248">
        <v>44057</v>
      </c>
      <c r="FL4" s="248">
        <v>44058</v>
      </c>
      <c r="FM4" s="248">
        <v>44059</v>
      </c>
      <c r="FN4" s="248">
        <v>44060</v>
      </c>
      <c r="FO4" s="248">
        <v>44061</v>
      </c>
      <c r="FP4" s="248">
        <v>44062</v>
      </c>
      <c r="FQ4" s="248">
        <v>44063</v>
      </c>
      <c r="FR4" s="248">
        <v>44064</v>
      </c>
      <c r="FS4" s="248">
        <v>44065</v>
      </c>
      <c r="FT4" s="248">
        <v>44066</v>
      </c>
      <c r="FU4" s="248">
        <v>44067</v>
      </c>
      <c r="FV4" s="248">
        <v>44068</v>
      </c>
      <c r="FW4" s="248">
        <v>44069</v>
      </c>
      <c r="FX4" s="248">
        <v>44070</v>
      </c>
      <c r="FY4" s="248">
        <v>44071</v>
      </c>
      <c r="FZ4" s="248">
        <v>44072</v>
      </c>
      <c r="GA4" s="248">
        <v>44073</v>
      </c>
      <c r="GB4" s="248">
        <v>44074</v>
      </c>
      <c r="GC4" s="248">
        <v>44075</v>
      </c>
      <c r="GD4" s="248">
        <v>44076</v>
      </c>
      <c r="GE4" s="248">
        <v>44077</v>
      </c>
      <c r="GF4" s="248">
        <v>44078</v>
      </c>
      <c r="GG4" s="248">
        <v>44079</v>
      </c>
      <c r="GH4" s="248">
        <v>44080</v>
      </c>
      <c r="GI4" s="248">
        <v>44081</v>
      </c>
      <c r="GJ4" s="248">
        <v>44082</v>
      </c>
      <c r="GK4" s="248">
        <v>44083</v>
      </c>
      <c r="GL4" s="248">
        <v>44084</v>
      </c>
      <c r="GM4" s="248">
        <v>44085</v>
      </c>
      <c r="GN4" s="248">
        <v>44086</v>
      </c>
      <c r="GO4" s="248">
        <v>44087</v>
      </c>
      <c r="GP4" s="248">
        <v>44088</v>
      </c>
      <c r="GQ4" s="248">
        <v>44089</v>
      </c>
      <c r="GR4" s="248">
        <v>44090</v>
      </c>
      <c r="GS4" s="248">
        <v>44091</v>
      </c>
      <c r="GT4" s="248">
        <v>44092</v>
      </c>
      <c r="GU4" s="248">
        <v>44093</v>
      </c>
      <c r="GV4" s="248">
        <v>44094</v>
      </c>
      <c r="GW4" s="248">
        <v>44095</v>
      </c>
      <c r="GX4" s="248">
        <v>44096</v>
      </c>
      <c r="GY4" s="248">
        <v>44097</v>
      </c>
      <c r="GZ4" s="248">
        <v>44098</v>
      </c>
      <c r="HA4" s="248">
        <v>44099</v>
      </c>
      <c r="HB4" s="248">
        <v>44100</v>
      </c>
      <c r="HC4" s="248">
        <v>44101</v>
      </c>
      <c r="HD4" s="248">
        <v>44102</v>
      </c>
      <c r="HE4" s="248">
        <v>44103</v>
      </c>
      <c r="HF4" s="248">
        <v>44104</v>
      </c>
      <c r="HG4" s="248">
        <v>44105</v>
      </c>
      <c r="HH4" s="248">
        <v>44106</v>
      </c>
      <c r="HI4" s="248">
        <v>44107</v>
      </c>
      <c r="HJ4" s="248">
        <v>44108</v>
      </c>
      <c r="HK4" s="248">
        <v>44109</v>
      </c>
      <c r="HL4" s="248">
        <v>44110</v>
      </c>
      <c r="HM4" s="248">
        <v>44111</v>
      </c>
      <c r="HN4" s="248">
        <v>44112</v>
      </c>
      <c r="HO4" s="248">
        <v>44113</v>
      </c>
      <c r="HP4" s="248">
        <v>44114</v>
      </c>
      <c r="HQ4" s="248">
        <v>44115</v>
      </c>
      <c r="HR4" s="248">
        <v>44116</v>
      </c>
      <c r="HS4" s="248">
        <v>44117</v>
      </c>
      <c r="HT4" s="248">
        <v>44118</v>
      </c>
      <c r="HU4" s="248">
        <v>44119</v>
      </c>
      <c r="HV4" s="248">
        <v>44120</v>
      </c>
      <c r="HW4" s="248">
        <v>44121</v>
      </c>
      <c r="HX4" s="248">
        <v>44122</v>
      </c>
      <c r="HY4" s="248">
        <v>44123</v>
      </c>
      <c r="HZ4" s="248">
        <v>44124</v>
      </c>
      <c r="IA4" s="248">
        <v>44125</v>
      </c>
      <c r="IB4" s="248">
        <v>44126</v>
      </c>
      <c r="IC4" s="248">
        <v>44127</v>
      </c>
      <c r="ID4" s="248">
        <v>44128</v>
      </c>
      <c r="IE4" s="248">
        <v>44129</v>
      </c>
      <c r="IF4" s="248">
        <v>44130</v>
      </c>
      <c r="IG4" s="248">
        <v>44131</v>
      </c>
      <c r="IH4" s="248">
        <v>44132</v>
      </c>
      <c r="II4" s="248">
        <v>44133</v>
      </c>
      <c r="IJ4" s="248">
        <v>44134</v>
      </c>
      <c r="IK4" s="248">
        <v>44135</v>
      </c>
      <c r="IL4" s="248">
        <v>44136</v>
      </c>
      <c r="IM4" s="248">
        <v>44137</v>
      </c>
      <c r="IN4" s="248">
        <v>44138</v>
      </c>
      <c r="IO4" s="248">
        <v>44139</v>
      </c>
      <c r="IP4" s="248">
        <v>44140</v>
      </c>
      <c r="IQ4" s="248">
        <v>44141</v>
      </c>
      <c r="IR4" s="248">
        <v>44142</v>
      </c>
      <c r="IS4" s="248">
        <v>44143</v>
      </c>
      <c r="IT4" s="248">
        <v>44144</v>
      </c>
      <c r="IU4" s="248">
        <v>44145</v>
      </c>
      <c r="IV4" s="248">
        <v>44146</v>
      </c>
      <c r="IW4" s="248">
        <v>44147</v>
      </c>
      <c r="IX4" s="248">
        <v>44148</v>
      </c>
      <c r="IY4" s="248">
        <v>44149</v>
      </c>
      <c r="IZ4" s="248">
        <v>44150</v>
      </c>
      <c r="JA4" s="248">
        <v>44151</v>
      </c>
      <c r="JB4" s="248">
        <v>44152</v>
      </c>
      <c r="JC4" s="248">
        <v>44153</v>
      </c>
      <c r="JD4" s="248">
        <v>44154</v>
      </c>
      <c r="JE4" s="248">
        <v>44155</v>
      </c>
      <c r="JF4" s="248">
        <v>44156</v>
      </c>
      <c r="JG4" s="248">
        <v>44157</v>
      </c>
      <c r="JH4" s="248">
        <v>44158</v>
      </c>
      <c r="JI4" s="248">
        <v>44159</v>
      </c>
      <c r="JJ4" s="248">
        <v>44160</v>
      </c>
      <c r="JK4" s="248">
        <v>44161</v>
      </c>
      <c r="JL4" s="248">
        <v>44162</v>
      </c>
      <c r="JM4" s="248">
        <v>44163</v>
      </c>
      <c r="JN4" s="248">
        <v>44164</v>
      </c>
      <c r="JO4" s="248">
        <v>44165</v>
      </c>
      <c r="JP4" s="248">
        <v>44166</v>
      </c>
      <c r="JQ4" s="248">
        <v>44167</v>
      </c>
      <c r="JR4" s="248">
        <v>44168</v>
      </c>
      <c r="JS4" s="248">
        <v>44169</v>
      </c>
      <c r="JT4" s="248">
        <v>44170</v>
      </c>
      <c r="JU4" s="248">
        <v>44171</v>
      </c>
      <c r="JV4" s="248">
        <v>44172</v>
      </c>
      <c r="JW4" s="248">
        <v>44173</v>
      </c>
      <c r="JX4" s="248">
        <v>44174</v>
      </c>
      <c r="JY4" s="248">
        <v>44175</v>
      </c>
      <c r="JZ4" s="248">
        <v>44176</v>
      </c>
      <c r="KA4" s="248">
        <v>44177</v>
      </c>
      <c r="KB4" s="248">
        <v>44178</v>
      </c>
      <c r="KC4" s="248">
        <v>44179</v>
      </c>
      <c r="KD4" s="248">
        <v>44180</v>
      </c>
      <c r="KE4" s="248">
        <v>44181</v>
      </c>
      <c r="KF4" s="248">
        <v>44182</v>
      </c>
      <c r="KG4" s="248">
        <v>44183</v>
      </c>
      <c r="KH4" s="248">
        <v>44184</v>
      </c>
      <c r="KI4" s="248">
        <v>44185</v>
      </c>
      <c r="KJ4" s="248">
        <v>44186</v>
      </c>
      <c r="KK4" s="248">
        <v>44187</v>
      </c>
      <c r="KL4" s="248">
        <v>44188</v>
      </c>
      <c r="KM4" s="248">
        <v>44189</v>
      </c>
      <c r="KN4" s="248">
        <v>44190</v>
      </c>
      <c r="KO4" s="248">
        <v>44191</v>
      </c>
      <c r="KP4" s="248">
        <v>44192</v>
      </c>
      <c r="KQ4" s="248">
        <v>44193</v>
      </c>
      <c r="KR4" s="248">
        <v>44194</v>
      </c>
      <c r="KS4" s="248">
        <v>44195</v>
      </c>
      <c r="KT4" s="248">
        <v>44196</v>
      </c>
      <c r="KU4" s="248">
        <v>44197</v>
      </c>
      <c r="KV4" s="248">
        <v>44198</v>
      </c>
      <c r="KW4" s="248">
        <v>44199</v>
      </c>
      <c r="KX4" s="248">
        <v>44200</v>
      </c>
      <c r="KY4" s="248">
        <v>44201</v>
      </c>
      <c r="KZ4" s="248">
        <v>44202</v>
      </c>
      <c r="LA4" s="248">
        <v>44203</v>
      </c>
      <c r="LB4" s="248">
        <v>44204</v>
      </c>
      <c r="LC4" s="248">
        <v>44205</v>
      </c>
      <c r="LD4" s="248">
        <v>44206</v>
      </c>
      <c r="LE4" s="248">
        <v>44207</v>
      </c>
      <c r="LF4" s="248">
        <v>44208</v>
      </c>
      <c r="LG4" s="248">
        <v>44209</v>
      </c>
      <c r="LH4" s="248">
        <v>44210</v>
      </c>
      <c r="LI4" s="248">
        <v>44211</v>
      </c>
      <c r="LJ4" s="248">
        <v>44212</v>
      </c>
      <c r="LK4" s="248">
        <v>44213</v>
      </c>
      <c r="LL4" s="248">
        <v>44214</v>
      </c>
      <c r="LM4" s="248">
        <v>44215</v>
      </c>
      <c r="LN4" s="248">
        <v>44216</v>
      </c>
      <c r="LO4" s="248">
        <v>44217</v>
      </c>
      <c r="LP4" s="248">
        <v>44218</v>
      </c>
      <c r="LQ4" s="248">
        <v>44219</v>
      </c>
      <c r="LR4" s="248">
        <v>44220</v>
      </c>
      <c r="LS4" s="248">
        <v>44221</v>
      </c>
      <c r="LT4" s="248">
        <v>44222</v>
      </c>
      <c r="LU4" s="248">
        <v>44223</v>
      </c>
      <c r="LV4" s="248">
        <v>44224</v>
      </c>
      <c r="LW4" s="248">
        <v>44225</v>
      </c>
      <c r="LX4" s="248">
        <v>44226</v>
      </c>
      <c r="LY4" s="248">
        <v>44227</v>
      </c>
      <c r="LZ4" s="248">
        <v>44228</v>
      </c>
      <c r="MA4" s="248">
        <v>44229</v>
      </c>
      <c r="MB4" s="248">
        <v>44230</v>
      </c>
      <c r="MC4" s="248">
        <v>44231</v>
      </c>
      <c r="MD4" s="248">
        <v>44232</v>
      </c>
      <c r="ME4" s="248">
        <v>44233</v>
      </c>
      <c r="MF4" s="248">
        <v>44234</v>
      </c>
      <c r="MG4" s="248">
        <v>44235</v>
      </c>
      <c r="MH4" s="248">
        <v>44236</v>
      </c>
      <c r="MI4" s="248">
        <v>44237</v>
      </c>
      <c r="MJ4" s="248">
        <v>44238</v>
      </c>
      <c r="MK4" s="248">
        <v>44239</v>
      </c>
      <c r="ML4" s="248">
        <v>44240</v>
      </c>
      <c r="MM4" s="248">
        <v>44241</v>
      </c>
      <c r="MN4" s="248">
        <v>44242</v>
      </c>
      <c r="MO4" s="248">
        <v>44243</v>
      </c>
      <c r="MP4" s="248">
        <v>44244</v>
      </c>
      <c r="MQ4" s="248">
        <v>44245</v>
      </c>
      <c r="MR4" s="248">
        <v>44246</v>
      </c>
      <c r="MS4" s="248">
        <v>44247</v>
      </c>
      <c r="MT4" s="248">
        <v>44248</v>
      </c>
      <c r="MU4" s="248">
        <v>44249</v>
      </c>
      <c r="MV4" s="248">
        <v>44250</v>
      </c>
      <c r="MW4" s="248">
        <v>44251</v>
      </c>
      <c r="MX4" s="248">
        <v>44252</v>
      </c>
      <c r="MY4" s="248">
        <v>44253</v>
      </c>
      <c r="MZ4" s="248">
        <v>44254</v>
      </c>
      <c r="NA4" s="248">
        <v>44255</v>
      </c>
      <c r="NB4" s="248">
        <v>44256</v>
      </c>
      <c r="NC4" s="248">
        <v>44257</v>
      </c>
      <c r="ND4" s="248">
        <v>44258</v>
      </c>
      <c r="NE4" s="248">
        <v>44259</v>
      </c>
      <c r="NF4" s="248">
        <v>44260</v>
      </c>
      <c r="NG4" s="248">
        <v>44261</v>
      </c>
      <c r="NH4" s="248">
        <v>44262</v>
      </c>
      <c r="NI4" s="248">
        <v>44263</v>
      </c>
      <c r="NJ4" s="248">
        <v>44264</v>
      </c>
      <c r="NK4" s="248">
        <v>44265</v>
      </c>
      <c r="NL4" s="248">
        <v>44266</v>
      </c>
      <c r="NM4" s="248">
        <v>44267</v>
      </c>
      <c r="NN4" s="248">
        <v>44268</v>
      </c>
      <c r="NO4" s="248">
        <v>44269</v>
      </c>
      <c r="NP4" s="248">
        <v>44270</v>
      </c>
      <c r="NQ4" s="248">
        <v>44271</v>
      </c>
      <c r="NR4" s="248">
        <v>44272</v>
      </c>
      <c r="NS4" s="248">
        <v>44273</v>
      </c>
      <c r="NT4" s="248">
        <v>44274</v>
      </c>
      <c r="NU4" s="248">
        <v>44275</v>
      </c>
      <c r="NV4" s="248">
        <v>44276</v>
      </c>
      <c r="NW4" s="248">
        <v>44277</v>
      </c>
      <c r="NX4" s="248">
        <v>44278</v>
      </c>
      <c r="NY4" s="248">
        <v>44279</v>
      </c>
      <c r="NZ4" s="248">
        <v>44280</v>
      </c>
      <c r="OA4" s="248">
        <v>44281</v>
      </c>
      <c r="OB4" s="248">
        <v>44282</v>
      </c>
      <c r="OC4" s="248">
        <v>44283</v>
      </c>
      <c r="OD4" s="248">
        <v>44284</v>
      </c>
      <c r="OE4" s="248">
        <v>44285</v>
      </c>
      <c r="OF4" s="248">
        <v>44286</v>
      </c>
      <c r="OG4" s="248">
        <v>44287</v>
      </c>
      <c r="OH4" s="248">
        <v>44288</v>
      </c>
      <c r="OI4" s="248">
        <v>44289</v>
      </c>
      <c r="OJ4" s="248">
        <v>44290</v>
      </c>
      <c r="OK4" s="248">
        <v>44291</v>
      </c>
      <c r="OL4" s="248">
        <v>44292</v>
      </c>
      <c r="OM4" s="248">
        <v>44293</v>
      </c>
      <c r="ON4" s="248">
        <v>44294</v>
      </c>
      <c r="OO4" s="248">
        <v>44295</v>
      </c>
      <c r="OP4" s="248">
        <v>44296</v>
      </c>
      <c r="OQ4" s="248">
        <v>44297</v>
      </c>
      <c r="OR4" s="248">
        <v>44298</v>
      </c>
      <c r="OS4" s="248" t="s">
        <v>314</v>
      </c>
    </row>
    <row r="5" spans="1:409" x14ac:dyDescent="0.25">
      <c r="A5" s="384" t="s">
        <v>309</v>
      </c>
      <c r="B5" s="385"/>
      <c r="C5" s="385"/>
      <c r="D5" s="385"/>
      <c r="E5" s="385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>
        <v>1</v>
      </c>
      <c r="Z5" s="385"/>
      <c r="AA5" s="385"/>
      <c r="AB5" s="385"/>
      <c r="AC5" s="385"/>
      <c r="AD5" s="385"/>
      <c r="AE5" s="385">
        <v>1</v>
      </c>
      <c r="AF5" s="385"/>
      <c r="AG5" s="385"/>
      <c r="AH5" s="385"/>
      <c r="AI5" s="385">
        <v>2</v>
      </c>
      <c r="AJ5" s="385">
        <v>1</v>
      </c>
      <c r="AK5" s="385"/>
      <c r="AL5" s="385"/>
      <c r="AM5" s="385">
        <v>1</v>
      </c>
      <c r="AN5" s="385"/>
      <c r="AO5" s="385"/>
      <c r="AP5" s="385"/>
      <c r="AQ5" s="385">
        <v>1</v>
      </c>
      <c r="AR5" s="385">
        <v>1</v>
      </c>
      <c r="AS5" s="385"/>
      <c r="AT5" s="385"/>
      <c r="AU5" s="385"/>
      <c r="AV5" s="385"/>
      <c r="AW5" s="385">
        <v>2</v>
      </c>
      <c r="AX5" s="385"/>
      <c r="AY5" s="385"/>
      <c r="AZ5" s="385">
        <v>5</v>
      </c>
      <c r="BA5" s="385">
        <v>1</v>
      </c>
      <c r="BB5" s="385">
        <v>6</v>
      </c>
      <c r="BC5" s="385">
        <v>1</v>
      </c>
      <c r="BD5" s="385">
        <v>4</v>
      </c>
      <c r="BE5" s="385">
        <v>3</v>
      </c>
      <c r="BF5" s="385">
        <v>5</v>
      </c>
      <c r="BG5" s="385"/>
      <c r="BH5" s="385">
        <v>2</v>
      </c>
      <c r="BI5" s="385">
        <v>3</v>
      </c>
      <c r="BJ5" s="385">
        <v>6</v>
      </c>
      <c r="BK5" s="385">
        <v>6</v>
      </c>
      <c r="BL5" s="385">
        <v>2</v>
      </c>
      <c r="BM5" s="385">
        <v>7</v>
      </c>
      <c r="BN5" s="385">
        <v>10</v>
      </c>
      <c r="BO5" s="385">
        <v>5</v>
      </c>
      <c r="BP5" s="385">
        <v>11</v>
      </c>
      <c r="BQ5" s="385">
        <v>18</v>
      </c>
      <c r="BR5" s="385">
        <v>5</v>
      </c>
      <c r="BS5" s="385">
        <v>7</v>
      </c>
      <c r="BT5" s="385">
        <v>17</v>
      </c>
      <c r="BU5" s="385">
        <v>25</v>
      </c>
      <c r="BV5" s="385">
        <v>14</v>
      </c>
      <c r="BW5" s="385">
        <v>34</v>
      </c>
      <c r="BX5" s="385">
        <v>30</v>
      </c>
      <c r="BY5" s="385">
        <v>22</v>
      </c>
      <c r="BZ5" s="385">
        <v>22</v>
      </c>
      <c r="CA5" s="385">
        <v>41</v>
      </c>
      <c r="CB5" s="385">
        <v>47</v>
      </c>
      <c r="CC5" s="385">
        <v>32</v>
      </c>
      <c r="CD5" s="385">
        <v>33</v>
      </c>
      <c r="CE5" s="385">
        <v>28</v>
      </c>
      <c r="CF5" s="385">
        <v>41</v>
      </c>
      <c r="CG5" s="385">
        <v>28</v>
      </c>
      <c r="CH5" s="385">
        <v>38</v>
      </c>
      <c r="CI5" s="385">
        <v>38</v>
      </c>
      <c r="CJ5" s="385">
        <v>42</v>
      </c>
      <c r="CK5" s="385">
        <v>41</v>
      </c>
      <c r="CL5" s="385">
        <v>55</v>
      </c>
      <c r="CM5" s="385">
        <v>29</v>
      </c>
      <c r="CN5" s="385">
        <v>19</v>
      </c>
      <c r="CO5" s="385">
        <v>40</v>
      </c>
      <c r="CP5" s="385">
        <v>44</v>
      </c>
      <c r="CQ5" s="385">
        <v>40</v>
      </c>
      <c r="CR5" s="385">
        <v>48</v>
      </c>
      <c r="CS5" s="385">
        <v>53</v>
      </c>
      <c r="CT5" s="385">
        <v>47</v>
      </c>
      <c r="CU5" s="385">
        <v>36</v>
      </c>
      <c r="CV5" s="385">
        <v>69</v>
      </c>
      <c r="CW5" s="385">
        <v>54</v>
      </c>
      <c r="CX5" s="385">
        <v>43</v>
      </c>
      <c r="CY5" s="385">
        <v>54</v>
      </c>
      <c r="CZ5" s="385">
        <v>76</v>
      </c>
      <c r="DA5" s="385">
        <v>56</v>
      </c>
      <c r="DB5" s="385">
        <v>44</v>
      </c>
      <c r="DC5" s="385">
        <v>37</v>
      </c>
      <c r="DD5" s="385">
        <v>78</v>
      </c>
      <c r="DE5" s="385">
        <v>69</v>
      </c>
      <c r="DF5" s="385">
        <v>67</v>
      </c>
      <c r="DG5" s="385">
        <v>74</v>
      </c>
      <c r="DH5" s="385">
        <v>71</v>
      </c>
      <c r="DI5" s="385">
        <v>62</v>
      </c>
      <c r="DJ5" s="385">
        <v>89</v>
      </c>
      <c r="DK5" s="385">
        <v>69</v>
      </c>
      <c r="DL5" s="385">
        <v>63</v>
      </c>
      <c r="DM5" s="385">
        <v>87</v>
      </c>
      <c r="DN5" s="385">
        <v>87</v>
      </c>
      <c r="DO5" s="385">
        <v>77</v>
      </c>
      <c r="DP5" s="385">
        <v>55</v>
      </c>
      <c r="DQ5" s="385">
        <v>62</v>
      </c>
      <c r="DR5" s="385">
        <v>60</v>
      </c>
      <c r="DS5" s="385">
        <v>66</v>
      </c>
      <c r="DT5" s="385">
        <v>71</v>
      </c>
      <c r="DU5" s="385">
        <v>96</v>
      </c>
      <c r="DV5" s="385">
        <v>79</v>
      </c>
      <c r="DW5" s="385">
        <v>59</v>
      </c>
      <c r="DX5" s="385">
        <v>72</v>
      </c>
      <c r="DY5" s="385">
        <v>82</v>
      </c>
      <c r="DZ5" s="385">
        <v>91</v>
      </c>
      <c r="EA5" s="385">
        <v>75</v>
      </c>
      <c r="EB5" s="385">
        <v>71</v>
      </c>
      <c r="EC5" s="385">
        <v>58</v>
      </c>
      <c r="ED5" s="385">
        <v>57</v>
      </c>
      <c r="EE5" s="385">
        <v>87</v>
      </c>
      <c r="EF5" s="385">
        <v>89</v>
      </c>
      <c r="EG5" s="385">
        <v>88</v>
      </c>
      <c r="EH5" s="385">
        <v>90</v>
      </c>
      <c r="EI5" s="385">
        <v>78</v>
      </c>
      <c r="EJ5" s="385">
        <v>82</v>
      </c>
      <c r="EK5" s="385">
        <v>81</v>
      </c>
      <c r="EL5" s="385">
        <v>91</v>
      </c>
      <c r="EM5" s="385">
        <v>103</v>
      </c>
      <c r="EN5" s="385">
        <v>79</v>
      </c>
      <c r="EO5" s="385">
        <v>89</v>
      </c>
      <c r="EP5" s="385">
        <v>98</v>
      </c>
      <c r="EQ5" s="385">
        <v>57</v>
      </c>
      <c r="ER5" s="385">
        <v>63</v>
      </c>
      <c r="ES5" s="385">
        <v>76</v>
      </c>
      <c r="ET5" s="385">
        <v>94</v>
      </c>
      <c r="EU5" s="385">
        <v>76</v>
      </c>
      <c r="EV5" s="385">
        <v>95</v>
      </c>
      <c r="EW5" s="385">
        <v>82</v>
      </c>
      <c r="EX5" s="385">
        <v>77</v>
      </c>
      <c r="EY5" s="385">
        <v>67</v>
      </c>
      <c r="EZ5" s="385">
        <v>120</v>
      </c>
      <c r="FA5" s="385">
        <v>79</v>
      </c>
      <c r="FB5" s="385">
        <v>105</v>
      </c>
      <c r="FC5" s="385">
        <v>94</v>
      </c>
      <c r="FD5" s="385">
        <v>73</v>
      </c>
      <c r="FE5" s="385">
        <v>84</v>
      </c>
      <c r="FF5" s="385">
        <v>63</v>
      </c>
      <c r="FG5" s="385">
        <v>86</v>
      </c>
      <c r="FH5" s="385">
        <v>83</v>
      </c>
      <c r="FI5" s="385">
        <v>82</v>
      </c>
      <c r="FJ5" s="385">
        <v>64</v>
      </c>
      <c r="FK5" s="385">
        <v>73</v>
      </c>
      <c r="FL5" s="385">
        <v>52</v>
      </c>
      <c r="FM5" s="385">
        <v>59</v>
      </c>
      <c r="FN5" s="385">
        <v>53</v>
      </c>
      <c r="FO5" s="385">
        <v>73</v>
      </c>
      <c r="FP5" s="385">
        <v>83</v>
      </c>
      <c r="FQ5" s="385">
        <v>71</v>
      </c>
      <c r="FR5" s="385">
        <v>69</v>
      </c>
      <c r="FS5" s="385">
        <v>66</v>
      </c>
      <c r="FT5" s="385">
        <v>55</v>
      </c>
      <c r="FU5" s="385">
        <v>99</v>
      </c>
      <c r="FV5" s="385">
        <v>107</v>
      </c>
      <c r="FW5" s="385">
        <v>108</v>
      </c>
      <c r="FX5" s="385">
        <v>107</v>
      </c>
      <c r="FY5" s="385">
        <v>85</v>
      </c>
      <c r="FZ5" s="385">
        <v>66</v>
      </c>
      <c r="GA5" s="385">
        <v>34</v>
      </c>
      <c r="GB5" s="385">
        <v>70</v>
      </c>
      <c r="GC5" s="385">
        <v>54</v>
      </c>
      <c r="GD5" s="385">
        <v>62</v>
      </c>
      <c r="GE5" s="385">
        <v>68</v>
      </c>
      <c r="GF5" s="385">
        <v>59</v>
      </c>
      <c r="GG5" s="385">
        <v>53</v>
      </c>
      <c r="GH5" s="385">
        <v>59</v>
      </c>
      <c r="GI5" s="385">
        <v>62</v>
      </c>
      <c r="GJ5" s="385">
        <v>93</v>
      </c>
      <c r="GK5" s="385">
        <v>79</v>
      </c>
      <c r="GL5" s="385">
        <v>73</v>
      </c>
      <c r="GM5" s="385">
        <v>86</v>
      </c>
      <c r="GN5" s="385">
        <v>42</v>
      </c>
      <c r="GO5" s="385">
        <v>45</v>
      </c>
      <c r="GP5" s="385">
        <v>57</v>
      </c>
      <c r="GQ5" s="385">
        <v>67</v>
      </c>
      <c r="GR5" s="385">
        <v>68</v>
      </c>
      <c r="GS5" s="385">
        <v>51</v>
      </c>
      <c r="GT5" s="385">
        <v>98</v>
      </c>
      <c r="GU5" s="385">
        <v>32</v>
      </c>
      <c r="GV5" s="385">
        <v>37</v>
      </c>
      <c r="GW5" s="385">
        <v>44</v>
      </c>
      <c r="GX5" s="385">
        <v>50</v>
      </c>
      <c r="GY5" s="385">
        <v>78</v>
      </c>
      <c r="GZ5" s="385">
        <v>63</v>
      </c>
      <c r="HA5" s="385">
        <v>66</v>
      </c>
      <c r="HB5" s="385">
        <v>46</v>
      </c>
      <c r="HC5" s="385">
        <v>48</v>
      </c>
      <c r="HD5" s="385">
        <v>50</v>
      </c>
      <c r="HE5" s="385">
        <v>69</v>
      </c>
      <c r="HF5" s="385">
        <v>62</v>
      </c>
      <c r="HG5" s="385">
        <v>48</v>
      </c>
      <c r="HH5" s="385">
        <v>69</v>
      </c>
      <c r="HI5" s="385">
        <v>55</v>
      </c>
      <c r="HJ5" s="385">
        <v>31</v>
      </c>
      <c r="HK5" s="385">
        <v>45</v>
      </c>
      <c r="HL5" s="385">
        <v>55</v>
      </c>
      <c r="HM5" s="385">
        <v>49</v>
      </c>
      <c r="HN5" s="385">
        <v>57</v>
      </c>
      <c r="HO5" s="385">
        <v>53</v>
      </c>
      <c r="HP5" s="385">
        <v>52</v>
      </c>
      <c r="HQ5" s="385">
        <v>39</v>
      </c>
      <c r="HR5" s="385">
        <v>56</v>
      </c>
      <c r="HS5" s="385">
        <v>46</v>
      </c>
      <c r="HT5" s="385">
        <v>59</v>
      </c>
      <c r="HU5" s="385">
        <v>59</v>
      </c>
      <c r="HV5" s="385">
        <v>52</v>
      </c>
      <c r="HW5" s="385">
        <v>48</v>
      </c>
      <c r="HX5" s="385">
        <v>27</v>
      </c>
      <c r="HY5" s="385">
        <v>44</v>
      </c>
      <c r="HZ5" s="385">
        <v>26</v>
      </c>
      <c r="IA5" s="385">
        <v>32</v>
      </c>
      <c r="IB5" s="385">
        <v>30</v>
      </c>
      <c r="IC5" s="385">
        <v>32</v>
      </c>
      <c r="ID5" s="385">
        <v>37</v>
      </c>
      <c r="IE5" s="385">
        <v>29</v>
      </c>
      <c r="IF5" s="385">
        <v>20</v>
      </c>
      <c r="IG5" s="385">
        <v>33</v>
      </c>
      <c r="IH5" s="385">
        <v>36</v>
      </c>
      <c r="II5" s="385">
        <v>29</v>
      </c>
      <c r="IJ5" s="385">
        <v>25</v>
      </c>
      <c r="IK5" s="385">
        <v>14</v>
      </c>
      <c r="IL5" s="385">
        <v>23</v>
      </c>
      <c r="IM5" s="385">
        <v>23</v>
      </c>
      <c r="IN5" s="385">
        <v>29</v>
      </c>
      <c r="IO5" s="385">
        <v>32</v>
      </c>
      <c r="IP5" s="385">
        <v>46</v>
      </c>
      <c r="IQ5" s="385">
        <v>33</v>
      </c>
      <c r="IR5" s="385">
        <v>17</v>
      </c>
      <c r="IS5" s="385">
        <v>12</v>
      </c>
      <c r="IT5" s="385">
        <v>25</v>
      </c>
      <c r="IU5" s="385">
        <v>32</v>
      </c>
      <c r="IV5" s="385">
        <v>29</v>
      </c>
      <c r="IW5" s="385">
        <v>22</v>
      </c>
      <c r="IX5" s="385">
        <v>30</v>
      </c>
      <c r="IY5" s="385">
        <v>26</v>
      </c>
      <c r="IZ5" s="385">
        <v>16</v>
      </c>
      <c r="JA5" s="385">
        <v>26</v>
      </c>
      <c r="JB5" s="385">
        <v>30</v>
      </c>
      <c r="JC5" s="385">
        <v>28</v>
      </c>
      <c r="JD5" s="385">
        <v>14</v>
      </c>
      <c r="JE5" s="385">
        <v>18</v>
      </c>
      <c r="JF5" s="385">
        <v>19</v>
      </c>
      <c r="JG5" s="385">
        <v>13</v>
      </c>
      <c r="JH5" s="385">
        <v>8</v>
      </c>
      <c r="JI5" s="385">
        <v>21</v>
      </c>
      <c r="JJ5" s="385">
        <v>30</v>
      </c>
      <c r="JK5" s="385">
        <v>26</v>
      </c>
      <c r="JL5" s="385">
        <v>12</v>
      </c>
      <c r="JM5" s="385">
        <v>15</v>
      </c>
      <c r="JN5" s="385">
        <v>11</v>
      </c>
      <c r="JO5" s="385">
        <v>26</v>
      </c>
      <c r="JP5" s="385">
        <v>22</v>
      </c>
      <c r="JQ5" s="385">
        <v>9</v>
      </c>
      <c r="JR5" s="385">
        <v>18</v>
      </c>
      <c r="JS5" s="385">
        <v>19</v>
      </c>
      <c r="JT5" s="385">
        <v>16</v>
      </c>
      <c r="JU5" s="385">
        <v>20</v>
      </c>
      <c r="JV5" s="385">
        <v>13</v>
      </c>
      <c r="JW5" s="385">
        <v>9</v>
      </c>
      <c r="JX5" s="385">
        <v>20</v>
      </c>
      <c r="JY5" s="385">
        <v>24</v>
      </c>
      <c r="JZ5" s="385">
        <v>22</v>
      </c>
      <c r="KA5" s="385">
        <v>16</v>
      </c>
      <c r="KB5" s="385">
        <v>16</v>
      </c>
      <c r="KC5" s="385">
        <v>16</v>
      </c>
      <c r="KD5" s="385">
        <v>13</v>
      </c>
      <c r="KE5" s="385">
        <v>29</v>
      </c>
      <c r="KF5" s="385">
        <v>20</v>
      </c>
      <c r="KG5" s="385">
        <v>23</v>
      </c>
      <c r="KH5" s="385">
        <v>25</v>
      </c>
      <c r="KI5" s="385">
        <v>17</v>
      </c>
      <c r="KJ5" s="385">
        <v>29</v>
      </c>
      <c r="KK5" s="385">
        <v>22</v>
      </c>
      <c r="KL5" s="385">
        <v>31</v>
      </c>
      <c r="KM5" s="385">
        <v>10</v>
      </c>
      <c r="KN5" s="385">
        <v>18</v>
      </c>
      <c r="KO5" s="385">
        <v>24</v>
      </c>
      <c r="KP5" s="385">
        <v>20</v>
      </c>
      <c r="KQ5" s="385">
        <v>44</v>
      </c>
      <c r="KR5" s="385">
        <v>33</v>
      </c>
      <c r="KS5" s="385">
        <v>56</v>
      </c>
      <c r="KT5" s="385">
        <v>25</v>
      </c>
      <c r="KU5" s="385">
        <v>22</v>
      </c>
      <c r="KV5" s="385">
        <v>29</v>
      </c>
      <c r="KW5" s="385">
        <v>38</v>
      </c>
      <c r="KX5" s="385">
        <v>48</v>
      </c>
      <c r="KY5" s="385">
        <v>46</v>
      </c>
      <c r="KZ5" s="385">
        <v>37</v>
      </c>
      <c r="LA5" s="385">
        <v>43</v>
      </c>
      <c r="LB5" s="385">
        <v>51</v>
      </c>
      <c r="LC5" s="385">
        <v>29</v>
      </c>
      <c r="LD5" s="385">
        <v>26</v>
      </c>
      <c r="LE5" s="385">
        <v>27</v>
      </c>
      <c r="LF5" s="385">
        <v>28</v>
      </c>
      <c r="LG5" s="385">
        <v>47</v>
      </c>
      <c r="LH5" s="385">
        <v>37</v>
      </c>
      <c r="LI5" s="385">
        <v>34</v>
      </c>
      <c r="LJ5" s="385">
        <v>20</v>
      </c>
      <c r="LK5" s="385">
        <v>25</v>
      </c>
      <c r="LL5" s="385">
        <v>41</v>
      </c>
      <c r="LM5" s="385">
        <v>32</v>
      </c>
      <c r="LN5" s="385">
        <v>16</v>
      </c>
      <c r="LO5" s="385">
        <v>29</v>
      </c>
      <c r="LP5" s="385">
        <v>33</v>
      </c>
      <c r="LQ5" s="385">
        <v>21</v>
      </c>
      <c r="LR5" s="385">
        <v>26</v>
      </c>
      <c r="LS5" s="385">
        <v>38</v>
      </c>
      <c r="LT5" s="385">
        <v>42</v>
      </c>
      <c r="LU5" s="385">
        <v>37</v>
      </c>
      <c r="LV5" s="385">
        <v>36</v>
      </c>
      <c r="LW5" s="385">
        <v>42</v>
      </c>
      <c r="LX5" s="385">
        <v>24</v>
      </c>
      <c r="LY5" s="385">
        <v>25</v>
      </c>
      <c r="LZ5" s="385">
        <v>40</v>
      </c>
      <c r="MA5" s="385">
        <v>25</v>
      </c>
      <c r="MB5" s="385">
        <v>31</v>
      </c>
      <c r="MC5" s="385">
        <v>24</v>
      </c>
      <c r="MD5" s="385">
        <v>41</v>
      </c>
      <c r="ME5" s="385">
        <v>24</v>
      </c>
      <c r="MF5" s="385">
        <v>17</v>
      </c>
      <c r="MG5" s="385">
        <v>40</v>
      </c>
      <c r="MH5" s="385">
        <v>31</v>
      </c>
      <c r="MI5" s="385">
        <v>29</v>
      </c>
      <c r="MJ5" s="385">
        <v>22</v>
      </c>
      <c r="MK5" s="385">
        <v>32</v>
      </c>
      <c r="ML5" s="385">
        <v>23</v>
      </c>
      <c r="MM5" s="385">
        <v>15</v>
      </c>
      <c r="MN5" s="385">
        <v>16</v>
      </c>
      <c r="MO5" s="385">
        <v>27</v>
      </c>
      <c r="MP5" s="385">
        <v>29</v>
      </c>
      <c r="MQ5" s="385">
        <v>21</v>
      </c>
      <c r="MR5" s="385">
        <v>18</v>
      </c>
      <c r="MS5" s="385">
        <v>16</v>
      </c>
      <c r="MT5" s="385">
        <v>11</v>
      </c>
      <c r="MU5" s="385">
        <v>24</v>
      </c>
      <c r="MV5" s="385">
        <v>24</v>
      </c>
      <c r="MW5" s="385">
        <v>27</v>
      </c>
      <c r="MX5" s="385">
        <v>30</v>
      </c>
      <c r="MY5" s="385">
        <v>32</v>
      </c>
      <c r="MZ5" s="385">
        <v>21</v>
      </c>
      <c r="NA5" s="385">
        <v>15</v>
      </c>
      <c r="NB5" s="385">
        <v>45</v>
      </c>
      <c r="NC5" s="385">
        <v>31</v>
      </c>
      <c r="ND5" s="385">
        <v>33</v>
      </c>
      <c r="NE5" s="385">
        <v>37</v>
      </c>
      <c r="NF5" s="385">
        <v>37</v>
      </c>
      <c r="NG5" s="385">
        <v>19</v>
      </c>
      <c r="NH5" s="385">
        <v>30</v>
      </c>
      <c r="NI5" s="385">
        <v>49</v>
      </c>
      <c r="NJ5" s="385">
        <v>39</v>
      </c>
      <c r="NK5" s="385">
        <v>49</v>
      </c>
      <c r="NL5" s="385">
        <v>35</v>
      </c>
      <c r="NM5" s="385">
        <v>38</v>
      </c>
      <c r="NN5" s="385">
        <v>30</v>
      </c>
      <c r="NO5" s="385">
        <v>23</v>
      </c>
      <c r="NP5" s="385">
        <v>49</v>
      </c>
      <c r="NQ5" s="385">
        <v>37</v>
      </c>
      <c r="NR5" s="385">
        <v>34</v>
      </c>
      <c r="NS5" s="385">
        <v>44</v>
      </c>
      <c r="NT5" s="385">
        <v>54</v>
      </c>
      <c r="NU5" s="385">
        <v>38</v>
      </c>
      <c r="NV5" s="385">
        <v>35</v>
      </c>
      <c r="NW5" s="385">
        <v>60</v>
      </c>
      <c r="NX5" s="385">
        <v>44</v>
      </c>
      <c r="NY5" s="385">
        <v>48</v>
      </c>
      <c r="NZ5" s="385">
        <v>57</v>
      </c>
      <c r="OA5" s="385">
        <v>70</v>
      </c>
      <c r="OB5" s="385">
        <v>45</v>
      </c>
      <c r="OC5" s="385">
        <v>36</v>
      </c>
      <c r="OD5" s="385">
        <v>89</v>
      </c>
      <c r="OE5" s="385">
        <v>61</v>
      </c>
      <c r="OF5" s="385">
        <v>80</v>
      </c>
      <c r="OG5" s="385">
        <v>69</v>
      </c>
      <c r="OH5" s="385">
        <v>79</v>
      </c>
      <c r="OI5" s="385">
        <v>57</v>
      </c>
      <c r="OJ5" s="385">
        <v>73</v>
      </c>
      <c r="OK5" s="385">
        <v>109</v>
      </c>
      <c r="OL5" s="385">
        <v>119</v>
      </c>
      <c r="OM5" s="385">
        <v>92</v>
      </c>
      <c r="ON5" s="385">
        <v>113</v>
      </c>
      <c r="OO5" s="385">
        <v>95</v>
      </c>
      <c r="OP5" s="385">
        <v>76</v>
      </c>
      <c r="OQ5" s="385">
        <v>27</v>
      </c>
      <c r="OR5" s="385">
        <v>17</v>
      </c>
      <c r="OS5" s="385">
        <v>16001</v>
      </c>
    </row>
    <row r="6" spans="1:409" x14ac:dyDescent="0.25">
      <c r="A6" s="384" t="s">
        <v>305</v>
      </c>
      <c r="B6" s="385"/>
      <c r="C6" s="385"/>
      <c r="D6" s="385"/>
      <c r="E6" s="385"/>
      <c r="F6" s="385"/>
      <c r="G6" s="385"/>
      <c r="H6" s="385"/>
      <c r="I6" s="385"/>
      <c r="J6" s="385"/>
      <c r="K6" s="385"/>
      <c r="L6" s="385">
        <v>1</v>
      </c>
      <c r="M6" s="385"/>
      <c r="N6" s="385"/>
      <c r="O6" s="385">
        <v>1</v>
      </c>
      <c r="P6" s="385"/>
      <c r="Q6" s="385">
        <v>1</v>
      </c>
      <c r="R6" s="385"/>
      <c r="S6" s="385">
        <v>1</v>
      </c>
      <c r="T6" s="385"/>
      <c r="U6" s="385">
        <v>5</v>
      </c>
      <c r="V6" s="385">
        <v>1</v>
      </c>
      <c r="W6" s="385">
        <v>1</v>
      </c>
      <c r="X6" s="385"/>
      <c r="Y6" s="385">
        <v>2</v>
      </c>
      <c r="Z6" s="385"/>
      <c r="AA6" s="385"/>
      <c r="AB6" s="385"/>
      <c r="AC6" s="385">
        <v>1</v>
      </c>
      <c r="AD6" s="385">
        <v>1</v>
      </c>
      <c r="AE6" s="385">
        <v>2</v>
      </c>
      <c r="AF6" s="385">
        <v>1</v>
      </c>
      <c r="AG6" s="385">
        <v>1</v>
      </c>
      <c r="AH6" s="385"/>
      <c r="AI6" s="385"/>
      <c r="AJ6" s="385"/>
      <c r="AK6" s="385"/>
      <c r="AL6" s="385"/>
      <c r="AM6" s="385">
        <v>2</v>
      </c>
      <c r="AN6" s="385">
        <v>1</v>
      </c>
      <c r="AO6" s="385">
        <v>1</v>
      </c>
      <c r="AP6" s="385"/>
      <c r="AQ6" s="385"/>
      <c r="AR6" s="385">
        <v>1</v>
      </c>
      <c r="AS6" s="385"/>
      <c r="AT6" s="385">
        <v>1</v>
      </c>
      <c r="AU6" s="385"/>
      <c r="AV6" s="385"/>
      <c r="AW6" s="385">
        <v>1</v>
      </c>
      <c r="AX6" s="385"/>
      <c r="AY6" s="385"/>
      <c r="AZ6" s="385"/>
      <c r="BA6" s="385"/>
      <c r="BB6" s="385">
        <v>5</v>
      </c>
      <c r="BC6" s="385">
        <v>3</v>
      </c>
      <c r="BD6" s="385">
        <v>3</v>
      </c>
      <c r="BE6" s="385">
        <v>2</v>
      </c>
      <c r="BF6" s="385">
        <v>5</v>
      </c>
      <c r="BG6" s="385">
        <v>3</v>
      </c>
      <c r="BH6" s="385">
        <v>6</v>
      </c>
      <c r="BI6" s="385">
        <v>3</v>
      </c>
      <c r="BJ6" s="385">
        <v>6</v>
      </c>
      <c r="BK6" s="385">
        <v>6</v>
      </c>
      <c r="BL6" s="385">
        <v>5</v>
      </c>
      <c r="BM6" s="385">
        <v>6</v>
      </c>
      <c r="BN6" s="385">
        <v>9</v>
      </c>
      <c r="BO6" s="385">
        <v>12</v>
      </c>
      <c r="BP6" s="385">
        <v>8</v>
      </c>
      <c r="BQ6" s="385">
        <v>19</v>
      </c>
      <c r="BR6" s="385">
        <v>8</v>
      </c>
      <c r="BS6" s="385">
        <v>13</v>
      </c>
      <c r="BT6" s="385">
        <v>9</v>
      </c>
      <c r="BU6" s="385">
        <v>18</v>
      </c>
      <c r="BV6" s="385">
        <v>19</v>
      </c>
      <c r="BW6" s="385">
        <v>42</v>
      </c>
      <c r="BX6" s="385">
        <v>24</v>
      </c>
      <c r="BY6" s="385">
        <v>22</v>
      </c>
      <c r="BZ6" s="385">
        <v>31</v>
      </c>
      <c r="CA6" s="385">
        <v>38</v>
      </c>
      <c r="CB6" s="385">
        <v>42</v>
      </c>
      <c r="CC6" s="385">
        <v>36</v>
      </c>
      <c r="CD6" s="385">
        <v>49</v>
      </c>
      <c r="CE6" s="385">
        <v>32</v>
      </c>
      <c r="CF6" s="385">
        <v>46</v>
      </c>
      <c r="CG6" s="385">
        <v>18</v>
      </c>
      <c r="CH6" s="385">
        <v>35</v>
      </c>
      <c r="CI6" s="385">
        <v>46</v>
      </c>
      <c r="CJ6" s="385">
        <v>43</v>
      </c>
      <c r="CK6" s="385">
        <v>56</v>
      </c>
      <c r="CL6" s="385">
        <v>51</v>
      </c>
      <c r="CM6" s="385">
        <v>49</v>
      </c>
      <c r="CN6" s="385">
        <v>28</v>
      </c>
      <c r="CO6" s="385">
        <v>44</v>
      </c>
      <c r="CP6" s="385">
        <v>64</v>
      </c>
      <c r="CQ6" s="385">
        <v>41</v>
      </c>
      <c r="CR6" s="385">
        <v>48</v>
      </c>
      <c r="CS6" s="385">
        <v>67</v>
      </c>
      <c r="CT6" s="385">
        <v>41</v>
      </c>
      <c r="CU6" s="385">
        <v>34</v>
      </c>
      <c r="CV6" s="385">
        <v>62</v>
      </c>
      <c r="CW6" s="385">
        <v>66</v>
      </c>
      <c r="CX6" s="385">
        <v>52</v>
      </c>
      <c r="CY6" s="385">
        <v>77</v>
      </c>
      <c r="CZ6" s="385">
        <v>91</v>
      </c>
      <c r="DA6" s="385">
        <v>65</v>
      </c>
      <c r="DB6" s="385">
        <v>43</v>
      </c>
      <c r="DC6" s="385">
        <v>58</v>
      </c>
      <c r="DD6" s="385">
        <v>56</v>
      </c>
      <c r="DE6" s="385">
        <v>83</v>
      </c>
      <c r="DF6" s="385">
        <v>85</v>
      </c>
      <c r="DG6" s="385">
        <v>107</v>
      </c>
      <c r="DH6" s="385">
        <v>81</v>
      </c>
      <c r="DI6" s="385">
        <v>67</v>
      </c>
      <c r="DJ6" s="385">
        <v>109</v>
      </c>
      <c r="DK6" s="385">
        <v>96</v>
      </c>
      <c r="DL6" s="385">
        <v>82</v>
      </c>
      <c r="DM6" s="385">
        <v>96</v>
      </c>
      <c r="DN6" s="385">
        <v>112</v>
      </c>
      <c r="DO6" s="385">
        <v>87</v>
      </c>
      <c r="DP6" s="385">
        <v>63</v>
      </c>
      <c r="DQ6" s="385">
        <v>94</v>
      </c>
      <c r="DR6" s="385">
        <v>101</v>
      </c>
      <c r="DS6" s="385">
        <v>91</v>
      </c>
      <c r="DT6" s="385">
        <v>103</v>
      </c>
      <c r="DU6" s="385">
        <v>118</v>
      </c>
      <c r="DV6" s="385">
        <v>66</v>
      </c>
      <c r="DW6" s="385">
        <v>66</v>
      </c>
      <c r="DX6" s="385">
        <v>91</v>
      </c>
      <c r="DY6" s="385">
        <v>84</v>
      </c>
      <c r="DZ6" s="385">
        <v>95</v>
      </c>
      <c r="EA6" s="385">
        <v>88</v>
      </c>
      <c r="EB6" s="385">
        <v>89</v>
      </c>
      <c r="EC6" s="385">
        <v>75</v>
      </c>
      <c r="ED6" s="385">
        <v>60</v>
      </c>
      <c r="EE6" s="385">
        <v>128</v>
      </c>
      <c r="EF6" s="385">
        <v>106</v>
      </c>
      <c r="EG6" s="385">
        <v>97</v>
      </c>
      <c r="EH6" s="385">
        <v>116</v>
      </c>
      <c r="EI6" s="385">
        <v>95</v>
      </c>
      <c r="EJ6" s="385">
        <v>95</v>
      </c>
      <c r="EK6" s="385">
        <v>101</v>
      </c>
      <c r="EL6" s="385">
        <v>117</v>
      </c>
      <c r="EM6" s="385">
        <v>125</v>
      </c>
      <c r="EN6" s="385">
        <v>116</v>
      </c>
      <c r="EO6" s="385">
        <v>101</v>
      </c>
      <c r="EP6" s="385">
        <v>113</v>
      </c>
      <c r="EQ6" s="385">
        <v>90</v>
      </c>
      <c r="ER6" s="385">
        <v>87</v>
      </c>
      <c r="ES6" s="385">
        <v>111</v>
      </c>
      <c r="ET6" s="385">
        <v>124</v>
      </c>
      <c r="EU6" s="385">
        <v>140</v>
      </c>
      <c r="EV6" s="385">
        <v>123</v>
      </c>
      <c r="EW6" s="385">
        <v>133</v>
      </c>
      <c r="EX6" s="385">
        <v>122</v>
      </c>
      <c r="EY6" s="385">
        <v>97</v>
      </c>
      <c r="EZ6" s="385">
        <v>151</v>
      </c>
      <c r="FA6" s="385">
        <v>150</v>
      </c>
      <c r="FB6" s="385">
        <v>163</v>
      </c>
      <c r="FC6" s="385">
        <v>142</v>
      </c>
      <c r="FD6" s="385">
        <v>135</v>
      </c>
      <c r="FE6" s="385">
        <v>95</v>
      </c>
      <c r="FF6" s="385">
        <v>104</v>
      </c>
      <c r="FG6" s="385">
        <v>126</v>
      </c>
      <c r="FH6" s="385">
        <v>119</v>
      </c>
      <c r="FI6" s="385">
        <v>127</v>
      </c>
      <c r="FJ6" s="385">
        <v>111</v>
      </c>
      <c r="FK6" s="385">
        <v>135</v>
      </c>
      <c r="FL6" s="385">
        <v>96</v>
      </c>
      <c r="FM6" s="385">
        <v>63</v>
      </c>
      <c r="FN6" s="385">
        <v>107</v>
      </c>
      <c r="FO6" s="385">
        <v>120</v>
      </c>
      <c r="FP6" s="385">
        <v>134</v>
      </c>
      <c r="FQ6" s="385">
        <v>110</v>
      </c>
      <c r="FR6" s="385">
        <v>137</v>
      </c>
      <c r="FS6" s="385">
        <v>111</v>
      </c>
      <c r="FT6" s="385">
        <v>93</v>
      </c>
      <c r="FU6" s="385">
        <v>129</v>
      </c>
      <c r="FV6" s="385">
        <v>147</v>
      </c>
      <c r="FW6" s="385">
        <v>171</v>
      </c>
      <c r="FX6" s="385">
        <v>167</v>
      </c>
      <c r="FY6" s="385">
        <v>154</v>
      </c>
      <c r="FZ6" s="385">
        <v>111</v>
      </c>
      <c r="GA6" s="385">
        <v>97</v>
      </c>
      <c r="GB6" s="385">
        <v>123</v>
      </c>
      <c r="GC6" s="385">
        <v>130</v>
      </c>
      <c r="GD6" s="385">
        <v>99</v>
      </c>
      <c r="GE6" s="385">
        <v>106</v>
      </c>
      <c r="GF6" s="385">
        <v>145</v>
      </c>
      <c r="GG6" s="385">
        <v>96</v>
      </c>
      <c r="GH6" s="385">
        <v>97</v>
      </c>
      <c r="GI6" s="385">
        <v>132</v>
      </c>
      <c r="GJ6" s="385">
        <v>131</v>
      </c>
      <c r="GK6" s="385">
        <v>133</v>
      </c>
      <c r="GL6" s="385">
        <v>134</v>
      </c>
      <c r="GM6" s="385">
        <v>139</v>
      </c>
      <c r="GN6" s="385">
        <v>83</v>
      </c>
      <c r="GO6" s="385">
        <v>80</v>
      </c>
      <c r="GP6" s="385">
        <v>105</v>
      </c>
      <c r="GQ6" s="385">
        <v>115</v>
      </c>
      <c r="GR6" s="385">
        <v>122</v>
      </c>
      <c r="GS6" s="385">
        <v>99</v>
      </c>
      <c r="GT6" s="385">
        <v>113</v>
      </c>
      <c r="GU6" s="385">
        <v>92</v>
      </c>
      <c r="GV6" s="385">
        <v>72</v>
      </c>
      <c r="GW6" s="385">
        <v>96</v>
      </c>
      <c r="GX6" s="385">
        <v>92</v>
      </c>
      <c r="GY6" s="385">
        <v>105</v>
      </c>
      <c r="GZ6" s="385">
        <v>136</v>
      </c>
      <c r="HA6" s="385">
        <v>112</v>
      </c>
      <c r="HB6" s="385">
        <v>90</v>
      </c>
      <c r="HC6" s="385">
        <v>84</v>
      </c>
      <c r="HD6" s="385">
        <v>111</v>
      </c>
      <c r="HE6" s="385">
        <v>85</v>
      </c>
      <c r="HF6" s="385">
        <v>127</v>
      </c>
      <c r="HG6" s="385">
        <v>107</v>
      </c>
      <c r="HH6" s="385">
        <v>104</v>
      </c>
      <c r="HI6" s="385">
        <v>87</v>
      </c>
      <c r="HJ6" s="385">
        <v>56</v>
      </c>
      <c r="HK6" s="385">
        <v>75</v>
      </c>
      <c r="HL6" s="385">
        <v>95</v>
      </c>
      <c r="HM6" s="385">
        <v>94</v>
      </c>
      <c r="HN6" s="385">
        <v>97</v>
      </c>
      <c r="HO6" s="385">
        <v>99</v>
      </c>
      <c r="HP6" s="385">
        <v>100</v>
      </c>
      <c r="HQ6" s="385">
        <v>58</v>
      </c>
      <c r="HR6" s="385">
        <v>86</v>
      </c>
      <c r="HS6" s="385">
        <v>99</v>
      </c>
      <c r="HT6" s="385">
        <v>91</v>
      </c>
      <c r="HU6" s="385">
        <v>120</v>
      </c>
      <c r="HV6" s="385">
        <v>110</v>
      </c>
      <c r="HW6" s="385">
        <v>67</v>
      </c>
      <c r="HX6" s="385">
        <v>50</v>
      </c>
      <c r="HY6" s="385">
        <v>84</v>
      </c>
      <c r="HZ6" s="385">
        <v>63</v>
      </c>
      <c r="IA6" s="385">
        <v>71</v>
      </c>
      <c r="IB6" s="385">
        <v>63</v>
      </c>
      <c r="IC6" s="385">
        <v>56</v>
      </c>
      <c r="ID6" s="385">
        <v>60</v>
      </c>
      <c r="IE6" s="385">
        <v>46</v>
      </c>
      <c r="IF6" s="385">
        <v>85</v>
      </c>
      <c r="IG6" s="385">
        <v>70</v>
      </c>
      <c r="IH6" s="385">
        <v>76</v>
      </c>
      <c r="II6" s="385">
        <v>56</v>
      </c>
      <c r="IJ6" s="385">
        <v>36</v>
      </c>
      <c r="IK6" s="385">
        <v>39</v>
      </c>
      <c r="IL6" s="385">
        <v>36</v>
      </c>
      <c r="IM6" s="385">
        <v>65</v>
      </c>
      <c r="IN6" s="385">
        <v>46</v>
      </c>
      <c r="IO6" s="385">
        <v>53</v>
      </c>
      <c r="IP6" s="385">
        <v>82</v>
      </c>
      <c r="IQ6" s="385">
        <v>50</v>
      </c>
      <c r="IR6" s="385">
        <v>34</v>
      </c>
      <c r="IS6" s="385">
        <v>34</v>
      </c>
      <c r="IT6" s="385">
        <v>47</v>
      </c>
      <c r="IU6" s="385">
        <v>51</v>
      </c>
      <c r="IV6" s="385">
        <v>40</v>
      </c>
      <c r="IW6" s="385">
        <v>64</v>
      </c>
      <c r="IX6" s="385">
        <v>57</v>
      </c>
      <c r="IY6" s="385">
        <v>45</v>
      </c>
      <c r="IZ6" s="385">
        <v>32</v>
      </c>
      <c r="JA6" s="385">
        <v>49</v>
      </c>
      <c r="JB6" s="385">
        <v>60</v>
      </c>
      <c r="JC6" s="385">
        <v>62</v>
      </c>
      <c r="JD6" s="385">
        <v>40</v>
      </c>
      <c r="JE6" s="385">
        <v>55</v>
      </c>
      <c r="JF6" s="385">
        <v>42</v>
      </c>
      <c r="JG6" s="385">
        <v>22</v>
      </c>
      <c r="JH6" s="385">
        <v>25</v>
      </c>
      <c r="JI6" s="385">
        <v>34</v>
      </c>
      <c r="JJ6" s="385">
        <v>43</v>
      </c>
      <c r="JK6" s="385">
        <v>56</v>
      </c>
      <c r="JL6" s="385">
        <v>41</v>
      </c>
      <c r="JM6" s="385">
        <v>55</v>
      </c>
      <c r="JN6" s="385">
        <v>33</v>
      </c>
      <c r="JO6" s="385">
        <v>41</v>
      </c>
      <c r="JP6" s="385">
        <v>39</v>
      </c>
      <c r="JQ6" s="385">
        <v>32</v>
      </c>
      <c r="JR6" s="385">
        <v>34</v>
      </c>
      <c r="JS6" s="385">
        <v>43</v>
      </c>
      <c r="JT6" s="385">
        <v>27</v>
      </c>
      <c r="JU6" s="385">
        <v>34</v>
      </c>
      <c r="JV6" s="385">
        <v>29</v>
      </c>
      <c r="JW6" s="385">
        <v>33</v>
      </c>
      <c r="JX6" s="385">
        <v>48</v>
      </c>
      <c r="JY6" s="385">
        <v>57</v>
      </c>
      <c r="JZ6" s="385">
        <v>39</v>
      </c>
      <c r="KA6" s="385">
        <v>31</v>
      </c>
      <c r="KB6" s="385">
        <v>32</v>
      </c>
      <c r="KC6" s="385">
        <v>60</v>
      </c>
      <c r="KD6" s="385">
        <v>56</v>
      </c>
      <c r="KE6" s="385">
        <v>69</v>
      </c>
      <c r="KF6" s="385">
        <v>77</v>
      </c>
      <c r="KG6" s="385">
        <v>75</v>
      </c>
      <c r="KH6" s="385">
        <v>80</v>
      </c>
      <c r="KI6" s="385">
        <v>60</v>
      </c>
      <c r="KJ6" s="385">
        <v>85</v>
      </c>
      <c r="KK6" s="385">
        <v>78</v>
      </c>
      <c r="KL6" s="385">
        <v>86</v>
      </c>
      <c r="KM6" s="385">
        <v>41</v>
      </c>
      <c r="KN6" s="385">
        <v>36</v>
      </c>
      <c r="KO6" s="385">
        <v>87</v>
      </c>
      <c r="KP6" s="385">
        <v>85</v>
      </c>
      <c r="KQ6" s="385">
        <v>147</v>
      </c>
      <c r="KR6" s="385">
        <v>141</v>
      </c>
      <c r="KS6" s="385">
        <v>173</v>
      </c>
      <c r="KT6" s="385">
        <v>110</v>
      </c>
      <c r="KU6" s="385">
        <v>47</v>
      </c>
      <c r="KV6" s="385">
        <v>108</v>
      </c>
      <c r="KW6" s="385">
        <v>86</v>
      </c>
      <c r="KX6" s="385">
        <v>157</v>
      </c>
      <c r="KY6" s="385">
        <v>161</v>
      </c>
      <c r="KZ6" s="385">
        <v>154</v>
      </c>
      <c r="LA6" s="385">
        <v>157</v>
      </c>
      <c r="LB6" s="385">
        <v>138</v>
      </c>
      <c r="LC6" s="385">
        <v>101</v>
      </c>
      <c r="LD6" s="385">
        <v>88</v>
      </c>
      <c r="LE6" s="385">
        <v>137</v>
      </c>
      <c r="LF6" s="385">
        <v>138</v>
      </c>
      <c r="LG6" s="385">
        <v>154</v>
      </c>
      <c r="LH6" s="385">
        <v>151</v>
      </c>
      <c r="LI6" s="385">
        <v>162</v>
      </c>
      <c r="LJ6" s="385">
        <v>139</v>
      </c>
      <c r="LK6" s="385">
        <v>109</v>
      </c>
      <c r="LL6" s="385">
        <v>152</v>
      </c>
      <c r="LM6" s="385">
        <v>182</v>
      </c>
      <c r="LN6" s="385">
        <v>165</v>
      </c>
      <c r="LO6" s="385">
        <v>150</v>
      </c>
      <c r="LP6" s="385">
        <v>146</v>
      </c>
      <c r="LQ6" s="385">
        <v>144</v>
      </c>
      <c r="LR6" s="385">
        <v>121</v>
      </c>
      <c r="LS6" s="385">
        <v>224</v>
      </c>
      <c r="LT6" s="385">
        <v>262</v>
      </c>
      <c r="LU6" s="385">
        <v>247</v>
      </c>
      <c r="LV6" s="385">
        <v>211</v>
      </c>
      <c r="LW6" s="385">
        <v>235</v>
      </c>
      <c r="LX6" s="385">
        <v>246</v>
      </c>
      <c r="LY6" s="385">
        <v>268</v>
      </c>
      <c r="LZ6" s="385">
        <v>291</v>
      </c>
      <c r="MA6" s="385">
        <v>211</v>
      </c>
      <c r="MB6" s="385">
        <v>164</v>
      </c>
      <c r="MC6" s="385">
        <v>153</v>
      </c>
      <c r="MD6" s="385">
        <v>149</v>
      </c>
      <c r="ME6" s="385">
        <v>93</v>
      </c>
      <c r="MF6" s="385">
        <v>84</v>
      </c>
      <c r="MG6" s="385">
        <v>136</v>
      </c>
      <c r="MH6" s="385">
        <v>102</v>
      </c>
      <c r="MI6" s="385">
        <v>109</v>
      </c>
      <c r="MJ6" s="385">
        <v>82</v>
      </c>
      <c r="MK6" s="385">
        <v>92</v>
      </c>
      <c r="ML6" s="385">
        <v>79</v>
      </c>
      <c r="MM6" s="385">
        <v>67</v>
      </c>
      <c r="MN6" s="385">
        <v>75</v>
      </c>
      <c r="MO6" s="385">
        <v>93</v>
      </c>
      <c r="MP6" s="385">
        <v>83</v>
      </c>
      <c r="MQ6" s="385">
        <v>83</v>
      </c>
      <c r="MR6" s="385">
        <v>105</v>
      </c>
      <c r="MS6" s="385">
        <v>68</v>
      </c>
      <c r="MT6" s="385">
        <v>56</v>
      </c>
      <c r="MU6" s="385">
        <v>90</v>
      </c>
      <c r="MV6" s="385">
        <v>94</v>
      </c>
      <c r="MW6" s="385">
        <v>85</v>
      </c>
      <c r="MX6" s="385">
        <v>87</v>
      </c>
      <c r="MY6" s="385">
        <v>88</v>
      </c>
      <c r="MZ6" s="385">
        <v>67</v>
      </c>
      <c r="NA6" s="385">
        <v>54</v>
      </c>
      <c r="NB6" s="385">
        <v>99</v>
      </c>
      <c r="NC6" s="385">
        <v>104</v>
      </c>
      <c r="ND6" s="385">
        <v>128</v>
      </c>
      <c r="NE6" s="385">
        <v>115</v>
      </c>
      <c r="NF6" s="385">
        <v>143</v>
      </c>
      <c r="NG6" s="385">
        <v>117</v>
      </c>
      <c r="NH6" s="385">
        <v>89</v>
      </c>
      <c r="NI6" s="385">
        <v>113</v>
      </c>
      <c r="NJ6" s="385">
        <v>157</v>
      </c>
      <c r="NK6" s="385">
        <v>147</v>
      </c>
      <c r="NL6" s="385">
        <v>181</v>
      </c>
      <c r="NM6" s="385">
        <v>191</v>
      </c>
      <c r="NN6" s="385">
        <v>169</v>
      </c>
      <c r="NO6" s="385">
        <v>103</v>
      </c>
      <c r="NP6" s="385">
        <v>132</v>
      </c>
      <c r="NQ6" s="385">
        <v>154</v>
      </c>
      <c r="NR6" s="385">
        <v>168</v>
      </c>
      <c r="NS6" s="385">
        <v>143</v>
      </c>
      <c r="NT6" s="385">
        <v>183</v>
      </c>
      <c r="NU6" s="385">
        <v>96</v>
      </c>
      <c r="NV6" s="385">
        <v>110</v>
      </c>
      <c r="NW6" s="385">
        <v>192</v>
      </c>
      <c r="NX6" s="385">
        <v>195</v>
      </c>
      <c r="NY6" s="385">
        <v>212</v>
      </c>
      <c r="NZ6" s="385">
        <v>215</v>
      </c>
      <c r="OA6" s="385">
        <v>260</v>
      </c>
      <c r="OB6" s="385">
        <v>202</v>
      </c>
      <c r="OC6" s="385">
        <v>181</v>
      </c>
      <c r="OD6" s="385">
        <v>312</v>
      </c>
      <c r="OE6" s="385">
        <v>323</v>
      </c>
      <c r="OF6" s="385">
        <v>344</v>
      </c>
      <c r="OG6" s="385">
        <v>432</v>
      </c>
      <c r="OH6" s="385">
        <v>391</v>
      </c>
      <c r="OI6" s="385">
        <v>315</v>
      </c>
      <c r="OJ6" s="385">
        <v>279</v>
      </c>
      <c r="OK6" s="385">
        <v>493</v>
      </c>
      <c r="OL6" s="385">
        <v>470</v>
      </c>
      <c r="OM6" s="385">
        <v>497</v>
      </c>
      <c r="ON6" s="385">
        <v>470</v>
      </c>
      <c r="OO6" s="385">
        <v>426</v>
      </c>
      <c r="OP6" s="385">
        <v>328</v>
      </c>
      <c r="OQ6" s="385">
        <v>204</v>
      </c>
      <c r="OR6" s="385">
        <v>13</v>
      </c>
      <c r="OS6" s="385">
        <v>36600</v>
      </c>
    </row>
    <row r="7" spans="1:409" x14ac:dyDescent="0.25">
      <c r="A7" s="384" t="s">
        <v>304</v>
      </c>
      <c r="B7" s="385"/>
      <c r="C7" s="385"/>
      <c r="D7" s="385"/>
      <c r="E7" s="385"/>
      <c r="F7" s="385">
        <v>1</v>
      </c>
      <c r="G7" s="385"/>
      <c r="H7" s="385">
        <v>1</v>
      </c>
      <c r="I7" s="385"/>
      <c r="J7" s="385"/>
      <c r="K7" s="385">
        <v>3</v>
      </c>
      <c r="L7" s="385">
        <v>1</v>
      </c>
      <c r="M7" s="385">
        <v>3</v>
      </c>
      <c r="N7" s="385">
        <v>3</v>
      </c>
      <c r="O7" s="385">
        <v>1</v>
      </c>
      <c r="P7" s="385">
        <v>4</v>
      </c>
      <c r="Q7" s="385">
        <v>4</v>
      </c>
      <c r="R7" s="385">
        <v>6</v>
      </c>
      <c r="S7" s="385">
        <v>2</v>
      </c>
      <c r="T7" s="385">
        <v>6</v>
      </c>
      <c r="U7" s="385">
        <v>5</v>
      </c>
      <c r="V7" s="385">
        <v>2</v>
      </c>
      <c r="W7" s="385">
        <v>3</v>
      </c>
      <c r="X7" s="385">
        <v>10</v>
      </c>
      <c r="Y7" s="385">
        <v>6</v>
      </c>
      <c r="Z7" s="385">
        <v>3</v>
      </c>
      <c r="AA7" s="385">
        <v>2</v>
      </c>
      <c r="AB7" s="385">
        <v>2</v>
      </c>
      <c r="AC7" s="385">
        <v>5</v>
      </c>
      <c r="AD7" s="385">
        <v>6</v>
      </c>
      <c r="AE7" s="385">
        <v>8</v>
      </c>
      <c r="AF7" s="385">
        <v>7</v>
      </c>
      <c r="AG7" s="385">
        <v>2</v>
      </c>
      <c r="AH7" s="385">
        <v>4</v>
      </c>
      <c r="AI7" s="385">
        <v>2</v>
      </c>
      <c r="AJ7" s="385">
        <v>1</v>
      </c>
      <c r="AK7" s="385">
        <v>4</v>
      </c>
      <c r="AL7" s="385">
        <v>4</v>
      </c>
      <c r="AM7" s="385">
        <v>4</v>
      </c>
      <c r="AN7" s="385">
        <v>3</v>
      </c>
      <c r="AO7" s="385">
        <v>1</v>
      </c>
      <c r="AP7" s="385">
        <v>3</v>
      </c>
      <c r="AQ7" s="385">
        <v>3</v>
      </c>
      <c r="AR7" s="385">
        <v>5</v>
      </c>
      <c r="AS7" s="385">
        <v>4</v>
      </c>
      <c r="AT7" s="385">
        <v>1</v>
      </c>
      <c r="AU7" s="385">
        <v>2</v>
      </c>
      <c r="AV7" s="385">
        <v>5</v>
      </c>
      <c r="AW7" s="385">
        <v>2</v>
      </c>
      <c r="AX7" s="385">
        <v>2</v>
      </c>
      <c r="AY7" s="385">
        <v>4</v>
      </c>
      <c r="AZ7" s="385">
        <v>7</v>
      </c>
      <c r="BA7" s="385">
        <v>14</v>
      </c>
      <c r="BB7" s="385">
        <v>11</v>
      </c>
      <c r="BC7" s="385">
        <v>9</v>
      </c>
      <c r="BD7" s="385">
        <v>5</v>
      </c>
      <c r="BE7" s="385">
        <v>4</v>
      </c>
      <c r="BF7" s="385">
        <v>11</v>
      </c>
      <c r="BG7" s="385">
        <v>7</v>
      </c>
      <c r="BH7" s="385">
        <v>5</v>
      </c>
      <c r="BI7" s="385">
        <v>6</v>
      </c>
      <c r="BJ7" s="385">
        <v>12</v>
      </c>
      <c r="BK7" s="385">
        <v>13</v>
      </c>
      <c r="BL7" s="385">
        <v>11</v>
      </c>
      <c r="BM7" s="385">
        <v>14</v>
      </c>
      <c r="BN7" s="385">
        <v>32</v>
      </c>
      <c r="BO7" s="385">
        <v>16</v>
      </c>
      <c r="BP7" s="385">
        <v>31</v>
      </c>
      <c r="BQ7" s="385">
        <v>37</v>
      </c>
      <c r="BR7" s="385">
        <v>20</v>
      </c>
      <c r="BS7" s="385">
        <v>27</v>
      </c>
      <c r="BT7" s="385">
        <v>25</v>
      </c>
      <c r="BU7" s="385">
        <v>51</v>
      </c>
      <c r="BV7" s="385">
        <v>46</v>
      </c>
      <c r="BW7" s="385">
        <v>55</v>
      </c>
      <c r="BX7" s="385">
        <v>44</v>
      </c>
      <c r="BY7" s="385">
        <v>46</v>
      </c>
      <c r="BZ7" s="385">
        <v>52</v>
      </c>
      <c r="CA7" s="385">
        <v>91</v>
      </c>
      <c r="CB7" s="385">
        <v>80</v>
      </c>
      <c r="CC7" s="385">
        <v>101</v>
      </c>
      <c r="CD7" s="385">
        <v>82</v>
      </c>
      <c r="CE7" s="385">
        <v>86</v>
      </c>
      <c r="CF7" s="385">
        <v>71</v>
      </c>
      <c r="CG7" s="385">
        <v>61</v>
      </c>
      <c r="CH7" s="385">
        <v>61</v>
      </c>
      <c r="CI7" s="385">
        <v>98</v>
      </c>
      <c r="CJ7" s="385">
        <v>121</v>
      </c>
      <c r="CK7" s="385">
        <v>104</v>
      </c>
      <c r="CL7" s="385">
        <v>103</v>
      </c>
      <c r="CM7" s="385">
        <v>71</v>
      </c>
      <c r="CN7" s="385">
        <v>62</v>
      </c>
      <c r="CO7" s="385">
        <v>89</v>
      </c>
      <c r="CP7" s="385">
        <v>119</v>
      </c>
      <c r="CQ7" s="385">
        <v>102</v>
      </c>
      <c r="CR7" s="385">
        <v>109</v>
      </c>
      <c r="CS7" s="385">
        <v>119</v>
      </c>
      <c r="CT7" s="385">
        <v>90</v>
      </c>
      <c r="CU7" s="385">
        <v>95</v>
      </c>
      <c r="CV7" s="385">
        <v>141</v>
      </c>
      <c r="CW7" s="385">
        <v>133</v>
      </c>
      <c r="CX7" s="385">
        <v>150</v>
      </c>
      <c r="CY7" s="385">
        <v>192</v>
      </c>
      <c r="CZ7" s="385">
        <v>153</v>
      </c>
      <c r="DA7" s="385">
        <v>147</v>
      </c>
      <c r="DB7" s="385">
        <v>96</v>
      </c>
      <c r="DC7" s="385">
        <v>139</v>
      </c>
      <c r="DD7" s="385">
        <v>201</v>
      </c>
      <c r="DE7" s="385">
        <v>246</v>
      </c>
      <c r="DF7" s="385">
        <v>236</v>
      </c>
      <c r="DG7" s="385">
        <v>222</v>
      </c>
      <c r="DH7" s="385">
        <v>197</v>
      </c>
      <c r="DI7" s="385">
        <v>125</v>
      </c>
      <c r="DJ7" s="385">
        <v>234</v>
      </c>
      <c r="DK7" s="385">
        <v>268</v>
      </c>
      <c r="DL7" s="385">
        <v>272</v>
      </c>
      <c r="DM7" s="385">
        <v>281</v>
      </c>
      <c r="DN7" s="385">
        <v>245</v>
      </c>
      <c r="DO7" s="385">
        <v>214</v>
      </c>
      <c r="DP7" s="385">
        <v>185</v>
      </c>
      <c r="DQ7" s="385">
        <v>265</v>
      </c>
      <c r="DR7" s="385">
        <v>237</v>
      </c>
      <c r="DS7" s="385">
        <v>250</v>
      </c>
      <c r="DT7" s="385">
        <v>257</v>
      </c>
      <c r="DU7" s="385">
        <v>277</v>
      </c>
      <c r="DV7" s="385">
        <v>209</v>
      </c>
      <c r="DW7" s="385">
        <v>184</v>
      </c>
      <c r="DX7" s="385">
        <v>297</v>
      </c>
      <c r="DY7" s="385">
        <v>306</v>
      </c>
      <c r="DZ7" s="385">
        <v>317</v>
      </c>
      <c r="EA7" s="385">
        <v>227</v>
      </c>
      <c r="EB7" s="385">
        <v>242</v>
      </c>
      <c r="EC7" s="385">
        <v>195</v>
      </c>
      <c r="ED7" s="385">
        <v>174</v>
      </c>
      <c r="EE7" s="385">
        <v>340</v>
      </c>
      <c r="EF7" s="385">
        <v>315</v>
      </c>
      <c r="EG7" s="385">
        <v>324</v>
      </c>
      <c r="EH7" s="385">
        <v>309</v>
      </c>
      <c r="EI7" s="385">
        <v>364</v>
      </c>
      <c r="EJ7" s="385">
        <v>276</v>
      </c>
      <c r="EK7" s="385">
        <v>241</v>
      </c>
      <c r="EL7" s="385">
        <v>409</v>
      </c>
      <c r="EM7" s="385">
        <v>416</v>
      </c>
      <c r="EN7" s="385">
        <v>435</v>
      </c>
      <c r="EO7" s="385">
        <v>424</v>
      </c>
      <c r="EP7" s="385">
        <v>415</v>
      </c>
      <c r="EQ7" s="385">
        <v>330</v>
      </c>
      <c r="ER7" s="385">
        <v>229</v>
      </c>
      <c r="ES7" s="385">
        <v>398</v>
      </c>
      <c r="ET7" s="385">
        <v>439</v>
      </c>
      <c r="EU7" s="385">
        <v>429</v>
      </c>
      <c r="EV7" s="385">
        <v>405</v>
      </c>
      <c r="EW7" s="385">
        <v>423</v>
      </c>
      <c r="EX7" s="385">
        <v>364</v>
      </c>
      <c r="EY7" s="385">
        <v>282</v>
      </c>
      <c r="EZ7" s="385">
        <v>529</v>
      </c>
      <c r="FA7" s="385">
        <v>510</v>
      </c>
      <c r="FB7" s="385">
        <v>504</v>
      </c>
      <c r="FC7" s="385">
        <v>527</v>
      </c>
      <c r="FD7" s="385">
        <v>434</v>
      </c>
      <c r="FE7" s="385">
        <v>338</v>
      </c>
      <c r="FF7" s="385">
        <v>251</v>
      </c>
      <c r="FG7" s="385">
        <v>433</v>
      </c>
      <c r="FH7" s="385">
        <v>400</v>
      </c>
      <c r="FI7" s="385">
        <v>423</v>
      </c>
      <c r="FJ7" s="385">
        <v>428</v>
      </c>
      <c r="FK7" s="385">
        <v>400</v>
      </c>
      <c r="FL7" s="385">
        <v>372</v>
      </c>
      <c r="FM7" s="385">
        <v>269</v>
      </c>
      <c r="FN7" s="385">
        <v>327</v>
      </c>
      <c r="FO7" s="385">
        <v>435</v>
      </c>
      <c r="FP7" s="385">
        <v>511</v>
      </c>
      <c r="FQ7" s="385">
        <v>409</v>
      </c>
      <c r="FR7" s="385">
        <v>476</v>
      </c>
      <c r="FS7" s="385">
        <v>386</v>
      </c>
      <c r="FT7" s="385">
        <v>284</v>
      </c>
      <c r="FU7" s="385">
        <v>444</v>
      </c>
      <c r="FV7" s="385">
        <v>517</v>
      </c>
      <c r="FW7" s="385">
        <v>545</v>
      </c>
      <c r="FX7" s="385">
        <v>581</v>
      </c>
      <c r="FY7" s="385">
        <v>560</v>
      </c>
      <c r="FZ7" s="385">
        <v>359</v>
      </c>
      <c r="GA7" s="385">
        <v>262</v>
      </c>
      <c r="GB7" s="385">
        <v>483</v>
      </c>
      <c r="GC7" s="385">
        <v>496</v>
      </c>
      <c r="GD7" s="385">
        <v>406</v>
      </c>
      <c r="GE7" s="385">
        <v>459</v>
      </c>
      <c r="GF7" s="385">
        <v>453</v>
      </c>
      <c r="GG7" s="385">
        <v>369</v>
      </c>
      <c r="GH7" s="385">
        <v>250</v>
      </c>
      <c r="GI7" s="385">
        <v>459</v>
      </c>
      <c r="GJ7" s="385">
        <v>456</v>
      </c>
      <c r="GK7" s="385">
        <v>503</v>
      </c>
      <c r="GL7" s="385">
        <v>435</v>
      </c>
      <c r="GM7" s="385">
        <v>418</v>
      </c>
      <c r="GN7" s="385">
        <v>301</v>
      </c>
      <c r="GO7" s="385">
        <v>229</v>
      </c>
      <c r="GP7" s="385">
        <v>390</v>
      </c>
      <c r="GQ7" s="385">
        <v>424</v>
      </c>
      <c r="GR7" s="385">
        <v>404</v>
      </c>
      <c r="GS7" s="385">
        <v>397</v>
      </c>
      <c r="GT7" s="385">
        <v>352</v>
      </c>
      <c r="GU7" s="385">
        <v>248</v>
      </c>
      <c r="GV7" s="385">
        <v>182</v>
      </c>
      <c r="GW7" s="385">
        <v>343</v>
      </c>
      <c r="GX7" s="385">
        <v>372</v>
      </c>
      <c r="GY7" s="385">
        <v>375</v>
      </c>
      <c r="GZ7" s="385">
        <v>330</v>
      </c>
      <c r="HA7" s="385">
        <v>372</v>
      </c>
      <c r="HB7" s="385">
        <v>226</v>
      </c>
      <c r="HC7" s="385">
        <v>226</v>
      </c>
      <c r="HD7" s="385">
        <v>361</v>
      </c>
      <c r="HE7" s="385">
        <v>385</v>
      </c>
      <c r="HF7" s="385">
        <v>422</v>
      </c>
      <c r="HG7" s="385">
        <v>384</v>
      </c>
      <c r="HH7" s="385">
        <v>352</v>
      </c>
      <c r="HI7" s="385">
        <v>207</v>
      </c>
      <c r="HJ7" s="385">
        <v>188</v>
      </c>
      <c r="HK7" s="385">
        <v>286</v>
      </c>
      <c r="HL7" s="385">
        <v>340</v>
      </c>
      <c r="HM7" s="385">
        <v>344</v>
      </c>
      <c r="HN7" s="385">
        <v>332</v>
      </c>
      <c r="HO7" s="385">
        <v>304</v>
      </c>
      <c r="HP7" s="385">
        <v>253</v>
      </c>
      <c r="HQ7" s="385">
        <v>188</v>
      </c>
      <c r="HR7" s="385">
        <v>226</v>
      </c>
      <c r="HS7" s="385">
        <v>291</v>
      </c>
      <c r="HT7" s="385">
        <v>328</v>
      </c>
      <c r="HU7" s="385">
        <v>311</v>
      </c>
      <c r="HV7" s="385">
        <v>328</v>
      </c>
      <c r="HW7" s="385">
        <v>200</v>
      </c>
      <c r="HX7" s="385">
        <v>138</v>
      </c>
      <c r="HY7" s="385">
        <v>224</v>
      </c>
      <c r="HZ7" s="385">
        <v>261</v>
      </c>
      <c r="IA7" s="385">
        <v>245</v>
      </c>
      <c r="IB7" s="385">
        <v>230</v>
      </c>
      <c r="IC7" s="385">
        <v>234</v>
      </c>
      <c r="ID7" s="385">
        <v>177</v>
      </c>
      <c r="IE7" s="385">
        <v>107</v>
      </c>
      <c r="IF7" s="385">
        <v>182</v>
      </c>
      <c r="IG7" s="385">
        <v>211</v>
      </c>
      <c r="IH7" s="385">
        <v>193</v>
      </c>
      <c r="II7" s="385">
        <v>195</v>
      </c>
      <c r="IJ7" s="385">
        <v>131</v>
      </c>
      <c r="IK7" s="385">
        <v>109</v>
      </c>
      <c r="IL7" s="385">
        <v>123</v>
      </c>
      <c r="IM7" s="385">
        <v>145</v>
      </c>
      <c r="IN7" s="385">
        <v>157</v>
      </c>
      <c r="IO7" s="385">
        <v>182</v>
      </c>
      <c r="IP7" s="385">
        <v>233</v>
      </c>
      <c r="IQ7" s="385">
        <v>153</v>
      </c>
      <c r="IR7" s="385">
        <v>107</v>
      </c>
      <c r="IS7" s="385">
        <v>92</v>
      </c>
      <c r="IT7" s="385">
        <v>152</v>
      </c>
      <c r="IU7" s="385">
        <v>171</v>
      </c>
      <c r="IV7" s="385">
        <v>161</v>
      </c>
      <c r="IW7" s="385">
        <v>155</v>
      </c>
      <c r="IX7" s="385">
        <v>150</v>
      </c>
      <c r="IY7" s="385">
        <v>115</v>
      </c>
      <c r="IZ7" s="385">
        <v>77</v>
      </c>
      <c r="JA7" s="385">
        <v>135</v>
      </c>
      <c r="JB7" s="385">
        <v>157</v>
      </c>
      <c r="JC7" s="385">
        <v>154</v>
      </c>
      <c r="JD7" s="385">
        <v>145</v>
      </c>
      <c r="JE7" s="385">
        <v>129</v>
      </c>
      <c r="JF7" s="385">
        <v>90</v>
      </c>
      <c r="JG7" s="385">
        <v>68</v>
      </c>
      <c r="JH7" s="385">
        <v>66</v>
      </c>
      <c r="JI7" s="385">
        <v>146</v>
      </c>
      <c r="JJ7" s="385">
        <v>158</v>
      </c>
      <c r="JK7" s="385">
        <v>132</v>
      </c>
      <c r="JL7" s="385">
        <v>137</v>
      </c>
      <c r="JM7" s="385">
        <v>104</v>
      </c>
      <c r="JN7" s="385">
        <v>98</v>
      </c>
      <c r="JO7" s="385">
        <v>121</v>
      </c>
      <c r="JP7" s="385">
        <v>113</v>
      </c>
      <c r="JQ7" s="385">
        <v>88</v>
      </c>
      <c r="JR7" s="385">
        <v>121</v>
      </c>
      <c r="JS7" s="385">
        <v>97</v>
      </c>
      <c r="JT7" s="385">
        <v>96</v>
      </c>
      <c r="JU7" s="385">
        <v>57</v>
      </c>
      <c r="JV7" s="385">
        <v>79</v>
      </c>
      <c r="JW7" s="385">
        <v>86</v>
      </c>
      <c r="JX7" s="385">
        <v>134</v>
      </c>
      <c r="JY7" s="385">
        <v>156</v>
      </c>
      <c r="JZ7" s="385">
        <v>152</v>
      </c>
      <c r="KA7" s="385">
        <v>142</v>
      </c>
      <c r="KB7" s="385">
        <v>115</v>
      </c>
      <c r="KC7" s="385">
        <v>204</v>
      </c>
      <c r="KD7" s="385">
        <v>206</v>
      </c>
      <c r="KE7" s="385">
        <v>222</v>
      </c>
      <c r="KF7" s="385">
        <v>266</v>
      </c>
      <c r="KG7" s="385">
        <v>275</v>
      </c>
      <c r="KH7" s="385">
        <v>189</v>
      </c>
      <c r="KI7" s="385">
        <v>169</v>
      </c>
      <c r="KJ7" s="385">
        <v>291</v>
      </c>
      <c r="KK7" s="385">
        <v>288</v>
      </c>
      <c r="KL7" s="385">
        <v>380</v>
      </c>
      <c r="KM7" s="385">
        <v>202</v>
      </c>
      <c r="KN7" s="385">
        <v>104</v>
      </c>
      <c r="KO7" s="385">
        <v>357</v>
      </c>
      <c r="KP7" s="385">
        <v>268</v>
      </c>
      <c r="KQ7" s="385">
        <v>429</v>
      </c>
      <c r="KR7" s="385">
        <v>572</v>
      </c>
      <c r="KS7" s="385">
        <v>579</v>
      </c>
      <c r="KT7" s="385">
        <v>370</v>
      </c>
      <c r="KU7" s="385">
        <v>122</v>
      </c>
      <c r="KV7" s="385">
        <v>333</v>
      </c>
      <c r="KW7" s="385">
        <v>374</v>
      </c>
      <c r="KX7" s="385">
        <v>626</v>
      </c>
      <c r="KY7" s="385">
        <v>708</v>
      </c>
      <c r="KZ7" s="385">
        <v>710</v>
      </c>
      <c r="LA7" s="385">
        <v>616</v>
      </c>
      <c r="LB7" s="385">
        <v>590</v>
      </c>
      <c r="LC7" s="385">
        <v>509</v>
      </c>
      <c r="LD7" s="385">
        <v>355</v>
      </c>
      <c r="LE7" s="385">
        <v>596</v>
      </c>
      <c r="LF7" s="385">
        <v>584</v>
      </c>
      <c r="LG7" s="385">
        <v>605</v>
      </c>
      <c r="LH7" s="385">
        <v>559</v>
      </c>
      <c r="LI7" s="385">
        <v>562</v>
      </c>
      <c r="LJ7" s="385">
        <v>420</v>
      </c>
      <c r="LK7" s="385">
        <v>407</v>
      </c>
      <c r="LL7" s="385">
        <v>667</v>
      </c>
      <c r="LM7" s="385">
        <v>594</v>
      </c>
      <c r="LN7" s="385">
        <v>555</v>
      </c>
      <c r="LO7" s="385">
        <v>487</v>
      </c>
      <c r="LP7" s="385">
        <v>494</v>
      </c>
      <c r="LQ7" s="385">
        <v>397</v>
      </c>
      <c r="LR7" s="385">
        <v>356</v>
      </c>
      <c r="LS7" s="385">
        <v>547</v>
      </c>
      <c r="LT7" s="385">
        <v>519</v>
      </c>
      <c r="LU7" s="385">
        <v>493</v>
      </c>
      <c r="LV7" s="385">
        <v>497</v>
      </c>
      <c r="LW7" s="385">
        <v>424</v>
      </c>
      <c r="LX7" s="385">
        <v>348</v>
      </c>
      <c r="LY7" s="385">
        <v>306</v>
      </c>
      <c r="LZ7" s="385">
        <v>435</v>
      </c>
      <c r="MA7" s="385">
        <v>407</v>
      </c>
      <c r="MB7" s="385">
        <v>391</v>
      </c>
      <c r="MC7" s="385">
        <v>346</v>
      </c>
      <c r="MD7" s="385">
        <v>311</v>
      </c>
      <c r="ME7" s="385">
        <v>226</v>
      </c>
      <c r="MF7" s="385">
        <v>165</v>
      </c>
      <c r="MG7" s="385">
        <v>263</v>
      </c>
      <c r="MH7" s="385">
        <v>258</v>
      </c>
      <c r="MI7" s="385">
        <v>267</v>
      </c>
      <c r="MJ7" s="385">
        <v>252</v>
      </c>
      <c r="MK7" s="385">
        <v>251</v>
      </c>
      <c r="ML7" s="385">
        <v>186</v>
      </c>
      <c r="MM7" s="385">
        <v>120</v>
      </c>
      <c r="MN7" s="385">
        <v>185</v>
      </c>
      <c r="MO7" s="385">
        <v>167</v>
      </c>
      <c r="MP7" s="385">
        <v>295</v>
      </c>
      <c r="MQ7" s="385">
        <v>310</v>
      </c>
      <c r="MR7" s="385">
        <v>262</v>
      </c>
      <c r="MS7" s="385">
        <v>221</v>
      </c>
      <c r="MT7" s="385">
        <v>206</v>
      </c>
      <c r="MU7" s="385">
        <v>256</v>
      </c>
      <c r="MV7" s="385">
        <v>280</v>
      </c>
      <c r="MW7" s="385">
        <v>261</v>
      </c>
      <c r="MX7" s="385">
        <v>319</v>
      </c>
      <c r="MY7" s="385">
        <v>223</v>
      </c>
      <c r="MZ7" s="385">
        <v>193</v>
      </c>
      <c r="NA7" s="385">
        <v>136</v>
      </c>
      <c r="NB7" s="385">
        <v>255</v>
      </c>
      <c r="NC7" s="385">
        <v>247</v>
      </c>
      <c r="ND7" s="385">
        <v>282</v>
      </c>
      <c r="NE7" s="385">
        <v>258</v>
      </c>
      <c r="NF7" s="385">
        <v>290</v>
      </c>
      <c r="NG7" s="385">
        <v>169</v>
      </c>
      <c r="NH7" s="385">
        <v>155</v>
      </c>
      <c r="NI7" s="385">
        <v>265</v>
      </c>
      <c r="NJ7" s="385">
        <v>282</v>
      </c>
      <c r="NK7" s="385">
        <v>271</v>
      </c>
      <c r="NL7" s="385">
        <v>285</v>
      </c>
      <c r="NM7" s="385">
        <v>277</v>
      </c>
      <c r="NN7" s="385">
        <v>252</v>
      </c>
      <c r="NO7" s="385">
        <v>183</v>
      </c>
      <c r="NP7" s="385">
        <v>283</v>
      </c>
      <c r="NQ7" s="385">
        <v>337</v>
      </c>
      <c r="NR7" s="385">
        <v>351</v>
      </c>
      <c r="NS7" s="385">
        <v>342</v>
      </c>
      <c r="NT7" s="385">
        <v>302</v>
      </c>
      <c r="NU7" s="385">
        <v>255</v>
      </c>
      <c r="NV7" s="385">
        <v>202</v>
      </c>
      <c r="NW7" s="385">
        <v>409</v>
      </c>
      <c r="NX7" s="385">
        <v>463</v>
      </c>
      <c r="NY7" s="385">
        <v>456</v>
      </c>
      <c r="NZ7" s="385">
        <v>597</v>
      </c>
      <c r="OA7" s="385">
        <v>687</v>
      </c>
      <c r="OB7" s="385">
        <v>521</v>
      </c>
      <c r="OC7" s="385">
        <v>410</v>
      </c>
      <c r="OD7" s="385">
        <v>725</v>
      </c>
      <c r="OE7" s="385">
        <v>815</v>
      </c>
      <c r="OF7" s="385">
        <v>923</v>
      </c>
      <c r="OG7" s="385">
        <v>967</v>
      </c>
      <c r="OH7" s="385">
        <v>681</v>
      </c>
      <c r="OI7" s="385">
        <v>737</v>
      </c>
      <c r="OJ7" s="385">
        <v>684</v>
      </c>
      <c r="OK7" s="385">
        <v>1108</v>
      </c>
      <c r="OL7" s="385">
        <v>1213</v>
      </c>
      <c r="OM7" s="385">
        <v>1153</v>
      </c>
      <c r="ON7" s="385">
        <v>1065</v>
      </c>
      <c r="OO7" s="385">
        <v>873</v>
      </c>
      <c r="OP7" s="385">
        <v>529</v>
      </c>
      <c r="OQ7" s="385">
        <v>229</v>
      </c>
      <c r="OR7" s="385">
        <v>34</v>
      </c>
      <c r="OS7" s="385">
        <v>102890</v>
      </c>
    </row>
    <row r="8" spans="1:409" x14ac:dyDescent="0.25">
      <c r="A8" s="384" t="s">
        <v>306</v>
      </c>
      <c r="B8" s="385"/>
      <c r="C8" s="385">
        <v>1</v>
      </c>
      <c r="D8" s="385"/>
      <c r="E8" s="385"/>
      <c r="F8" s="385"/>
      <c r="G8" s="385"/>
      <c r="H8" s="385"/>
      <c r="I8" s="385"/>
      <c r="J8" s="385">
        <v>1</v>
      </c>
      <c r="K8" s="385">
        <v>2</v>
      </c>
      <c r="L8" s="385">
        <v>1</v>
      </c>
      <c r="M8" s="385">
        <v>2</v>
      </c>
      <c r="N8" s="385"/>
      <c r="O8" s="385">
        <v>2</v>
      </c>
      <c r="P8" s="385">
        <v>4</v>
      </c>
      <c r="Q8" s="385">
        <v>4</v>
      </c>
      <c r="R8" s="385">
        <v>7</v>
      </c>
      <c r="S8" s="385">
        <v>5</v>
      </c>
      <c r="T8" s="385">
        <v>4</v>
      </c>
      <c r="U8" s="385">
        <v>5</v>
      </c>
      <c r="V8" s="385">
        <v>8</v>
      </c>
      <c r="W8" s="385">
        <v>7</v>
      </c>
      <c r="X8" s="385">
        <v>9</v>
      </c>
      <c r="Y8" s="385">
        <v>9</v>
      </c>
      <c r="Z8" s="385">
        <v>4</v>
      </c>
      <c r="AA8" s="385">
        <v>6</v>
      </c>
      <c r="AB8" s="385">
        <v>6</v>
      </c>
      <c r="AC8" s="385">
        <v>13</v>
      </c>
      <c r="AD8" s="385">
        <v>8</v>
      </c>
      <c r="AE8" s="385">
        <v>6</v>
      </c>
      <c r="AF8" s="385">
        <v>13</v>
      </c>
      <c r="AG8" s="385">
        <v>5</v>
      </c>
      <c r="AH8" s="385">
        <v>7</v>
      </c>
      <c r="AI8" s="385">
        <v>3</v>
      </c>
      <c r="AJ8" s="385">
        <v>3</v>
      </c>
      <c r="AK8" s="385">
        <v>11</v>
      </c>
      <c r="AL8" s="385">
        <v>9</v>
      </c>
      <c r="AM8" s="385">
        <v>8</v>
      </c>
      <c r="AN8" s="385">
        <v>6</v>
      </c>
      <c r="AO8" s="385">
        <v>8</v>
      </c>
      <c r="AP8" s="385">
        <v>7</v>
      </c>
      <c r="AQ8" s="385">
        <v>7</v>
      </c>
      <c r="AR8" s="385">
        <v>5</v>
      </c>
      <c r="AS8" s="385">
        <v>9</v>
      </c>
      <c r="AT8" s="385">
        <v>4</v>
      </c>
      <c r="AU8" s="385">
        <v>5</v>
      </c>
      <c r="AV8" s="385">
        <v>7</v>
      </c>
      <c r="AW8" s="385">
        <v>1</v>
      </c>
      <c r="AX8" s="385">
        <v>10</v>
      </c>
      <c r="AY8" s="385">
        <v>6</v>
      </c>
      <c r="AZ8" s="385">
        <v>10</v>
      </c>
      <c r="BA8" s="385">
        <v>15</v>
      </c>
      <c r="BB8" s="385">
        <v>13</v>
      </c>
      <c r="BC8" s="385">
        <v>15</v>
      </c>
      <c r="BD8" s="385">
        <v>5</v>
      </c>
      <c r="BE8" s="385">
        <v>7</v>
      </c>
      <c r="BF8" s="385">
        <v>20</v>
      </c>
      <c r="BG8" s="385">
        <v>14</v>
      </c>
      <c r="BH8" s="385">
        <v>6</v>
      </c>
      <c r="BI8" s="385">
        <v>13</v>
      </c>
      <c r="BJ8" s="385">
        <v>9</v>
      </c>
      <c r="BK8" s="385">
        <v>13</v>
      </c>
      <c r="BL8" s="385">
        <v>13</v>
      </c>
      <c r="BM8" s="385">
        <v>22</v>
      </c>
      <c r="BN8" s="385">
        <v>31</v>
      </c>
      <c r="BO8" s="385">
        <v>27</v>
      </c>
      <c r="BP8" s="385">
        <v>32</v>
      </c>
      <c r="BQ8" s="385">
        <v>43</v>
      </c>
      <c r="BR8" s="385">
        <v>31</v>
      </c>
      <c r="BS8" s="385">
        <v>42</v>
      </c>
      <c r="BT8" s="385">
        <v>44</v>
      </c>
      <c r="BU8" s="385">
        <v>54</v>
      </c>
      <c r="BV8" s="385">
        <v>47</v>
      </c>
      <c r="BW8" s="385">
        <v>51</v>
      </c>
      <c r="BX8" s="385">
        <v>66</v>
      </c>
      <c r="BY8" s="385">
        <v>51</v>
      </c>
      <c r="BZ8" s="385">
        <v>62</v>
      </c>
      <c r="CA8" s="385">
        <v>96</v>
      </c>
      <c r="CB8" s="385">
        <v>101</v>
      </c>
      <c r="CC8" s="385">
        <v>89</v>
      </c>
      <c r="CD8" s="385">
        <v>115</v>
      </c>
      <c r="CE8" s="385">
        <v>92</v>
      </c>
      <c r="CF8" s="385">
        <v>77</v>
      </c>
      <c r="CG8" s="385">
        <v>70</v>
      </c>
      <c r="CH8" s="385">
        <v>80</v>
      </c>
      <c r="CI8" s="385">
        <v>103</v>
      </c>
      <c r="CJ8" s="385">
        <v>104</v>
      </c>
      <c r="CK8" s="385">
        <v>105</v>
      </c>
      <c r="CL8" s="385">
        <v>107</v>
      </c>
      <c r="CM8" s="385">
        <v>86</v>
      </c>
      <c r="CN8" s="385">
        <v>65</v>
      </c>
      <c r="CO8" s="385">
        <v>111</v>
      </c>
      <c r="CP8" s="385">
        <v>118</v>
      </c>
      <c r="CQ8" s="385">
        <v>131</v>
      </c>
      <c r="CR8" s="385">
        <v>117</v>
      </c>
      <c r="CS8" s="385">
        <v>141</v>
      </c>
      <c r="CT8" s="385">
        <v>122</v>
      </c>
      <c r="CU8" s="385">
        <v>72</v>
      </c>
      <c r="CV8" s="385">
        <v>181</v>
      </c>
      <c r="CW8" s="385">
        <v>210</v>
      </c>
      <c r="CX8" s="385">
        <v>175</v>
      </c>
      <c r="CY8" s="385">
        <v>173</v>
      </c>
      <c r="CZ8" s="385">
        <v>199</v>
      </c>
      <c r="DA8" s="385">
        <v>156</v>
      </c>
      <c r="DB8" s="385">
        <v>117</v>
      </c>
      <c r="DC8" s="385">
        <v>155</v>
      </c>
      <c r="DD8" s="385">
        <v>234</v>
      </c>
      <c r="DE8" s="385">
        <v>271</v>
      </c>
      <c r="DF8" s="385">
        <v>301</v>
      </c>
      <c r="DG8" s="385">
        <v>280</v>
      </c>
      <c r="DH8" s="385">
        <v>206</v>
      </c>
      <c r="DI8" s="385">
        <v>178</v>
      </c>
      <c r="DJ8" s="385">
        <v>319</v>
      </c>
      <c r="DK8" s="385">
        <v>287</v>
      </c>
      <c r="DL8" s="385">
        <v>278</v>
      </c>
      <c r="DM8" s="385">
        <v>334</v>
      </c>
      <c r="DN8" s="385">
        <v>312</v>
      </c>
      <c r="DO8" s="385">
        <v>236</v>
      </c>
      <c r="DP8" s="385">
        <v>181</v>
      </c>
      <c r="DQ8" s="385">
        <v>321</v>
      </c>
      <c r="DR8" s="385">
        <v>307</v>
      </c>
      <c r="DS8" s="385">
        <v>317</v>
      </c>
      <c r="DT8" s="385">
        <v>315</v>
      </c>
      <c r="DU8" s="385">
        <v>363</v>
      </c>
      <c r="DV8" s="385">
        <v>257</v>
      </c>
      <c r="DW8" s="385">
        <v>198</v>
      </c>
      <c r="DX8" s="385">
        <v>394</v>
      </c>
      <c r="DY8" s="385">
        <v>391</v>
      </c>
      <c r="DZ8" s="385">
        <v>402</v>
      </c>
      <c r="EA8" s="385">
        <v>316</v>
      </c>
      <c r="EB8" s="385">
        <v>295</v>
      </c>
      <c r="EC8" s="385">
        <v>294</v>
      </c>
      <c r="ED8" s="385">
        <v>223</v>
      </c>
      <c r="EE8" s="385">
        <v>463</v>
      </c>
      <c r="EF8" s="385">
        <v>462</v>
      </c>
      <c r="EG8" s="385">
        <v>451</v>
      </c>
      <c r="EH8" s="385">
        <v>475</v>
      </c>
      <c r="EI8" s="385">
        <v>458</v>
      </c>
      <c r="EJ8" s="385">
        <v>394</v>
      </c>
      <c r="EK8" s="385">
        <v>363</v>
      </c>
      <c r="EL8" s="385">
        <v>536</v>
      </c>
      <c r="EM8" s="385">
        <v>540</v>
      </c>
      <c r="EN8" s="385">
        <v>558</v>
      </c>
      <c r="EO8" s="385">
        <v>523</v>
      </c>
      <c r="EP8" s="385">
        <v>520</v>
      </c>
      <c r="EQ8" s="385">
        <v>419</v>
      </c>
      <c r="ER8" s="385">
        <v>317</v>
      </c>
      <c r="ES8" s="385">
        <v>523</v>
      </c>
      <c r="ET8" s="385">
        <v>584</v>
      </c>
      <c r="EU8" s="385">
        <v>524</v>
      </c>
      <c r="EV8" s="385">
        <v>566</v>
      </c>
      <c r="EW8" s="385">
        <v>495</v>
      </c>
      <c r="EX8" s="385">
        <v>468</v>
      </c>
      <c r="EY8" s="385">
        <v>356</v>
      </c>
      <c r="EZ8" s="385">
        <v>664</v>
      </c>
      <c r="FA8" s="385">
        <v>637</v>
      </c>
      <c r="FB8" s="385">
        <v>640</v>
      </c>
      <c r="FC8" s="385">
        <v>603</v>
      </c>
      <c r="FD8" s="385">
        <v>602</v>
      </c>
      <c r="FE8" s="385">
        <v>450</v>
      </c>
      <c r="FF8" s="385">
        <v>339</v>
      </c>
      <c r="FG8" s="385">
        <v>644</v>
      </c>
      <c r="FH8" s="385">
        <v>588</v>
      </c>
      <c r="FI8" s="385">
        <v>519</v>
      </c>
      <c r="FJ8" s="385">
        <v>533</v>
      </c>
      <c r="FK8" s="385">
        <v>537</v>
      </c>
      <c r="FL8" s="385">
        <v>449</v>
      </c>
      <c r="FM8" s="385">
        <v>331</v>
      </c>
      <c r="FN8" s="385">
        <v>476</v>
      </c>
      <c r="FO8" s="385">
        <v>609</v>
      </c>
      <c r="FP8" s="385">
        <v>643</v>
      </c>
      <c r="FQ8" s="385">
        <v>594</v>
      </c>
      <c r="FR8" s="385">
        <v>610</v>
      </c>
      <c r="FS8" s="385">
        <v>512</v>
      </c>
      <c r="FT8" s="385">
        <v>307</v>
      </c>
      <c r="FU8" s="385">
        <v>665</v>
      </c>
      <c r="FV8" s="385">
        <v>798</v>
      </c>
      <c r="FW8" s="385">
        <v>756</v>
      </c>
      <c r="FX8" s="385">
        <v>705</v>
      </c>
      <c r="FY8" s="385">
        <v>660</v>
      </c>
      <c r="FZ8" s="385">
        <v>486</v>
      </c>
      <c r="GA8" s="385">
        <v>369</v>
      </c>
      <c r="GB8" s="385">
        <v>656</v>
      </c>
      <c r="GC8" s="385">
        <v>670</v>
      </c>
      <c r="GD8" s="385">
        <v>569</v>
      </c>
      <c r="GE8" s="385">
        <v>556</v>
      </c>
      <c r="GF8" s="385">
        <v>604</v>
      </c>
      <c r="GG8" s="385">
        <v>443</v>
      </c>
      <c r="GH8" s="385">
        <v>289</v>
      </c>
      <c r="GI8" s="385">
        <v>577</v>
      </c>
      <c r="GJ8" s="385">
        <v>630</v>
      </c>
      <c r="GK8" s="385">
        <v>631</v>
      </c>
      <c r="GL8" s="385">
        <v>576</v>
      </c>
      <c r="GM8" s="385">
        <v>583</v>
      </c>
      <c r="GN8" s="385">
        <v>376</v>
      </c>
      <c r="GO8" s="385">
        <v>306</v>
      </c>
      <c r="GP8" s="385">
        <v>546</v>
      </c>
      <c r="GQ8" s="385">
        <v>484</v>
      </c>
      <c r="GR8" s="385">
        <v>494</v>
      </c>
      <c r="GS8" s="385">
        <v>445</v>
      </c>
      <c r="GT8" s="385">
        <v>481</v>
      </c>
      <c r="GU8" s="385">
        <v>325</v>
      </c>
      <c r="GV8" s="385">
        <v>230</v>
      </c>
      <c r="GW8" s="385">
        <v>404</v>
      </c>
      <c r="GX8" s="385">
        <v>469</v>
      </c>
      <c r="GY8" s="385">
        <v>413</v>
      </c>
      <c r="GZ8" s="385">
        <v>465</v>
      </c>
      <c r="HA8" s="385">
        <v>442</v>
      </c>
      <c r="HB8" s="385">
        <v>277</v>
      </c>
      <c r="HC8" s="385">
        <v>267</v>
      </c>
      <c r="HD8" s="385">
        <v>435</v>
      </c>
      <c r="HE8" s="385">
        <v>463</v>
      </c>
      <c r="HF8" s="385">
        <v>481</v>
      </c>
      <c r="HG8" s="385">
        <v>456</v>
      </c>
      <c r="HH8" s="385">
        <v>431</v>
      </c>
      <c r="HI8" s="385">
        <v>249</v>
      </c>
      <c r="HJ8" s="385">
        <v>183</v>
      </c>
      <c r="HK8" s="385">
        <v>396</v>
      </c>
      <c r="HL8" s="385">
        <v>435</v>
      </c>
      <c r="HM8" s="385">
        <v>383</v>
      </c>
      <c r="HN8" s="385">
        <v>380</v>
      </c>
      <c r="HO8" s="385">
        <v>421</v>
      </c>
      <c r="HP8" s="385">
        <v>315</v>
      </c>
      <c r="HQ8" s="385">
        <v>233</v>
      </c>
      <c r="HR8" s="385">
        <v>257</v>
      </c>
      <c r="HS8" s="385">
        <v>381</v>
      </c>
      <c r="HT8" s="385">
        <v>382</v>
      </c>
      <c r="HU8" s="385">
        <v>348</v>
      </c>
      <c r="HV8" s="385">
        <v>355</v>
      </c>
      <c r="HW8" s="385">
        <v>263</v>
      </c>
      <c r="HX8" s="385">
        <v>148</v>
      </c>
      <c r="HY8" s="385">
        <v>274</v>
      </c>
      <c r="HZ8" s="385">
        <v>296</v>
      </c>
      <c r="IA8" s="385">
        <v>257</v>
      </c>
      <c r="IB8" s="385">
        <v>226</v>
      </c>
      <c r="IC8" s="385">
        <v>231</v>
      </c>
      <c r="ID8" s="385">
        <v>171</v>
      </c>
      <c r="IE8" s="385">
        <v>113</v>
      </c>
      <c r="IF8" s="385">
        <v>263</v>
      </c>
      <c r="IG8" s="385">
        <v>240</v>
      </c>
      <c r="IH8" s="385">
        <v>264</v>
      </c>
      <c r="II8" s="385">
        <v>201</v>
      </c>
      <c r="IJ8" s="385">
        <v>173</v>
      </c>
      <c r="IK8" s="385">
        <v>107</v>
      </c>
      <c r="IL8" s="385">
        <v>115</v>
      </c>
      <c r="IM8" s="385">
        <v>190</v>
      </c>
      <c r="IN8" s="385">
        <v>181</v>
      </c>
      <c r="IO8" s="385">
        <v>229</v>
      </c>
      <c r="IP8" s="385">
        <v>253</v>
      </c>
      <c r="IQ8" s="385">
        <v>202</v>
      </c>
      <c r="IR8" s="385">
        <v>156</v>
      </c>
      <c r="IS8" s="385">
        <v>108</v>
      </c>
      <c r="IT8" s="385">
        <v>206</v>
      </c>
      <c r="IU8" s="385">
        <v>226</v>
      </c>
      <c r="IV8" s="385">
        <v>189</v>
      </c>
      <c r="IW8" s="385">
        <v>176</v>
      </c>
      <c r="IX8" s="385">
        <v>147</v>
      </c>
      <c r="IY8" s="385">
        <v>158</v>
      </c>
      <c r="IZ8" s="385">
        <v>80</v>
      </c>
      <c r="JA8" s="385">
        <v>162</v>
      </c>
      <c r="JB8" s="385">
        <v>174</v>
      </c>
      <c r="JC8" s="385">
        <v>200</v>
      </c>
      <c r="JD8" s="385">
        <v>163</v>
      </c>
      <c r="JE8" s="385">
        <v>119</v>
      </c>
      <c r="JF8" s="385">
        <v>123</v>
      </c>
      <c r="JG8" s="385">
        <v>78</v>
      </c>
      <c r="JH8" s="385">
        <v>97</v>
      </c>
      <c r="JI8" s="385">
        <v>157</v>
      </c>
      <c r="JJ8" s="385">
        <v>173</v>
      </c>
      <c r="JK8" s="385">
        <v>155</v>
      </c>
      <c r="JL8" s="385">
        <v>113</v>
      </c>
      <c r="JM8" s="385">
        <v>108</v>
      </c>
      <c r="JN8" s="385">
        <v>99</v>
      </c>
      <c r="JO8" s="385">
        <v>151</v>
      </c>
      <c r="JP8" s="385">
        <v>145</v>
      </c>
      <c r="JQ8" s="385">
        <v>96</v>
      </c>
      <c r="JR8" s="385">
        <v>133</v>
      </c>
      <c r="JS8" s="385">
        <v>126</v>
      </c>
      <c r="JT8" s="385">
        <v>91</v>
      </c>
      <c r="JU8" s="385">
        <v>81</v>
      </c>
      <c r="JV8" s="385">
        <v>92</v>
      </c>
      <c r="JW8" s="385">
        <v>106</v>
      </c>
      <c r="JX8" s="385">
        <v>140</v>
      </c>
      <c r="JY8" s="385">
        <v>166</v>
      </c>
      <c r="JZ8" s="385">
        <v>152</v>
      </c>
      <c r="KA8" s="385">
        <v>133</v>
      </c>
      <c r="KB8" s="385">
        <v>119</v>
      </c>
      <c r="KC8" s="385">
        <v>216</v>
      </c>
      <c r="KD8" s="385">
        <v>205</v>
      </c>
      <c r="KE8" s="385">
        <v>170</v>
      </c>
      <c r="KF8" s="385">
        <v>247</v>
      </c>
      <c r="KG8" s="385">
        <v>247</v>
      </c>
      <c r="KH8" s="385">
        <v>167</v>
      </c>
      <c r="KI8" s="385">
        <v>145</v>
      </c>
      <c r="KJ8" s="385">
        <v>307</v>
      </c>
      <c r="KK8" s="385">
        <v>309</v>
      </c>
      <c r="KL8" s="385">
        <v>344</v>
      </c>
      <c r="KM8" s="385">
        <v>179</v>
      </c>
      <c r="KN8" s="385">
        <v>95</v>
      </c>
      <c r="KO8" s="385">
        <v>322</v>
      </c>
      <c r="KP8" s="385">
        <v>265</v>
      </c>
      <c r="KQ8" s="385">
        <v>408</v>
      </c>
      <c r="KR8" s="385">
        <v>496</v>
      </c>
      <c r="KS8" s="385">
        <v>462</v>
      </c>
      <c r="KT8" s="385">
        <v>287</v>
      </c>
      <c r="KU8" s="385">
        <v>136</v>
      </c>
      <c r="KV8" s="385">
        <v>347</v>
      </c>
      <c r="KW8" s="385">
        <v>351</v>
      </c>
      <c r="KX8" s="385">
        <v>550</v>
      </c>
      <c r="KY8" s="385">
        <v>569</v>
      </c>
      <c r="KZ8" s="385">
        <v>571</v>
      </c>
      <c r="LA8" s="385">
        <v>530</v>
      </c>
      <c r="LB8" s="385">
        <v>482</v>
      </c>
      <c r="LC8" s="385">
        <v>405</v>
      </c>
      <c r="LD8" s="385">
        <v>243</v>
      </c>
      <c r="LE8" s="385">
        <v>456</v>
      </c>
      <c r="LF8" s="385">
        <v>481</v>
      </c>
      <c r="LG8" s="385">
        <v>482</v>
      </c>
      <c r="LH8" s="385">
        <v>455</v>
      </c>
      <c r="LI8" s="385">
        <v>464</v>
      </c>
      <c r="LJ8" s="385">
        <v>349</v>
      </c>
      <c r="LK8" s="385">
        <v>282</v>
      </c>
      <c r="LL8" s="385">
        <v>476</v>
      </c>
      <c r="LM8" s="385">
        <v>408</v>
      </c>
      <c r="LN8" s="385">
        <v>428</v>
      </c>
      <c r="LO8" s="385">
        <v>405</v>
      </c>
      <c r="LP8" s="385">
        <v>378</v>
      </c>
      <c r="LQ8" s="385">
        <v>277</v>
      </c>
      <c r="LR8" s="385">
        <v>250</v>
      </c>
      <c r="LS8" s="385">
        <v>405</v>
      </c>
      <c r="LT8" s="385">
        <v>351</v>
      </c>
      <c r="LU8" s="385">
        <v>352</v>
      </c>
      <c r="LV8" s="385">
        <v>321</v>
      </c>
      <c r="LW8" s="385">
        <v>338</v>
      </c>
      <c r="LX8" s="385">
        <v>278</v>
      </c>
      <c r="LY8" s="385">
        <v>217</v>
      </c>
      <c r="LZ8" s="385">
        <v>368</v>
      </c>
      <c r="MA8" s="385">
        <v>333</v>
      </c>
      <c r="MB8" s="385">
        <v>350</v>
      </c>
      <c r="MC8" s="385">
        <v>316</v>
      </c>
      <c r="MD8" s="385">
        <v>325</v>
      </c>
      <c r="ME8" s="385">
        <v>248</v>
      </c>
      <c r="MF8" s="385">
        <v>182</v>
      </c>
      <c r="MG8" s="385">
        <v>315</v>
      </c>
      <c r="MH8" s="385">
        <v>300</v>
      </c>
      <c r="MI8" s="385">
        <v>314</v>
      </c>
      <c r="MJ8" s="385">
        <v>258</v>
      </c>
      <c r="MK8" s="385">
        <v>284</v>
      </c>
      <c r="ML8" s="385">
        <v>194</v>
      </c>
      <c r="MM8" s="385">
        <v>151</v>
      </c>
      <c r="MN8" s="385">
        <v>240</v>
      </c>
      <c r="MO8" s="385">
        <v>218</v>
      </c>
      <c r="MP8" s="385">
        <v>307</v>
      </c>
      <c r="MQ8" s="385">
        <v>326</v>
      </c>
      <c r="MR8" s="385">
        <v>327</v>
      </c>
      <c r="MS8" s="385">
        <v>239</v>
      </c>
      <c r="MT8" s="385">
        <v>221</v>
      </c>
      <c r="MU8" s="385">
        <v>270</v>
      </c>
      <c r="MV8" s="385">
        <v>309</v>
      </c>
      <c r="MW8" s="385">
        <v>239</v>
      </c>
      <c r="MX8" s="385">
        <v>307</v>
      </c>
      <c r="MY8" s="385">
        <v>232</v>
      </c>
      <c r="MZ8" s="385">
        <v>211</v>
      </c>
      <c r="NA8" s="385">
        <v>182</v>
      </c>
      <c r="NB8" s="385">
        <v>308</v>
      </c>
      <c r="NC8" s="385">
        <v>284</v>
      </c>
      <c r="ND8" s="385">
        <v>311</v>
      </c>
      <c r="NE8" s="385">
        <v>256</v>
      </c>
      <c r="NF8" s="385">
        <v>293</v>
      </c>
      <c r="NG8" s="385">
        <v>207</v>
      </c>
      <c r="NH8" s="385">
        <v>176</v>
      </c>
      <c r="NI8" s="385">
        <v>321</v>
      </c>
      <c r="NJ8" s="385">
        <v>322</v>
      </c>
      <c r="NK8" s="385">
        <v>348</v>
      </c>
      <c r="NL8" s="385">
        <v>286</v>
      </c>
      <c r="NM8" s="385">
        <v>273</v>
      </c>
      <c r="NN8" s="385">
        <v>254</v>
      </c>
      <c r="NO8" s="385">
        <v>198</v>
      </c>
      <c r="NP8" s="385">
        <v>333</v>
      </c>
      <c r="NQ8" s="385">
        <v>312</v>
      </c>
      <c r="NR8" s="385">
        <v>358</v>
      </c>
      <c r="NS8" s="385">
        <v>328</v>
      </c>
      <c r="NT8" s="385">
        <v>350</v>
      </c>
      <c r="NU8" s="385">
        <v>261</v>
      </c>
      <c r="NV8" s="385">
        <v>265</v>
      </c>
      <c r="NW8" s="385">
        <v>462</v>
      </c>
      <c r="NX8" s="385">
        <v>498</v>
      </c>
      <c r="NY8" s="385">
        <v>423</v>
      </c>
      <c r="NZ8" s="385">
        <v>551</v>
      </c>
      <c r="OA8" s="385">
        <v>607</v>
      </c>
      <c r="OB8" s="385">
        <v>522</v>
      </c>
      <c r="OC8" s="385">
        <v>443</v>
      </c>
      <c r="OD8" s="385">
        <v>727</v>
      </c>
      <c r="OE8" s="385">
        <v>773</v>
      </c>
      <c r="OF8" s="385">
        <v>818</v>
      </c>
      <c r="OG8" s="385">
        <v>822</v>
      </c>
      <c r="OH8" s="385">
        <v>696</v>
      </c>
      <c r="OI8" s="385">
        <v>703</v>
      </c>
      <c r="OJ8" s="385">
        <v>674</v>
      </c>
      <c r="OK8" s="385">
        <v>1129</v>
      </c>
      <c r="OL8" s="385">
        <v>1113</v>
      </c>
      <c r="OM8" s="385">
        <v>1033</v>
      </c>
      <c r="ON8" s="385">
        <v>932</v>
      </c>
      <c r="OO8" s="385">
        <v>822</v>
      </c>
      <c r="OP8" s="385">
        <v>493</v>
      </c>
      <c r="OQ8" s="385">
        <v>255</v>
      </c>
      <c r="OR8" s="385">
        <v>61</v>
      </c>
      <c r="OS8" s="385">
        <v>112765</v>
      </c>
    </row>
    <row r="9" spans="1:409" x14ac:dyDescent="0.25">
      <c r="A9" s="384" t="s">
        <v>307</v>
      </c>
      <c r="B9" s="385">
        <v>1</v>
      </c>
      <c r="C9" s="385"/>
      <c r="D9" s="385">
        <v>1</v>
      </c>
      <c r="E9" s="385"/>
      <c r="F9" s="385">
        <v>1</v>
      </c>
      <c r="G9" s="385"/>
      <c r="H9" s="385"/>
      <c r="I9" s="385">
        <v>2</v>
      </c>
      <c r="J9" s="385">
        <v>2</v>
      </c>
      <c r="K9" s="385">
        <v>2</v>
      </c>
      <c r="L9" s="385">
        <v>1</v>
      </c>
      <c r="M9" s="385">
        <v>3</v>
      </c>
      <c r="N9" s="385">
        <v>4</v>
      </c>
      <c r="O9" s="385">
        <v>3</v>
      </c>
      <c r="P9" s="385">
        <v>1</v>
      </c>
      <c r="Q9" s="385">
        <v>2</v>
      </c>
      <c r="R9" s="385">
        <v>3</v>
      </c>
      <c r="S9" s="385">
        <v>5</v>
      </c>
      <c r="T9" s="385">
        <v>4</v>
      </c>
      <c r="U9" s="385">
        <v>4</v>
      </c>
      <c r="V9" s="385">
        <v>7</v>
      </c>
      <c r="W9" s="385">
        <v>7</v>
      </c>
      <c r="X9" s="385">
        <v>5</v>
      </c>
      <c r="Y9" s="385">
        <v>4</v>
      </c>
      <c r="Z9" s="385">
        <v>2</v>
      </c>
      <c r="AA9" s="385">
        <v>6</v>
      </c>
      <c r="AB9" s="385">
        <v>4</v>
      </c>
      <c r="AC9" s="385">
        <v>1</v>
      </c>
      <c r="AD9" s="385">
        <v>5</v>
      </c>
      <c r="AE9" s="385">
        <v>3</v>
      </c>
      <c r="AF9" s="385">
        <v>9</v>
      </c>
      <c r="AG9" s="385">
        <v>8</v>
      </c>
      <c r="AH9" s="385">
        <v>3</v>
      </c>
      <c r="AI9" s="385">
        <v>3</v>
      </c>
      <c r="AJ9" s="385">
        <v>5</v>
      </c>
      <c r="AK9" s="385">
        <v>2</v>
      </c>
      <c r="AL9" s="385">
        <v>2</v>
      </c>
      <c r="AM9" s="385">
        <v>6</v>
      </c>
      <c r="AN9" s="385">
        <v>2</v>
      </c>
      <c r="AO9" s="385"/>
      <c r="AP9" s="385">
        <v>3</v>
      </c>
      <c r="AQ9" s="385">
        <v>2</v>
      </c>
      <c r="AR9" s="385">
        <v>7</v>
      </c>
      <c r="AS9" s="385">
        <v>6</v>
      </c>
      <c r="AT9" s="385">
        <v>5</v>
      </c>
      <c r="AU9" s="385">
        <v>4</v>
      </c>
      <c r="AV9" s="385">
        <v>5</v>
      </c>
      <c r="AW9" s="385">
        <v>5</v>
      </c>
      <c r="AX9" s="385">
        <v>4</v>
      </c>
      <c r="AY9" s="385">
        <v>6</v>
      </c>
      <c r="AZ9" s="385">
        <v>7</v>
      </c>
      <c r="BA9" s="385">
        <v>10</v>
      </c>
      <c r="BB9" s="385">
        <v>13</v>
      </c>
      <c r="BC9" s="385">
        <v>7</v>
      </c>
      <c r="BD9" s="385">
        <v>11</v>
      </c>
      <c r="BE9" s="385">
        <v>5</v>
      </c>
      <c r="BF9" s="385">
        <v>17</v>
      </c>
      <c r="BG9" s="385">
        <v>10</v>
      </c>
      <c r="BH9" s="385">
        <v>11</v>
      </c>
      <c r="BI9" s="385">
        <v>7</v>
      </c>
      <c r="BJ9" s="385">
        <v>7</v>
      </c>
      <c r="BK9" s="385">
        <v>4</v>
      </c>
      <c r="BL9" s="385">
        <v>5</v>
      </c>
      <c r="BM9" s="385">
        <v>12</v>
      </c>
      <c r="BN9" s="385">
        <v>29</v>
      </c>
      <c r="BO9" s="385">
        <v>17</v>
      </c>
      <c r="BP9" s="385">
        <v>23</v>
      </c>
      <c r="BQ9" s="385">
        <v>33</v>
      </c>
      <c r="BR9" s="385">
        <v>21</v>
      </c>
      <c r="BS9" s="385">
        <v>41</v>
      </c>
      <c r="BT9" s="385">
        <v>24</v>
      </c>
      <c r="BU9" s="385">
        <v>36</v>
      </c>
      <c r="BV9" s="385">
        <v>36</v>
      </c>
      <c r="BW9" s="385">
        <v>40</v>
      </c>
      <c r="BX9" s="385">
        <v>44</v>
      </c>
      <c r="BY9" s="385">
        <v>47</v>
      </c>
      <c r="BZ9" s="385">
        <v>37</v>
      </c>
      <c r="CA9" s="385">
        <v>66</v>
      </c>
      <c r="CB9" s="385">
        <v>74</v>
      </c>
      <c r="CC9" s="385">
        <v>81</v>
      </c>
      <c r="CD9" s="385">
        <v>75</v>
      </c>
      <c r="CE9" s="385">
        <v>80</v>
      </c>
      <c r="CF9" s="385">
        <v>65</v>
      </c>
      <c r="CG9" s="385">
        <v>51</v>
      </c>
      <c r="CH9" s="385">
        <v>52</v>
      </c>
      <c r="CI9" s="385">
        <v>88</v>
      </c>
      <c r="CJ9" s="385">
        <v>81</v>
      </c>
      <c r="CK9" s="385">
        <v>80</v>
      </c>
      <c r="CL9" s="385">
        <v>62</v>
      </c>
      <c r="CM9" s="385">
        <v>46</v>
      </c>
      <c r="CN9" s="385">
        <v>60</v>
      </c>
      <c r="CO9" s="385">
        <v>103</v>
      </c>
      <c r="CP9" s="385">
        <v>81</v>
      </c>
      <c r="CQ9" s="385">
        <v>93</v>
      </c>
      <c r="CR9" s="385">
        <v>71</v>
      </c>
      <c r="CS9" s="385">
        <v>105</v>
      </c>
      <c r="CT9" s="385">
        <v>84</v>
      </c>
      <c r="CU9" s="385">
        <v>71</v>
      </c>
      <c r="CV9" s="385">
        <v>135</v>
      </c>
      <c r="CW9" s="385">
        <v>162</v>
      </c>
      <c r="CX9" s="385">
        <v>138</v>
      </c>
      <c r="CY9" s="385">
        <v>168</v>
      </c>
      <c r="CZ9" s="385">
        <v>161</v>
      </c>
      <c r="DA9" s="385">
        <v>120</v>
      </c>
      <c r="DB9" s="385">
        <v>79</v>
      </c>
      <c r="DC9" s="385">
        <v>105</v>
      </c>
      <c r="DD9" s="385">
        <v>181</v>
      </c>
      <c r="DE9" s="385">
        <v>217</v>
      </c>
      <c r="DF9" s="385">
        <v>224</v>
      </c>
      <c r="DG9" s="385">
        <v>186</v>
      </c>
      <c r="DH9" s="385">
        <v>168</v>
      </c>
      <c r="DI9" s="385">
        <v>122</v>
      </c>
      <c r="DJ9" s="385">
        <v>238</v>
      </c>
      <c r="DK9" s="385">
        <v>220</v>
      </c>
      <c r="DL9" s="385">
        <v>266</v>
      </c>
      <c r="DM9" s="385">
        <v>231</v>
      </c>
      <c r="DN9" s="385">
        <v>224</v>
      </c>
      <c r="DO9" s="385">
        <v>191</v>
      </c>
      <c r="DP9" s="385">
        <v>157</v>
      </c>
      <c r="DQ9" s="385">
        <v>289</v>
      </c>
      <c r="DR9" s="385">
        <v>247</v>
      </c>
      <c r="DS9" s="385">
        <v>216</v>
      </c>
      <c r="DT9" s="385">
        <v>265</v>
      </c>
      <c r="DU9" s="385">
        <v>277</v>
      </c>
      <c r="DV9" s="385">
        <v>221</v>
      </c>
      <c r="DW9" s="385">
        <v>175</v>
      </c>
      <c r="DX9" s="385">
        <v>312</v>
      </c>
      <c r="DY9" s="385">
        <v>313</v>
      </c>
      <c r="DZ9" s="385">
        <v>337</v>
      </c>
      <c r="EA9" s="385">
        <v>252</v>
      </c>
      <c r="EB9" s="385">
        <v>251</v>
      </c>
      <c r="EC9" s="385">
        <v>255</v>
      </c>
      <c r="ED9" s="385">
        <v>189</v>
      </c>
      <c r="EE9" s="385">
        <v>387</v>
      </c>
      <c r="EF9" s="385">
        <v>330</v>
      </c>
      <c r="EG9" s="385">
        <v>324</v>
      </c>
      <c r="EH9" s="385">
        <v>364</v>
      </c>
      <c r="EI9" s="385">
        <v>329</v>
      </c>
      <c r="EJ9" s="385">
        <v>325</v>
      </c>
      <c r="EK9" s="385">
        <v>280</v>
      </c>
      <c r="EL9" s="385">
        <v>437</v>
      </c>
      <c r="EM9" s="385">
        <v>455</v>
      </c>
      <c r="EN9" s="385">
        <v>396</v>
      </c>
      <c r="EO9" s="385">
        <v>403</v>
      </c>
      <c r="EP9" s="385">
        <v>403</v>
      </c>
      <c r="EQ9" s="385">
        <v>323</v>
      </c>
      <c r="ER9" s="385">
        <v>227</v>
      </c>
      <c r="ES9" s="385">
        <v>390</v>
      </c>
      <c r="ET9" s="385">
        <v>423</v>
      </c>
      <c r="EU9" s="385">
        <v>438</v>
      </c>
      <c r="EV9" s="385">
        <v>427</v>
      </c>
      <c r="EW9" s="385">
        <v>412</v>
      </c>
      <c r="EX9" s="385">
        <v>394</v>
      </c>
      <c r="EY9" s="385">
        <v>282</v>
      </c>
      <c r="EZ9" s="385">
        <v>537</v>
      </c>
      <c r="FA9" s="385">
        <v>556</v>
      </c>
      <c r="FB9" s="385">
        <v>575</v>
      </c>
      <c r="FC9" s="385">
        <v>463</v>
      </c>
      <c r="FD9" s="385">
        <v>439</v>
      </c>
      <c r="FE9" s="385">
        <v>335</v>
      </c>
      <c r="FF9" s="385">
        <v>283</v>
      </c>
      <c r="FG9" s="385">
        <v>539</v>
      </c>
      <c r="FH9" s="385">
        <v>462</v>
      </c>
      <c r="FI9" s="385">
        <v>448</v>
      </c>
      <c r="FJ9" s="385">
        <v>386</v>
      </c>
      <c r="FK9" s="385">
        <v>416</v>
      </c>
      <c r="FL9" s="385">
        <v>330</v>
      </c>
      <c r="FM9" s="385">
        <v>246</v>
      </c>
      <c r="FN9" s="385">
        <v>350</v>
      </c>
      <c r="FO9" s="385">
        <v>464</v>
      </c>
      <c r="FP9" s="385">
        <v>535</v>
      </c>
      <c r="FQ9" s="385">
        <v>413</v>
      </c>
      <c r="FR9" s="385">
        <v>441</v>
      </c>
      <c r="FS9" s="385">
        <v>396</v>
      </c>
      <c r="FT9" s="385">
        <v>267</v>
      </c>
      <c r="FU9" s="385">
        <v>564</v>
      </c>
      <c r="FV9" s="385">
        <v>551</v>
      </c>
      <c r="FW9" s="385">
        <v>669</v>
      </c>
      <c r="FX9" s="385">
        <v>618</v>
      </c>
      <c r="FY9" s="385">
        <v>523</v>
      </c>
      <c r="FZ9" s="385">
        <v>440</v>
      </c>
      <c r="GA9" s="385">
        <v>312</v>
      </c>
      <c r="GB9" s="385">
        <v>560</v>
      </c>
      <c r="GC9" s="385">
        <v>590</v>
      </c>
      <c r="GD9" s="385">
        <v>455</v>
      </c>
      <c r="GE9" s="385">
        <v>494</v>
      </c>
      <c r="GF9" s="385">
        <v>503</v>
      </c>
      <c r="GG9" s="385">
        <v>394</v>
      </c>
      <c r="GH9" s="385">
        <v>284</v>
      </c>
      <c r="GI9" s="385">
        <v>496</v>
      </c>
      <c r="GJ9" s="385">
        <v>545</v>
      </c>
      <c r="GK9" s="385">
        <v>497</v>
      </c>
      <c r="GL9" s="385">
        <v>455</v>
      </c>
      <c r="GM9" s="385">
        <v>519</v>
      </c>
      <c r="GN9" s="385">
        <v>325</v>
      </c>
      <c r="GO9" s="385">
        <v>262</v>
      </c>
      <c r="GP9" s="385">
        <v>389</v>
      </c>
      <c r="GQ9" s="385">
        <v>418</v>
      </c>
      <c r="GR9" s="385">
        <v>436</v>
      </c>
      <c r="GS9" s="385">
        <v>385</v>
      </c>
      <c r="GT9" s="385">
        <v>355</v>
      </c>
      <c r="GU9" s="385">
        <v>271</v>
      </c>
      <c r="GV9" s="385">
        <v>176</v>
      </c>
      <c r="GW9" s="385">
        <v>321</v>
      </c>
      <c r="GX9" s="385">
        <v>363</v>
      </c>
      <c r="GY9" s="385">
        <v>392</v>
      </c>
      <c r="GZ9" s="385">
        <v>374</v>
      </c>
      <c r="HA9" s="385">
        <v>375</v>
      </c>
      <c r="HB9" s="385">
        <v>260</v>
      </c>
      <c r="HC9" s="385">
        <v>233</v>
      </c>
      <c r="HD9" s="385">
        <v>363</v>
      </c>
      <c r="HE9" s="385">
        <v>398</v>
      </c>
      <c r="HF9" s="385">
        <v>397</v>
      </c>
      <c r="HG9" s="385">
        <v>328</v>
      </c>
      <c r="HH9" s="385">
        <v>330</v>
      </c>
      <c r="HI9" s="385">
        <v>243</v>
      </c>
      <c r="HJ9" s="385">
        <v>175</v>
      </c>
      <c r="HK9" s="385">
        <v>291</v>
      </c>
      <c r="HL9" s="385">
        <v>315</v>
      </c>
      <c r="HM9" s="385">
        <v>319</v>
      </c>
      <c r="HN9" s="385">
        <v>309</v>
      </c>
      <c r="HO9" s="385">
        <v>291</v>
      </c>
      <c r="HP9" s="385">
        <v>253</v>
      </c>
      <c r="HQ9" s="385">
        <v>203</v>
      </c>
      <c r="HR9" s="385">
        <v>222</v>
      </c>
      <c r="HS9" s="385">
        <v>329</v>
      </c>
      <c r="HT9" s="385">
        <v>342</v>
      </c>
      <c r="HU9" s="385">
        <v>298</v>
      </c>
      <c r="HV9" s="385">
        <v>303</v>
      </c>
      <c r="HW9" s="385">
        <v>186</v>
      </c>
      <c r="HX9" s="385">
        <v>104</v>
      </c>
      <c r="HY9" s="385">
        <v>227</v>
      </c>
      <c r="HZ9" s="385">
        <v>242</v>
      </c>
      <c r="IA9" s="385">
        <v>207</v>
      </c>
      <c r="IB9" s="385">
        <v>199</v>
      </c>
      <c r="IC9" s="385">
        <v>210</v>
      </c>
      <c r="ID9" s="385">
        <v>182</v>
      </c>
      <c r="IE9" s="385">
        <v>126</v>
      </c>
      <c r="IF9" s="385">
        <v>234</v>
      </c>
      <c r="IG9" s="385">
        <v>212</v>
      </c>
      <c r="IH9" s="385">
        <v>174</v>
      </c>
      <c r="II9" s="385">
        <v>178</v>
      </c>
      <c r="IJ9" s="385">
        <v>151</v>
      </c>
      <c r="IK9" s="385">
        <v>106</v>
      </c>
      <c r="IL9" s="385">
        <v>99</v>
      </c>
      <c r="IM9" s="385">
        <v>191</v>
      </c>
      <c r="IN9" s="385">
        <v>136</v>
      </c>
      <c r="IO9" s="385">
        <v>166</v>
      </c>
      <c r="IP9" s="385">
        <v>181</v>
      </c>
      <c r="IQ9" s="385">
        <v>154</v>
      </c>
      <c r="IR9" s="385">
        <v>132</v>
      </c>
      <c r="IS9" s="385">
        <v>99</v>
      </c>
      <c r="IT9" s="385">
        <v>148</v>
      </c>
      <c r="IU9" s="385">
        <v>187</v>
      </c>
      <c r="IV9" s="385">
        <v>153</v>
      </c>
      <c r="IW9" s="385">
        <v>129</v>
      </c>
      <c r="IX9" s="385">
        <v>165</v>
      </c>
      <c r="IY9" s="385">
        <v>118</v>
      </c>
      <c r="IZ9" s="385">
        <v>68</v>
      </c>
      <c r="JA9" s="385">
        <v>136</v>
      </c>
      <c r="JB9" s="385">
        <v>148</v>
      </c>
      <c r="JC9" s="385">
        <v>138</v>
      </c>
      <c r="JD9" s="385">
        <v>110</v>
      </c>
      <c r="JE9" s="385">
        <v>89</v>
      </c>
      <c r="JF9" s="385">
        <v>96</v>
      </c>
      <c r="JG9" s="385">
        <v>69</v>
      </c>
      <c r="JH9" s="385">
        <v>71</v>
      </c>
      <c r="JI9" s="385">
        <v>114</v>
      </c>
      <c r="JJ9" s="385">
        <v>153</v>
      </c>
      <c r="JK9" s="385">
        <v>96</v>
      </c>
      <c r="JL9" s="385">
        <v>119</v>
      </c>
      <c r="JM9" s="385">
        <v>88</v>
      </c>
      <c r="JN9" s="385">
        <v>69</v>
      </c>
      <c r="JO9" s="385">
        <v>97</v>
      </c>
      <c r="JP9" s="385">
        <v>125</v>
      </c>
      <c r="JQ9" s="385">
        <v>93</v>
      </c>
      <c r="JR9" s="385">
        <v>97</v>
      </c>
      <c r="JS9" s="385">
        <v>115</v>
      </c>
      <c r="JT9" s="385">
        <v>83</v>
      </c>
      <c r="JU9" s="385">
        <v>62</v>
      </c>
      <c r="JV9" s="385">
        <v>81</v>
      </c>
      <c r="JW9" s="385">
        <v>97</v>
      </c>
      <c r="JX9" s="385">
        <v>142</v>
      </c>
      <c r="JY9" s="385">
        <v>130</v>
      </c>
      <c r="JZ9" s="385">
        <v>130</v>
      </c>
      <c r="KA9" s="385">
        <v>93</v>
      </c>
      <c r="KB9" s="385">
        <v>80</v>
      </c>
      <c r="KC9" s="385">
        <v>147</v>
      </c>
      <c r="KD9" s="385">
        <v>155</v>
      </c>
      <c r="KE9" s="385">
        <v>124</v>
      </c>
      <c r="KF9" s="385">
        <v>166</v>
      </c>
      <c r="KG9" s="385">
        <v>199</v>
      </c>
      <c r="KH9" s="385">
        <v>133</v>
      </c>
      <c r="KI9" s="385">
        <v>148</v>
      </c>
      <c r="KJ9" s="385">
        <v>237</v>
      </c>
      <c r="KK9" s="385">
        <v>214</v>
      </c>
      <c r="KL9" s="385">
        <v>264</v>
      </c>
      <c r="KM9" s="385">
        <v>142</v>
      </c>
      <c r="KN9" s="385">
        <v>92</v>
      </c>
      <c r="KO9" s="385">
        <v>275</v>
      </c>
      <c r="KP9" s="385">
        <v>204</v>
      </c>
      <c r="KQ9" s="385">
        <v>371</v>
      </c>
      <c r="KR9" s="385">
        <v>358</v>
      </c>
      <c r="KS9" s="385">
        <v>395</v>
      </c>
      <c r="KT9" s="385">
        <v>223</v>
      </c>
      <c r="KU9" s="385">
        <v>115</v>
      </c>
      <c r="KV9" s="385">
        <v>286</v>
      </c>
      <c r="KW9" s="385">
        <v>252</v>
      </c>
      <c r="KX9" s="385">
        <v>396</v>
      </c>
      <c r="KY9" s="385">
        <v>400</v>
      </c>
      <c r="KZ9" s="385">
        <v>379</v>
      </c>
      <c r="LA9" s="385">
        <v>369</v>
      </c>
      <c r="LB9" s="385">
        <v>388</v>
      </c>
      <c r="LC9" s="385">
        <v>354</v>
      </c>
      <c r="LD9" s="385">
        <v>217</v>
      </c>
      <c r="LE9" s="385">
        <v>304</v>
      </c>
      <c r="LF9" s="385">
        <v>350</v>
      </c>
      <c r="LG9" s="385">
        <v>348</v>
      </c>
      <c r="LH9" s="385">
        <v>309</v>
      </c>
      <c r="LI9" s="385">
        <v>318</v>
      </c>
      <c r="LJ9" s="385">
        <v>263</v>
      </c>
      <c r="LK9" s="385">
        <v>205</v>
      </c>
      <c r="LL9" s="385">
        <v>349</v>
      </c>
      <c r="LM9" s="385">
        <v>341</v>
      </c>
      <c r="LN9" s="385">
        <v>353</v>
      </c>
      <c r="LO9" s="385">
        <v>322</v>
      </c>
      <c r="LP9" s="385">
        <v>254</v>
      </c>
      <c r="LQ9" s="385">
        <v>207</v>
      </c>
      <c r="LR9" s="385">
        <v>185</v>
      </c>
      <c r="LS9" s="385">
        <v>327</v>
      </c>
      <c r="LT9" s="385">
        <v>281</v>
      </c>
      <c r="LU9" s="385">
        <v>255</v>
      </c>
      <c r="LV9" s="385">
        <v>302</v>
      </c>
      <c r="LW9" s="385">
        <v>282</v>
      </c>
      <c r="LX9" s="385">
        <v>212</v>
      </c>
      <c r="LY9" s="385">
        <v>208</v>
      </c>
      <c r="LZ9" s="385">
        <v>335</v>
      </c>
      <c r="MA9" s="385">
        <v>269</v>
      </c>
      <c r="MB9" s="385">
        <v>274</v>
      </c>
      <c r="MC9" s="385">
        <v>258</v>
      </c>
      <c r="MD9" s="385">
        <v>239</v>
      </c>
      <c r="ME9" s="385">
        <v>187</v>
      </c>
      <c r="MF9" s="385">
        <v>134</v>
      </c>
      <c r="MG9" s="385">
        <v>303</v>
      </c>
      <c r="MH9" s="385">
        <v>251</v>
      </c>
      <c r="MI9" s="385">
        <v>219</v>
      </c>
      <c r="MJ9" s="385">
        <v>229</v>
      </c>
      <c r="MK9" s="385">
        <v>239</v>
      </c>
      <c r="ML9" s="385">
        <v>184</v>
      </c>
      <c r="MM9" s="385">
        <v>154</v>
      </c>
      <c r="MN9" s="385">
        <v>196</v>
      </c>
      <c r="MO9" s="385">
        <v>172</v>
      </c>
      <c r="MP9" s="385">
        <v>256</v>
      </c>
      <c r="MQ9" s="385">
        <v>256</v>
      </c>
      <c r="MR9" s="385">
        <v>247</v>
      </c>
      <c r="MS9" s="385">
        <v>170</v>
      </c>
      <c r="MT9" s="385">
        <v>158</v>
      </c>
      <c r="MU9" s="385">
        <v>212</v>
      </c>
      <c r="MV9" s="385">
        <v>220</v>
      </c>
      <c r="MW9" s="385">
        <v>212</v>
      </c>
      <c r="MX9" s="385">
        <v>245</v>
      </c>
      <c r="MY9" s="385">
        <v>199</v>
      </c>
      <c r="MZ9" s="385">
        <v>164</v>
      </c>
      <c r="NA9" s="385">
        <v>119</v>
      </c>
      <c r="NB9" s="385">
        <v>259</v>
      </c>
      <c r="NC9" s="385">
        <v>203</v>
      </c>
      <c r="ND9" s="385">
        <v>216</v>
      </c>
      <c r="NE9" s="385">
        <v>222</v>
      </c>
      <c r="NF9" s="385">
        <v>260</v>
      </c>
      <c r="NG9" s="385">
        <v>183</v>
      </c>
      <c r="NH9" s="385">
        <v>162</v>
      </c>
      <c r="NI9" s="385">
        <v>270</v>
      </c>
      <c r="NJ9" s="385">
        <v>277</v>
      </c>
      <c r="NK9" s="385">
        <v>228</v>
      </c>
      <c r="NL9" s="385">
        <v>240</v>
      </c>
      <c r="NM9" s="385">
        <v>265</v>
      </c>
      <c r="NN9" s="385">
        <v>218</v>
      </c>
      <c r="NO9" s="385">
        <v>186</v>
      </c>
      <c r="NP9" s="385">
        <v>304</v>
      </c>
      <c r="NQ9" s="385">
        <v>287</v>
      </c>
      <c r="NR9" s="385">
        <v>283</v>
      </c>
      <c r="NS9" s="385">
        <v>252</v>
      </c>
      <c r="NT9" s="385">
        <v>328</v>
      </c>
      <c r="NU9" s="385">
        <v>235</v>
      </c>
      <c r="NV9" s="385">
        <v>211</v>
      </c>
      <c r="NW9" s="385">
        <v>395</v>
      </c>
      <c r="NX9" s="385">
        <v>429</v>
      </c>
      <c r="NY9" s="385">
        <v>390</v>
      </c>
      <c r="NZ9" s="385">
        <v>470</v>
      </c>
      <c r="OA9" s="385">
        <v>511</v>
      </c>
      <c r="OB9" s="385">
        <v>428</v>
      </c>
      <c r="OC9" s="385">
        <v>393</v>
      </c>
      <c r="OD9" s="385">
        <v>586</v>
      </c>
      <c r="OE9" s="385">
        <v>644</v>
      </c>
      <c r="OF9" s="385">
        <v>681</v>
      </c>
      <c r="OG9" s="385">
        <v>605</v>
      </c>
      <c r="OH9" s="385">
        <v>540</v>
      </c>
      <c r="OI9" s="385">
        <v>678</v>
      </c>
      <c r="OJ9" s="385">
        <v>584</v>
      </c>
      <c r="OK9" s="385">
        <v>876</v>
      </c>
      <c r="OL9" s="385">
        <v>938</v>
      </c>
      <c r="OM9" s="385">
        <v>827</v>
      </c>
      <c r="ON9" s="385">
        <v>747</v>
      </c>
      <c r="OO9" s="385">
        <v>677</v>
      </c>
      <c r="OP9" s="385">
        <v>406</v>
      </c>
      <c r="OQ9" s="385">
        <v>237</v>
      </c>
      <c r="OR9" s="385">
        <v>52</v>
      </c>
      <c r="OS9" s="385">
        <v>90775</v>
      </c>
    </row>
    <row r="10" spans="1:409" x14ac:dyDescent="0.25">
      <c r="A10" s="384" t="s">
        <v>310</v>
      </c>
      <c r="B10" s="385"/>
      <c r="C10" s="385"/>
      <c r="D10" s="385"/>
      <c r="E10" s="385"/>
      <c r="F10" s="385"/>
      <c r="G10" s="385">
        <v>1</v>
      </c>
      <c r="H10" s="385">
        <v>1</v>
      </c>
      <c r="I10" s="385"/>
      <c r="J10" s="385">
        <v>2</v>
      </c>
      <c r="K10" s="385">
        <v>1</v>
      </c>
      <c r="L10" s="385">
        <v>1</v>
      </c>
      <c r="M10" s="385">
        <v>2</v>
      </c>
      <c r="N10" s="385"/>
      <c r="O10" s="385"/>
      <c r="P10" s="385">
        <v>1</v>
      </c>
      <c r="Q10" s="385">
        <v>4</v>
      </c>
      <c r="R10" s="385">
        <v>3</v>
      </c>
      <c r="S10" s="385">
        <v>5</v>
      </c>
      <c r="T10" s="385">
        <v>3</v>
      </c>
      <c r="U10" s="385">
        <v>5</v>
      </c>
      <c r="V10" s="385">
        <v>7</v>
      </c>
      <c r="W10" s="385">
        <v>6</v>
      </c>
      <c r="X10" s="385">
        <v>4</v>
      </c>
      <c r="Y10" s="385">
        <v>4</v>
      </c>
      <c r="Z10" s="385">
        <v>8</v>
      </c>
      <c r="AA10" s="385">
        <v>2</v>
      </c>
      <c r="AB10" s="385">
        <v>4</v>
      </c>
      <c r="AC10" s="385">
        <v>3</v>
      </c>
      <c r="AD10" s="385">
        <v>8</v>
      </c>
      <c r="AE10" s="385">
        <v>8</v>
      </c>
      <c r="AF10" s="385">
        <v>9</v>
      </c>
      <c r="AG10" s="385">
        <v>5</v>
      </c>
      <c r="AH10" s="385">
        <v>7</v>
      </c>
      <c r="AI10" s="385">
        <v>2</v>
      </c>
      <c r="AJ10" s="385">
        <v>3</v>
      </c>
      <c r="AK10" s="385">
        <v>7</v>
      </c>
      <c r="AL10" s="385">
        <v>6</v>
      </c>
      <c r="AM10" s="385">
        <v>3</v>
      </c>
      <c r="AN10" s="385">
        <v>3</v>
      </c>
      <c r="AO10" s="385">
        <v>1</v>
      </c>
      <c r="AP10" s="385">
        <v>2</v>
      </c>
      <c r="AQ10" s="385">
        <v>2</v>
      </c>
      <c r="AR10" s="385">
        <v>9</v>
      </c>
      <c r="AS10" s="385">
        <v>3</v>
      </c>
      <c r="AT10" s="385">
        <v>1</v>
      </c>
      <c r="AU10" s="385">
        <v>3</v>
      </c>
      <c r="AV10" s="385">
        <v>3</v>
      </c>
      <c r="AW10" s="385">
        <v>2</v>
      </c>
      <c r="AX10" s="385">
        <v>3</v>
      </c>
      <c r="AY10" s="385">
        <v>13</v>
      </c>
      <c r="AZ10" s="385">
        <v>5</v>
      </c>
      <c r="BA10" s="385">
        <v>9</v>
      </c>
      <c r="BB10" s="385">
        <v>2</v>
      </c>
      <c r="BC10" s="385">
        <v>10</v>
      </c>
      <c r="BD10" s="385">
        <v>3</v>
      </c>
      <c r="BE10" s="385">
        <v>1</v>
      </c>
      <c r="BF10" s="385">
        <v>6</v>
      </c>
      <c r="BG10" s="385">
        <v>2</v>
      </c>
      <c r="BH10" s="385">
        <v>6</v>
      </c>
      <c r="BI10" s="385">
        <v>6</v>
      </c>
      <c r="BJ10" s="385">
        <v>6</v>
      </c>
      <c r="BK10" s="385">
        <v>3</v>
      </c>
      <c r="BL10" s="385">
        <v>4</v>
      </c>
      <c r="BM10" s="385">
        <v>6</v>
      </c>
      <c r="BN10" s="385">
        <v>18</v>
      </c>
      <c r="BO10" s="385">
        <v>5</v>
      </c>
      <c r="BP10" s="385">
        <v>15</v>
      </c>
      <c r="BQ10" s="385">
        <v>14</v>
      </c>
      <c r="BR10" s="385">
        <v>13</v>
      </c>
      <c r="BS10" s="385">
        <v>32</v>
      </c>
      <c r="BT10" s="385">
        <v>18</v>
      </c>
      <c r="BU10" s="385">
        <v>28</v>
      </c>
      <c r="BV10" s="385">
        <v>25</v>
      </c>
      <c r="BW10" s="385">
        <v>35</v>
      </c>
      <c r="BX10" s="385">
        <v>28</v>
      </c>
      <c r="BY10" s="385">
        <v>28</v>
      </c>
      <c r="BZ10" s="385">
        <v>34</v>
      </c>
      <c r="CA10" s="385">
        <v>53</v>
      </c>
      <c r="CB10" s="385">
        <v>36</v>
      </c>
      <c r="CC10" s="385">
        <v>58</v>
      </c>
      <c r="CD10" s="385">
        <v>56</v>
      </c>
      <c r="CE10" s="385">
        <v>45</v>
      </c>
      <c r="CF10" s="385">
        <v>41</v>
      </c>
      <c r="CG10" s="385">
        <v>41</v>
      </c>
      <c r="CH10" s="385">
        <v>42</v>
      </c>
      <c r="CI10" s="385">
        <v>72</v>
      </c>
      <c r="CJ10" s="385">
        <v>64</v>
      </c>
      <c r="CK10" s="385">
        <v>57</v>
      </c>
      <c r="CL10" s="385">
        <v>51</v>
      </c>
      <c r="CM10" s="385">
        <v>32</v>
      </c>
      <c r="CN10" s="385">
        <v>37</v>
      </c>
      <c r="CO10" s="385">
        <v>62</v>
      </c>
      <c r="CP10" s="385">
        <v>60</v>
      </c>
      <c r="CQ10" s="385">
        <v>60</v>
      </c>
      <c r="CR10" s="385">
        <v>57</v>
      </c>
      <c r="CS10" s="385">
        <v>68</v>
      </c>
      <c r="CT10" s="385">
        <v>52</v>
      </c>
      <c r="CU10" s="385">
        <v>43</v>
      </c>
      <c r="CV10" s="385">
        <v>111</v>
      </c>
      <c r="CW10" s="385">
        <v>123</v>
      </c>
      <c r="CX10" s="385">
        <v>85</v>
      </c>
      <c r="CY10" s="385">
        <v>91</v>
      </c>
      <c r="CZ10" s="385">
        <v>95</v>
      </c>
      <c r="DA10" s="385">
        <v>76</v>
      </c>
      <c r="DB10" s="385">
        <v>56</v>
      </c>
      <c r="DC10" s="385">
        <v>69</v>
      </c>
      <c r="DD10" s="385">
        <v>128</v>
      </c>
      <c r="DE10" s="385">
        <v>163</v>
      </c>
      <c r="DF10" s="385">
        <v>163</v>
      </c>
      <c r="DG10" s="385">
        <v>145</v>
      </c>
      <c r="DH10" s="385">
        <v>109</v>
      </c>
      <c r="DI10" s="385">
        <v>80</v>
      </c>
      <c r="DJ10" s="385">
        <v>196</v>
      </c>
      <c r="DK10" s="385">
        <v>186</v>
      </c>
      <c r="DL10" s="385">
        <v>168</v>
      </c>
      <c r="DM10" s="385">
        <v>165</v>
      </c>
      <c r="DN10" s="385">
        <v>168</v>
      </c>
      <c r="DO10" s="385">
        <v>118</v>
      </c>
      <c r="DP10" s="385">
        <v>101</v>
      </c>
      <c r="DQ10" s="385">
        <v>189</v>
      </c>
      <c r="DR10" s="385">
        <v>174</v>
      </c>
      <c r="DS10" s="385">
        <v>154</v>
      </c>
      <c r="DT10" s="385">
        <v>161</v>
      </c>
      <c r="DU10" s="385">
        <v>206</v>
      </c>
      <c r="DV10" s="385">
        <v>153</v>
      </c>
      <c r="DW10" s="385">
        <v>142</v>
      </c>
      <c r="DX10" s="385">
        <v>226</v>
      </c>
      <c r="DY10" s="385">
        <v>209</v>
      </c>
      <c r="DZ10" s="385">
        <v>231</v>
      </c>
      <c r="EA10" s="385">
        <v>126</v>
      </c>
      <c r="EB10" s="385">
        <v>194</v>
      </c>
      <c r="EC10" s="385">
        <v>169</v>
      </c>
      <c r="ED10" s="385">
        <v>144</v>
      </c>
      <c r="EE10" s="385">
        <v>273</v>
      </c>
      <c r="EF10" s="385">
        <v>240</v>
      </c>
      <c r="EG10" s="385">
        <v>231</v>
      </c>
      <c r="EH10" s="385">
        <v>244</v>
      </c>
      <c r="EI10" s="385">
        <v>265</v>
      </c>
      <c r="EJ10" s="385">
        <v>237</v>
      </c>
      <c r="EK10" s="385">
        <v>210</v>
      </c>
      <c r="EL10" s="385">
        <v>325</v>
      </c>
      <c r="EM10" s="385">
        <v>326</v>
      </c>
      <c r="EN10" s="385">
        <v>313</v>
      </c>
      <c r="EO10" s="385">
        <v>273</v>
      </c>
      <c r="EP10" s="385">
        <v>314</v>
      </c>
      <c r="EQ10" s="385">
        <v>218</v>
      </c>
      <c r="ER10" s="385">
        <v>164</v>
      </c>
      <c r="ES10" s="385">
        <v>290</v>
      </c>
      <c r="ET10" s="385">
        <v>285</v>
      </c>
      <c r="EU10" s="385">
        <v>285</v>
      </c>
      <c r="EV10" s="385">
        <v>269</v>
      </c>
      <c r="EW10" s="385">
        <v>299</v>
      </c>
      <c r="EX10" s="385">
        <v>242</v>
      </c>
      <c r="EY10" s="385">
        <v>196</v>
      </c>
      <c r="EZ10" s="385">
        <v>393</v>
      </c>
      <c r="FA10" s="385">
        <v>339</v>
      </c>
      <c r="FB10" s="385">
        <v>374</v>
      </c>
      <c r="FC10" s="385">
        <v>335</v>
      </c>
      <c r="FD10" s="385">
        <v>313</v>
      </c>
      <c r="FE10" s="385">
        <v>233</v>
      </c>
      <c r="FF10" s="385">
        <v>194</v>
      </c>
      <c r="FG10" s="385">
        <v>331</v>
      </c>
      <c r="FH10" s="385">
        <v>312</v>
      </c>
      <c r="FI10" s="385">
        <v>314</v>
      </c>
      <c r="FJ10" s="385">
        <v>272</v>
      </c>
      <c r="FK10" s="385">
        <v>293</v>
      </c>
      <c r="FL10" s="385">
        <v>236</v>
      </c>
      <c r="FM10" s="385">
        <v>175</v>
      </c>
      <c r="FN10" s="385">
        <v>255</v>
      </c>
      <c r="FO10" s="385">
        <v>371</v>
      </c>
      <c r="FP10" s="385">
        <v>331</v>
      </c>
      <c r="FQ10" s="385">
        <v>278</v>
      </c>
      <c r="FR10" s="385">
        <v>348</v>
      </c>
      <c r="FS10" s="385">
        <v>286</v>
      </c>
      <c r="FT10" s="385">
        <v>211</v>
      </c>
      <c r="FU10" s="385">
        <v>364</v>
      </c>
      <c r="FV10" s="385">
        <v>385</v>
      </c>
      <c r="FW10" s="385">
        <v>450</v>
      </c>
      <c r="FX10" s="385">
        <v>384</v>
      </c>
      <c r="FY10" s="385">
        <v>415</v>
      </c>
      <c r="FZ10" s="385">
        <v>294</v>
      </c>
      <c r="GA10" s="385">
        <v>230</v>
      </c>
      <c r="GB10" s="385">
        <v>347</v>
      </c>
      <c r="GC10" s="385">
        <v>361</v>
      </c>
      <c r="GD10" s="385">
        <v>271</v>
      </c>
      <c r="GE10" s="385">
        <v>316</v>
      </c>
      <c r="GF10" s="385">
        <v>348</v>
      </c>
      <c r="GG10" s="385">
        <v>261</v>
      </c>
      <c r="GH10" s="385">
        <v>196</v>
      </c>
      <c r="GI10" s="385">
        <v>353</v>
      </c>
      <c r="GJ10" s="385">
        <v>364</v>
      </c>
      <c r="GK10" s="385">
        <v>322</v>
      </c>
      <c r="GL10" s="385">
        <v>332</v>
      </c>
      <c r="GM10" s="385">
        <v>330</v>
      </c>
      <c r="GN10" s="385">
        <v>218</v>
      </c>
      <c r="GO10" s="385">
        <v>180</v>
      </c>
      <c r="GP10" s="385">
        <v>283</v>
      </c>
      <c r="GQ10" s="385">
        <v>303</v>
      </c>
      <c r="GR10" s="385">
        <v>292</v>
      </c>
      <c r="GS10" s="385">
        <v>234</v>
      </c>
      <c r="GT10" s="385">
        <v>239</v>
      </c>
      <c r="GU10" s="385">
        <v>177</v>
      </c>
      <c r="GV10" s="385">
        <v>125</v>
      </c>
      <c r="GW10" s="385">
        <v>219</v>
      </c>
      <c r="GX10" s="385">
        <v>223</v>
      </c>
      <c r="GY10" s="385">
        <v>243</v>
      </c>
      <c r="GZ10" s="385">
        <v>244</v>
      </c>
      <c r="HA10" s="385">
        <v>287</v>
      </c>
      <c r="HB10" s="385">
        <v>187</v>
      </c>
      <c r="HC10" s="385">
        <v>149</v>
      </c>
      <c r="HD10" s="385">
        <v>262</v>
      </c>
      <c r="HE10" s="385">
        <v>271</v>
      </c>
      <c r="HF10" s="385">
        <v>293</v>
      </c>
      <c r="HG10" s="385">
        <v>246</v>
      </c>
      <c r="HH10" s="385">
        <v>250</v>
      </c>
      <c r="HI10" s="385">
        <v>152</v>
      </c>
      <c r="HJ10" s="385">
        <v>116</v>
      </c>
      <c r="HK10" s="385">
        <v>237</v>
      </c>
      <c r="HL10" s="385">
        <v>269</v>
      </c>
      <c r="HM10" s="385">
        <v>238</v>
      </c>
      <c r="HN10" s="385">
        <v>221</v>
      </c>
      <c r="HO10" s="385">
        <v>260</v>
      </c>
      <c r="HP10" s="385">
        <v>191</v>
      </c>
      <c r="HQ10" s="385">
        <v>129</v>
      </c>
      <c r="HR10" s="385">
        <v>187</v>
      </c>
      <c r="HS10" s="385">
        <v>229</v>
      </c>
      <c r="HT10" s="385">
        <v>252</v>
      </c>
      <c r="HU10" s="385">
        <v>187</v>
      </c>
      <c r="HV10" s="385">
        <v>189</v>
      </c>
      <c r="HW10" s="385">
        <v>132</v>
      </c>
      <c r="HX10" s="385">
        <v>102</v>
      </c>
      <c r="HY10" s="385">
        <v>193</v>
      </c>
      <c r="HZ10" s="385">
        <v>167</v>
      </c>
      <c r="IA10" s="385">
        <v>174</v>
      </c>
      <c r="IB10" s="385">
        <v>134</v>
      </c>
      <c r="IC10" s="385">
        <v>150</v>
      </c>
      <c r="ID10" s="385">
        <v>111</v>
      </c>
      <c r="IE10" s="385">
        <v>99</v>
      </c>
      <c r="IF10" s="385">
        <v>154</v>
      </c>
      <c r="IG10" s="385">
        <v>152</v>
      </c>
      <c r="IH10" s="385">
        <v>124</v>
      </c>
      <c r="II10" s="385">
        <v>115</v>
      </c>
      <c r="IJ10" s="385">
        <v>104</v>
      </c>
      <c r="IK10" s="385">
        <v>70</v>
      </c>
      <c r="IL10" s="385">
        <v>76</v>
      </c>
      <c r="IM10" s="385">
        <v>105</v>
      </c>
      <c r="IN10" s="385">
        <v>115</v>
      </c>
      <c r="IO10" s="385">
        <v>118</v>
      </c>
      <c r="IP10" s="385">
        <v>124</v>
      </c>
      <c r="IQ10" s="385">
        <v>90</v>
      </c>
      <c r="IR10" s="385">
        <v>76</v>
      </c>
      <c r="IS10" s="385">
        <v>62</v>
      </c>
      <c r="IT10" s="385">
        <v>148</v>
      </c>
      <c r="IU10" s="385">
        <v>91</v>
      </c>
      <c r="IV10" s="385">
        <v>106</v>
      </c>
      <c r="IW10" s="385">
        <v>97</v>
      </c>
      <c r="IX10" s="385">
        <v>100</v>
      </c>
      <c r="IY10" s="385">
        <v>89</v>
      </c>
      <c r="IZ10" s="385">
        <v>52</v>
      </c>
      <c r="JA10" s="385">
        <v>90</v>
      </c>
      <c r="JB10" s="385">
        <v>102</v>
      </c>
      <c r="JC10" s="385">
        <v>94</v>
      </c>
      <c r="JD10" s="385">
        <v>100</v>
      </c>
      <c r="JE10" s="385">
        <v>67</v>
      </c>
      <c r="JF10" s="385">
        <v>70</v>
      </c>
      <c r="JG10" s="385">
        <v>42</v>
      </c>
      <c r="JH10" s="385">
        <v>54</v>
      </c>
      <c r="JI10" s="385">
        <v>76</v>
      </c>
      <c r="JJ10" s="385">
        <v>96</v>
      </c>
      <c r="JK10" s="385">
        <v>81</v>
      </c>
      <c r="JL10" s="385">
        <v>81</v>
      </c>
      <c r="JM10" s="385">
        <v>63</v>
      </c>
      <c r="JN10" s="385">
        <v>65</v>
      </c>
      <c r="JO10" s="385">
        <v>85</v>
      </c>
      <c r="JP10" s="385">
        <v>76</v>
      </c>
      <c r="JQ10" s="385">
        <v>50</v>
      </c>
      <c r="JR10" s="385">
        <v>67</v>
      </c>
      <c r="JS10" s="385">
        <v>76</v>
      </c>
      <c r="JT10" s="385">
        <v>67</v>
      </c>
      <c r="JU10" s="385">
        <v>58</v>
      </c>
      <c r="JV10" s="385">
        <v>53</v>
      </c>
      <c r="JW10" s="385">
        <v>71</v>
      </c>
      <c r="JX10" s="385">
        <v>99</v>
      </c>
      <c r="JY10" s="385">
        <v>85</v>
      </c>
      <c r="JZ10" s="385">
        <v>88</v>
      </c>
      <c r="KA10" s="385">
        <v>68</v>
      </c>
      <c r="KB10" s="385">
        <v>60</v>
      </c>
      <c r="KC10" s="385">
        <v>120</v>
      </c>
      <c r="KD10" s="385">
        <v>101</v>
      </c>
      <c r="KE10" s="385">
        <v>89</v>
      </c>
      <c r="KF10" s="385">
        <v>114</v>
      </c>
      <c r="KG10" s="385">
        <v>122</v>
      </c>
      <c r="KH10" s="385">
        <v>107</v>
      </c>
      <c r="KI10" s="385">
        <v>96</v>
      </c>
      <c r="KJ10" s="385">
        <v>170</v>
      </c>
      <c r="KK10" s="385">
        <v>188</v>
      </c>
      <c r="KL10" s="385">
        <v>196</v>
      </c>
      <c r="KM10" s="385">
        <v>104</v>
      </c>
      <c r="KN10" s="385">
        <v>65</v>
      </c>
      <c r="KO10" s="385">
        <v>220</v>
      </c>
      <c r="KP10" s="385">
        <v>152</v>
      </c>
      <c r="KQ10" s="385">
        <v>294</v>
      </c>
      <c r="KR10" s="385">
        <v>284</v>
      </c>
      <c r="KS10" s="385">
        <v>266</v>
      </c>
      <c r="KT10" s="385">
        <v>147</v>
      </c>
      <c r="KU10" s="385">
        <v>77</v>
      </c>
      <c r="KV10" s="385">
        <v>217</v>
      </c>
      <c r="KW10" s="385">
        <v>205</v>
      </c>
      <c r="KX10" s="385">
        <v>311</v>
      </c>
      <c r="KY10" s="385">
        <v>307</v>
      </c>
      <c r="KZ10" s="385">
        <v>295</v>
      </c>
      <c r="LA10" s="385">
        <v>312</v>
      </c>
      <c r="LB10" s="385">
        <v>298</v>
      </c>
      <c r="LC10" s="385">
        <v>227</v>
      </c>
      <c r="LD10" s="385">
        <v>169</v>
      </c>
      <c r="LE10" s="385">
        <v>249</v>
      </c>
      <c r="LF10" s="385">
        <v>247</v>
      </c>
      <c r="LG10" s="385">
        <v>266</v>
      </c>
      <c r="LH10" s="385">
        <v>242</v>
      </c>
      <c r="LI10" s="385">
        <v>267</v>
      </c>
      <c r="LJ10" s="385">
        <v>169</v>
      </c>
      <c r="LK10" s="385">
        <v>149</v>
      </c>
      <c r="LL10" s="385">
        <v>277</v>
      </c>
      <c r="LM10" s="385">
        <v>234</v>
      </c>
      <c r="LN10" s="385">
        <v>250</v>
      </c>
      <c r="LO10" s="385">
        <v>247</v>
      </c>
      <c r="LP10" s="385">
        <v>223</v>
      </c>
      <c r="LQ10" s="385">
        <v>200</v>
      </c>
      <c r="LR10" s="385">
        <v>129</v>
      </c>
      <c r="LS10" s="385">
        <v>236</v>
      </c>
      <c r="LT10" s="385">
        <v>229</v>
      </c>
      <c r="LU10" s="385">
        <v>220</v>
      </c>
      <c r="LV10" s="385">
        <v>221</v>
      </c>
      <c r="LW10" s="385">
        <v>231</v>
      </c>
      <c r="LX10" s="385">
        <v>165</v>
      </c>
      <c r="LY10" s="385">
        <v>133</v>
      </c>
      <c r="LZ10" s="385">
        <v>245</v>
      </c>
      <c r="MA10" s="385">
        <v>223</v>
      </c>
      <c r="MB10" s="385">
        <v>207</v>
      </c>
      <c r="MC10" s="385">
        <v>218</v>
      </c>
      <c r="MD10" s="385">
        <v>182</v>
      </c>
      <c r="ME10" s="385">
        <v>140</v>
      </c>
      <c r="MF10" s="385">
        <v>131</v>
      </c>
      <c r="MG10" s="385">
        <v>196</v>
      </c>
      <c r="MH10" s="385">
        <v>166</v>
      </c>
      <c r="MI10" s="385">
        <v>177</v>
      </c>
      <c r="MJ10" s="385">
        <v>170</v>
      </c>
      <c r="MK10" s="385">
        <v>171</v>
      </c>
      <c r="ML10" s="385">
        <v>147</v>
      </c>
      <c r="MM10" s="385">
        <v>97</v>
      </c>
      <c r="MN10" s="385">
        <v>112</v>
      </c>
      <c r="MO10" s="385">
        <v>113</v>
      </c>
      <c r="MP10" s="385">
        <v>194</v>
      </c>
      <c r="MQ10" s="385">
        <v>167</v>
      </c>
      <c r="MR10" s="385">
        <v>162</v>
      </c>
      <c r="MS10" s="385">
        <v>146</v>
      </c>
      <c r="MT10" s="385">
        <v>119</v>
      </c>
      <c r="MU10" s="385">
        <v>154</v>
      </c>
      <c r="MV10" s="385">
        <v>158</v>
      </c>
      <c r="MW10" s="385">
        <v>158</v>
      </c>
      <c r="MX10" s="385">
        <v>145</v>
      </c>
      <c r="MY10" s="385">
        <v>177</v>
      </c>
      <c r="MZ10" s="385">
        <v>122</v>
      </c>
      <c r="NA10" s="385">
        <v>90</v>
      </c>
      <c r="NB10" s="385">
        <v>179</v>
      </c>
      <c r="NC10" s="385">
        <v>163</v>
      </c>
      <c r="ND10" s="385">
        <v>159</v>
      </c>
      <c r="NE10" s="385">
        <v>177</v>
      </c>
      <c r="NF10" s="385">
        <v>177</v>
      </c>
      <c r="NG10" s="385">
        <v>128</v>
      </c>
      <c r="NH10" s="385">
        <v>120</v>
      </c>
      <c r="NI10" s="385">
        <v>221</v>
      </c>
      <c r="NJ10" s="385">
        <v>192</v>
      </c>
      <c r="NK10" s="385">
        <v>182</v>
      </c>
      <c r="NL10" s="385">
        <v>169</v>
      </c>
      <c r="NM10" s="385">
        <v>199</v>
      </c>
      <c r="NN10" s="385">
        <v>163</v>
      </c>
      <c r="NO10" s="385">
        <v>152</v>
      </c>
      <c r="NP10" s="385">
        <v>242</v>
      </c>
      <c r="NQ10" s="385">
        <v>208</v>
      </c>
      <c r="NR10" s="385">
        <v>195</v>
      </c>
      <c r="NS10" s="385">
        <v>197</v>
      </c>
      <c r="NT10" s="385">
        <v>205</v>
      </c>
      <c r="NU10" s="385">
        <v>164</v>
      </c>
      <c r="NV10" s="385">
        <v>143</v>
      </c>
      <c r="NW10" s="385">
        <v>286</v>
      </c>
      <c r="NX10" s="385">
        <v>292</v>
      </c>
      <c r="NY10" s="385">
        <v>262</v>
      </c>
      <c r="NZ10" s="385">
        <v>348</v>
      </c>
      <c r="OA10" s="385">
        <v>346</v>
      </c>
      <c r="OB10" s="385">
        <v>275</v>
      </c>
      <c r="OC10" s="385">
        <v>296</v>
      </c>
      <c r="OD10" s="385">
        <v>447</v>
      </c>
      <c r="OE10" s="385">
        <v>454</v>
      </c>
      <c r="OF10" s="385">
        <v>424</v>
      </c>
      <c r="OG10" s="385">
        <v>458</v>
      </c>
      <c r="OH10" s="385">
        <v>371</v>
      </c>
      <c r="OI10" s="385">
        <v>439</v>
      </c>
      <c r="OJ10" s="385">
        <v>426</v>
      </c>
      <c r="OK10" s="385">
        <v>689</v>
      </c>
      <c r="OL10" s="385">
        <v>581</v>
      </c>
      <c r="OM10" s="385">
        <v>591</v>
      </c>
      <c r="ON10" s="385">
        <v>543</v>
      </c>
      <c r="OO10" s="385">
        <v>441</v>
      </c>
      <c r="OP10" s="385">
        <v>279</v>
      </c>
      <c r="OQ10" s="385">
        <v>172</v>
      </c>
      <c r="OR10" s="385">
        <v>45</v>
      </c>
      <c r="OS10" s="385">
        <v>64529</v>
      </c>
    </row>
    <row r="11" spans="1:409" x14ac:dyDescent="0.25">
      <c r="A11" s="384" t="s">
        <v>311</v>
      </c>
      <c r="B11" s="385"/>
      <c r="C11" s="385"/>
      <c r="D11" s="385"/>
      <c r="E11" s="385">
        <v>1</v>
      </c>
      <c r="F11" s="385">
        <v>1</v>
      </c>
      <c r="G11" s="385"/>
      <c r="H11" s="385"/>
      <c r="I11" s="385">
        <v>2</v>
      </c>
      <c r="J11" s="385">
        <v>1</v>
      </c>
      <c r="K11" s="385">
        <v>1</v>
      </c>
      <c r="L11" s="385">
        <v>1</v>
      </c>
      <c r="M11" s="385">
        <v>1</v>
      </c>
      <c r="N11" s="385"/>
      <c r="O11" s="385"/>
      <c r="P11" s="385">
        <v>1</v>
      </c>
      <c r="Q11" s="385">
        <v>3</v>
      </c>
      <c r="R11" s="385">
        <v>1</v>
      </c>
      <c r="S11" s="385"/>
      <c r="T11" s="385">
        <v>2</v>
      </c>
      <c r="U11" s="385">
        <v>4</v>
      </c>
      <c r="V11" s="385">
        <v>4</v>
      </c>
      <c r="W11" s="385">
        <v>3</v>
      </c>
      <c r="X11" s="385">
        <v>2</v>
      </c>
      <c r="Y11" s="385">
        <v>1</v>
      </c>
      <c r="Z11" s="385">
        <v>5</v>
      </c>
      <c r="AA11" s="385">
        <v>4</v>
      </c>
      <c r="AB11" s="385">
        <v>4</v>
      </c>
      <c r="AC11" s="385">
        <v>7</v>
      </c>
      <c r="AD11" s="385">
        <v>6</v>
      </c>
      <c r="AE11" s="385">
        <v>3</v>
      </c>
      <c r="AF11" s="385">
        <v>8</v>
      </c>
      <c r="AG11" s="385">
        <v>4</v>
      </c>
      <c r="AH11" s="385">
        <v>5</v>
      </c>
      <c r="AI11" s="385">
        <v>3</v>
      </c>
      <c r="AJ11" s="385">
        <v>1</v>
      </c>
      <c r="AK11" s="385">
        <v>5</v>
      </c>
      <c r="AL11" s="385">
        <v>3</v>
      </c>
      <c r="AM11" s="385">
        <v>2</v>
      </c>
      <c r="AN11" s="385">
        <v>1</v>
      </c>
      <c r="AO11" s="385">
        <v>2</v>
      </c>
      <c r="AP11" s="385">
        <v>1</v>
      </c>
      <c r="AQ11" s="385"/>
      <c r="AR11" s="385">
        <v>3</v>
      </c>
      <c r="AS11" s="385">
        <v>4</v>
      </c>
      <c r="AT11" s="385">
        <v>1</v>
      </c>
      <c r="AU11" s="385">
        <v>3</v>
      </c>
      <c r="AV11" s="385">
        <v>3</v>
      </c>
      <c r="AW11" s="385">
        <v>4</v>
      </c>
      <c r="AX11" s="385"/>
      <c r="AY11" s="385">
        <v>3</v>
      </c>
      <c r="AZ11" s="385">
        <v>5</v>
      </c>
      <c r="BA11" s="385">
        <v>5</v>
      </c>
      <c r="BB11" s="385">
        <v>7</v>
      </c>
      <c r="BC11" s="385">
        <v>6</v>
      </c>
      <c r="BD11" s="385">
        <v>2</v>
      </c>
      <c r="BE11" s="385"/>
      <c r="BF11" s="385">
        <v>4</v>
      </c>
      <c r="BG11" s="385">
        <v>5</v>
      </c>
      <c r="BH11" s="385">
        <v>5</v>
      </c>
      <c r="BI11" s="385">
        <v>5</v>
      </c>
      <c r="BJ11" s="385">
        <v>4</v>
      </c>
      <c r="BK11" s="385"/>
      <c r="BL11" s="385">
        <v>5</v>
      </c>
      <c r="BM11" s="385">
        <v>4</v>
      </c>
      <c r="BN11" s="385">
        <v>4</v>
      </c>
      <c r="BO11" s="385">
        <v>3</v>
      </c>
      <c r="BP11" s="385">
        <v>6</v>
      </c>
      <c r="BQ11" s="385">
        <v>11</v>
      </c>
      <c r="BR11" s="385">
        <v>12</v>
      </c>
      <c r="BS11" s="385">
        <v>14</v>
      </c>
      <c r="BT11" s="385">
        <v>7</v>
      </c>
      <c r="BU11" s="385">
        <v>15</v>
      </c>
      <c r="BV11" s="385">
        <v>18</v>
      </c>
      <c r="BW11" s="385">
        <v>12</v>
      </c>
      <c r="BX11" s="385">
        <v>4</v>
      </c>
      <c r="BY11" s="385">
        <v>11</v>
      </c>
      <c r="BZ11" s="385">
        <v>16</v>
      </c>
      <c r="CA11" s="385">
        <v>19</v>
      </c>
      <c r="CB11" s="385">
        <v>16</v>
      </c>
      <c r="CC11" s="385">
        <v>27</v>
      </c>
      <c r="CD11" s="385">
        <v>21</v>
      </c>
      <c r="CE11" s="385">
        <v>25</v>
      </c>
      <c r="CF11" s="385">
        <v>22</v>
      </c>
      <c r="CG11" s="385">
        <v>17</v>
      </c>
      <c r="CH11" s="385">
        <v>18</v>
      </c>
      <c r="CI11" s="385">
        <v>22</v>
      </c>
      <c r="CJ11" s="385">
        <v>21</v>
      </c>
      <c r="CK11" s="385">
        <v>31</v>
      </c>
      <c r="CL11" s="385">
        <v>26</v>
      </c>
      <c r="CM11" s="385">
        <v>15</v>
      </c>
      <c r="CN11" s="385">
        <v>20</v>
      </c>
      <c r="CO11" s="385">
        <v>27</v>
      </c>
      <c r="CP11" s="385">
        <v>36</v>
      </c>
      <c r="CQ11" s="385">
        <v>39</v>
      </c>
      <c r="CR11" s="385">
        <v>33</v>
      </c>
      <c r="CS11" s="385">
        <v>35</v>
      </c>
      <c r="CT11" s="385">
        <v>22</v>
      </c>
      <c r="CU11" s="385">
        <v>23</v>
      </c>
      <c r="CV11" s="385">
        <v>53</v>
      </c>
      <c r="CW11" s="385">
        <v>46</v>
      </c>
      <c r="CX11" s="385">
        <v>48</v>
      </c>
      <c r="CY11" s="385">
        <v>46</v>
      </c>
      <c r="CZ11" s="385">
        <v>64</v>
      </c>
      <c r="DA11" s="385">
        <v>48</v>
      </c>
      <c r="DB11" s="385">
        <v>32</v>
      </c>
      <c r="DC11" s="385">
        <v>35</v>
      </c>
      <c r="DD11" s="385">
        <v>62</v>
      </c>
      <c r="DE11" s="385">
        <v>90</v>
      </c>
      <c r="DF11" s="385">
        <v>66</v>
      </c>
      <c r="DG11" s="385">
        <v>78</v>
      </c>
      <c r="DH11" s="385">
        <v>59</v>
      </c>
      <c r="DI11" s="385">
        <v>52</v>
      </c>
      <c r="DJ11" s="385">
        <v>109</v>
      </c>
      <c r="DK11" s="385">
        <v>80</v>
      </c>
      <c r="DL11" s="385">
        <v>76</v>
      </c>
      <c r="DM11" s="385">
        <v>74</v>
      </c>
      <c r="DN11" s="385">
        <v>83</v>
      </c>
      <c r="DO11" s="385">
        <v>68</v>
      </c>
      <c r="DP11" s="385">
        <v>57</v>
      </c>
      <c r="DQ11" s="385">
        <v>82</v>
      </c>
      <c r="DR11" s="385">
        <v>75</v>
      </c>
      <c r="DS11" s="385">
        <v>90</v>
      </c>
      <c r="DT11" s="385">
        <v>99</v>
      </c>
      <c r="DU11" s="385">
        <v>94</v>
      </c>
      <c r="DV11" s="385">
        <v>84</v>
      </c>
      <c r="DW11" s="385">
        <v>81</v>
      </c>
      <c r="DX11" s="385">
        <v>127</v>
      </c>
      <c r="DY11" s="385">
        <v>100</v>
      </c>
      <c r="DZ11" s="385">
        <v>128</v>
      </c>
      <c r="EA11" s="385">
        <v>110</v>
      </c>
      <c r="EB11" s="385">
        <v>120</v>
      </c>
      <c r="EC11" s="385">
        <v>105</v>
      </c>
      <c r="ED11" s="385">
        <v>80</v>
      </c>
      <c r="EE11" s="385">
        <v>130</v>
      </c>
      <c r="EF11" s="385">
        <v>141</v>
      </c>
      <c r="EG11" s="385">
        <v>122</v>
      </c>
      <c r="EH11" s="385">
        <v>132</v>
      </c>
      <c r="EI11" s="385">
        <v>112</v>
      </c>
      <c r="EJ11" s="385">
        <v>130</v>
      </c>
      <c r="EK11" s="385">
        <v>114</v>
      </c>
      <c r="EL11" s="385">
        <v>181</v>
      </c>
      <c r="EM11" s="385">
        <v>159</v>
      </c>
      <c r="EN11" s="385">
        <v>169</v>
      </c>
      <c r="EO11" s="385">
        <v>142</v>
      </c>
      <c r="EP11" s="385">
        <v>137</v>
      </c>
      <c r="EQ11" s="385">
        <v>104</v>
      </c>
      <c r="ER11" s="385">
        <v>82</v>
      </c>
      <c r="ES11" s="385">
        <v>151</v>
      </c>
      <c r="ET11" s="385">
        <v>136</v>
      </c>
      <c r="EU11" s="385">
        <v>127</v>
      </c>
      <c r="EV11" s="385">
        <v>141</v>
      </c>
      <c r="EW11" s="385">
        <v>135</v>
      </c>
      <c r="EX11" s="385">
        <v>124</v>
      </c>
      <c r="EY11" s="385">
        <v>132</v>
      </c>
      <c r="EZ11" s="385">
        <v>202</v>
      </c>
      <c r="FA11" s="385">
        <v>205</v>
      </c>
      <c r="FB11" s="385">
        <v>227</v>
      </c>
      <c r="FC11" s="385">
        <v>163</v>
      </c>
      <c r="FD11" s="385">
        <v>151</v>
      </c>
      <c r="FE11" s="385">
        <v>123</v>
      </c>
      <c r="FF11" s="385">
        <v>139</v>
      </c>
      <c r="FG11" s="385">
        <v>168</v>
      </c>
      <c r="FH11" s="385">
        <v>169</v>
      </c>
      <c r="FI11" s="385">
        <v>177</v>
      </c>
      <c r="FJ11" s="385">
        <v>161</v>
      </c>
      <c r="FK11" s="385">
        <v>136</v>
      </c>
      <c r="FL11" s="385">
        <v>115</v>
      </c>
      <c r="FM11" s="385">
        <v>110</v>
      </c>
      <c r="FN11" s="385">
        <v>136</v>
      </c>
      <c r="FO11" s="385">
        <v>164</v>
      </c>
      <c r="FP11" s="385">
        <v>162</v>
      </c>
      <c r="FQ11" s="385">
        <v>155</v>
      </c>
      <c r="FR11" s="385">
        <v>161</v>
      </c>
      <c r="FS11" s="385">
        <v>125</v>
      </c>
      <c r="FT11" s="385">
        <v>120</v>
      </c>
      <c r="FU11" s="385">
        <v>213</v>
      </c>
      <c r="FV11" s="385">
        <v>222</v>
      </c>
      <c r="FW11" s="385">
        <v>206</v>
      </c>
      <c r="FX11" s="385">
        <v>214</v>
      </c>
      <c r="FY11" s="385">
        <v>213</v>
      </c>
      <c r="FZ11" s="385">
        <v>162</v>
      </c>
      <c r="GA11" s="385">
        <v>120</v>
      </c>
      <c r="GB11" s="385">
        <v>202</v>
      </c>
      <c r="GC11" s="385">
        <v>187</v>
      </c>
      <c r="GD11" s="385">
        <v>169</v>
      </c>
      <c r="GE11" s="385">
        <v>175</v>
      </c>
      <c r="GF11" s="385">
        <v>161</v>
      </c>
      <c r="GG11" s="385">
        <v>129</v>
      </c>
      <c r="GH11" s="385">
        <v>118</v>
      </c>
      <c r="GI11" s="385">
        <v>202</v>
      </c>
      <c r="GJ11" s="385">
        <v>192</v>
      </c>
      <c r="GK11" s="385">
        <v>204</v>
      </c>
      <c r="GL11" s="385">
        <v>163</v>
      </c>
      <c r="GM11" s="385">
        <v>156</v>
      </c>
      <c r="GN11" s="385">
        <v>145</v>
      </c>
      <c r="GO11" s="385">
        <v>128</v>
      </c>
      <c r="GP11" s="385">
        <v>170</v>
      </c>
      <c r="GQ11" s="385">
        <v>158</v>
      </c>
      <c r="GR11" s="385">
        <v>144</v>
      </c>
      <c r="GS11" s="385">
        <v>140</v>
      </c>
      <c r="GT11" s="385">
        <v>138</v>
      </c>
      <c r="GU11" s="385">
        <v>120</v>
      </c>
      <c r="GV11" s="385">
        <v>83</v>
      </c>
      <c r="GW11" s="385">
        <v>123</v>
      </c>
      <c r="GX11" s="385">
        <v>162</v>
      </c>
      <c r="GY11" s="385">
        <v>141</v>
      </c>
      <c r="GZ11" s="385">
        <v>149</v>
      </c>
      <c r="HA11" s="385">
        <v>145</v>
      </c>
      <c r="HB11" s="385">
        <v>108</v>
      </c>
      <c r="HC11" s="385">
        <v>76</v>
      </c>
      <c r="HD11" s="385">
        <v>162</v>
      </c>
      <c r="HE11" s="385">
        <v>152</v>
      </c>
      <c r="HF11" s="385">
        <v>156</v>
      </c>
      <c r="HG11" s="385">
        <v>133</v>
      </c>
      <c r="HH11" s="385">
        <v>165</v>
      </c>
      <c r="HI11" s="385">
        <v>77</v>
      </c>
      <c r="HJ11" s="385">
        <v>69</v>
      </c>
      <c r="HK11" s="385">
        <v>138</v>
      </c>
      <c r="HL11" s="385">
        <v>141</v>
      </c>
      <c r="HM11" s="385">
        <v>118</v>
      </c>
      <c r="HN11" s="385">
        <v>112</v>
      </c>
      <c r="HO11" s="385">
        <v>116</v>
      </c>
      <c r="HP11" s="385">
        <v>110</v>
      </c>
      <c r="HQ11" s="385">
        <v>73</v>
      </c>
      <c r="HR11" s="385">
        <v>92</v>
      </c>
      <c r="HS11" s="385">
        <v>111</v>
      </c>
      <c r="HT11" s="385">
        <v>117</v>
      </c>
      <c r="HU11" s="385">
        <v>113</v>
      </c>
      <c r="HV11" s="385">
        <v>107</v>
      </c>
      <c r="HW11" s="385">
        <v>70</v>
      </c>
      <c r="HX11" s="385">
        <v>50</v>
      </c>
      <c r="HY11" s="385">
        <v>101</v>
      </c>
      <c r="HZ11" s="385">
        <v>99</v>
      </c>
      <c r="IA11" s="385">
        <v>80</v>
      </c>
      <c r="IB11" s="385">
        <v>73</v>
      </c>
      <c r="IC11" s="385">
        <v>84</v>
      </c>
      <c r="ID11" s="385">
        <v>60</v>
      </c>
      <c r="IE11" s="385">
        <v>38</v>
      </c>
      <c r="IF11" s="385">
        <v>91</v>
      </c>
      <c r="IG11" s="385">
        <v>87</v>
      </c>
      <c r="IH11" s="385">
        <v>69</v>
      </c>
      <c r="II11" s="385">
        <v>57</v>
      </c>
      <c r="IJ11" s="385">
        <v>62</v>
      </c>
      <c r="IK11" s="385">
        <v>35</v>
      </c>
      <c r="IL11" s="385">
        <v>49</v>
      </c>
      <c r="IM11" s="385">
        <v>65</v>
      </c>
      <c r="IN11" s="385">
        <v>60</v>
      </c>
      <c r="IO11" s="385">
        <v>60</v>
      </c>
      <c r="IP11" s="385">
        <v>76</v>
      </c>
      <c r="IQ11" s="385">
        <v>69</v>
      </c>
      <c r="IR11" s="385">
        <v>55</v>
      </c>
      <c r="IS11" s="385">
        <v>43</v>
      </c>
      <c r="IT11" s="385">
        <v>83</v>
      </c>
      <c r="IU11" s="385">
        <v>71</v>
      </c>
      <c r="IV11" s="385">
        <v>62</v>
      </c>
      <c r="IW11" s="385">
        <v>50</v>
      </c>
      <c r="IX11" s="385">
        <v>58</v>
      </c>
      <c r="IY11" s="385">
        <v>42</v>
      </c>
      <c r="IZ11" s="385">
        <v>44</v>
      </c>
      <c r="JA11" s="385">
        <v>58</v>
      </c>
      <c r="JB11" s="385">
        <v>79</v>
      </c>
      <c r="JC11" s="385">
        <v>60</v>
      </c>
      <c r="JD11" s="385">
        <v>61</v>
      </c>
      <c r="JE11" s="385">
        <v>55</v>
      </c>
      <c r="JF11" s="385">
        <v>44</v>
      </c>
      <c r="JG11" s="385">
        <v>34</v>
      </c>
      <c r="JH11" s="385">
        <v>33</v>
      </c>
      <c r="JI11" s="385">
        <v>57</v>
      </c>
      <c r="JJ11" s="385">
        <v>61</v>
      </c>
      <c r="JK11" s="385">
        <v>49</v>
      </c>
      <c r="JL11" s="385">
        <v>49</v>
      </c>
      <c r="JM11" s="385">
        <v>37</v>
      </c>
      <c r="JN11" s="385">
        <v>34</v>
      </c>
      <c r="JO11" s="385">
        <v>50</v>
      </c>
      <c r="JP11" s="385">
        <v>39</v>
      </c>
      <c r="JQ11" s="385">
        <v>35</v>
      </c>
      <c r="JR11" s="385">
        <v>41</v>
      </c>
      <c r="JS11" s="385">
        <v>46</v>
      </c>
      <c r="JT11" s="385">
        <v>38</v>
      </c>
      <c r="JU11" s="385">
        <v>38</v>
      </c>
      <c r="JV11" s="385">
        <v>47</v>
      </c>
      <c r="JW11" s="385">
        <v>39</v>
      </c>
      <c r="JX11" s="385">
        <v>62</v>
      </c>
      <c r="JY11" s="385">
        <v>55</v>
      </c>
      <c r="JZ11" s="385">
        <v>54</v>
      </c>
      <c r="KA11" s="385">
        <v>38</v>
      </c>
      <c r="KB11" s="385">
        <v>50</v>
      </c>
      <c r="KC11" s="385">
        <v>57</v>
      </c>
      <c r="KD11" s="385">
        <v>61</v>
      </c>
      <c r="KE11" s="385">
        <v>53</v>
      </c>
      <c r="KF11" s="385">
        <v>67</v>
      </c>
      <c r="KG11" s="385">
        <v>86</v>
      </c>
      <c r="KH11" s="385">
        <v>68</v>
      </c>
      <c r="KI11" s="385">
        <v>63</v>
      </c>
      <c r="KJ11" s="385">
        <v>109</v>
      </c>
      <c r="KK11" s="385">
        <v>83</v>
      </c>
      <c r="KL11" s="385">
        <v>106</v>
      </c>
      <c r="KM11" s="385">
        <v>52</v>
      </c>
      <c r="KN11" s="385">
        <v>50</v>
      </c>
      <c r="KO11" s="385">
        <v>139</v>
      </c>
      <c r="KP11" s="385">
        <v>91</v>
      </c>
      <c r="KQ11" s="385">
        <v>172</v>
      </c>
      <c r="KR11" s="385">
        <v>159</v>
      </c>
      <c r="KS11" s="385">
        <v>169</v>
      </c>
      <c r="KT11" s="385">
        <v>96</v>
      </c>
      <c r="KU11" s="385">
        <v>61</v>
      </c>
      <c r="KV11" s="385">
        <v>147</v>
      </c>
      <c r="KW11" s="385">
        <v>111</v>
      </c>
      <c r="KX11" s="385">
        <v>181</v>
      </c>
      <c r="KY11" s="385">
        <v>171</v>
      </c>
      <c r="KZ11" s="385">
        <v>164</v>
      </c>
      <c r="LA11" s="385">
        <v>158</v>
      </c>
      <c r="LB11" s="385">
        <v>185</v>
      </c>
      <c r="LC11" s="385">
        <v>146</v>
      </c>
      <c r="LD11" s="385">
        <v>98</v>
      </c>
      <c r="LE11" s="385">
        <v>160</v>
      </c>
      <c r="LF11" s="385">
        <v>159</v>
      </c>
      <c r="LG11" s="385">
        <v>165</v>
      </c>
      <c r="LH11" s="385">
        <v>141</v>
      </c>
      <c r="LI11" s="385">
        <v>149</v>
      </c>
      <c r="LJ11" s="385">
        <v>130</v>
      </c>
      <c r="LK11" s="385">
        <v>102</v>
      </c>
      <c r="LL11" s="385">
        <v>142</v>
      </c>
      <c r="LM11" s="385">
        <v>153</v>
      </c>
      <c r="LN11" s="385">
        <v>133</v>
      </c>
      <c r="LO11" s="385">
        <v>158</v>
      </c>
      <c r="LP11" s="385">
        <v>114</v>
      </c>
      <c r="LQ11" s="385">
        <v>94</v>
      </c>
      <c r="LR11" s="385">
        <v>89</v>
      </c>
      <c r="LS11" s="385">
        <v>141</v>
      </c>
      <c r="LT11" s="385">
        <v>115</v>
      </c>
      <c r="LU11" s="385">
        <v>130</v>
      </c>
      <c r="LV11" s="385">
        <v>129</v>
      </c>
      <c r="LW11" s="385">
        <v>119</v>
      </c>
      <c r="LX11" s="385">
        <v>100</v>
      </c>
      <c r="LY11" s="385">
        <v>101</v>
      </c>
      <c r="LZ11" s="385">
        <v>148</v>
      </c>
      <c r="MA11" s="385">
        <v>106</v>
      </c>
      <c r="MB11" s="385">
        <v>134</v>
      </c>
      <c r="MC11" s="385">
        <v>136</v>
      </c>
      <c r="MD11" s="385">
        <v>118</v>
      </c>
      <c r="ME11" s="385">
        <v>93</v>
      </c>
      <c r="MF11" s="385">
        <v>95</v>
      </c>
      <c r="MG11" s="385">
        <v>144</v>
      </c>
      <c r="MH11" s="385">
        <v>110</v>
      </c>
      <c r="MI11" s="385">
        <v>97</v>
      </c>
      <c r="MJ11" s="385">
        <v>125</v>
      </c>
      <c r="MK11" s="385">
        <v>99</v>
      </c>
      <c r="ML11" s="385">
        <v>87</v>
      </c>
      <c r="MM11" s="385">
        <v>77</v>
      </c>
      <c r="MN11" s="385">
        <v>83</v>
      </c>
      <c r="MO11" s="385">
        <v>75</v>
      </c>
      <c r="MP11" s="385">
        <v>134</v>
      </c>
      <c r="MQ11" s="385">
        <v>104</v>
      </c>
      <c r="MR11" s="385">
        <v>87</v>
      </c>
      <c r="MS11" s="385">
        <v>90</v>
      </c>
      <c r="MT11" s="385">
        <v>78</v>
      </c>
      <c r="MU11" s="385">
        <v>86</v>
      </c>
      <c r="MV11" s="385">
        <v>112</v>
      </c>
      <c r="MW11" s="385">
        <v>82</v>
      </c>
      <c r="MX11" s="385">
        <v>100</v>
      </c>
      <c r="MY11" s="385">
        <v>101</v>
      </c>
      <c r="MZ11" s="385">
        <v>79</v>
      </c>
      <c r="NA11" s="385">
        <v>74</v>
      </c>
      <c r="NB11" s="385">
        <v>122</v>
      </c>
      <c r="NC11" s="385">
        <v>94</v>
      </c>
      <c r="ND11" s="385">
        <v>109</v>
      </c>
      <c r="NE11" s="385">
        <v>113</v>
      </c>
      <c r="NF11" s="385">
        <v>100</v>
      </c>
      <c r="NG11" s="385">
        <v>85</v>
      </c>
      <c r="NH11" s="385">
        <v>89</v>
      </c>
      <c r="NI11" s="385">
        <v>130</v>
      </c>
      <c r="NJ11" s="385">
        <v>121</v>
      </c>
      <c r="NK11" s="385">
        <v>109</v>
      </c>
      <c r="NL11" s="385">
        <v>103</v>
      </c>
      <c r="NM11" s="385">
        <v>116</v>
      </c>
      <c r="NN11" s="385">
        <v>88</v>
      </c>
      <c r="NO11" s="385">
        <v>84</v>
      </c>
      <c r="NP11" s="385">
        <v>138</v>
      </c>
      <c r="NQ11" s="385">
        <v>110</v>
      </c>
      <c r="NR11" s="385">
        <v>117</v>
      </c>
      <c r="NS11" s="385">
        <v>128</v>
      </c>
      <c r="NT11" s="385">
        <v>128</v>
      </c>
      <c r="NU11" s="385">
        <v>87</v>
      </c>
      <c r="NV11" s="385">
        <v>110</v>
      </c>
      <c r="NW11" s="385">
        <v>136</v>
      </c>
      <c r="NX11" s="385">
        <v>171</v>
      </c>
      <c r="NY11" s="385">
        <v>173</v>
      </c>
      <c r="NZ11" s="385">
        <v>213</v>
      </c>
      <c r="OA11" s="385">
        <v>210</v>
      </c>
      <c r="OB11" s="385">
        <v>179</v>
      </c>
      <c r="OC11" s="385">
        <v>155</v>
      </c>
      <c r="OD11" s="385">
        <v>236</v>
      </c>
      <c r="OE11" s="385">
        <v>231</v>
      </c>
      <c r="OF11" s="385">
        <v>243</v>
      </c>
      <c r="OG11" s="385">
        <v>272</v>
      </c>
      <c r="OH11" s="385">
        <v>252</v>
      </c>
      <c r="OI11" s="385">
        <v>278</v>
      </c>
      <c r="OJ11" s="385">
        <v>262</v>
      </c>
      <c r="OK11" s="385">
        <v>349</v>
      </c>
      <c r="OL11" s="385">
        <v>312</v>
      </c>
      <c r="OM11" s="385">
        <v>296</v>
      </c>
      <c r="ON11" s="385">
        <v>240</v>
      </c>
      <c r="OO11" s="385">
        <v>218</v>
      </c>
      <c r="OP11" s="385">
        <v>190</v>
      </c>
      <c r="OQ11" s="385">
        <v>62</v>
      </c>
      <c r="OR11" s="385">
        <v>10</v>
      </c>
      <c r="OS11" s="385">
        <v>36326</v>
      </c>
    </row>
    <row r="12" spans="1:409" x14ac:dyDescent="0.25">
      <c r="A12" s="384" t="s">
        <v>308</v>
      </c>
      <c r="B12" s="385"/>
      <c r="C12" s="385"/>
      <c r="D12" s="385"/>
      <c r="E12" s="385"/>
      <c r="F12" s="385">
        <v>1</v>
      </c>
      <c r="G12" s="385">
        <v>1</v>
      </c>
      <c r="H12" s="385"/>
      <c r="I12" s="385"/>
      <c r="J12" s="385"/>
      <c r="K12" s="385">
        <v>1</v>
      </c>
      <c r="L12" s="385"/>
      <c r="M12" s="385"/>
      <c r="N12" s="385"/>
      <c r="O12" s="385">
        <v>2</v>
      </c>
      <c r="P12" s="385"/>
      <c r="Q12" s="385">
        <v>2</v>
      </c>
      <c r="R12" s="385"/>
      <c r="S12" s="385">
        <v>4</v>
      </c>
      <c r="T12" s="385">
        <v>1</v>
      </c>
      <c r="U12" s="385">
        <v>4</v>
      </c>
      <c r="V12" s="385">
        <v>3</v>
      </c>
      <c r="W12" s="385">
        <v>6</v>
      </c>
      <c r="X12" s="385">
        <v>2</v>
      </c>
      <c r="Y12" s="385">
        <v>4</v>
      </c>
      <c r="Z12" s="385">
        <v>3</v>
      </c>
      <c r="AA12" s="385">
        <v>4</v>
      </c>
      <c r="AB12" s="385">
        <v>4</v>
      </c>
      <c r="AC12" s="385">
        <v>5</v>
      </c>
      <c r="AD12" s="385">
        <v>8</v>
      </c>
      <c r="AE12" s="385">
        <v>10</v>
      </c>
      <c r="AF12" s="385">
        <v>2</v>
      </c>
      <c r="AG12" s="385">
        <v>9</v>
      </c>
      <c r="AH12" s="385">
        <v>4</v>
      </c>
      <c r="AI12" s="385">
        <v>1</v>
      </c>
      <c r="AJ12" s="385">
        <v>3</v>
      </c>
      <c r="AK12" s="385">
        <v>4</v>
      </c>
      <c r="AL12" s="385">
        <v>2</v>
      </c>
      <c r="AM12" s="385">
        <v>3</v>
      </c>
      <c r="AN12" s="385"/>
      <c r="AO12" s="385"/>
      <c r="AP12" s="385">
        <v>1</v>
      </c>
      <c r="AQ12" s="385">
        <v>1</v>
      </c>
      <c r="AR12" s="385">
        <v>2</v>
      </c>
      <c r="AS12" s="385">
        <v>3</v>
      </c>
      <c r="AT12" s="385"/>
      <c r="AU12" s="385">
        <v>3</v>
      </c>
      <c r="AV12" s="385">
        <v>2</v>
      </c>
      <c r="AW12" s="385">
        <v>2</v>
      </c>
      <c r="AX12" s="385">
        <v>5</v>
      </c>
      <c r="AY12" s="385">
        <v>1</v>
      </c>
      <c r="AZ12" s="385">
        <v>4</v>
      </c>
      <c r="BA12" s="385">
        <v>9</v>
      </c>
      <c r="BB12" s="385">
        <v>6</v>
      </c>
      <c r="BC12" s="385">
        <v>3</v>
      </c>
      <c r="BD12" s="385">
        <v>2</v>
      </c>
      <c r="BE12" s="385">
        <v>1</v>
      </c>
      <c r="BF12" s="385">
        <v>2</v>
      </c>
      <c r="BG12" s="385">
        <v>4</v>
      </c>
      <c r="BH12" s="385">
        <v>6</v>
      </c>
      <c r="BI12" s="385">
        <v>1</v>
      </c>
      <c r="BJ12" s="385">
        <v>2</v>
      </c>
      <c r="BK12" s="385">
        <v>1</v>
      </c>
      <c r="BL12" s="385"/>
      <c r="BM12" s="385"/>
      <c r="BN12" s="385">
        <v>7</v>
      </c>
      <c r="BO12" s="385">
        <v>3</v>
      </c>
      <c r="BP12" s="385">
        <v>2</v>
      </c>
      <c r="BQ12" s="385">
        <v>6</v>
      </c>
      <c r="BR12" s="385">
        <v>3</v>
      </c>
      <c r="BS12" s="385">
        <v>3</v>
      </c>
      <c r="BT12" s="385">
        <v>4</v>
      </c>
      <c r="BU12" s="385">
        <v>8</v>
      </c>
      <c r="BV12" s="385">
        <v>2</v>
      </c>
      <c r="BW12" s="385">
        <v>2</v>
      </c>
      <c r="BX12" s="385">
        <v>5</v>
      </c>
      <c r="BY12" s="385">
        <v>5</v>
      </c>
      <c r="BZ12" s="385">
        <v>5</v>
      </c>
      <c r="CA12" s="385">
        <v>16</v>
      </c>
      <c r="CB12" s="385">
        <v>7</v>
      </c>
      <c r="CC12" s="385">
        <v>8</v>
      </c>
      <c r="CD12" s="385">
        <v>13</v>
      </c>
      <c r="CE12" s="385">
        <v>9</v>
      </c>
      <c r="CF12" s="385">
        <v>6</v>
      </c>
      <c r="CG12" s="385">
        <v>5</v>
      </c>
      <c r="CH12" s="385">
        <v>15</v>
      </c>
      <c r="CI12" s="385">
        <v>10</v>
      </c>
      <c r="CJ12" s="385">
        <v>15</v>
      </c>
      <c r="CK12" s="385">
        <v>15</v>
      </c>
      <c r="CL12" s="385">
        <v>23</v>
      </c>
      <c r="CM12" s="385">
        <v>11</v>
      </c>
      <c r="CN12" s="385">
        <v>10</v>
      </c>
      <c r="CO12" s="385">
        <v>19</v>
      </c>
      <c r="CP12" s="385">
        <v>21</v>
      </c>
      <c r="CQ12" s="385">
        <v>24</v>
      </c>
      <c r="CR12" s="385">
        <v>10</v>
      </c>
      <c r="CS12" s="385">
        <v>23</v>
      </c>
      <c r="CT12" s="385">
        <v>22</v>
      </c>
      <c r="CU12" s="385">
        <v>11</v>
      </c>
      <c r="CV12" s="385">
        <v>32</v>
      </c>
      <c r="CW12" s="385">
        <v>31</v>
      </c>
      <c r="CX12" s="385">
        <v>38</v>
      </c>
      <c r="CY12" s="385">
        <v>34</v>
      </c>
      <c r="CZ12" s="385">
        <v>33</v>
      </c>
      <c r="DA12" s="385">
        <v>27</v>
      </c>
      <c r="DB12" s="385">
        <v>13</v>
      </c>
      <c r="DC12" s="385">
        <v>13</v>
      </c>
      <c r="DD12" s="385">
        <v>37</v>
      </c>
      <c r="DE12" s="385">
        <v>51</v>
      </c>
      <c r="DF12" s="385">
        <v>38</v>
      </c>
      <c r="DG12" s="385">
        <v>59</v>
      </c>
      <c r="DH12" s="385">
        <v>37</v>
      </c>
      <c r="DI12" s="385">
        <v>22</v>
      </c>
      <c r="DJ12" s="385">
        <v>68</v>
      </c>
      <c r="DK12" s="385">
        <v>40</v>
      </c>
      <c r="DL12" s="385">
        <v>43</v>
      </c>
      <c r="DM12" s="385">
        <v>44</v>
      </c>
      <c r="DN12" s="385">
        <v>39</v>
      </c>
      <c r="DO12" s="385">
        <v>28</v>
      </c>
      <c r="DP12" s="385">
        <v>32</v>
      </c>
      <c r="DQ12" s="385">
        <v>43</v>
      </c>
      <c r="DR12" s="385">
        <v>57</v>
      </c>
      <c r="DS12" s="385">
        <v>57</v>
      </c>
      <c r="DT12" s="385">
        <v>62</v>
      </c>
      <c r="DU12" s="385">
        <v>59</v>
      </c>
      <c r="DV12" s="385">
        <v>70</v>
      </c>
      <c r="DW12" s="385">
        <v>69</v>
      </c>
      <c r="DX12" s="385">
        <v>75</v>
      </c>
      <c r="DY12" s="385">
        <v>77</v>
      </c>
      <c r="DZ12" s="385">
        <v>84</v>
      </c>
      <c r="EA12" s="385">
        <v>60</v>
      </c>
      <c r="EB12" s="385">
        <v>52</v>
      </c>
      <c r="EC12" s="385">
        <v>54</v>
      </c>
      <c r="ED12" s="385">
        <v>50</v>
      </c>
      <c r="EE12" s="385">
        <v>83</v>
      </c>
      <c r="EF12" s="385">
        <v>64</v>
      </c>
      <c r="EG12" s="385">
        <v>70</v>
      </c>
      <c r="EH12" s="385">
        <v>75</v>
      </c>
      <c r="EI12" s="385">
        <v>73</v>
      </c>
      <c r="EJ12" s="385">
        <v>76</v>
      </c>
      <c r="EK12" s="385">
        <v>63</v>
      </c>
      <c r="EL12" s="385">
        <v>86</v>
      </c>
      <c r="EM12" s="385">
        <v>77</v>
      </c>
      <c r="EN12" s="385">
        <v>101</v>
      </c>
      <c r="EO12" s="385">
        <v>70</v>
      </c>
      <c r="EP12" s="385">
        <v>64</v>
      </c>
      <c r="EQ12" s="385">
        <v>63</v>
      </c>
      <c r="ER12" s="385">
        <v>60</v>
      </c>
      <c r="ES12" s="385">
        <v>87</v>
      </c>
      <c r="ET12" s="385">
        <v>89</v>
      </c>
      <c r="EU12" s="385">
        <v>81</v>
      </c>
      <c r="EV12" s="385">
        <v>86</v>
      </c>
      <c r="EW12" s="385">
        <v>76</v>
      </c>
      <c r="EX12" s="385">
        <v>57</v>
      </c>
      <c r="EY12" s="385">
        <v>90</v>
      </c>
      <c r="EZ12" s="385">
        <v>111</v>
      </c>
      <c r="FA12" s="385">
        <v>125</v>
      </c>
      <c r="FB12" s="385">
        <v>113</v>
      </c>
      <c r="FC12" s="385">
        <v>78</v>
      </c>
      <c r="FD12" s="385">
        <v>74</v>
      </c>
      <c r="FE12" s="385">
        <v>67</v>
      </c>
      <c r="FF12" s="385">
        <v>43</v>
      </c>
      <c r="FG12" s="385">
        <v>81</v>
      </c>
      <c r="FH12" s="385">
        <v>106</v>
      </c>
      <c r="FI12" s="385">
        <v>75</v>
      </c>
      <c r="FJ12" s="385">
        <v>68</v>
      </c>
      <c r="FK12" s="385">
        <v>76</v>
      </c>
      <c r="FL12" s="385">
        <v>104</v>
      </c>
      <c r="FM12" s="385">
        <v>64</v>
      </c>
      <c r="FN12" s="385">
        <v>71</v>
      </c>
      <c r="FO12" s="385">
        <v>80</v>
      </c>
      <c r="FP12" s="385">
        <v>91</v>
      </c>
      <c r="FQ12" s="385">
        <v>85</v>
      </c>
      <c r="FR12" s="385">
        <v>81</v>
      </c>
      <c r="FS12" s="385">
        <v>72</v>
      </c>
      <c r="FT12" s="385">
        <v>65</v>
      </c>
      <c r="FU12" s="385">
        <v>88</v>
      </c>
      <c r="FV12" s="385">
        <v>101</v>
      </c>
      <c r="FW12" s="385">
        <v>143</v>
      </c>
      <c r="FX12" s="385">
        <v>103</v>
      </c>
      <c r="FY12" s="385">
        <v>117</v>
      </c>
      <c r="FZ12" s="385">
        <v>76</v>
      </c>
      <c r="GA12" s="385">
        <v>68</v>
      </c>
      <c r="GB12" s="385">
        <v>110</v>
      </c>
      <c r="GC12" s="385">
        <v>92</v>
      </c>
      <c r="GD12" s="385">
        <v>102</v>
      </c>
      <c r="GE12" s="385">
        <v>91</v>
      </c>
      <c r="GF12" s="385">
        <v>86</v>
      </c>
      <c r="GG12" s="385">
        <v>84</v>
      </c>
      <c r="GH12" s="385">
        <v>60</v>
      </c>
      <c r="GI12" s="385">
        <v>107</v>
      </c>
      <c r="GJ12" s="385">
        <v>103</v>
      </c>
      <c r="GK12" s="385">
        <v>104</v>
      </c>
      <c r="GL12" s="385">
        <v>96</v>
      </c>
      <c r="GM12" s="385">
        <v>107</v>
      </c>
      <c r="GN12" s="385">
        <v>53</v>
      </c>
      <c r="GO12" s="385">
        <v>73</v>
      </c>
      <c r="GP12" s="385">
        <v>86</v>
      </c>
      <c r="GQ12" s="385">
        <v>79</v>
      </c>
      <c r="GR12" s="385">
        <v>94</v>
      </c>
      <c r="GS12" s="385">
        <v>57</v>
      </c>
      <c r="GT12" s="385">
        <v>80</v>
      </c>
      <c r="GU12" s="385">
        <v>59</v>
      </c>
      <c r="GV12" s="385">
        <v>67</v>
      </c>
      <c r="GW12" s="385">
        <v>74</v>
      </c>
      <c r="GX12" s="385">
        <v>69</v>
      </c>
      <c r="GY12" s="385">
        <v>79</v>
      </c>
      <c r="GZ12" s="385">
        <v>81</v>
      </c>
      <c r="HA12" s="385">
        <v>89</v>
      </c>
      <c r="HB12" s="385">
        <v>54</v>
      </c>
      <c r="HC12" s="385">
        <v>47</v>
      </c>
      <c r="HD12" s="385">
        <v>77</v>
      </c>
      <c r="HE12" s="385">
        <v>97</v>
      </c>
      <c r="HF12" s="385">
        <v>68</v>
      </c>
      <c r="HG12" s="385">
        <v>74</v>
      </c>
      <c r="HH12" s="385">
        <v>62</v>
      </c>
      <c r="HI12" s="385">
        <v>36</v>
      </c>
      <c r="HJ12" s="385">
        <v>37</v>
      </c>
      <c r="HK12" s="385">
        <v>75</v>
      </c>
      <c r="HL12" s="385">
        <v>52</v>
      </c>
      <c r="HM12" s="385">
        <v>59</v>
      </c>
      <c r="HN12" s="385">
        <v>63</v>
      </c>
      <c r="HO12" s="385">
        <v>60</v>
      </c>
      <c r="HP12" s="385">
        <v>48</v>
      </c>
      <c r="HQ12" s="385">
        <v>40</v>
      </c>
      <c r="HR12" s="385">
        <v>56</v>
      </c>
      <c r="HS12" s="385">
        <v>57</v>
      </c>
      <c r="HT12" s="385">
        <v>63</v>
      </c>
      <c r="HU12" s="385">
        <v>61</v>
      </c>
      <c r="HV12" s="385">
        <v>57</v>
      </c>
      <c r="HW12" s="385">
        <v>41</v>
      </c>
      <c r="HX12" s="385">
        <v>48</v>
      </c>
      <c r="HY12" s="385">
        <v>71</v>
      </c>
      <c r="HZ12" s="385">
        <v>49</v>
      </c>
      <c r="IA12" s="385">
        <v>49</v>
      </c>
      <c r="IB12" s="385">
        <v>41</v>
      </c>
      <c r="IC12" s="385">
        <v>42</v>
      </c>
      <c r="ID12" s="385">
        <v>36</v>
      </c>
      <c r="IE12" s="385">
        <v>21</v>
      </c>
      <c r="IF12" s="385">
        <v>29</v>
      </c>
      <c r="IG12" s="385">
        <v>51</v>
      </c>
      <c r="IH12" s="385">
        <v>38</v>
      </c>
      <c r="II12" s="385">
        <v>34</v>
      </c>
      <c r="IJ12" s="385">
        <v>34</v>
      </c>
      <c r="IK12" s="385">
        <v>17</v>
      </c>
      <c r="IL12" s="385">
        <v>27</v>
      </c>
      <c r="IM12" s="385">
        <v>29</v>
      </c>
      <c r="IN12" s="385">
        <v>34</v>
      </c>
      <c r="IO12" s="385">
        <v>34</v>
      </c>
      <c r="IP12" s="385">
        <v>39</v>
      </c>
      <c r="IQ12" s="385">
        <v>45</v>
      </c>
      <c r="IR12" s="385">
        <v>27</v>
      </c>
      <c r="IS12" s="385">
        <v>17</v>
      </c>
      <c r="IT12" s="385">
        <v>43</v>
      </c>
      <c r="IU12" s="385">
        <v>48</v>
      </c>
      <c r="IV12" s="385">
        <v>38</v>
      </c>
      <c r="IW12" s="385">
        <v>25</v>
      </c>
      <c r="IX12" s="385">
        <v>40</v>
      </c>
      <c r="IY12" s="385">
        <v>24</v>
      </c>
      <c r="IZ12" s="385">
        <v>19</v>
      </c>
      <c r="JA12" s="385">
        <v>28</v>
      </c>
      <c r="JB12" s="385">
        <v>28</v>
      </c>
      <c r="JC12" s="385">
        <v>31</v>
      </c>
      <c r="JD12" s="385">
        <v>31</v>
      </c>
      <c r="JE12" s="385">
        <v>17</v>
      </c>
      <c r="JF12" s="385">
        <v>28</v>
      </c>
      <c r="JG12" s="385">
        <v>22</v>
      </c>
      <c r="JH12" s="385">
        <v>16</v>
      </c>
      <c r="JI12" s="385">
        <v>25</v>
      </c>
      <c r="JJ12" s="385">
        <v>29</v>
      </c>
      <c r="JK12" s="385">
        <v>18</v>
      </c>
      <c r="JL12" s="385">
        <v>21</v>
      </c>
      <c r="JM12" s="385">
        <v>15</v>
      </c>
      <c r="JN12" s="385">
        <v>19</v>
      </c>
      <c r="JO12" s="385">
        <v>26</v>
      </c>
      <c r="JP12" s="385">
        <v>21</v>
      </c>
      <c r="JQ12" s="385">
        <v>25</v>
      </c>
      <c r="JR12" s="385">
        <v>24</v>
      </c>
      <c r="JS12" s="385">
        <v>23</v>
      </c>
      <c r="JT12" s="385">
        <v>26</v>
      </c>
      <c r="JU12" s="385">
        <v>16</v>
      </c>
      <c r="JV12" s="385">
        <v>19</v>
      </c>
      <c r="JW12" s="385">
        <v>29</v>
      </c>
      <c r="JX12" s="385">
        <v>24</v>
      </c>
      <c r="JY12" s="385">
        <v>29</v>
      </c>
      <c r="JZ12" s="385">
        <v>25</v>
      </c>
      <c r="KA12" s="385">
        <v>34</v>
      </c>
      <c r="KB12" s="385">
        <v>28</v>
      </c>
      <c r="KC12" s="385">
        <v>30</v>
      </c>
      <c r="KD12" s="385">
        <v>32</v>
      </c>
      <c r="KE12" s="385">
        <v>37</v>
      </c>
      <c r="KF12" s="385">
        <v>41</v>
      </c>
      <c r="KG12" s="385">
        <v>42</v>
      </c>
      <c r="KH12" s="385">
        <v>33</v>
      </c>
      <c r="KI12" s="385">
        <v>28</v>
      </c>
      <c r="KJ12" s="385">
        <v>55</v>
      </c>
      <c r="KK12" s="385">
        <v>50</v>
      </c>
      <c r="KL12" s="385">
        <v>62</v>
      </c>
      <c r="KM12" s="385">
        <v>34</v>
      </c>
      <c r="KN12" s="385">
        <v>21</v>
      </c>
      <c r="KO12" s="385">
        <v>58</v>
      </c>
      <c r="KP12" s="385">
        <v>57</v>
      </c>
      <c r="KQ12" s="385">
        <v>98</v>
      </c>
      <c r="KR12" s="385">
        <v>103</v>
      </c>
      <c r="KS12" s="385">
        <v>102</v>
      </c>
      <c r="KT12" s="385">
        <v>50</v>
      </c>
      <c r="KU12" s="385">
        <v>30</v>
      </c>
      <c r="KV12" s="385">
        <v>72</v>
      </c>
      <c r="KW12" s="385">
        <v>61</v>
      </c>
      <c r="KX12" s="385">
        <v>102</v>
      </c>
      <c r="KY12" s="385">
        <v>92</v>
      </c>
      <c r="KZ12" s="385">
        <v>103</v>
      </c>
      <c r="LA12" s="385">
        <v>83</v>
      </c>
      <c r="LB12" s="385">
        <v>90</v>
      </c>
      <c r="LC12" s="385">
        <v>65</v>
      </c>
      <c r="LD12" s="385">
        <v>47</v>
      </c>
      <c r="LE12" s="385">
        <v>95</v>
      </c>
      <c r="LF12" s="385">
        <v>93</v>
      </c>
      <c r="LG12" s="385">
        <v>83</v>
      </c>
      <c r="LH12" s="385">
        <v>75</v>
      </c>
      <c r="LI12" s="385">
        <v>80</v>
      </c>
      <c r="LJ12" s="385">
        <v>50</v>
      </c>
      <c r="LK12" s="385">
        <v>36</v>
      </c>
      <c r="LL12" s="385">
        <v>95</v>
      </c>
      <c r="LM12" s="385">
        <v>71</v>
      </c>
      <c r="LN12" s="385">
        <v>74</v>
      </c>
      <c r="LO12" s="385">
        <v>78</v>
      </c>
      <c r="LP12" s="385">
        <v>69</v>
      </c>
      <c r="LQ12" s="385">
        <v>66</v>
      </c>
      <c r="LR12" s="385">
        <v>45</v>
      </c>
      <c r="LS12" s="385">
        <v>81</v>
      </c>
      <c r="LT12" s="385">
        <v>62</v>
      </c>
      <c r="LU12" s="385">
        <v>55</v>
      </c>
      <c r="LV12" s="385">
        <v>57</v>
      </c>
      <c r="LW12" s="385">
        <v>64</v>
      </c>
      <c r="LX12" s="385">
        <v>49</v>
      </c>
      <c r="LY12" s="385">
        <v>49</v>
      </c>
      <c r="LZ12" s="385">
        <v>91</v>
      </c>
      <c r="MA12" s="385">
        <v>60</v>
      </c>
      <c r="MB12" s="385">
        <v>71</v>
      </c>
      <c r="MC12" s="385">
        <v>68</v>
      </c>
      <c r="MD12" s="385">
        <v>54</v>
      </c>
      <c r="ME12" s="385">
        <v>43</v>
      </c>
      <c r="MF12" s="385">
        <v>47</v>
      </c>
      <c r="MG12" s="385">
        <v>86</v>
      </c>
      <c r="MH12" s="385">
        <v>50</v>
      </c>
      <c r="MI12" s="385">
        <v>54</v>
      </c>
      <c r="MJ12" s="385">
        <v>76</v>
      </c>
      <c r="MK12" s="385">
        <v>55</v>
      </c>
      <c r="ML12" s="385">
        <v>57</v>
      </c>
      <c r="MM12" s="385">
        <v>51</v>
      </c>
      <c r="MN12" s="385">
        <v>32</v>
      </c>
      <c r="MO12" s="385">
        <v>54</v>
      </c>
      <c r="MP12" s="385">
        <v>65</v>
      </c>
      <c r="MQ12" s="385">
        <v>72</v>
      </c>
      <c r="MR12" s="385">
        <v>51</v>
      </c>
      <c r="MS12" s="385">
        <v>49</v>
      </c>
      <c r="MT12" s="385">
        <v>33</v>
      </c>
      <c r="MU12" s="385">
        <v>43</v>
      </c>
      <c r="MV12" s="385">
        <v>51</v>
      </c>
      <c r="MW12" s="385">
        <v>44</v>
      </c>
      <c r="MX12" s="385">
        <v>54</v>
      </c>
      <c r="MY12" s="385">
        <v>60</v>
      </c>
      <c r="MZ12" s="385">
        <v>41</v>
      </c>
      <c r="NA12" s="385">
        <v>29</v>
      </c>
      <c r="NB12" s="385">
        <v>71</v>
      </c>
      <c r="NC12" s="385">
        <v>54</v>
      </c>
      <c r="ND12" s="385">
        <v>68</v>
      </c>
      <c r="NE12" s="385">
        <v>47</v>
      </c>
      <c r="NF12" s="385">
        <v>50</v>
      </c>
      <c r="NG12" s="385">
        <v>45</v>
      </c>
      <c r="NH12" s="385">
        <v>38</v>
      </c>
      <c r="NI12" s="385">
        <v>61</v>
      </c>
      <c r="NJ12" s="385">
        <v>67</v>
      </c>
      <c r="NK12" s="385">
        <v>66</v>
      </c>
      <c r="NL12" s="385">
        <v>53</v>
      </c>
      <c r="NM12" s="385">
        <v>80</v>
      </c>
      <c r="NN12" s="385">
        <v>42</v>
      </c>
      <c r="NO12" s="385">
        <v>60</v>
      </c>
      <c r="NP12" s="385">
        <v>78</v>
      </c>
      <c r="NQ12" s="385">
        <v>55</v>
      </c>
      <c r="NR12" s="385">
        <v>84</v>
      </c>
      <c r="NS12" s="385">
        <v>70</v>
      </c>
      <c r="NT12" s="385">
        <v>74</v>
      </c>
      <c r="NU12" s="385">
        <v>41</v>
      </c>
      <c r="NV12" s="385">
        <v>84</v>
      </c>
      <c r="NW12" s="385">
        <v>82</v>
      </c>
      <c r="NX12" s="385">
        <v>92</v>
      </c>
      <c r="NY12" s="385">
        <v>76</v>
      </c>
      <c r="NZ12" s="385">
        <v>118</v>
      </c>
      <c r="OA12" s="385">
        <v>98</v>
      </c>
      <c r="OB12" s="385">
        <v>97</v>
      </c>
      <c r="OC12" s="385">
        <v>76</v>
      </c>
      <c r="OD12" s="385">
        <v>114</v>
      </c>
      <c r="OE12" s="385">
        <v>129</v>
      </c>
      <c r="OF12" s="385">
        <v>120</v>
      </c>
      <c r="OG12" s="385">
        <v>119</v>
      </c>
      <c r="OH12" s="385">
        <v>94</v>
      </c>
      <c r="OI12" s="385">
        <v>116</v>
      </c>
      <c r="OJ12" s="385">
        <v>107</v>
      </c>
      <c r="OK12" s="385">
        <v>159</v>
      </c>
      <c r="OL12" s="385">
        <v>124</v>
      </c>
      <c r="OM12" s="385">
        <v>138</v>
      </c>
      <c r="ON12" s="385">
        <v>143</v>
      </c>
      <c r="OO12" s="385">
        <v>110</v>
      </c>
      <c r="OP12" s="385">
        <v>62</v>
      </c>
      <c r="OQ12" s="385">
        <v>31</v>
      </c>
      <c r="OR12" s="385">
        <v>8</v>
      </c>
      <c r="OS12" s="385">
        <v>19486</v>
      </c>
    </row>
    <row r="13" spans="1:409" x14ac:dyDescent="0.25">
      <c r="A13" s="384" t="s">
        <v>312</v>
      </c>
      <c r="B13" s="385"/>
      <c r="C13" s="385"/>
      <c r="D13" s="385"/>
      <c r="E13" s="385">
        <v>1</v>
      </c>
      <c r="F13" s="385"/>
      <c r="G13" s="385"/>
      <c r="H13" s="385"/>
      <c r="I13" s="385"/>
      <c r="J13" s="385"/>
      <c r="K13" s="385"/>
      <c r="L13" s="385">
        <v>1</v>
      </c>
      <c r="M13" s="385"/>
      <c r="N13" s="385"/>
      <c r="O13" s="385"/>
      <c r="P13" s="385"/>
      <c r="Q13" s="385"/>
      <c r="R13" s="385"/>
      <c r="S13" s="385">
        <v>1</v>
      </c>
      <c r="T13" s="385">
        <v>2</v>
      </c>
      <c r="U13" s="385">
        <v>1</v>
      </c>
      <c r="V13" s="385">
        <v>1</v>
      </c>
      <c r="W13" s="385">
        <v>2</v>
      </c>
      <c r="X13" s="385">
        <v>1</v>
      </c>
      <c r="Y13" s="385">
        <v>4</v>
      </c>
      <c r="Z13" s="385">
        <v>1</v>
      </c>
      <c r="AA13" s="385"/>
      <c r="AB13" s="385">
        <v>4</v>
      </c>
      <c r="AC13" s="385">
        <v>2</v>
      </c>
      <c r="AD13" s="385">
        <v>1</v>
      </c>
      <c r="AE13" s="385">
        <v>4</v>
      </c>
      <c r="AF13" s="385">
        <v>2</v>
      </c>
      <c r="AG13" s="385">
        <v>10</v>
      </c>
      <c r="AH13" s="385">
        <v>2</v>
      </c>
      <c r="AI13" s="385">
        <v>2</v>
      </c>
      <c r="AJ13" s="385">
        <v>2</v>
      </c>
      <c r="AK13" s="385">
        <v>1</v>
      </c>
      <c r="AL13" s="385">
        <v>5</v>
      </c>
      <c r="AM13" s="385">
        <v>1</v>
      </c>
      <c r="AN13" s="385">
        <v>1</v>
      </c>
      <c r="AO13" s="385"/>
      <c r="AP13" s="385">
        <v>3</v>
      </c>
      <c r="AQ13" s="385">
        <v>2</v>
      </c>
      <c r="AR13" s="385">
        <v>2</v>
      </c>
      <c r="AS13" s="385">
        <v>3</v>
      </c>
      <c r="AT13" s="385">
        <v>2</v>
      </c>
      <c r="AU13" s="385">
        <v>9</v>
      </c>
      <c r="AV13" s="385">
        <v>8</v>
      </c>
      <c r="AW13" s="385">
        <v>9</v>
      </c>
      <c r="AX13" s="385">
        <v>6</v>
      </c>
      <c r="AY13" s="385">
        <v>8</v>
      </c>
      <c r="AZ13" s="385">
        <v>11</v>
      </c>
      <c r="BA13" s="385">
        <v>23</v>
      </c>
      <c r="BB13" s="385">
        <v>16</v>
      </c>
      <c r="BC13" s="385">
        <v>6</v>
      </c>
      <c r="BD13" s="385">
        <v>4</v>
      </c>
      <c r="BE13" s="385">
        <v>4</v>
      </c>
      <c r="BF13" s="385">
        <v>9</v>
      </c>
      <c r="BG13" s="385">
        <v>9</v>
      </c>
      <c r="BH13" s="385">
        <v>6</v>
      </c>
      <c r="BI13" s="385">
        <v>1</v>
      </c>
      <c r="BJ13" s="385">
        <v>2</v>
      </c>
      <c r="BK13" s="385">
        <v>1</v>
      </c>
      <c r="BL13" s="385">
        <v>3</v>
      </c>
      <c r="BM13" s="385">
        <v>4</v>
      </c>
      <c r="BN13" s="385">
        <v>27</v>
      </c>
      <c r="BO13" s="385">
        <v>7</v>
      </c>
      <c r="BP13" s="385">
        <v>7</v>
      </c>
      <c r="BQ13" s="385">
        <v>7</v>
      </c>
      <c r="BR13" s="385">
        <v>1</v>
      </c>
      <c r="BS13" s="385">
        <v>2</v>
      </c>
      <c r="BT13" s="385">
        <v>5</v>
      </c>
      <c r="BU13" s="385">
        <v>8</v>
      </c>
      <c r="BV13" s="385">
        <v>8</v>
      </c>
      <c r="BW13" s="385">
        <v>4</v>
      </c>
      <c r="BX13" s="385">
        <v>4</v>
      </c>
      <c r="BY13" s="385">
        <v>12</v>
      </c>
      <c r="BZ13" s="385">
        <v>12</v>
      </c>
      <c r="CA13" s="385">
        <v>16</v>
      </c>
      <c r="CB13" s="385">
        <v>12</v>
      </c>
      <c r="CC13" s="385">
        <v>9</v>
      </c>
      <c r="CD13" s="385">
        <v>10</v>
      </c>
      <c r="CE13" s="385">
        <v>7</v>
      </c>
      <c r="CF13" s="385">
        <v>16</v>
      </c>
      <c r="CG13" s="385">
        <v>7</v>
      </c>
      <c r="CH13" s="385">
        <v>12</v>
      </c>
      <c r="CI13" s="385">
        <v>18</v>
      </c>
      <c r="CJ13" s="385">
        <v>17</v>
      </c>
      <c r="CK13" s="385">
        <v>59</v>
      </c>
      <c r="CL13" s="385">
        <v>29</v>
      </c>
      <c r="CM13" s="385">
        <v>9</v>
      </c>
      <c r="CN13" s="385">
        <v>17</v>
      </c>
      <c r="CO13" s="385">
        <v>19</v>
      </c>
      <c r="CP13" s="385">
        <v>43</v>
      </c>
      <c r="CQ13" s="385">
        <v>21</v>
      </c>
      <c r="CR13" s="385">
        <v>24</v>
      </c>
      <c r="CS13" s="385">
        <v>24</v>
      </c>
      <c r="CT13" s="385">
        <v>32</v>
      </c>
      <c r="CU13" s="385">
        <v>29</v>
      </c>
      <c r="CV13" s="385">
        <v>41</v>
      </c>
      <c r="CW13" s="385">
        <v>39</v>
      </c>
      <c r="CX13" s="385">
        <v>69</v>
      </c>
      <c r="CY13" s="385">
        <v>30</v>
      </c>
      <c r="CZ13" s="385">
        <v>21</v>
      </c>
      <c r="DA13" s="385">
        <v>37</v>
      </c>
      <c r="DB13" s="385">
        <v>32</v>
      </c>
      <c r="DC13" s="385">
        <v>27</v>
      </c>
      <c r="DD13" s="385">
        <v>36</v>
      </c>
      <c r="DE13" s="385">
        <v>56</v>
      </c>
      <c r="DF13" s="385">
        <v>46</v>
      </c>
      <c r="DG13" s="385">
        <v>80</v>
      </c>
      <c r="DH13" s="385">
        <v>42</v>
      </c>
      <c r="DI13" s="385">
        <v>46</v>
      </c>
      <c r="DJ13" s="385">
        <v>68</v>
      </c>
      <c r="DK13" s="385">
        <v>86</v>
      </c>
      <c r="DL13" s="385">
        <v>54</v>
      </c>
      <c r="DM13" s="385">
        <v>57</v>
      </c>
      <c r="DN13" s="385">
        <v>60</v>
      </c>
      <c r="DO13" s="385">
        <v>47</v>
      </c>
      <c r="DP13" s="385">
        <v>42</v>
      </c>
      <c r="DQ13" s="385">
        <v>80</v>
      </c>
      <c r="DR13" s="385">
        <v>76</v>
      </c>
      <c r="DS13" s="385">
        <v>71</v>
      </c>
      <c r="DT13" s="385">
        <v>53</v>
      </c>
      <c r="DU13" s="385">
        <v>78</v>
      </c>
      <c r="DV13" s="385">
        <v>100</v>
      </c>
      <c r="DW13" s="385">
        <v>81</v>
      </c>
      <c r="DX13" s="385">
        <v>120</v>
      </c>
      <c r="DY13" s="385">
        <v>80</v>
      </c>
      <c r="DZ13" s="385">
        <v>127</v>
      </c>
      <c r="EA13" s="385">
        <v>87</v>
      </c>
      <c r="EB13" s="385">
        <v>82</v>
      </c>
      <c r="EC13" s="385">
        <v>76</v>
      </c>
      <c r="ED13" s="385">
        <v>87</v>
      </c>
      <c r="EE13" s="385">
        <v>143</v>
      </c>
      <c r="EF13" s="385">
        <v>99</v>
      </c>
      <c r="EG13" s="385">
        <v>98</v>
      </c>
      <c r="EH13" s="385">
        <v>148</v>
      </c>
      <c r="EI13" s="385">
        <v>144</v>
      </c>
      <c r="EJ13" s="385">
        <v>91</v>
      </c>
      <c r="EK13" s="385">
        <v>100</v>
      </c>
      <c r="EL13" s="385">
        <v>98</v>
      </c>
      <c r="EM13" s="385">
        <v>119</v>
      </c>
      <c r="EN13" s="385">
        <v>104</v>
      </c>
      <c r="EO13" s="385">
        <v>87</v>
      </c>
      <c r="EP13" s="385">
        <v>107</v>
      </c>
      <c r="EQ13" s="385">
        <v>81</v>
      </c>
      <c r="ER13" s="385">
        <v>91</v>
      </c>
      <c r="ES13" s="385">
        <v>99</v>
      </c>
      <c r="ET13" s="385">
        <v>99</v>
      </c>
      <c r="EU13" s="385">
        <v>107</v>
      </c>
      <c r="EV13" s="385">
        <v>133</v>
      </c>
      <c r="EW13" s="385">
        <v>123</v>
      </c>
      <c r="EX13" s="385">
        <v>78</v>
      </c>
      <c r="EY13" s="385">
        <v>129</v>
      </c>
      <c r="EZ13" s="385">
        <v>172</v>
      </c>
      <c r="FA13" s="385">
        <v>199</v>
      </c>
      <c r="FB13" s="385">
        <v>191</v>
      </c>
      <c r="FC13" s="385">
        <v>116</v>
      </c>
      <c r="FD13" s="385">
        <v>100</v>
      </c>
      <c r="FE13" s="385">
        <v>117</v>
      </c>
      <c r="FF13" s="385">
        <v>68</v>
      </c>
      <c r="FG13" s="385">
        <v>113</v>
      </c>
      <c r="FH13" s="385">
        <v>130</v>
      </c>
      <c r="FI13" s="385">
        <v>68</v>
      </c>
      <c r="FJ13" s="385">
        <v>66</v>
      </c>
      <c r="FK13" s="385">
        <v>79</v>
      </c>
      <c r="FL13" s="385">
        <v>145</v>
      </c>
      <c r="FM13" s="385">
        <v>73</v>
      </c>
      <c r="FN13" s="385">
        <v>58</v>
      </c>
      <c r="FO13" s="385">
        <v>126</v>
      </c>
      <c r="FP13" s="385">
        <v>116</v>
      </c>
      <c r="FQ13" s="385">
        <v>104</v>
      </c>
      <c r="FR13" s="385">
        <v>83</v>
      </c>
      <c r="FS13" s="385">
        <v>53</v>
      </c>
      <c r="FT13" s="385">
        <v>81</v>
      </c>
      <c r="FU13" s="385">
        <v>83</v>
      </c>
      <c r="FV13" s="385">
        <v>112</v>
      </c>
      <c r="FW13" s="385">
        <v>128</v>
      </c>
      <c r="FX13" s="385">
        <v>134</v>
      </c>
      <c r="FY13" s="385">
        <v>88</v>
      </c>
      <c r="FZ13" s="385">
        <v>60</v>
      </c>
      <c r="GA13" s="385">
        <v>73</v>
      </c>
      <c r="GB13" s="385">
        <v>131</v>
      </c>
      <c r="GC13" s="385">
        <v>112</v>
      </c>
      <c r="GD13" s="385">
        <v>73</v>
      </c>
      <c r="GE13" s="385">
        <v>76</v>
      </c>
      <c r="GF13" s="385">
        <v>66</v>
      </c>
      <c r="GG13" s="385">
        <v>79</v>
      </c>
      <c r="GH13" s="385">
        <v>58</v>
      </c>
      <c r="GI13" s="385">
        <v>120</v>
      </c>
      <c r="GJ13" s="385">
        <v>102</v>
      </c>
      <c r="GK13" s="385">
        <v>76</v>
      </c>
      <c r="GL13" s="385">
        <v>122</v>
      </c>
      <c r="GM13" s="385">
        <v>65</v>
      </c>
      <c r="GN13" s="385">
        <v>71</v>
      </c>
      <c r="GO13" s="385">
        <v>56</v>
      </c>
      <c r="GP13" s="385">
        <v>67</v>
      </c>
      <c r="GQ13" s="385">
        <v>75</v>
      </c>
      <c r="GR13" s="385">
        <v>95</v>
      </c>
      <c r="GS13" s="385">
        <v>48</v>
      </c>
      <c r="GT13" s="385">
        <v>63</v>
      </c>
      <c r="GU13" s="385">
        <v>39</v>
      </c>
      <c r="GV13" s="385">
        <v>40</v>
      </c>
      <c r="GW13" s="385">
        <v>66</v>
      </c>
      <c r="GX13" s="385">
        <v>88</v>
      </c>
      <c r="GY13" s="385">
        <v>51</v>
      </c>
      <c r="GZ13" s="385">
        <v>71</v>
      </c>
      <c r="HA13" s="385">
        <v>79</v>
      </c>
      <c r="HB13" s="385">
        <v>56</v>
      </c>
      <c r="HC13" s="385">
        <v>35</v>
      </c>
      <c r="HD13" s="385">
        <v>86</v>
      </c>
      <c r="HE13" s="385">
        <v>69</v>
      </c>
      <c r="HF13" s="385">
        <v>61</v>
      </c>
      <c r="HG13" s="385">
        <v>57</v>
      </c>
      <c r="HH13" s="385">
        <v>71</v>
      </c>
      <c r="HI13" s="385">
        <v>40</v>
      </c>
      <c r="HJ13" s="385">
        <v>38</v>
      </c>
      <c r="HK13" s="385">
        <v>54</v>
      </c>
      <c r="HL13" s="385">
        <v>57</v>
      </c>
      <c r="HM13" s="385">
        <v>60</v>
      </c>
      <c r="HN13" s="385">
        <v>106</v>
      </c>
      <c r="HO13" s="385">
        <v>83</v>
      </c>
      <c r="HP13" s="385">
        <v>33</v>
      </c>
      <c r="HQ13" s="385">
        <v>54</v>
      </c>
      <c r="HR13" s="385">
        <v>41</v>
      </c>
      <c r="HS13" s="385">
        <v>61</v>
      </c>
      <c r="HT13" s="385">
        <v>43</v>
      </c>
      <c r="HU13" s="385">
        <v>48</v>
      </c>
      <c r="HV13" s="385">
        <v>81</v>
      </c>
      <c r="HW13" s="385">
        <v>29</v>
      </c>
      <c r="HX13" s="385">
        <v>21</v>
      </c>
      <c r="HY13" s="385">
        <v>34</v>
      </c>
      <c r="HZ13" s="385">
        <v>46</v>
      </c>
      <c r="IA13" s="385">
        <v>33</v>
      </c>
      <c r="IB13" s="385">
        <v>23</v>
      </c>
      <c r="IC13" s="385">
        <v>30</v>
      </c>
      <c r="ID13" s="385">
        <v>22</v>
      </c>
      <c r="IE13" s="385">
        <v>16</v>
      </c>
      <c r="IF13" s="385">
        <v>42</v>
      </c>
      <c r="IG13" s="385">
        <v>36</v>
      </c>
      <c r="IH13" s="385">
        <v>26</v>
      </c>
      <c r="II13" s="385">
        <v>35</v>
      </c>
      <c r="IJ13" s="385">
        <v>18</v>
      </c>
      <c r="IK13" s="385">
        <v>13</v>
      </c>
      <c r="IL13" s="385">
        <v>11</v>
      </c>
      <c r="IM13" s="385">
        <v>27</v>
      </c>
      <c r="IN13" s="385">
        <v>20</v>
      </c>
      <c r="IO13" s="385">
        <v>17</v>
      </c>
      <c r="IP13" s="385">
        <v>30</v>
      </c>
      <c r="IQ13" s="385">
        <v>27</v>
      </c>
      <c r="IR13" s="385">
        <v>18</v>
      </c>
      <c r="IS13" s="385">
        <v>16</v>
      </c>
      <c r="IT13" s="385">
        <v>25</v>
      </c>
      <c r="IU13" s="385">
        <v>32</v>
      </c>
      <c r="IV13" s="385">
        <v>28</v>
      </c>
      <c r="IW13" s="385">
        <v>15</v>
      </c>
      <c r="IX13" s="385">
        <v>27</v>
      </c>
      <c r="IY13" s="385">
        <v>23</v>
      </c>
      <c r="IZ13" s="385">
        <v>17</v>
      </c>
      <c r="JA13" s="385">
        <v>28</v>
      </c>
      <c r="JB13" s="385">
        <v>33</v>
      </c>
      <c r="JC13" s="385">
        <v>31</v>
      </c>
      <c r="JD13" s="385">
        <v>12</v>
      </c>
      <c r="JE13" s="385">
        <v>17</v>
      </c>
      <c r="JF13" s="385">
        <v>14</v>
      </c>
      <c r="JG13" s="385">
        <v>10</v>
      </c>
      <c r="JH13" s="385">
        <v>9</v>
      </c>
      <c r="JI13" s="385">
        <v>17</v>
      </c>
      <c r="JJ13" s="385">
        <v>23</v>
      </c>
      <c r="JK13" s="385">
        <v>18</v>
      </c>
      <c r="JL13" s="385">
        <v>18</v>
      </c>
      <c r="JM13" s="385">
        <v>6</v>
      </c>
      <c r="JN13" s="385">
        <v>14</v>
      </c>
      <c r="JO13" s="385">
        <v>21</v>
      </c>
      <c r="JP13" s="385">
        <v>11</v>
      </c>
      <c r="JQ13" s="385">
        <v>24</v>
      </c>
      <c r="JR13" s="385">
        <v>16</v>
      </c>
      <c r="JS13" s="385">
        <v>15</v>
      </c>
      <c r="JT13" s="385">
        <v>14</v>
      </c>
      <c r="JU13" s="385">
        <v>10</v>
      </c>
      <c r="JV13" s="385">
        <v>11</v>
      </c>
      <c r="JW13" s="385">
        <v>23</v>
      </c>
      <c r="JX13" s="385">
        <v>20</v>
      </c>
      <c r="JY13" s="385">
        <v>17</v>
      </c>
      <c r="JZ13" s="385">
        <v>19</v>
      </c>
      <c r="KA13" s="385">
        <v>8</v>
      </c>
      <c r="KB13" s="385">
        <v>12</v>
      </c>
      <c r="KC13" s="385">
        <v>25</v>
      </c>
      <c r="KD13" s="385">
        <v>23</v>
      </c>
      <c r="KE13" s="385">
        <v>26</v>
      </c>
      <c r="KF13" s="385">
        <v>17</v>
      </c>
      <c r="KG13" s="385">
        <v>37</v>
      </c>
      <c r="KH13" s="385">
        <v>19</v>
      </c>
      <c r="KI13" s="385">
        <v>20</v>
      </c>
      <c r="KJ13" s="385">
        <v>24</v>
      </c>
      <c r="KK13" s="385">
        <v>32</v>
      </c>
      <c r="KL13" s="385">
        <v>34</v>
      </c>
      <c r="KM13" s="385">
        <v>18</v>
      </c>
      <c r="KN13" s="385">
        <v>8</v>
      </c>
      <c r="KO13" s="385">
        <v>21</v>
      </c>
      <c r="KP13" s="385">
        <v>16</v>
      </c>
      <c r="KQ13" s="385">
        <v>52</v>
      </c>
      <c r="KR13" s="385">
        <v>44</v>
      </c>
      <c r="KS13" s="385">
        <v>49</v>
      </c>
      <c r="KT13" s="385">
        <v>21</v>
      </c>
      <c r="KU13" s="385">
        <v>10</v>
      </c>
      <c r="KV13" s="385">
        <v>26</v>
      </c>
      <c r="KW13" s="385">
        <v>29</v>
      </c>
      <c r="KX13" s="385">
        <v>70</v>
      </c>
      <c r="KY13" s="385">
        <v>48</v>
      </c>
      <c r="KZ13" s="385">
        <v>40</v>
      </c>
      <c r="LA13" s="385">
        <v>46</v>
      </c>
      <c r="LB13" s="385">
        <v>48</v>
      </c>
      <c r="LC13" s="385">
        <v>29</v>
      </c>
      <c r="LD13" s="385">
        <v>28</v>
      </c>
      <c r="LE13" s="385">
        <v>43</v>
      </c>
      <c r="LF13" s="385">
        <v>48</v>
      </c>
      <c r="LG13" s="385">
        <v>38</v>
      </c>
      <c r="LH13" s="385">
        <v>44</v>
      </c>
      <c r="LI13" s="385">
        <v>46</v>
      </c>
      <c r="LJ13" s="385">
        <v>38</v>
      </c>
      <c r="LK13" s="385">
        <v>23</v>
      </c>
      <c r="LL13" s="385">
        <v>45</v>
      </c>
      <c r="LM13" s="385">
        <v>52</v>
      </c>
      <c r="LN13" s="385">
        <v>55</v>
      </c>
      <c r="LO13" s="385">
        <v>60</v>
      </c>
      <c r="LP13" s="385">
        <v>43</v>
      </c>
      <c r="LQ13" s="385">
        <v>25</v>
      </c>
      <c r="LR13" s="385">
        <v>15</v>
      </c>
      <c r="LS13" s="385">
        <v>44</v>
      </c>
      <c r="LT13" s="385">
        <v>60</v>
      </c>
      <c r="LU13" s="385">
        <v>32</v>
      </c>
      <c r="LV13" s="385">
        <v>38</v>
      </c>
      <c r="LW13" s="385">
        <v>43</v>
      </c>
      <c r="LX13" s="385">
        <v>28</v>
      </c>
      <c r="LY13" s="385">
        <v>17</v>
      </c>
      <c r="LZ13" s="385">
        <v>47</v>
      </c>
      <c r="MA13" s="385">
        <v>44</v>
      </c>
      <c r="MB13" s="385">
        <v>44</v>
      </c>
      <c r="MC13" s="385">
        <v>40</v>
      </c>
      <c r="MD13" s="385">
        <v>29</v>
      </c>
      <c r="ME13" s="385">
        <v>27</v>
      </c>
      <c r="MF13" s="385">
        <v>21</v>
      </c>
      <c r="MG13" s="385">
        <v>42</v>
      </c>
      <c r="MH13" s="385">
        <v>32</v>
      </c>
      <c r="MI13" s="385">
        <v>34</v>
      </c>
      <c r="MJ13" s="385">
        <v>25</v>
      </c>
      <c r="MK13" s="385">
        <v>48</v>
      </c>
      <c r="ML13" s="385">
        <v>32</v>
      </c>
      <c r="MM13" s="385">
        <v>21</v>
      </c>
      <c r="MN13" s="385">
        <v>23</v>
      </c>
      <c r="MO13" s="385">
        <v>29</v>
      </c>
      <c r="MP13" s="385">
        <v>39</v>
      </c>
      <c r="MQ13" s="385">
        <v>31</v>
      </c>
      <c r="MR13" s="385">
        <v>21</v>
      </c>
      <c r="MS13" s="385">
        <v>24</v>
      </c>
      <c r="MT13" s="385">
        <v>17</v>
      </c>
      <c r="MU13" s="385">
        <v>27</v>
      </c>
      <c r="MV13" s="385">
        <v>30</v>
      </c>
      <c r="MW13" s="385">
        <v>24</v>
      </c>
      <c r="MX13" s="385">
        <v>38</v>
      </c>
      <c r="MY13" s="385">
        <v>41</v>
      </c>
      <c r="MZ13" s="385">
        <v>20</v>
      </c>
      <c r="NA13" s="385">
        <v>20</v>
      </c>
      <c r="NB13" s="385">
        <v>32</v>
      </c>
      <c r="NC13" s="385">
        <v>33</v>
      </c>
      <c r="ND13" s="385">
        <v>33</v>
      </c>
      <c r="NE13" s="385">
        <v>21</v>
      </c>
      <c r="NF13" s="385">
        <v>27</v>
      </c>
      <c r="NG13" s="385">
        <v>26</v>
      </c>
      <c r="NH13" s="385">
        <v>17</v>
      </c>
      <c r="NI13" s="385">
        <v>45</v>
      </c>
      <c r="NJ13" s="385">
        <v>33</v>
      </c>
      <c r="NK13" s="385">
        <v>31</v>
      </c>
      <c r="NL13" s="385">
        <v>39</v>
      </c>
      <c r="NM13" s="385">
        <v>49</v>
      </c>
      <c r="NN13" s="385">
        <v>15</v>
      </c>
      <c r="NO13" s="385">
        <v>15</v>
      </c>
      <c r="NP13" s="385">
        <v>44</v>
      </c>
      <c r="NQ13" s="385">
        <v>49</v>
      </c>
      <c r="NR13" s="385">
        <v>26</v>
      </c>
      <c r="NS13" s="385">
        <v>33</v>
      </c>
      <c r="NT13" s="385">
        <v>35</v>
      </c>
      <c r="NU13" s="385">
        <v>17</v>
      </c>
      <c r="NV13" s="385">
        <v>23</v>
      </c>
      <c r="NW13" s="385">
        <v>51</v>
      </c>
      <c r="NX13" s="385">
        <v>46</v>
      </c>
      <c r="NY13" s="385">
        <v>44</v>
      </c>
      <c r="NZ13" s="385">
        <v>52</v>
      </c>
      <c r="OA13" s="385">
        <v>49</v>
      </c>
      <c r="OB13" s="385">
        <v>41</v>
      </c>
      <c r="OC13" s="385">
        <v>30</v>
      </c>
      <c r="OD13" s="385">
        <v>49</v>
      </c>
      <c r="OE13" s="385">
        <v>60</v>
      </c>
      <c r="OF13" s="385">
        <v>60</v>
      </c>
      <c r="OG13" s="385">
        <v>37</v>
      </c>
      <c r="OH13" s="385">
        <v>33</v>
      </c>
      <c r="OI13" s="385">
        <v>58</v>
      </c>
      <c r="OJ13" s="385">
        <v>43</v>
      </c>
      <c r="OK13" s="385">
        <v>76</v>
      </c>
      <c r="OL13" s="385">
        <v>64</v>
      </c>
      <c r="OM13" s="385">
        <v>58</v>
      </c>
      <c r="ON13" s="385">
        <v>52</v>
      </c>
      <c r="OO13" s="385">
        <v>43</v>
      </c>
      <c r="OP13" s="385">
        <v>37</v>
      </c>
      <c r="OQ13" s="385">
        <v>11</v>
      </c>
      <c r="OR13" s="385">
        <v>4</v>
      </c>
      <c r="OS13" s="385">
        <v>16824</v>
      </c>
    </row>
    <row r="14" spans="1:409" x14ac:dyDescent="0.25">
      <c r="A14" s="384" t="s">
        <v>314</v>
      </c>
      <c r="B14" s="385">
        <v>1</v>
      </c>
      <c r="C14" s="385">
        <v>1</v>
      </c>
      <c r="D14" s="385">
        <v>1</v>
      </c>
      <c r="E14" s="385">
        <v>2</v>
      </c>
      <c r="F14" s="385">
        <v>4</v>
      </c>
      <c r="G14" s="385">
        <v>2</v>
      </c>
      <c r="H14" s="385">
        <v>2</v>
      </c>
      <c r="I14" s="385">
        <v>4</v>
      </c>
      <c r="J14" s="385">
        <v>6</v>
      </c>
      <c r="K14" s="385">
        <v>10</v>
      </c>
      <c r="L14" s="385">
        <v>7</v>
      </c>
      <c r="M14" s="385">
        <v>11</v>
      </c>
      <c r="N14" s="385">
        <v>7</v>
      </c>
      <c r="O14" s="385">
        <v>9</v>
      </c>
      <c r="P14" s="385">
        <v>11</v>
      </c>
      <c r="Q14" s="385">
        <v>20</v>
      </c>
      <c r="R14" s="385">
        <v>20</v>
      </c>
      <c r="S14" s="385">
        <v>23</v>
      </c>
      <c r="T14" s="385">
        <v>22</v>
      </c>
      <c r="U14" s="385">
        <v>33</v>
      </c>
      <c r="V14" s="385">
        <v>33</v>
      </c>
      <c r="W14" s="385">
        <v>35</v>
      </c>
      <c r="X14" s="385">
        <v>33</v>
      </c>
      <c r="Y14" s="385">
        <v>35</v>
      </c>
      <c r="Z14" s="385">
        <v>26</v>
      </c>
      <c r="AA14" s="385">
        <v>24</v>
      </c>
      <c r="AB14" s="385">
        <v>28</v>
      </c>
      <c r="AC14" s="385">
        <v>37</v>
      </c>
      <c r="AD14" s="385">
        <v>43</v>
      </c>
      <c r="AE14" s="385">
        <v>45</v>
      </c>
      <c r="AF14" s="385">
        <v>51</v>
      </c>
      <c r="AG14" s="385">
        <v>44</v>
      </c>
      <c r="AH14" s="385">
        <v>32</v>
      </c>
      <c r="AI14" s="385">
        <v>18</v>
      </c>
      <c r="AJ14" s="385">
        <v>19</v>
      </c>
      <c r="AK14" s="385">
        <v>34</v>
      </c>
      <c r="AL14" s="385">
        <v>31</v>
      </c>
      <c r="AM14" s="385">
        <v>30</v>
      </c>
      <c r="AN14" s="385">
        <v>17</v>
      </c>
      <c r="AO14" s="385">
        <v>13</v>
      </c>
      <c r="AP14" s="385">
        <v>20</v>
      </c>
      <c r="AQ14" s="385">
        <v>18</v>
      </c>
      <c r="AR14" s="385">
        <v>35</v>
      </c>
      <c r="AS14" s="385">
        <v>32</v>
      </c>
      <c r="AT14" s="385">
        <v>15</v>
      </c>
      <c r="AU14" s="385">
        <v>29</v>
      </c>
      <c r="AV14" s="385">
        <v>33</v>
      </c>
      <c r="AW14" s="385">
        <v>28</v>
      </c>
      <c r="AX14" s="385">
        <v>30</v>
      </c>
      <c r="AY14" s="385">
        <v>41</v>
      </c>
      <c r="AZ14" s="385">
        <v>54</v>
      </c>
      <c r="BA14" s="385">
        <v>86</v>
      </c>
      <c r="BB14" s="385">
        <v>79</v>
      </c>
      <c r="BC14" s="385">
        <v>60</v>
      </c>
      <c r="BD14" s="385">
        <v>39</v>
      </c>
      <c r="BE14" s="385">
        <v>27</v>
      </c>
      <c r="BF14" s="385">
        <v>79</v>
      </c>
      <c r="BG14" s="385">
        <v>54</v>
      </c>
      <c r="BH14" s="385">
        <v>53</v>
      </c>
      <c r="BI14" s="385">
        <v>45</v>
      </c>
      <c r="BJ14" s="385">
        <v>54</v>
      </c>
      <c r="BK14" s="385">
        <v>47</v>
      </c>
      <c r="BL14" s="385">
        <v>48</v>
      </c>
      <c r="BM14" s="385">
        <v>75</v>
      </c>
      <c r="BN14" s="385">
        <v>167</v>
      </c>
      <c r="BO14" s="385">
        <v>95</v>
      </c>
      <c r="BP14" s="385">
        <v>135</v>
      </c>
      <c r="BQ14" s="385">
        <v>188</v>
      </c>
      <c r="BR14" s="385">
        <v>114</v>
      </c>
      <c r="BS14" s="385">
        <v>181</v>
      </c>
      <c r="BT14" s="385">
        <v>153</v>
      </c>
      <c r="BU14" s="385">
        <v>243</v>
      </c>
      <c r="BV14" s="385">
        <v>215</v>
      </c>
      <c r="BW14" s="385">
        <v>275</v>
      </c>
      <c r="BX14" s="385">
        <v>249</v>
      </c>
      <c r="BY14" s="385">
        <v>244</v>
      </c>
      <c r="BZ14" s="385">
        <v>271</v>
      </c>
      <c r="CA14" s="385">
        <v>436</v>
      </c>
      <c r="CB14" s="385">
        <v>415</v>
      </c>
      <c r="CC14" s="385">
        <v>441</v>
      </c>
      <c r="CD14" s="385">
        <v>454</v>
      </c>
      <c r="CE14" s="385">
        <v>404</v>
      </c>
      <c r="CF14" s="385">
        <v>385</v>
      </c>
      <c r="CG14" s="385">
        <v>298</v>
      </c>
      <c r="CH14" s="385">
        <v>353</v>
      </c>
      <c r="CI14" s="385">
        <v>495</v>
      </c>
      <c r="CJ14" s="385">
        <v>508</v>
      </c>
      <c r="CK14" s="385">
        <v>548</v>
      </c>
      <c r="CL14" s="385">
        <v>507</v>
      </c>
      <c r="CM14" s="385">
        <v>348</v>
      </c>
      <c r="CN14" s="385">
        <v>318</v>
      </c>
      <c r="CO14" s="385">
        <v>514</v>
      </c>
      <c r="CP14" s="385">
        <v>586</v>
      </c>
      <c r="CQ14" s="385">
        <v>551</v>
      </c>
      <c r="CR14" s="385">
        <v>517</v>
      </c>
      <c r="CS14" s="385">
        <v>635</v>
      </c>
      <c r="CT14" s="385">
        <v>512</v>
      </c>
      <c r="CU14" s="385">
        <v>414</v>
      </c>
      <c r="CV14" s="385">
        <v>825</v>
      </c>
      <c r="CW14" s="385">
        <v>864</v>
      </c>
      <c r="CX14" s="385">
        <v>798</v>
      </c>
      <c r="CY14" s="385">
        <v>865</v>
      </c>
      <c r="CZ14" s="385">
        <v>893</v>
      </c>
      <c r="DA14" s="385">
        <v>732</v>
      </c>
      <c r="DB14" s="385">
        <v>512</v>
      </c>
      <c r="DC14" s="385">
        <v>638</v>
      </c>
      <c r="DD14" s="385">
        <v>1013</v>
      </c>
      <c r="DE14" s="385">
        <v>1246</v>
      </c>
      <c r="DF14" s="385">
        <v>1226</v>
      </c>
      <c r="DG14" s="385">
        <v>1231</v>
      </c>
      <c r="DH14" s="385">
        <v>970</v>
      </c>
      <c r="DI14" s="385">
        <v>754</v>
      </c>
      <c r="DJ14" s="385">
        <v>1430</v>
      </c>
      <c r="DK14" s="385">
        <v>1332</v>
      </c>
      <c r="DL14" s="385">
        <v>1302</v>
      </c>
      <c r="DM14" s="385">
        <v>1369</v>
      </c>
      <c r="DN14" s="385">
        <v>1330</v>
      </c>
      <c r="DO14" s="385">
        <v>1066</v>
      </c>
      <c r="DP14" s="385">
        <v>873</v>
      </c>
      <c r="DQ14" s="385">
        <v>1425</v>
      </c>
      <c r="DR14" s="385">
        <v>1334</v>
      </c>
      <c r="DS14" s="385">
        <v>1312</v>
      </c>
      <c r="DT14" s="385">
        <v>1386</v>
      </c>
      <c r="DU14" s="385">
        <v>1568</v>
      </c>
      <c r="DV14" s="385">
        <v>1239</v>
      </c>
      <c r="DW14" s="385">
        <v>1055</v>
      </c>
      <c r="DX14" s="385">
        <v>1714</v>
      </c>
      <c r="DY14" s="385">
        <v>1642</v>
      </c>
      <c r="DZ14" s="385">
        <v>1812</v>
      </c>
      <c r="EA14" s="385">
        <v>1341</v>
      </c>
      <c r="EB14" s="385">
        <v>1396</v>
      </c>
      <c r="EC14" s="385">
        <v>1281</v>
      </c>
      <c r="ED14" s="385">
        <v>1064</v>
      </c>
      <c r="EE14" s="385">
        <v>2034</v>
      </c>
      <c r="EF14" s="385">
        <v>1846</v>
      </c>
      <c r="EG14" s="385">
        <v>1805</v>
      </c>
      <c r="EH14" s="385">
        <v>1953</v>
      </c>
      <c r="EI14" s="385">
        <v>1918</v>
      </c>
      <c r="EJ14" s="385">
        <v>1706</v>
      </c>
      <c r="EK14" s="385">
        <v>1553</v>
      </c>
      <c r="EL14" s="385">
        <v>2280</v>
      </c>
      <c r="EM14" s="385">
        <v>2320</v>
      </c>
      <c r="EN14" s="385">
        <v>2271</v>
      </c>
      <c r="EO14" s="385">
        <v>2112</v>
      </c>
      <c r="EP14" s="385">
        <v>2171</v>
      </c>
      <c r="EQ14" s="385">
        <v>1685</v>
      </c>
      <c r="ER14" s="385">
        <v>1320</v>
      </c>
      <c r="ES14" s="385">
        <v>2125</v>
      </c>
      <c r="ET14" s="385">
        <v>2273</v>
      </c>
      <c r="EU14" s="385">
        <v>2207</v>
      </c>
      <c r="EV14" s="385">
        <v>2245</v>
      </c>
      <c r="EW14" s="385">
        <v>2178</v>
      </c>
      <c r="EX14" s="385">
        <v>1926</v>
      </c>
      <c r="EY14" s="385">
        <v>1631</v>
      </c>
      <c r="EZ14" s="385">
        <v>2879</v>
      </c>
      <c r="FA14" s="385">
        <v>2800</v>
      </c>
      <c r="FB14" s="385">
        <v>2892</v>
      </c>
      <c r="FC14" s="385">
        <v>2521</v>
      </c>
      <c r="FD14" s="385">
        <v>2321</v>
      </c>
      <c r="FE14" s="385">
        <v>1842</v>
      </c>
      <c r="FF14" s="385">
        <v>1484</v>
      </c>
      <c r="FG14" s="385">
        <v>2521</v>
      </c>
      <c r="FH14" s="385">
        <v>2369</v>
      </c>
      <c r="FI14" s="385">
        <v>2233</v>
      </c>
      <c r="FJ14" s="385">
        <v>2089</v>
      </c>
      <c r="FK14" s="385">
        <v>2145</v>
      </c>
      <c r="FL14" s="385">
        <v>1899</v>
      </c>
      <c r="FM14" s="385">
        <v>1390</v>
      </c>
      <c r="FN14" s="385">
        <v>1833</v>
      </c>
      <c r="FO14" s="385">
        <v>2442</v>
      </c>
      <c r="FP14" s="385">
        <v>2606</v>
      </c>
      <c r="FQ14" s="385">
        <v>2219</v>
      </c>
      <c r="FR14" s="385">
        <v>2406</v>
      </c>
      <c r="FS14" s="385">
        <v>2007</v>
      </c>
      <c r="FT14" s="385">
        <v>1483</v>
      </c>
      <c r="FU14" s="385">
        <v>2649</v>
      </c>
      <c r="FV14" s="385">
        <v>2940</v>
      </c>
      <c r="FW14" s="385">
        <v>3176</v>
      </c>
      <c r="FX14" s="385">
        <v>3013</v>
      </c>
      <c r="FY14" s="385">
        <v>2815</v>
      </c>
      <c r="FZ14" s="385">
        <v>2054</v>
      </c>
      <c r="GA14" s="385">
        <v>1565</v>
      </c>
      <c r="GB14" s="385">
        <v>2682</v>
      </c>
      <c r="GC14" s="385">
        <v>2692</v>
      </c>
      <c r="GD14" s="385">
        <v>2206</v>
      </c>
      <c r="GE14" s="385">
        <v>2341</v>
      </c>
      <c r="GF14" s="385">
        <v>2425</v>
      </c>
      <c r="GG14" s="385">
        <v>1908</v>
      </c>
      <c r="GH14" s="385">
        <v>1411</v>
      </c>
      <c r="GI14" s="385">
        <v>2508</v>
      </c>
      <c r="GJ14" s="385">
        <v>2616</v>
      </c>
      <c r="GK14" s="385">
        <v>2549</v>
      </c>
      <c r="GL14" s="385">
        <v>2386</v>
      </c>
      <c r="GM14" s="385">
        <v>2403</v>
      </c>
      <c r="GN14" s="385">
        <v>1614</v>
      </c>
      <c r="GO14" s="385">
        <v>1359</v>
      </c>
      <c r="GP14" s="385">
        <v>2093</v>
      </c>
      <c r="GQ14" s="385">
        <v>2123</v>
      </c>
      <c r="GR14" s="385">
        <v>2149</v>
      </c>
      <c r="GS14" s="385">
        <v>1856</v>
      </c>
      <c r="GT14" s="385">
        <v>1919</v>
      </c>
      <c r="GU14" s="385">
        <v>1363</v>
      </c>
      <c r="GV14" s="385">
        <v>1012</v>
      </c>
      <c r="GW14" s="385">
        <v>1690</v>
      </c>
      <c r="GX14" s="385">
        <v>1888</v>
      </c>
      <c r="GY14" s="385">
        <v>1877</v>
      </c>
      <c r="GZ14" s="385">
        <v>1913</v>
      </c>
      <c r="HA14" s="385">
        <v>1967</v>
      </c>
      <c r="HB14" s="385">
        <v>1304</v>
      </c>
      <c r="HC14" s="385">
        <v>1165</v>
      </c>
      <c r="HD14" s="385">
        <v>1907</v>
      </c>
      <c r="HE14" s="385">
        <v>1989</v>
      </c>
      <c r="HF14" s="385">
        <v>2067</v>
      </c>
      <c r="HG14" s="385">
        <v>1833</v>
      </c>
      <c r="HH14" s="385">
        <v>1834</v>
      </c>
      <c r="HI14" s="385">
        <v>1146</v>
      </c>
      <c r="HJ14" s="385">
        <v>893</v>
      </c>
      <c r="HK14" s="385">
        <v>1597</v>
      </c>
      <c r="HL14" s="385">
        <v>1759</v>
      </c>
      <c r="HM14" s="385">
        <v>1664</v>
      </c>
      <c r="HN14" s="385">
        <v>1677</v>
      </c>
      <c r="HO14" s="385">
        <v>1687</v>
      </c>
      <c r="HP14" s="385">
        <v>1355</v>
      </c>
      <c r="HQ14" s="385">
        <v>1017</v>
      </c>
      <c r="HR14" s="385">
        <v>1223</v>
      </c>
      <c r="HS14" s="385">
        <v>1604</v>
      </c>
      <c r="HT14" s="385">
        <v>1677</v>
      </c>
      <c r="HU14" s="385">
        <v>1545</v>
      </c>
      <c r="HV14" s="385">
        <v>1582</v>
      </c>
      <c r="HW14" s="385">
        <v>1036</v>
      </c>
      <c r="HX14" s="385">
        <v>688</v>
      </c>
      <c r="HY14" s="385">
        <v>1252</v>
      </c>
      <c r="HZ14" s="385">
        <v>1249</v>
      </c>
      <c r="IA14" s="385">
        <v>1148</v>
      </c>
      <c r="IB14" s="385">
        <v>1019</v>
      </c>
      <c r="IC14" s="385">
        <v>1069</v>
      </c>
      <c r="ID14" s="385">
        <v>856</v>
      </c>
      <c r="IE14" s="385">
        <v>595</v>
      </c>
      <c r="IF14" s="385">
        <v>1100</v>
      </c>
      <c r="IG14" s="385">
        <v>1092</v>
      </c>
      <c r="IH14" s="385">
        <v>1000</v>
      </c>
      <c r="II14" s="385">
        <v>900</v>
      </c>
      <c r="IJ14" s="385">
        <v>734</v>
      </c>
      <c r="IK14" s="385">
        <v>510</v>
      </c>
      <c r="IL14" s="385">
        <v>559</v>
      </c>
      <c r="IM14" s="385">
        <v>840</v>
      </c>
      <c r="IN14" s="385">
        <v>778</v>
      </c>
      <c r="IO14" s="385">
        <v>891</v>
      </c>
      <c r="IP14" s="385">
        <v>1064</v>
      </c>
      <c r="IQ14" s="385">
        <v>823</v>
      </c>
      <c r="IR14" s="385">
        <v>622</v>
      </c>
      <c r="IS14" s="385">
        <v>483</v>
      </c>
      <c r="IT14" s="385">
        <v>877</v>
      </c>
      <c r="IU14" s="385">
        <v>909</v>
      </c>
      <c r="IV14" s="385">
        <v>806</v>
      </c>
      <c r="IW14" s="385">
        <v>733</v>
      </c>
      <c r="IX14" s="385">
        <v>774</v>
      </c>
      <c r="IY14" s="385">
        <v>640</v>
      </c>
      <c r="IZ14" s="385">
        <v>405</v>
      </c>
      <c r="JA14" s="385">
        <v>712</v>
      </c>
      <c r="JB14" s="385">
        <v>811</v>
      </c>
      <c r="JC14" s="385">
        <v>798</v>
      </c>
      <c r="JD14" s="385">
        <v>676</v>
      </c>
      <c r="JE14" s="385">
        <v>566</v>
      </c>
      <c r="JF14" s="385">
        <v>526</v>
      </c>
      <c r="JG14" s="385">
        <v>358</v>
      </c>
      <c r="JH14" s="385">
        <v>379</v>
      </c>
      <c r="JI14" s="385">
        <v>647</v>
      </c>
      <c r="JJ14" s="385">
        <v>766</v>
      </c>
      <c r="JK14" s="385">
        <v>631</v>
      </c>
      <c r="JL14" s="385">
        <v>591</v>
      </c>
      <c r="JM14" s="385">
        <v>491</v>
      </c>
      <c r="JN14" s="385">
        <v>442</v>
      </c>
      <c r="JO14" s="385">
        <v>618</v>
      </c>
      <c r="JP14" s="385">
        <v>591</v>
      </c>
      <c r="JQ14" s="385">
        <v>452</v>
      </c>
      <c r="JR14" s="385">
        <v>551</v>
      </c>
      <c r="JS14" s="385">
        <v>560</v>
      </c>
      <c r="JT14" s="385">
        <v>458</v>
      </c>
      <c r="JU14" s="385">
        <v>376</v>
      </c>
      <c r="JV14" s="385">
        <v>424</v>
      </c>
      <c r="JW14" s="385">
        <v>493</v>
      </c>
      <c r="JX14" s="385">
        <v>689</v>
      </c>
      <c r="JY14" s="385">
        <v>719</v>
      </c>
      <c r="JZ14" s="385">
        <v>681</v>
      </c>
      <c r="KA14" s="385">
        <v>563</v>
      </c>
      <c r="KB14" s="385">
        <v>512</v>
      </c>
      <c r="KC14" s="385">
        <v>875</v>
      </c>
      <c r="KD14" s="385">
        <v>852</v>
      </c>
      <c r="KE14" s="385">
        <v>819</v>
      </c>
      <c r="KF14" s="385">
        <v>1015</v>
      </c>
      <c r="KG14" s="385">
        <v>1106</v>
      </c>
      <c r="KH14" s="385">
        <v>821</v>
      </c>
      <c r="KI14" s="385">
        <v>746</v>
      </c>
      <c r="KJ14" s="385">
        <v>1307</v>
      </c>
      <c r="KK14" s="385">
        <v>1264</v>
      </c>
      <c r="KL14" s="385">
        <v>1503</v>
      </c>
      <c r="KM14" s="385">
        <v>782</v>
      </c>
      <c r="KN14" s="385">
        <v>489</v>
      </c>
      <c r="KO14" s="385">
        <v>1503</v>
      </c>
      <c r="KP14" s="385">
        <v>1158</v>
      </c>
      <c r="KQ14" s="385">
        <v>2015</v>
      </c>
      <c r="KR14" s="385">
        <v>2190</v>
      </c>
      <c r="KS14" s="385">
        <v>2251</v>
      </c>
      <c r="KT14" s="385">
        <v>1329</v>
      </c>
      <c r="KU14" s="385">
        <v>620</v>
      </c>
      <c r="KV14" s="385">
        <v>1565</v>
      </c>
      <c r="KW14" s="385">
        <v>1507</v>
      </c>
      <c r="KX14" s="385">
        <v>2441</v>
      </c>
      <c r="KY14" s="385">
        <v>2502</v>
      </c>
      <c r="KZ14" s="385">
        <v>2453</v>
      </c>
      <c r="LA14" s="385">
        <v>2314</v>
      </c>
      <c r="LB14" s="385">
        <v>2270</v>
      </c>
      <c r="LC14" s="385">
        <v>1865</v>
      </c>
      <c r="LD14" s="385">
        <v>1271</v>
      </c>
      <c r="LE14" s="385">
        <v>2067</v>
      </c>
      <c r="LF14" s="385">
        <v>2128</v>
      </c>
      <c r="LG14" s="385">
        <v>2188</v>
      </c>
      <c r="LH14" s="385">
        <v>2013</v>
      </c>
      <c r="LI14" s="385">
        <v>2082</v>
      </c>
      <c r="LJ14" s="385">
        <v>1578</v>
      </c>
      <c r="LK14" s="385">
        <v>1338</v>
      </c>
      <c r="LL14" s="385">
        <v>2244</v>
      </c>
      <c r="LM14" s="385">
        <v>2067</v>
      </c>
      <c r="LN14" s="385">
        <v>2029</v>
      </c>
      <c r="LO14" s="385">
        <v>1936</v>
      </c>
      <c r="LP14" s="385">
        <v>1754</v>
      </c>
      <c r="LQ14" s="385">
        <v>1431</v>
      </c>
      <c r="LR14" s="385">
        <v>1216</v>
      </c>
      <c r="LS14" s="385">
        <v>2043</v>
      </c>
      <c r="LT14" s="385">
        <v>1921</v>
      </c>
      <c r="LU14" s="385">
        <v>1821</v>
      </c>
      <c r="LV14" s="385">
        <v>1812</v>
      </c>
      <c r="LW14" s="385">
        <v>1778</v>
      </c>
      <c r="LX14" s="385">
        <v>1450</v>
      </c>
      <c r="LY14" s="385">
        <v>1324</v>
      </c>
      <c r="LZ14" s="385">
        <v>2000</v>
      </c>
      <c r="MA14" s="385">
        <v>1678</v>
      </c>
      <c r="MB14" s="385">
        <v>1666</v>
      </c>
      <c r="MC14" s="385">
        <v>1559</v>
      </c>
      <c r="MD14" s="385">
        <v>1448</v>
      </c>
      <c r="ME14" s="385">
        <v>1081</v>
      </c>
      <c r="MF14" s="385">
        <v>876</v>
      </c>
      <c r="MG14" s="385">
        <v>1525</v>
      </c>
      <c r="MH14" s="385">
        <v>1300</v>
      </c>
      <c r="MI14" s="385">
        <v>1300</v>
      </c>
      <c r="MJ14" s="385">
        <v>1239</v>
      </c>
      <c r="MK14" s="385">
        <v>1271</v>
      </c>
      <c r="ML14" s="385">
        <v>989</v>
      </c>
      <c r="MM14" s="385">
        <v>753</v>
      </c>
      <c r="MN14" s="385">
        <v>962</v>
      </c>
      <c r="MO14" s="385">
        <v>948</v>
      </c>
      <c r="MP14" s="385">
        <v>1402</v>
      </c>
      <c r="MQ14" s="385">
        <v>1370</v>
      </c>
      <c r="MR14" s="385">
        <v>1280</v>
      </c>
      <c r="MS14" s="385">
        <v>1023</v>
      </c>
      <c r="MT14" s="385">
        <v>899</v>
      </c>
      <c r="MU14" s="385">
        <v>1162</v>
      </c>
      <c r="MV14" s="385">
        <v>1278</v>
      </c>
      <c r="MW14" s="385">
        <v>1132</v>
      </c>
      <c r="MX14" s="385">
        <v>1325</v>
      </c>
      <c r="MY14" s="385">
        <v>1153</v>
      </c>
      <c r="MZ14" s="385">
        <v>918</v>
      </c>
      <c r="NA14" s="385">
        <v>719</v>
      </c>
      <c r="NB14" s="385">
        <v>1370</v>
      </c>
      <c r="NC14" s="385">
        <v>1213</v>
      </c>
      <c r="ND14" s="385">
        <v>1339</v>
      </c>
      <c r="NE14" s="385">
        <v>1246</v>
      </c>
      <c r="NF14" s="385">
        <v>1377</v>
      </c>
      <c r="NG14" s="385">
        <v>979</v>
      </c>
      <c r="NH14" s="385">
        <v>876</v>
      </c>
      <c r="NI14" s="385">
        <v>1475</v>
      </c>
      <c r="NJ14" s="385">
        <v>1490</v>
      </c>
      <c r="NK14" s="385">
        <v>1431</v>
      </c>
      <c r="NL14" s="385">
        <v>1391</v>
      </c>
      <c r="NM14" s="385">
        <v>1488</v>
      </c>
      <c r="NN14" s="385">
        <v>1231</v>
      </c>
      <c r="NO14" s="385">
        <v>1004</v>
      </c>
      <c r="NP14" s="385">
        <v>1603</v>
      </c>
      <c r="NQ14" s="385">
        <v>1549</v>
      </c>
      <c r="NR14" s="385">
        <v>1616</v>
      </c>
      <c r="NS14" s="385">
        <v>1537</v>
      </c>
      <c r="NT14" s="385">
        <v>1659</v>
      </c>
      <c r="NU14" s="385">
        <v>1194</v>
      </c>
      <c r="NV14" s="385">
        <v>1183</v>
      </c>
      <c r="NW14" s="385">
        <v>2073</v>
      </c>
      <c r="NX14" s="385">
        <v>2230</v>
      </c>
      <c r="NY14" s="385">
        <v>2084</v>
      </c>
      <c r="NZ14" s="385">
        <v>2621</v>
      </c>
      <c r="OA14" s="385">
        <v>2838</v>
      </c>
      <c r="OB14" s="385">
        <v>2310</v>
      </c>
      <c r="OC14" s="385">
        <v>2020</v>
      </c>
      <c r="OD14" s="385">
        <v>3285</v>
      </c>
      <c r="OE14" s="385">
        <v>3490</v>
      </c>
      <c r="OF14" s="385">
        <v>3693</v>
      </c>
      <c r="OG14" s="385">
        <v>3781</v>
      </c>
      <c r="OH14" s="385">
        <v>3137</v>
      </c>
      <c r="OI14" s="385">
        <v>3381</v>
      </c>
      <c r="OJ14" s="385">
        <v>3132</v>
      </c>
      <c r="OK14" s="385">
        <v>4988</v>
      </c>
      <c r="OL14" s="385">
        <v>4934</v>
      </c>
      <c r="OM14" s="385">
        <v>4685</v>
      </c>
      <c r="ON14" s="385">
        <v>4305</v>
      </c>
      <c r="OO14" s="385">
        <v>3705</v>
      </c>
      <c r="OP14" s="385">
        <v>2400</v>
      </c>
      <c r="OQ14" s="385">
        <v>1228</v>
      </c>
      <c r="OR14" s="385">
        <v>244</v>
      </c>
      <c r="OS14" s="385">
        <v>496196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516D-0863-4779-BE47-73CE874A5DD2}">
  <dimension ref="C1:BB39"/>
  <sheetViews>
    <sheetView workbookViewId="0"/>
  </sheetViews>
  <sheetFormatPr baseColWidth="10" defaultRowHeight="15" x14ac:dyDescent="0.25"/>
  <cols>
    <col min="9" max="9" width="11.5703125" bestFit="1" customWidth="1"/>
    <col min="10" max="10" width="12.7109375" bestFit="1" customWidth="1"/>
    <col min="11" max="13" width="11.5703125" bestFit="1" customWidth="1"/>
    <col min="14" max="14" width="11.5703125" style="347" bestFit="1" customWidth="1"/>
    <col min="15" max="15" width="11.5703125" bestFit="1" customWidth="1"/>
    <col min="16" max="16" width="11.5703125" style="347" bestFit="1" customWidth="1"/>
    <col min="17" max="17" width="11.5703125" bestFit="1" customWidth="1"/>
    <col min="18" max="18" width="11.5703125" style="347" bestFit="1" customWidth="1"/>
    <col min="19" max="19" width="11.5703125" bestFit="1" customWidth="1"/>
    <col min="20" max="20" width="11.5703125" style="347" bestFit="1" customWidth="1"/>
    <col min="21" max="21" width="11.5703125" bestFit="1" customWidth="1"/>
    <col min="22" max="22" width="11.5703125" style="347" bestFit="1" customWidth="1"/>
    <col min="23" max="23" width="11.5703125" bestFit="1" customWidth="1"/>
    <col min="24" max="24" width="11.5703125" style="347" bestFit="1" customWidth="1"/>
    <col min="25" max="25" width="11.5703125" bestFit="1" customWidth="1"/>
    <col min="26" max="26" width="11.5703125" style="347" bestFit="1" customWidth="1"/>
    <col min="27" max="27" width="11.5703125" bestFit="1" customWidth="1"/>
    <col min="28" max="28" width="11.5703125" style="347" bestFit="1" customWidth="1"/>
    <col min="29" max="29" width="11.5703125" bestFit="1" customWidth="1"/>
    <col min="30" max="30" width="11.5703125" style="347" bestFit="1" customWidth="1"/>
    <col min="31" max="31" width="11.5703125" bestFit="1" customWidth="1"/>
    <col min="32" max="32" width="11.42578125" style="347"/>
    <col min="34" max="34" width="11.42578125" style="347"/>
    <col min="36" max="36" width="11.42578125" style="347"/>
    <col min="38" max="38" width="11.42578125" style="347"/>
    <col min="40" max="40" width="11.42578125" style="347"/>
    <col min="42" max="42" width="11.42578125" style="347"/>
    <col min="44" max="44" width="11.42578125" style="347"/>
    <col min="46" max="46" width="11.42578125" style="347"/>
    <col min="48" max="48" width="11.42578125" style="347"/>
    <col min="50" max="50" width="11.42578125" style="347"/>
    <col min="52" max="52" width="11.42578125" style="347"/>
  </cols>
  <sheetData>
    <row r="1" spans="3:54" x14ac:dyDescent="0.25">
      <c r="C1" t="s">
        <v>346</v>
      </c>
      <c r="D1" t="s">
        <v>317</v>
      </c>
      <c r="E1" t="s">
        <v>318</v>
      </c>
      <c r="F1" t="s">
        <v>319</v>
      </c>
      <c r="G1" t="s">
        <v>320</v>
      </c>
      <c r="H1" t="s">
        <v>321</v>
      </c>
      <c r="I1" t="s">
        <v>322</v>
      </c>
      <c r="J1" t="s">
        <v>323</v>
      </c>
      <c r="K1" t="s">
        <v>324</v>
      </c>
      <c r="L1" t="s">
        <v>325</v>
      </c>
      <c r="M1" t="s">
        <v>326</v>
      </c>
      <c r="O1" t="s">
        <v>327</v>
      </c>
      <c r="Q1" t="s">
        <v>328</v>
      </c>
      <c r="S1" t="s">
        <v>329</v>
      </c>
      <c r="U1" t="s">
        <v>330</v>
      </c>
      <c r="W1" t="s">
        <v>331</v>
      </c>
      <c r="Y1" t="s">
        <v>332</v>
      </c>
      <c r="AA1" t="s">
        <v>333</v>
      </c>
      <c r="AC1" t="s">
        <v>334</v>
      </c>
      <c r="AE1" t="s">
        <v>335</v>
      </c>
      <c r="AG1" t="s">
        <v>336</v>
      </c>
      <c r="AI1" t="s">
        <v>337</v>
      </c>
      <c r="AK1" t="s">
        <v>338</v>
      </c>
      <c r="AM1" t="s">
        <v>339</v>
      </c>
      <c r="AO1" t="s">
        <v>340</v>
      </c>
      <c r="AQ1" t="s">
        <v>341</v>
      </c>
      <c r="AS1" t="s">
        <v>342</v>
      </c>
      <c r="AU1" t="s">
        <v>343</v>
      </c>
      <c r="AW1" t="s">
        <v>344</v>
      </c>
      <c r="AY1" t="s">
        <v>345</v>
      </c>
    </row>
    <row r="2" spans="3:54" x14ac:dyDescent="0.25">
      <c r="C2" t="s">
        <v>309</v>
      </c>
      <c r="E2">
        <v>1</v>
      </c>
      <c r="F2">
        <v>5</v>
      </c>
      <c r="G2">
        <v>21</v>
      </c>
      <c r="H2">
        <v>83</v>
      </c>
      <c r="I2">
        <v>393</v>
      </c>
      <c r="J2">
        <v>562</v>
      </c>
      <c r="K2">
        <v>828</v>
      </c>
      <c r="L2">
        <v>1023</v>
      </c>
      <c r="M2">
        <v>1079</v>
      </c>
      <c r="O2">
        <v>1161</v>
      </c>
      <c r="Q2">
        <v>1125</v>
      </c>
      <c r="S2">
        <v>1101</v>
      </c>
      <c r="U2">
        <v>894</v>
      </c>
      <c r="W2">
        <v>802</v>
      </c>
      <c r="Y2">
        <v>743</v>
      </c>
      <c r="AA2">
        <v>587</v>
      </c>
      <c r="AC2">
        <v>389</v>
      </c>
      <c r="AE2">
        <v>327</v>
      </c>
      <c r="AG2">
        <v>246</v>
      </c>
      <c r="AI2">
        <v>266</v>
      </c>
      <c r="AK2">
        <v>380</v>
      </c>
      <c r="AM2">
        <v>511</v>
      </c>
      <c r="AO2">
        <v>442</v>
      </c>
      <c r="AQ2">
        <v>404</v>
      </c>
      <c r="AS2">
        <v>311</v>
      </c>
      <c r="AU2">
        <v>487</v>
      </c>
      <c r="AW2">
        <v>638</v>
      </c>
      <c r="AY2">
        <v>1148</v>
      </c>
    </row>
    <row r="3" spans="3:54" x14ac:dyDescent="0.25">
      <c r="C3" t="s">
        <v>305</v>
      </c>
      <c r="D3">
        <v>1</v>
      </c>
      <c r="E3">
        <v>12</v>
      </c>
      <c r="F3">
        <v>10</v>
      </c>
      <c r="G3">
        <v>14</v>
      </c>
      <c r="H3">
        <v>98</v>
      </c>
      <c r="I3">
        <v>421</v>
      </c>
      <c r="J3">
        <v>631</v>
      </c>
      <c r="K3">
        <v>960</v>
      </c>
      <c r="L3">
        <v>1285</v>
      </c>
      <c r="M3">
        <v>1285</v>
      </c>
      <c r="O3">
        <v>1603</v>
      </c>
      <c r="Q3">
        <v>1751</v>
      </c>
      <c r="S3">
        <v>1754</v>
      </c>
      <c r="U3">
        <v>1645</v>
      </c>
      <c r="W3">
        <v>1429</v>
      </c>
      <c r="Y3">
        <v>1321</v>
      </c>
      <c r="AA3">
        <v>1078</v>
      </c>
      <c r="AC3">
        <v>774</v>
      </c>
      <c r="AE3">
        <v>678</v>
      </c>
      <c r="AG3">
        <v>525</v>
      </c>
      <c r="AI3">
        <v>720</v>
      </c>
      <c r="AK3">
        <v>1284</v>
      </c>
      <c r="AM3">
        <v>1923</v>
      </c>
      <c r="AO3">
        <v>2594</v>
      </c>
      <c r="AQ3">
        <v>2013</v>
      </c>
      <c r="AS3">
        <v>1141</v>
      </c>
      <c r="AU3">
        <v>1807</v>
      </c>
      <c r="AW3">
        <v>2365</v>
      </c>
      <c r="AY3">
        <v>5261</v>
      </c>
    </row>
    <row r="4" spans="3:54" x14ac:dyDescent="0.25">
      <c r="C4" t="s">
        <v>304</v>
      </c>
      <c r="D4">
        <v>12</v>
      </c>
      <c r="E4">
        <v>56</v>
      </c>
      <c r="F4">
        <v>54</v>
      </c>
      <c r="G4">
        <v>74</v>
      </c>
      <c r="H4">
        <v>219</v>
      </c>
      <c r="I4">
        <v>857</v>
      </c>
      <c r="J4">
        <v>1309</v>
      </c>
      <c r="K4">
        <v>2348</v>
      </c>
      <c r="L4">
        <v>3319</v>
      </c>
      <c r="M4">
        <v>3870</v>
      </c>
      <c r="O4">
        <v>5357</v>
      </c>
      <c r="Q4">
        <v>5831</v>
      </c>
      <c r="S4">
        <v>6103</v>
      </c>
      <c r="U4">
        <v>5750</v>
      </c>
      <c r="W4">
        <v>4644</v>
      </c>
      <c r="Y4">
        <v>4384</v>
      </c>
      <c r="AA4">
        <v>3381</v>
      </c>
      <c r="AC4">
        <v>2228</v>
      </c>
      <c r="AE4">
        <v>1883</v>
      </c>
      <c r="AG4">
        <v>1545</v>
      </c>
      <c r="AI4">
        <v>2283</v>
      </c>
      <c r="AK4">
        <v>4464</v>
      </c>
      <c r="AM4">
        <v>7814</v>
      </c>
      <c r="AO4">
        <v>6785</v>
      </c>
      <c r="AQ4">
        <v>4064</v>
      </c>
      <c r="AS4">
        <v>3298</v>
      </c>
      <c r="AU4">
        <v>3424</v>
      </c>
      <c r="AW4">
        <v>5388</v>
      </c>
      <c r="AY4">
        <v>11883</v>
      </c>
    </row>
    <row r="5" spans="3:54" x14ac:dyDescent="0.25">
      <c r="C5" t="s">
        <v>306</v>
      </c>
      <c r="D5">
        <v>7</v>
      </c>
      <c r="E5">
        <v>80</v>
      </c>
      <c r="F5">
        <v>107</v>
      </c>
      <c r="G5">
        <v>112</v>
      </c>
      <c r="H5">
        <v>281</v>
      </c>
      <c r="I5">
        <v>987</v>
      </c>
      <c r="J5">
        <v>1460</v>
      </c>
      <c r="K5">
        <v>2730</v>
      </c>
      <c r="L5">
        <v>4005</v>
      </c>
      <c r="M5">
        <v>5216</v>
      </c>
      <c r="O5">
        <v>6936</v>
      </c>
      <c r="Q5">
        <v>7561</v>
      </c>
      <c r="S5">
        <v>8152</v>
      </c>
      <c r="U5">
        <v>7529</v>
      </c>
      <c r="W5">
        <v>5781</v>
      </c>
      <c r="Y5">
        <v>5295</v>
      </c>
      <c r="AA5">
        <v>3822</v>
      </c>
      <c r="AC5">
        <v>2687</v>
      </c>
      <c r="AE5">
        <v>2231</v>
      </c>
      <c r="AG5">
        <v>1722</v>
      </c>
      <c r="AI5">
        <v>2241</v>
      </c>
      <c r="AK5">
        <v>4102</v>
      </c>
      <c r="AM5">
        <v>6388</v>
      </c>
      <c r="AO5">
        <v>4949</v>
      </c>
      <c r="AQ5">
        <v>4004</v>
      </c>
      <c r="AS5">
        <v>3597</v>
      </c>
      <c r="AU5">
        <v>3821</v>
      </c>
      <c r="AW5">
        <v>5468</v>
      </c>
      <c r="AY5">
        <v>11178</v>
      </c>
    </row>
    <row r="6" spans="3:54" x14ac:dyDescent="0.25">
      <c r="C6" t="s">
        <v>307</v>
      </c>
      <c r="D6">
        <v>17</v>
      </c>
      <c r="E6">
        <v>57</v>
      </c>
      <c r="F6">
        <v>52</v>
      </c>
      <c r="G6">
        <v>92</v>
      </c>
      <c r="H6">
        <v>201</v>
      </c>
      <c r="I6">
        <v>746</v>
      </c>
      <c r="J6">
        <v>1057</v>
      </c>
      <c r="K6">
        <v>2115</v>
      </c>
      <c r="L6">
        <v>3164</v>
      </c>
      <c r="M6">
        <v>4143</v>
      </c>
      <c r="O6">
        <v>5408</v>
      </c>
      <c r="Q6">
        <v>6051</v>
      </c>
      <c r="S6">
        <v>6477</v>
      </c>
      <c r="U6">
        <v>6429</v>
      </c>
      <c r="W6">
        <v>4777</v>
      </c>
      <c r="Y6">
        <v>4245</v>
      </c>
      <c r="AA6">
        <v>3254</v>
      </c>
      <c r="AC6">
        <v>2240</v>
      </c>
      <c r="AE6">
        <v>1784</v>
      </c>
      <c r="AG6">
        <v>1389</v>
      </c>
      <c r="AI6">
        <v>1739</v>
      </c>
      <c r="AK6">
        <v>3324</v>
      </c>
      <c r="AM6">
        <v>4647</v>
      </c>
      <c r="AO6">
        <v>3875</v>
      </c>
      <c r="AQ6">
        <v>3329</v>
      </c>
      <c r="AS6">
        <v>2861</v>
      </c>
      <c r="AU6">
        <v>3122</v>
      </c>
      <c r="AW6">
        <v>4709</v>
      </c>
      <c r="AY6">
        <v>9182</v>
      </c>
    </row>
    <row r="7" spans="3:54" x14ac:dyDescent="0.25">
      <c r="C7" t="s">
        <v>310</v>
      </c>
      <c r="D7">
        <v>8</v>
      </c>
      <c r="E7">
        <v>56</v>
      </c>
      <c r="F7">
        <v>67</v>
      </c>
      <c r="G7">
        <v>68</v>
      </c>
      <c r="H7">
        <v>105</v>
      </c>
      <c r="I7">
        <v>517</v>
      </c>
      <c r="J7">
        <v>755</v>
      </c>
      <c r="K7">
        <v>1457</v>
      </c>
      <c r="L7">
        <v>2219</v>
      </c>
      <c r="M7">
        <v>2931</v>
      </c>
      <c r="O7">
        <v>3813</v>
      </c>
      <c r="Q7">
        <v>4135</v>
      </c>
      <c r="S7">
        <v>4547</v>
      </c>
      <c r="U7">
        <v>4249</v>
      </c>
      <c r="W7">
        <v>3236</v>
      </c>
      <c r="Y7">
        <v>3155</v>
      </c>
      <c r="AA7">
        <v>2336</v>
      </c>
      <c r="AC7">
        <v>1522</v>
      </c>
      <c r="AE7">
        <v>1268</v>
      </c>
      <c r="AG7">
        <v>979</v>
      </c>
      <c r="AI7">
        <v>1235</v>
      </c>
      <c r="AK7">
        <v>2476</v>
      </c>
      <c r="AM7">
        <v>3564</v>
      </c>
      <c r="AO7">
        <v>3011</v>
      </c>
      <c r="AQ7">
        <v>2506</v>
      </c>
      <c r="AS7">
        <v>2024</v>
      </c>
      <c r="AU7">
        <v>2319</v>
      </c>
      <c r="AW7">
        <v>3315</v>
      </c>
      <c r="AY7">
        <v>6439</v>
      </c>
    </row>
    <row r="8" spans="3:54" x14ac:dyDescent="0.25">
      <c r="C8" t="s">
        <v>311</v>
      </c>
      <c r="D8">
        <v>8</v>
      </c>
      <c r="E8">
        <v>34</v>
      </c>
      <c r="F8">
        <v>51</v>
      </c>
      <c r="G8">
        <v>46</v>
      </c>
      <c r="H8">
        <v>68</v>
      </c>
      <c r="I8">
        <v>227</v>
      </c>
      <c r="J8">
        <v>362</v>
      </c>
      <c r="K8">
        <v>750</v>
      </c>
      <c r="L8">
        <v>1123</v>
      </c>
      <c r="M8">
        <v>1618</v>
      </c>
      <c r="O8">
        <v>1902</v>
      </c>
      <c r="Q8">
        <v>2268</v>
      </c>
      <c r="S8">
        <v>2363</v>
      </c>
      <c r="U8">
        <v>2323</v>
      </c>
      <c r="W8">
        <v>1909</v>
      </c>
      <c r="Y8">
        <v>1725</v>
      </c>
      <c r="AA8">
        <v>1230</v>
      </c>
      <c r="AC8">
        <v>873</v>
      </c>
      <c r="AE8">
        <v>810</v>
      </c>
      <c r="AG8">
        <v>603</v>
      </c>
      <c r="AI8">
        <v>775</v>
      </c>
      <c r="AK8">
        <v>1497</v>
      </c>
      <c r="AM8">
        <v>2118</v>
      </c>
      <c r="AO8">
        <v>1719</v>
      </c>
      <c r="AQ8">
        <v>1593</v>
      </c>
      <c r="AS8">
        <v>1288</v>
      </c>
      <c r="AU8">
        <v>1453</v>
      </c>
      <c r="AW8">
        <v>1984</v>
      </c>
      <c r="AY8">
        <v>3534</v>
      </c>
    </row>
    <row r="9" spans="3:54" x14ac:dyDescent="0.25">
      <c r="C9" t="s">
        <v>308</v>
      </c>
      <c r="D9">
        <v>3</v>
      </c>
      <c r="E9">
        <v>39</v>
      </c>
      <c r="F9">
        <v>52</v>
      </c>
      <c r="G9">
        <v>43</v>
      </c>
      <c r="H9">
        <v>38</v>
      </c>
      <c r="I9">
        <v>93</v>
      </c>
      <c r="J9">
        <v>223</v>
      </c>
      <c r="K9">
        <v>454</v>
      </c>
      <c r="L9">
        <v>664</v>
      </c>
      <c r="M9">
        <v>962</v>
      </c>
      <c r="O9">
        <v>1060</v>
      </c>
      <c r="Q9">
        <v>1211</v>
      </c>
      <c r="S9">
        <v>1237</v>
      </c>
      <c r="U9">
        <v>1263</v>
      </c>
      <c r="W9">
        <v>1041</v>
      </c>
      <c r="Y9">
        <v>855</v>
      </c>
      <c r="AA9">
        <v>711</v>
      </c>
      <c r="AC9">
        <v>459</v>
      </c>
      <c r="AE9">
        <v>417</v>
      </c>
      <c r="AG9">
        <v>310</v>
      </c>
      <c r="AI9">
        <v>419</v>
      </c>
      <c r="AK9">
        <v>820</v>
      </c>
      <c r="AM9">
        <v>1119</v>
      </c>
      <c r="AO9">
        <v>902</v>
      </c>
      <c r="AQ9">
        <v>861</v>
      </c>
      <c r="AS9">
        <v>700</v>
      </c>
      <c r="AU9">
        <v>771</v>
      </c>
      <c r="AW9">
        <v>1109</v>
      </c>
      <c r="AY9">
        <v>1611</v>
      </c>
    </row>
    <row r="10" spans="3:54" x14ac:dyDescent="0.25">
      <c r="C10" t="s">
        <v>312</v>
      </c>
      <c r="D10">
        <v>2</v>
      </c>
      <c r="E10">
        <v>17</v>
      </c>
      <c r="F10">
        <v>36</v>
      </c>
      <c r="G10">
        <v>109</v>
      </c>
      <c r="H10">
        <v>88</v>
      </c>
      <c r="I10">
        <v>125</v>
      </c>
      <c r="J10">
        <v>331</v>
      </c>
      <c r="K10">
        <v>585</v>
      </c>
      <c r="L10">
        <v>918</v>
      </c>
      <c r="M10">
        <v>1463</v>
      </c>
      <c r="O10">
        <v>1426</v>
      </c>
      <c r="Q10">
        <v>1693</v>
      </c>
      <c r="S10">
        <v>1299</v>
      </c>
      <c r="U10">
        <v>1224</v>
      </c>
      <c r="W10">
        <v>894</v>
      </c>
      <c r="Y10">
        <v>850</v>
      </c>
      <c r="AA10">
        <v>566</v>
      </c>
      <c r="AC10">
        <v>336</v>
      </c>
      <c r="AE10">
        <v>318</v>
      </c>
      <c r="AG10">
        <v>216</v>
      </c>
      <c r="AI10">
        <v>267</v>
      </c>
      <c r="AK10">
        <v>375</v>
      </c>
      <c r="AM10">
        <v>595</v>
      </c>
      <c r="AO10">
        <v>563</v>
      </c>
      <c r="AQ10">
        <v>482</v>
      </c>
      <c r="AS10">
        <v>385</v>
      </c>
      <c r="AU10">
        <v>421</v>
      </c>
      <c r="AW10">
        <v>525</v>
      </c>
      <c r="AY10">
        <v>700</v>
      </c>
    </row>
    <row r="13" spans="3:54" ht="30" x14ac:dyDescent="0.25">
      <c r="I13" s="347" t="s">
        <v>346</v>
      </c>
      <c r="J13" t="s">
        <v>323</v>
      </c>
      <c r="K13" t="s">
        <v>324</v>
      </c>
      <c r="L13" t="s">
        <v>347</v>
      </c>
      <c r="M13" s="387" t="s">
        <v>325</v>
      </c>
      <c r="N13" s="387" t="s">
        <v>325</v>
      </c>
      <c r="O13" s="387" t="s">
        <v>326</v>
      </c>
      <c r="P13" s="387"/>
      <c r="Q13" s="387" t="s">
        <v>327</v>
      </c>
      <c r="R13" s="387"/>
      <c r="S13" s="387" t="s">
        <v>328</v>
      </c>
      <c r="T13" s="387"/>
      <c r="U13" s="387" t="s">
        <v>329</v>
      </c>
      <c r="V13" s="387"/>
      <c r="W13" s="387" t="s">
        <v>330</v>
      </c>
      <c r="X13" s="387"/>
      <c r="Y13" s="387" t="s">
        <v>331</v>
      </c>
      <c r="Z13" s="387"/>
      <c r="AA13" s="387" t="s">
        <v>332</v>
      </c>
      <c r="AB13" s="387"/>
      <c r="AC13" s="387" t="s">
        <v>333</v>
      </c>
      <c r="AD13" s="387"/>
      <c r="AE13" s="387" t="s">
        <v>334</v>
      </c>
      <c r="AF13" s="387"/>
      <c r="AG13" s="387" t="s">
        <v>335</v>
      </c>
      <c r="AH13" s="387"/>
      <c r="AI13" s="387" t="s">
        <v>336</v>
      </c>
      <c r="AJ13" s="387"/>
      <c r="AK13" s="387" t="s">
        <v>337</v>
      </c>
      <c r="AL13" s="387"/>
      <c r="AM13" s="387" t="s">
        <v>338</v>
      </c>
      <c r="AN13" s="387"/>
      <c r="AO13" s="387" t="s">
        <v>339</v>
      </c>
      <c r="AP13" s="387"/>
      <c r="AQ13" s="387" t="s">
        <v>340</v>
      </c>
      <c r="AR13" s="387"/>
      <c r="AS13" s="387" t="s">
        <v>341</v>
      </c>
      <c r="AT13" s="387"/>
      <c r="AU13" t="s">
        <v>342</v>
      </c>
      <c r="AW13" t="s">
        <v>343</v>
      </c>
      <c r="AY13" t="s">
        <v>344</v>
      </c>
      <c r="BA13" t="s">
        <v>345</v>
      </c>
    </row>
    <row r="14" spans="3:54" x14ac:dyDescent="0.25">
      <c r="I14" s="347" t="s">
        <v>309</v>
      </c>
      <c r="J14">
        <v>562</v>
      </c>
      <c r="K14">
        <v>828</v>
      </c>
      <c r="L14" s="386">
        <f>K14/J14</f>
        <v>1.4733096085409252</v>
      </c>
      <c r="M14">
        <v>1023</v>
      </c>
      <c r="N14" s="347">
        <f>M14/K14</f>
        <v>1.2355072463768115</v>
      </c>
      <c r="O14">
        <v>1079</v>
      </c>
      <c r="P14" s="347">
        <f>O14/M14</f>
        <v>1.0547409579667644</v>
      </c>
      <c r="Q14">
        <v>1161</v>
      </c>
      <c r="R14" s="347">
        <f>Q14/O14</f>
        <v>1.0759962928637627</v>
      </c>
      <c r="S14">
        <v>1125</v>
      </c>
      <c r="T14" s="347">
        <f>S14/Q14</f>
        <v>0.96899224806201545</v>
      </c>
      <c r="U14">
        <v>1101</v>
      </c>
      <c r="V14" s="347">
        <f>U14/S14</f>
        <v>0.97866666666666668</v>
      </c>
      <c r="W14">
        <v>894</v>
      </c>
      <c r="X14" s="347">
        <f>W14/U14</f>
        <v>0.81198910081743869</v>
      </c>
      <c r="Y14">
        <v>802</v>
      </c>
      <c r="Z14" s="347">
        <f>Y14/W14</f>
        <v>0.8970917225950783</v>
      </c>
      <c r="AA14">
        <v>743</v>
      </c>
      <c r="AB14" s="347">
        <f>AA14/Y14</f>
        <v>0.92643391521197005</v>
      </c>
      <c r="AC14">
        <v>587</v>
      </c>
      <c r="AD14" s="347">
        <f>AC14/AA14</f>
        <v>0.79004037685060569</v>
      </c>
      <c r="AE14">
        <v>389</v>
      </c>
      <c r="AF14" s="347">
        <f>AE14/AC14</f>
        <v>0.66269165247018735</v>
      </c>
      <c r="AG14">
        <v>327</v>
      </c>
      <c r="AH14" s="347">
        <f>AG14/AE14</f>
        <v>0.84061696658097684</v>
      </c>
      <c r="AI14">
        <v>246</v>
      </c>
      <c r="AJ14" s="347">
        <f>AI14/AG14</f>
        <v>0.75229357798165142</v>
      </c>
      <c r="AK14">
        <v>266</v>
      </c>
      <c r="AL14" s="347">
        <f>AK14/AI14</f>
        <v>1.0813008130081301</v>
      </c>
      <c r="AM14">
        <v>380</v>
      </c>
      <c r="AN14" s="347">
        <f>AM14/AK14</f>
        <v>1.4285714285714286</v>
      </c>
      <c r="AO14">
        <v>511</v>
      </c>
      <c r="AP14" s="347">
        <f>AO14/AM14</f>
        <v>1.3447368421052632</v>
      </c>
      <c r="AQ14">
        <v>442</v>
      </c>
      <c r="AR14" s="347">
        <f>AQ14/AO14</f>
        <v>0.86497064579256355</v>
      </c>
      <c r="AS14">
        <v>404</v>
      </c>
      <c r="AT14" s="347">
        <f>AS14/AQ14</f>
        <v>0.91402714932126694</v>
      </c>
      <c r="AU14">
        <v>311</v>
      </c>
      <c r="AV14" s="347">
        <f>AU14/AS14</f>
        <v>0.76980198019801982</v>
      </c>
      <c r="AW14">
        <v>487</v>
      </c>
      <c r="AX14" s="347">
        <f>AW14/AU14</f>
        <v>1.5659163987138263</v>
      </c>
      <c r="AY14">
        <v>638</v>
      </c>
      <c r="AZ14" s="347">
        <f>AY14/AW14</f>
        <v>1.3100616016427105</v>
      </c>
      <c r="BA14">
        <v>1148</v>
      </c>
      <c r="BB14" s="347">
        <f>BA14/AY14</f>
        <v>1.7993730407523512</v>
      </c>
    </row>
    <row r="15" spans="3:54" x14ac:dyDescent="0.25">
      <c r="I15" s="347" t="s">
        <v>305</v>
      </c>
      <c r="J15">
        <v>631</v>
      </c>
      <c r="K15">
        <v>960</v>
      </c>
      <c r="L15" s="386">
        <f t="shared" ref="L15:L22" si="0">K15/J15</f>
        <v>1.5213946117274169</v>
      </c>
      <c r="M15">
        <v>1285</v>
      </c>
      <c r="N15" s="347">
        <f t="shared" ref="N15:BB22" si="1">M15/K15</f>
        <v>1.3385416666666667</v>
      </c>
      <c r="O15">
        <v>1285</v>
      </c>
      <c r="P15" s="347">
        <f t="shared" si="1"/>
        <v>1</v>
      </c>
      <c r="Q15">
        <v>1603</v>
      </c>
      <c r="R15" s="347">
        <f t="shared" si="1"/>
        <v>1.2474708171206226</v>
      </c>
      <c r="S15">
        <v>1751</v>
      </c>
      <c r="T15" s="347">
        <f t="shared" si="1"/>
        <v>1.0923268870867124</v>
      </c>
      <c r="U15">
        <v>1754</v>
      </c>
      <c r="V15" s="347">
        <f t="shared" si="1"/>
        <v>1.001713306681896</v>
      </c>
      <c r="W15">
        <v>1645</v>
      </c>
      <c r="X15" s="347">
        <f t="shared" si="1"/>
        <v>0.93785632839224631</v>
      </c>
      <c r="Y15">
        <v>1429</v>
      </c>
      <c r="Z15" s="347">
        <f t="shared" si="1"/>
        <v>0.86869300911854108</v>
      </c>
      <c r="AA15">
        <v>1321</v>
      </c>
      <c r="AB15" s="347">
        <f t="shared" si="1"/>
        <v>0.92442267319804061</v>
      </c>
      <c r="AC15">
        <v>1078</v>
      </c>
      <c r="AD15" s="347">
        <f t="shared" si="1"/>
        <v>0.81604844814534439</v>
      </c>
      <c r="AE15">
        <v>774</v>
      </c>
      <c r="AF15" s="347">
        <f t="shared" si="1"/>
        <v>0.71799628942486082</v>
      </c>
      <c r="AG15">
        <v>678</v>
      </c>
      <c r="AH15" s="347">
        <f t="shared" si="1"/>
        <v>0.87596899224806202</v>
      </c>
      <c r="AI15">
        <v>525</v>
      </c>
      <c r="AJ15" s="347">
        <f t="shared" si="1"/>
        <v>0.77433628318584069</v>
      </c>
      <c r="AK15">
        <v>720</v>
      </c>
      <c r="AL15" s="347">
        <f t="shared" si="1"/>
        <v>1.3714285714285714</v>
      </c>
      <c r="AM15">
        <v>1284</v>
      </c>
      <c r="AN15" s="347">
        <f t="shared" si="1"/>
        <v>1.7833333333333334</v>
      </c>
      <c r="AO15">
        <v>1923</v>
      </c>
      <c r="AP15" s="347">
        <f t="shared" si="1"/>
        <v>1.4976635514018692</v>
      </c>
      <c r="AQ15">
        <v>2594</v>
      </c>
      <c r="AR15" s="347">
        <f t="shared" si="1"/>
        <v>1.3489339573582944</v>
      </c>
      <c r="AS15">
        <v>2013</v>
      </c>
      <c r="AT15" s="347">
        <f t="shared" si="1"/>
        <v>0.7760215882806476</v>
      </c>
      <c r="AU15">
        <v>1141</v>
      </c>
      <c r="AV15" s="347">
        <f t="shared" si="1"/>
        <v>0.56681569796323894</v>
      </c>
      <c r="AW15">
        <v>1807</v>
      </c>
      <c r="AX15" s="347">
        <f t="shared" si="1"/>
        <v>1.5836985100788781</v>
      </c>
      <c r="AY15">
        <v>2365</v>
      </c>
      <c r="AZ15" s="347">
        <f t="shared" si="1"/>
        <v>1.3087991145545101</v>
      </c>
      <c r="BA15">
        <v>5261</v>
      </c>
      <c r="BB15" s="347">
        <f t="shared" si="1"/>
        <v>2.2245243128964058</v>
      </c>
    </row>
    <row r="16" spans="3:54" x14ac:dyDescent="0.25">
      <c r="I16" s="347" t="s">
        <v>304</v>
      </c>
      <c r="J16">
        <v>1309</v>
      </c>
      <c r="K16">
        <v>2348</v>
      </c>
      <c r="L16" s="386">
        <f t="shared" si="0"/>
        <v>1.7937356760886172</v>
      </c>
      <c r="M16">
        <v>3319</v>
      </c>
      <c r="N16" s="347">
        <f t="shared" si="1"/>
        <v>1.4135434412265757</v>
      </c>
      <c r="O16">
        <v>3870</v>
      </c>
      <c r="P16" s="347">
        <f t="shared" si="1"/>
        <v>1.1660138595962639</v>
      </c>
      <c r="Q16">
        <v>5357</v>
      </c>
      <c r="R16" s="347">
        <f t="shared" si="1"/>
        <v>1.3842377260981913</v>
      </c>
      <c r="S16">
        <v>5831</v>
      </c>
      <c r="T16" s="347">
        <f t="shared" si="1"/>
        <v>1.0884823595295874</v>
      </c>
      <c r="U16">
        <v>6103</v>
      </c>
      <c r="V16" s="347">
        <f t="shared" si="1"/>
        <v>1.0466472303206997</v>
      </c>
      <c r="W16">
        <v>5750</v>
      </c>
      <c r="X16" s="347">
        <f t="shared" si="1"/>
        <v>0.94215959364247093</v>
      </c>
      <c r="Y16">
        <v>4644</v>
      </c>
      <c r="Z16" s="347">
        <f t="shared" si="1"/>
        <v>0.80765217391304345</v>
      </c>
      <c r="AA16">
        <v>4384</v>
      </c>
      <c r="AB16" s="347">
        <f t="shared" si="1"/>
        <v>0.94401378122308355</v>
      </c>
      <c r="AC16">
        <v>3381</v>
      </c>
      <c r="AD16" s="347">
        <f t="shared" si="1"/>
        <v>0.77121350364963503</v>
      </c>
      <c r="AE16">
        <v>2228</v>
      </c>
      <c r="AF16" s="347">
        <f t="shared" si="1"/>
        <v>0.65897663413191365</v>
      </c>
      <c r="AG16">
        <v>1883</v>
      </c>
      <c r="AH16" s="347">
        <f t="shared" si="1"/>
        <v>0.8451526032315978</v>
      </c>
      <c r="AI16">
        <v>1545</v>
      </c>
      <c r="AJ16" s="347">
        <f t="shared" si="1"/>
        <v>0.82049920339883164</v>
      </c>
      <c r="AK16">
        <v>2283</v>
      </c>
      <c r="AL16" s="347">
        <f t="shared" si="1"/>
        <v>1.4776699029126215</v>
      </c>
      <c r="AM16">
        <v>4464</v>
      </c>
      <c r="AN16" s="347">
        <f t="shared" si="1"/>
        <v>1.9553219448094612</v>
      </c>
      <c r="AO16">
        <v>7814</v>
      </c>
      <c r="AP16" s="347">
        <f t="shared" si="1"/>
        <v>1.7504480286738351</v>
      </c>
      <c r="AQ16">
        <v>6785</v>
      </c>
      <c r="AR16" s="347">
        <f t="shared" si="1"/>
        <v>0.86831328384950091</v>
      </c>
      <c r="AS16">
        <v>4064</v>
      </c>
      <c r="AT16" s="347">
        <f t="shared" si="1"/>
        <v>0.59896831245394255</v>
      </c>
      <c r="AU16">
        <v>3298</v>
      </c>
      <c r="AV16" s="347">
        <f t="shared" si="1"/>
        <v>0.81151574803149606</v>
      </c>
      <c r="AW16">
        <v>3424</v>
      </c>
      <c r="AX16" s="347">
        <f t="shared" si="1"/>
        <v>1.0382049727107339</v>
      </c>
      <c r="AY16">
        <v>5388</v>
      </c>
      <c r="AZ16" s="347">
        <f t="shared" si="1"/>
        <v>1.5735981308411215</v>
      </c>
      <c r="BA16">
        <v>11883</v>
      </c>
      <c r="BB16" s="347">
        <f t="shared" si="1"/>
        <v>2.2054565701559019</v>
      </c>
    </row>
    <row r="17" spans="6:54" x14ac:dyDescent="0.25">
      <c r="I17" s="347" t="s">
        <v>306</v>
      </c>
      <c r="J17">
        <v>1460</v>
      </c>
      <c r="K17">
        <v>2730</v>
      </c>
      <c r="L17" s="386">
        <f t="shared" si="0"/>
        <v>1.8698630136986301</v>
      </c>
      <c r="M17">
        <v>4005</v>
      </c>
      <c r="N17" s="347">
        <f t="shared" si="1"/>
        <v>1.4670329670329669</v>
      </c>
      <c r="O17">
        <v>5216</v>
      </c>
      <c r="P17" s="347">
        <f t="shared" si="1"/>
        <v>1.3023720349563046</v>
      </c>
      <c r="Q17">
        <v>6936</v>
      </c>
      <c r="R17" s="347">
        <f t="shared" si="1"/>
        <v>1.3297546012269938</v>
      </c>
      <c r="S17">
        <v>7561</v>
      </c>
      <c r="T17" s="347">
        <f t="shared" si="1"/>
        <v>1.0901095732410611</v>
      </c>
      <c r="U17">
        <v>8152</v>
      </c>
      <c r="V17" s="347">
        <f t="shared" si="1"/>
        <v>1.0781642639862452</v>
      </c>
      <c r="W17">
        <v>7529</v>
      </c>
      <c r="X17" s="347">
        <f t="shared" si="1"/>
        <v>0.9235770363101079</v>
      </c>
      <c r="Y17">
        <v>5781</v>
      </c>
      <c r="Z17" s="347">
        <f t="shared" si="1"/>
        <v>0.7678310532607252</v>
      </c>
      <c r="AA17">
        <v>5295</v>
      </c>
      <c r="AB17" s="347">
        <f t="shared" si="1"/>
        <v>0.91593149974052934</v>
      </c>
      <c r="AC17">
        <v>3822</v>
      </c>
      <c r="AD17" s="347">
        <f t="shared" si="1"/>
        <v>0.72181303116147311</v>
      </c>
      <c r="AE17">
        <v>2687</v>
      </c>
      <c r="AF17" s="347">
        <f t="shared" si="1"/>
        <v>0.70303506017791728</v>
      </c>
      <c r="AG17">
        <v>2231</v>
      </c>
      <c r="AH17" s="347">
        <f t="shared" si="1"/>
        <v>0.83029400818756982</v>
      </c>
      <c r="AI17">
        <v>1722</v>
      </c>
      <c r="AJ17" s="347">
        <f t="shared" si="1"/>
        <v>0.77185118780815776</v>
      </c>
      <c r="AK17">
        <v>2241</v>
      </c>
      <c r="AL17" s="347">
        <f t="shared" si="1"/>
        <v>1.3013937282229966</v>
      </c>
      <c r="AM17">
        <v>4102</v>
      </c>
      <c r="AN17" s="347">
        <f t="shared" si="1"/>
        <v>1.8304328424810352</v>
      </c>
      <c r="AO17">
        <v>6388</v>
      </c>
      <c r="AP17" s="347">
        <f t="shared" si="1"/>
        <v>1.5572891272549976</v>
      </c>
      <c r="AQ17">
        <v>4949</v>
      </c>
      <c r="AR17" s="347">
        <f t="shared" si="1"/>
        <v>0.77473387601753285</v>
      </c>
      <c r="AS17">
        <v>4004</v>
      </c>
      <c r="AT17" s="347">
        <f t="shared" si="1"/>
        <v>0.80905233380480901</v>
      </c>
      <c r="AU17">
        <v>3597</v>
      </c>
      <c r="AV17" s="347">
        <f t="shared" si="1"/>
        <v>0.89835164835164838</v>
      </c>
      <c r="AW17">
        <v>3821</v>
      </c>
      <c r="AX17" s="347">
        <f t="shared" si="1"/>
        <v>1.0622741173199888</v>
      </c>
      <c r="AY17">
        <v>5468</v>
      </c>
      <c r="AZ17" s="347">
        <f t="shared" si="1"/>
        <v>1.4310389950274798</v>
      </c>
      <c r="BA17">
        <v>11178</v>
      </c>
      <c r="BB17" s="347">
        <f t="shared" si="1"/>
        <v>2.0442574981711776</v>
      </c>
    </row>
    <row r="18" spans="6:54" x14ac:dyDescent="0.25">
      <c r="I18" s="347" t="s">
        <v>307</v>
      </c>
      <c r="J18">
        <v>1057</v>
      </c>
      <c r="K18">
        <v>2115</v>
      </c>
      <c r="L18" s="386">
        <f t="shared" si="0"/>
        <v>2.0009460737937559</v>
      </c>
      <c r="M18">
        <v>3164</v>
      </c>
      <c r="N18" s="347">
        <f t="shared" si="1"/>
        <v>1.4959810874704491</v>
      </c>
      <c r="O18">
        <v>4143</v>
      </c>
      <c r="P18" s="347">
        <f t="shared" si="1"/>
        <v>1.3094184576485461</v>
      </c>
      <c r="Q18">
        <v>5408</v>
      </c>
      <c r="R18" s="347">
        <f t="shared" si="1"/>
        <v>1.3053342988172822</v>
      </c>
      <c r="S18">
        <v>6051</v>
      </c>
      <c r="T18" s="347">
        <f t="shared" si="1"/>
        <v>1.1188979289940828</v>
      </c>
      <c r="U18">
        <v>6477</v>
      </c>
      <c r="V18" s="347">
        <f t="shared" si="1"/>
        <v>1.0704015865146257</v>
      </c>
      <c r="W18">
        <v>6429</v>
      </c>
      <c r="X18" s="347">
        <f t="shared" si="1"/>
        <v>0.99258916164891153</v>
      </c>
      <c r="Y18">
        <v>4777</v>
      </c>
      <c r="Z18" s="347">
        <f t="shared" si="1"/>
        <v>0.74303935293202672</v>
      </c>
      <c r="AA18">
        <v>4245</v>
      </c>
      <c r="AB18" s="347">
        <f t="shared" si="1"/>
        <v>0.88863303328448817</v>
      </c>
      <c r="AC18">
        <v>3254</v>
      </c>
      <c r="AD18" s="347">
        <f t="shared" si="1"/>
        <v>0.76654888103651353</v>
      </c>
      <c r="AE18">
        <v>2240</v>
      </c>
      <c r="AF18" s="347">
        <f t="shared" si="1"/>
        <v>0.68838352796558078</v>
      </c>
      <c r="AG18">
        <v>1784</v>
      </c>
      <c r="AH18" s="347">
        <f t="shared" si="1"/>
        <v>0.79642857142857137</v>
      </c>
      <c r="AI18">
        <v>1389</v>
      </c>
      <c r="AJ18" s="347">
        <f t="shared" si="1"/>
        <v>0.7785874439461884</v>
      </c>
      <c r="AK18">
        <v>1739</v>
      </c>
      <c r="AL18" s="347">
        <f t="shared" si="1"/>
        <v>1.2519798416126711</v>
      </c>
      <c r="AM18">
        <v>3324</v>
      </c>
      <c r="AN18" s="347">
        <f t="shared" si="1"/>
        <v>1.9114433582518688</v>
      </c>
      <c r="AO18">
        <v>4647</v>
      </c>
      <c r="AP18" s="347">
        <f t="shared" si="1"/>
        <v>1.3980144404332131</v>
      </c>
      <c r="AQ18">
        <v>3875</v>
      </c>
      <c r="AR18" s="347">
        <f t="shared" si="1"/>
        <v>0.8338713148267699</v>
      </c>
      <c r="AS18">
        <v>3329</v>
      </c>
      <c r="AT18" s="347">
        <f t="shared" si="1"/>
        <v>0.85909677419354835</v>
      </c>
      <c r="AU18">
        <v>2861</v>
      </c>
      <c r="AV18" s="347">
        <f t="shared" si="1"/>
        <v>0.85941724241513973</v>
      </c>
      <c r="AW18">
        <v>3122</v>
      </c>
      <c r="AX18" s="347">
        <f t="shared" si="1"/>
        <v>1.0912268437609227</v>
      </c>
      <c r="AY18">
        <v>4709</v>
      </c>
      <c r="AZ18" s="347">
        <f t="shared" si="1"/>
        <v>1.5083279948750801</v>
      </c>
      <c r="BA18">
        <v>9182</v>
      </c>
      <c r="BB18" s="347">
        <f t="shared" si="1"/>
        <v>1.9498832023784243</v>
      </c>
    </row>
    <row r="19" spans="6:54" x14ac:dyDescent="0.25">
      <c r="I19" s="347" t="s">
        <v>310</v>
      </c>
      <c r="J19">
        <v>755</v>
      </c>
      <c r="K19">
        <v>1457</v>
      </c>
      <c r="L19" s="386">
        <f t="shared" si="0"/>
        <v>1.9298013245033112</v>
      </c>
      <c r="M19">
        <v>2219</v>
      </c>
      <c r="N19" s="347">
        <f t="shared" si="1"/>
        <v>1.5229924502402197</v>
      </c>
      <c r="O19">
        <v>2931</v>
      </c>
      <c r="P19" s="347">
        <f t="shared" si="1"/>
        <v>1.3208652546191979</v>
      </c>
      <c r="Q19">
        <v>3813</v>
      </c>
      <c r="R19" s="347">
        <f t="shared" si="1"/>
        <v>1.3009211873080859</v>
      </c>
      <c r="S19">
        <v>4135</v>
      </c>
      <c r="T19" s="347">
        <f t="shared" si="1"/>
        <v>1.0844479412536061</v>
      </c>
      <c r="U19">
        <v>4547</v>
      </c>
      <c r="V19" s="347">
        <f t="shared" si="1"/>
        <v>1.0996372430471584</v>
      </c>
      <c r="W19">
        <v>4249</v>
      </c>
      <c r="X19" s="347">
        <f t="shared" si="1"/>
        <v>0.93446228282383992</v>
      </c>
      <c r="Y19">
        <v>3236</v>
      </c>
      <c r="Z19" s="347">
        <f t="shared" si="1"/>
        <v>0.76159096257943049</v>
      </c>
      <c r="AA19">
        <v>3155</v>
      </c>
      <c r="AB19" s="347">
        <f t="shared" si="1"/>
        <v>0.97496909765142148</v>
      </c>
      <c r="AC19">
        <v>2336</v>
      </c>
      <c r="AD19" s="347">
        <f t="shared" si="1"/>
        <v>0.74041204437400954</v>
      </c>
      <c r="AE19">
        <v>1522</v>
      </c>
      <c r="AF19" s="347">
        <f t="shared" si="1"/>
        <v>0.65154109589041098</v>
      </c>
      <c r="AG19">
        <v>1268</v>
      </c>
      <c r="AH19" s="347">
        <f t="shared" si="1"/>
        <v>0.83311432325886992</v>
      </c>
      <c r="AI19">
        <v>979</v>
      </c>
      <c r="AJ19" s="347">
        <f t="shared" si="1"/>
        <v>0.77208201892744477</v>
      </c>
      <c r="AK19">
        <v>1235</v>
      </c>
      <c r="AL19" s="347">
        <f t="shared" si="1"/>
        <v>1.2614913176710929</v>
      </c>
      <c r="AM19">
        <v>2476</v>
      </c>
      <c r="AN19" s="347">
        <f t="shared" si="1"/>
        <v>2.0048582995951416</v>
      </c>
      <c r="AO19">
        <v>3564</v>
      </c>
      <c r="AP19" s="347">
        <f t="shared" si="1"/>
        <v>1.4394184168012925</v>
      </c>
      <c r="AQ19">
        <v>3011</v>
      </c>
      <c r="AR19" s="347">
        <f t="shared" si="1"/>
        <v>0.84483726150392813</v>
      </c>
      <c r="AS19">
        <v>2506</v>
      </c>
      <c r="AT19" s="347">
        <f t="shared" si="1"/>
        <v>0.83228163400863497</v>
      </c>
      <c r="AU19">
        <v>2024</v>
      </c>
      <c r="AV19" s="347">
        <f t="shared" si="1"/>
        <v>0.80766161213088583</v>
      </c>
      <c r="AW19">
        <v>2319</v>
      </c>
      <c r="AX19" s="347">
        <f t="shared" si="1"/>
        <v>1.1457509881422925</v>
      </c>
      <c r="AY19">
        <v>3315</v>
      </c>
      <c r="AZ19" s="347">
        <f t="shared" si="1"/>
        <v>1.4294954721862871</v>
      </c>
      <c r="BA19">
        <v>6439</v>
      </c>
      <c r="BB19" s="347">
        <f t="shared" si="1"/>
        <v>1.9423831070889894</v>
      </c>
    </row>
    <row r="20" spans="6:54" x14ac:dyDescent="0.25">
      <c r="I20" s="347" t="s">
        <v>311</v>
      </c>
      <c r="J20">
        <v>362</v>
      </c>
      <c r="K20">
        <v>750</v>
      </c>
      <c r="L20" s="386">
        <f t="shared" si="0"/>
        <v>2.0718232044198897</v>
      </c>
      <c r="M20">
        <v>1123</v>
      </c>
      <c r="N20" s="347">
        <f t="shared" si="1"/>
        <v>1.4973333333333334</v>
      </c>
      <c r="O20">
        <v>1618</v>
      </c>
      <c r="P20" s="347">
        <f t="shared" si="1"/>
        <v>1.4407836153161175</v>
      </c>
      <c r="Q20">
        <v>1902</v>
      </c>
      <c r="R20" s="347">
        <f t="shared" si="1"/>
        <v>1.1755253399258343</v>
      </c>
      <c r="S20">
        <v>2268</v>
      </c>
      <c r="T20" s="347">
        <f t="shared" si="1"/>
        <v>1.1924290220820188</v>
      </c>
      <c r="U20">
        <v>2363</v>
      </c>
      <c r="V20" s="347">
        <f t="shared" si="1"/>
        <v>1.0418871252204585</v>
      </c>
      <c r="W20">
        <v>2323</v>
      </c>
      <c r="X20" s="347">
        <f t="shared" si="1"/>
        <v>0.98307236563690226</v>
      </c>
      <c r="Y20">
        <v>1909</v>
      </c>
      <c r="Z20" s="347">
        <f t="shared" si="1"/>
        <v>0.82178217821782173</v>
      </c>
      <c r="AA20">
        <v>1725</v>
      </c>
      <c r="AB20" s="347">
        <f t="shared" si="1"/>
        <v>0.90361445783132532</v>
      </c>
      <c r="AC20">
        <v>1230</v>
      </c>
      <c r="AD20" s="347">
        <f t="shared" si="1"/>
        <v>0.71304347826086956</v>
      </c>
      <c r="AE20">
        <v>873</v>
      </c>
      <c r="AF20" s="347">
        <f t="shared" si="1"/>
        <v>0.70975609756097557</v>
      </c>
      <c r="AG20">
        <v>810</v>
      </c>
      <c r="AH20" s="347">
        <f t="shared" si="1"/>
        <v>0.92783505154639179</v>
      </c>
      <c r="AI20">
        <v>603</v>
      </c>
      <c r="AJ20" s="347">
        <f t="shared" si="1"/>
        <v>0.74444444444444446</v>
      </c>
      <c r="AK20">
        <v>775</v>
      </c>
      <c r="AL20" s="347">
        <f t="shared" si="1"/>
        <v>1.285240464344942</v>
      </c>
      <c r="AM20">
        <v>1497</v>
      </c>
      <c r="AN20" s="347">
        <f t="shared" si="1"/>
        <v>1.9316129032258065</v>
      </c>
      <c r="AO20">
        <v>2118</v>
      </c>
      <c r="AP20" s="347">
        <f t="shared" si="1"/>
        <v>1.4148296593186374</v>
      </c>
      <c r="AQ20">
        <v>1719</v>
      </c>
      <c r="AR20" s="347">
        <f t="shared" si="1"/>
        <v>0.81161473087818692</v>
      </c>
      <c r="AS20">
        <v>1593</v>
      </c>
      <c r="AT20" s="347">
        <f t="shared" si="1"/>
        <v>0.92670157068062831</v>
      </c>
      <c r="AU20">
        <v>1288</v>
      </c>
      <c r="AV20" s="347">
        <f t="shared" si="1"/>
        <v>0.80853735091023227</v>
      </c>
      <c r="AW20">
        <v>1453</v>
      </c>
      <c r="AX20" s="347">
        <f t="shared" si="1"/>
        <v>1.1281055900621118</v>
      </c>
      <c r="AY20">
        <v>1984</v>
      </c>
      <c r="AZ20" s="347">
        <f t="shared" si="1"/>
        <v>1.3654507914659326</v>
      </c>
      <c r="BA20">
        <v>3534</v>
      </c>
      <c r="BB20" s="347">
        <f t="shared" si="1"/>
        <v>1.78125</v>
      </c>
    </row>
    <row r="21" spans="6:54" x14ac:dyDescent="0.25">
      <c r="I21" s="347" t="s">
        <v>308</v>
      </c>
      <c r="J21">
        <v>223</v>
      </c>
      <c r="K21">
        <v>454</v>
      </c>
      <c r="L21" s="386">
        <f t="shared" si="0"/>
        <v>2.0358744394618835</v>
      </c>
      <c r="M21">
        <v>664</v>
      </c>
      <c r="N21" s="347">
        <f t="shared" si="1"/>
        <v>1.4625550660792952</v>
      </c>
      <c r="O21">
        <v>962</v>
      </c>
      <c r="P21" s="347">
        <f t="shared" si="1"/>
        <v>1.4487951807228916</v>
      </c>
      <c r="Q21">
        <v>1060</v>
      </c>
      <c r="R21" s="347">
        <f t="shared" si="1"/>
        <v>1.1018711018711018</v>
      </c>
      <c r="S21">
        <v>1211</v>
      </c>
      <c r="T21" s="347">
        <f t="shared" si="1"/>
        <v>1.1424528301886792</v>
      </c>
      <c r="U21">
        <v>1237</v>
      </c>
      <c r="V21" s="347">
        <f t="shared" si="1"/>
        <v>1.0214698596201486</v>
      </c>
      <c r="W21">
        <v>1263</v>
      </c>
      <c r="X21" s="347">
        <f t="shared" si="1"/>
        <v>1.0210185933710589</v>
      </c>
      <c r="Y21">
        <v>1041</v>
      </c>
      <c r="Z21" s="347">
        <f t="shared" si="1"/>
        <v>0.82422802850356292</v>
      </c>
      <c r="AA21">
        <v>855</v>
      </c>
      <c r="AB21" s="347">
        <f t="shared" si="1"/>
        <v>0.82132564841498557</v>
      </c>
      <c r="AC21">
        <v>711</v>
      </c>
      <c r="AD21" s="347">
        <f t="shared" si="1"/>
        <v>0.83157894736842108</v>
      </c>
      <c r="AE21">
        <v>459</v>
      </c>
      <c r="AF21" s="347">
        <f t="shared" si="1"/>
        <v>0.64556962025316456</v>
      </c>
      <c r="AG21">
        <v>417</v>
      </c>
      <c r="AH21" s="347">
        <f t="shared" si="1"/>
        <v>0.90849673202614378</v>
      </c>
      <c r="AI21">
        <v>310</v>
      </c>
      <c r="AJ21" s="347">
        <f t="shared" si="1"/>
        <v>0.74340527577937654</v>
      </c>
      <c r="AK21">
        <v>419</v>
      </c>
      <c r="AL21" s="347">
        <f t="shared" si="1"/>
        <v>1.3516129032258064</v>
      </c>
      <c r="AM21">
        <v>820</v>
      </c>
      <c r="AN21" s="347">
        <f t="shared" si="1"/>
        <v>1.9570405727923628</v>
      </c>
      <c r="AO21">
        <v>1119</v>
      </c>
      <c r="AP21" s="347">
        <f t="shared" si="1"/>
        <v>1.3646341463414635</v>
      </c>
      <c r="AQ21">
        <v>902</v>
      </c>
      <c r="AR21" s="347">
        <f t="shared" si="1"/>
        <v>0.80607685433422693</v>
      </c>
      <c r="AS21">
        <v>861</v>
      </c>
      <c r="AT21" s="347">
        <f t="shared" si="1"/>
        <v>0.95454545454545459</v>
      </c>
      <c r="AU21">
        <v>700</v>
      </c>
      <c r="AV21" s="347">
        <f t="shared" si="1"/>
        <v>0.81300813008130079</v>
      </c>
      <c r="AW21">
        <v>771</v>
      </c>
      <c r="AX21" s="347">
        <f t="shared" si="1"/>
        <v>1.1014285714285714</v>
      </c>
      <c r="AY21">
        <v>1109</v>
      </c>
      <c r="AZ21" s="347">
        <f t="shared" si="1"/>
        <v>1.4383916990920882</v>
      </c>
      <c r="BA21">
        <v>1611</v>
      </c>
      <c r="BB21" s="347">
        <f t="shared" si="1"/>
        <v>1.4526600541027954</v>
      </c>
    </row>
    <row r="22" spans="6:54" x14ac:dyDescent="0.25">
      <c r="I22" s="347" t="s">
        <v>312</v>
      </c>
      <c r="J22">
        <v>331</v>
      </c>
      <c r="K22">
        <v>585</v>
      </c>
      <c r="L22" s="386">
        <f t="shared" si="0"/>
        <v>1.7673716012084593</v>
      </c>
      <c r="M22">
        <v>918</v>
      </c>
      <c r="N22" s="347">
        <f t="shared" si="1"/>
        <v>1.5692307692307692</v>
      </c>
      <c r="O22">
        <v>1463</v>
      </c>
      <c r="P22" s="347">
        <f t="shared" si="1"/>
        <v>1.593681917211329</v>
      </c>
      <c r="Q22">
        <v>1426</v>
      </c>
      <c r="R22" s="347">
        <f t="shared" si="1"/>
        <v>0.97470950102529053</v>
      </c>
      <c r="S22">
        <v>1693</v>
      </c>
      <c r="T22" s="347">
        <f t="shared" si="1"/>
        <v>1.1872370266479664</v>
      </c>
      <c r="U22">
        <v>1299</v>
      </c>
      <c r="V22" s="347">
        <f t="shared" si="1"/>
        <v>0.76727702303603074</v>
      </c>
      <c r="W22">
        <v>1224</v>
      </c>
      <c r="X22" s="347">
        <f t="shared" si="1"/>
        <v>0.94226327944572752</v>
      </c>
      <c r="Y22">
        <v>894</v>
      </c>
      <c r="Z22" s="347">
        <f t="shared" si="1"/>
        <v>0.73039215686274506</v>
      </c>
      <c r="AA22">
        <v>850</v>
      </c>
      <c r="AB22" s="347">
        <f t="shared" si="1"/>
        <v>0.95078299776286357</v>
      </c>
      <c r="AC22">
        <v>566</v>
      </c>
      <c r="AD22" s="347">
        <f t="shared" si="1"/>
        <v>0.66588235294117648</v>
      </c>
      <c r="AE22">
        <v>336</v>
      </c>
      <c r="AF22" s="347">
        <f t="shared" si="1"/>
        <v>0.59363957597173145</v>
      </c>
      <c r="AG22">
        <v>318</v>
      </c>
      <c r="AH22" s="347">
        <f t="shared" si="1"/>
        <v>0.9464285714285714</v>
      </c>
      <c r="AI22">
        <v>216</v>
      </c>
      <c r="AJ22" s="347">
        <f t="shared" si="1"/>
        <v>0.67924528301886788</v>
      </c>
      <c r="AK22">
        <v>267</v>
      </c>
      <c r="AL22" s="347">
        <f t="shared" si="1"/>
        <v>1.2361111111111112</v>
      </c>
      <c r="AM22">
        <v>375</v>
      </c>
      <c r="AN22" s="347">
        <f t="shared" si="1"/>
        <v>1.404494382022472</v>
      </c>
      <c r="AO22">
        <v>595</v>
      </c>
      <c r="AP22" s="347">
        <f t="shared" si="1"/>
        <v>1.5866666666666667</v>
      </c>
      <c r="AQ22">
        <v>563</v>
      </c>
      <c r="AR22" s="347">
        <f t="shared" si="1"/>
        <v>0.94621848739495795</v>
      </c>
      <c r="AS22">
        <v>482</v>
      </c>
      <c r="AT22" s="347">
        <f t="shared" si="1"/>
        <v>0.85612788632326819</v>
      </c>
      <c r="AU22">
        <v>385</v>
      </c>
      <c r="AV22" s="347">
        <f t="shared" si="1"/>
        <v>0.79875518672199175</v>
      </c>
      <c r="AW22">
        <v>421</v>
      </c>
      <c r="AX22" s="347">
        <f t="shared" si="1"/>
        <v>1.0935064935064935</v>
      </c>
      <c r="AY22">
        <v>525</v>
      </c>
      <c r="AZ22" s="347">
        <f t="shared" si="1"/>
        <v>1.2470308788598574</v>
      </c>
      <c r="BA22">
        <v>700</v>
      </c>
      <c r="BB22" s="347">
        <f t="shared" si="1"/>
        <v>1.3333333333333333</v>
      </c>
    </row>
    <row r="25" spans="6:54" x14ac:dyDescent="0.25">
      <c r="F25" t="s">
        <v>346</v>
      </c>
      <c r="G25" t="s">
        <v>323</v>
      </c>
      <c r="H25" t="s">
        <v>324</v>
      </c>
      <c r="I25" t="s">
        <v>347</v>
      </c>
      <c r="J25" t="s">
        <v>325</v>
      </c>
      <c r="K25" t="s">
        <v>325</v>
      </c>
      <c r="L25" t="s">
        <v>326</v>
      </c>
      <c r="M25" s="347" t="s">
        <v>327</v>
      </c>
      <c r="N25" s="347" t="s">
        <v>328</v>
      </c>
      <c r="O25" s="347" t="s">
        <v>329</v>
      </c>
      <c r="P25" s="347" t="s">
        <v>330</v>
      </c>
      <c r="Q25" s="347" t="s">
        <v>331</v>
      </c>
      <c r="R25" s="347" t="s">
        <v>332</v>
      </c>
      <c r="S25" s="347" t="s">
        <v>333</v>
      </c>
      <c r="T25" s="347" t="s">
        <v>334</v>
      </c>
      <c r="U25" s="347" t="s">
        <v>335</v>
      </c>
      <c r="V25" s="347" t="s">
        <v>336</v>
      </c>
      <c r="W25" s="347" t="s">
        <v>337</v>
      </c>
      <c r="X25" s="347" t="s">
        <v>338</v>
      </c>
      <c r="Y25" s="347" t="s">
        <v>339</v>
      </c>
      <c r="Z25" s="347" t="s">
        <v>340</v>
      </c>
      <c r="AA25" s="347" t="s">
        <v>341</v>
      </c>
      <c r="AB25" s="347" t="s">
        <v>342</v>
      </c>
      <c r="AC25" s="347" t="s">
        <v>343</v>
      </c>
      <c r="AD25" s="347" t="s">
        <v>344</v>
      </c>
      <c r="AE25" s="347" t="s">
        <v>345</v>
      </c>
      <c r="AJ25"/>
      <c r="AL25"/>
      <c r="AP25"/>
      <c r="AV25"/>
    </row>
    <row r="26" spans="6:54" x14ac:dyDescent="0.25">
      <c r="F26" t="s">
        <v>309</v>
      </c>
      <c r="G26">
        <v>562</v>
      </c>
      <c r="H26">
        <v>828</v>
      </c>
      <c r="I26" s="386">
        <v>1.4733096085409252</v>
      </c>
      <c r="J26" s="386">
        <v>1023</v>
      </c>
      <c r="K26" s="386">
        <v>1.2355072463768115</v>
      </c>
      <c r="L26" s="386">
        <v>1.0547409579667644</v>
      </c>
      <c r="M26" s="386">
        <v>1.0759962928637627</v>
      </c>
      <c r="N26" s="386">
        <v>0.96899224806201545</v>
      </c>
      <c r="O26" s="386">
        <v>0.97866666666666668</v>
      </c>
      <c r="P26" s="386">
        <v>0.81198910081743869</v>
      </c>
      <c r="Q26" s="386">
        <v>0.8970917225950783</v>
      </c>
      <c r="R26" s="386">
        <v>0.92643391521197005</v>
      </c>
      <c r="S26" s="386">
        <v>0.79004037685060569</v>
      </c>
      <c r="T26" s="386">
        <v>0.66269165247018735</v>
      </c>
      <c r="U26" s="386">
        <v>0.84061696658097684</v>
      </c>
      <c r="V26" s="386">
        <v>0.75229357798165142</v>
      </c>
      <c r="W26" s="386">
        <v>1.0813008130081301</v>
      </c>
      <c r="X26" s="386">
        <v>1.4285714285714286</v>
      </c>
      <c r="Y26" s="386">
        <v>1.3447368421052632</v>
      </c>
      <c r="Z26" s="386">
        <v>0.86497064579256355</v>
      </c>
      <c r="AA26" s="386">
        <v>0.91402714932126694</v>
      </c>
      <c r="AB26" s="386">
        <v>0.76980198019801982</v>
      </c>
      <c r="AC26" s="386">
        <v>1.5659163987138263</v>
      </c>
      <c r="AD26" s="386">
        <v>1.3100616016427105</v>
      </c>
      <c r="AE26" s="386">
        <v>1.7993730407523512</v>
      </c>
      <c r="AG26" s="347"/>
      <c r="AJ26"/>
      <c r="AL26"/>
      <c r="AP26"/>
      <c r="AV26"/>
    </row>
    <row r="27" spans="6:54" x14ac:dyDescent="0.25">
      <c r="F27" t="s">
        <v>305</v>
      </c>
      <c r="G27">
        <v>631</v>
      </c>
      <c r="H27">
        <v>960</v>
      </c>
      <c r="I27" s="386">
        <v>1.5213946117274169</v>
      </c>
      <c r="J27" s="386">
        <v>1285</v>
      </c>
      <c r="K27" s="386">
        <v>1.3385416666666667</v>
      </c>
      <c r="L27" s="386">
        <v>1</v>
      </c>
      <c r="M27" s="386">
        <v>1.2474708171206226</v>
      </c>
      <c r="N27" s="386">
        <v>1.0923268870867124</v>
      </c>
      <c r="O27" s="386">
        <v>1.001713306681896</v>
      </c>
      <c r="P27" s="386">
        <v>0.93785632839224631</v>
      </c>
      <c r="Q27" s="386">
        <v>0.86869300911854108</v>
      </c>
      <c r="R27" s="386">
        <v>0.92442267319804061</v>
      </c>
      <c r="S27" s="386">
        <v>0.81604844814534439</v>
      </c>
      <c r="T27" s="386">
        <v>0.71799628942486082</v>
      </c>
      <c r="U27" s="386">
        <v>0.87596899224806202</v>
      </c>
      <c r="V27" s="386">
        <v>0.77433628318584069</v>
      </c>
      <c r="W27" s="386">
        <v>1.3714285714285714</v>
      </c>
      <c r="X27" s="386">
        <v>1.7833333333333334</v>
      </c>
      <c r="Y27" s="386">
        <v>1.4976635514018692</v>
      </c>
      <c r="Z27" s="386">
        <v>1.3489339573582944</v>
      </c>
      <c r="AA27" s="386">
        <v>0.7760215882806476</v>
      </c>
      <c r="AB27" s="386">
        <v>0.56681569796323894</v>
      </c>
      <c r="AC27" s="386">
        <v>1.5836985100788781</v>
      </c>
      <c r="AD27" s="386">
        <v>1.3087991145545101</v>
      </c>
      <c r="AE27" s="386">
        <v>2.2245243128964058</v>
      </c>
      <c r="AG27" s="347"/>
      <c r="AJ27"/>
      <c r="AL27"/>
      <c r="AP27"/>
      <c r="AV27"/>
    </row>
    <row r="28" spans="6:54" x14ac:dyDescent="0.25">
      <c r="F28" t="s">
        <v>304</v>
      </c>
      <c r="G28">
        <v>1309</v>
      </c>
      <c r="H28">
        <v>2348</v>
      </c>
      <c r="I28" s="386">
        <v>1.7937356760886172</v>
      </c>
      <c r="J28" s="386">
        <v>3319</v>
      </c>
      <c r="K28" s="386">
        <v>1.4135434412265757</v>
      </c>
      <c r="L28" s="386">
        <v>1.1660138595962639</v>
      </c>
      <c r="M28" s="386">
        <v>1.3842377260981913</v>
      </c>
      <c r="N28" s="386">
        <v>1.0884823595295874</v>
      </c>
      <c r="O28" s="386">
        <v>1.0466472303206997</v>
      </c>
      <c r="P28" s="386">
        <v>0.94215959364247093</v>
      </c>
      <c r="Q28" s="386">
        <v>0.80765217391304345</v>
      </c>
      <c r="R28" s="386">
        <v>0.94401378122308355</v>
      </c>
      <c r="S28" s="386">
        <v>0.77121350364963503</v>
      </c>
      <c r="T28" s="386">
        <v>0.65897663413191365</v>
      </c>
      <c r="U28" s="386">
        <v>0.8451526032315978</v>
      </c>
      <c r="V28" s="386">
        <v>0.82049920339883164</v>
      </c>
      <c r="W28" s="386">
        <v>1.4776699029126215</v>
      </c>
      <c r="X28" s="386">
        <v>1.9553219448094612</v>
      </c>
      <c r="Y28" s="386">
        <v>1.7504480286738351</v>
      </c>
      <c r="Z28" s="386">
        <v>0.86831328384950091</v>
      </c>
      <c r="AA28" s="386">
        <v>0.59896831245394255</v>
      </c>
      <c r="AB28" s="386">
        <v>0.81151574803149606</v>
      </c>
      <c r="AC28" s="386">
        <v>1.0382049727107339</v>
      </c>
      <c r="AD28" s="386">
        <v>1.5735981308411215</v>
      </c>
      <c r="AE28" s="386">
        <v>2.2054565701559019</v>
      </c>
      <c r="AG28" s="347"/>
      <c r="AJ28"/>
      <c r="AL28"/>
      <c r="AP28"/>
      <c r="AV28"/>
    </row>
    <row r="29" spans="6:54" x14ac:dyDescent="0.25">
      <c r="F29" t="s">
        <v>306</v>
      </c>
      <c r="G29">
        <v>1460</v>
      </c>
      <c r="H29">
        <v>2730</v>
      </c>
      <c r="I29" s="386">
        <v>1.8698630136986301</v>
      </c>
      <c r="J29" s="386">
        <v>4005</v>
      </c>
      <c r="K29" s="386">
        <v>1.4670329670329669</v>
      </c>
      <c r="L29" s="386">
        <v>1.3023720349563046</v>
      </c>
      <c r="M29" s="386">
        <v>1.3297546012269938</v>
      </c>
      <c r="N29" s="386">
        <v>1.0901095732410611</v>
      </c>
      <c r="O29" s="386">
        <v>1.0781642639862452</v>
      </c>
      <c r="P29" s="386">
        <v>0.9235770363101079</v>
      </c>
      <c r="Q29" s="386">
        <v>0.7678310532607252</v>
      </c>
      <c r="R29" s="386">
        <v>0.91593149974052934</v>
      </c>
      <c r="S29" s="386">
        <v>0.72181303116147311</v>
      </c>
      <c r="T29" s="386">
        <v>0.70303506017791728</v>
      </c>
      <c r="U29" s="386">
        <v>0.83029400818756982</v>
      </c>
      <c r="V29" s="386">
        <v>0.77185118780815776</v>
      </c>
      <c r="W29" s="386">
        <v>1.3013937282229966</v>
      </c>
      <c r="X29" s="386">
        <v>1.8304328424810352</v>
      </c>
      <c r="Y29" s="386">
        <v>1.5572891272549976</v>
      </c>
      <c r="Z29" s="386">
        <v>0.77473387601753285</v>
      </c>
      <c r="AA29" s="386">
        <v>0.80905233380480901</v>
      </c>
      <c r="AB29" s="386">
        <v>0.89835164835164838</v>
      </c>
      <c r="AC29" s="386">
        <v>1.0622741173199888</v>
      </c>
      <c r="AD29" s="386">
        <v>1.4310389950274798</v>
      </c>
      <c r="AE29" s="386">
        <v>2.0442574981711776</v>
      </c>
      <c r="AG29" s="347"/>
      <c r="AJ29"/>
      <c r="AL29"/>
      <c r="AP29"/>
      <c r="AV29"/>
    </row>
    <row r="30" spans="6:54" x14ac:dyDescent="0.25">
      <c r="F30" t="s">
        <v>307</v>
      </c>
      <c r="G30">
        <v>1057</v>
      </c>
      <c r="H30">
        <v>2115</v>
      </c>
      <c r="I30" s="386">
        <v>2.0009460737937559</v>
      </c>
      <c r="J30" s="386">
        <v>3164</v>
      </c>
      <c r="K30" s="386">
        <v>1.4959810874704491</v>
      </c>
      <c r="L30" s="386">
        <v>1.3094184576485461</v>
      </c>
      <c r="M30" s="386">
        <v>1.3053342988172822</v>
      </c>
      <c r="N30" s="386">
        <v>1.1188979289940828</v>
      </c>
      <c r="O30" s="386">
        <v>1.0704015865146257</v>
      </c>
      <c r="P30" s="386">
        <v>0.99258916164891153</v>
      </c>
      <c r="Q30" s="386">
        <v>0.74303935293202672</v>
      </c>
      <c r="R30" s="386">
        <v>0.88863303328448817</v>
      </c>
      <c r="S30" s="386">
        <v>0.76654888103651353</v>
      </c>
      <c r="T30" s="386">
        <v>0.68838352796558078</v>
      </c>
      <c r="U30" s="386">
        <v>0.79642857142857137</v>
      </c>
      <c r="V30" s="386">
        <v>0.7785874439461884</v>
      </c>
      <c r="W30" s="386">
        <v>1.2519798416126711</v>
      </c>
      <c r="X30" s="386">
        <v>1.9114433582518688</v>
      </c>
      <c r="Y30" s="386">
        <v>1.3980144404332131</v>
      </c>
      <c r="Z30" s="386">
        <v>0.8338713148267699</v>
      </c>
      <c r="AA30" s="386">
        <v>0.85909677419354835</v>
      </c>
      <c r="AB30" s="386">
        <v>0.85941724241513973</v>
      </c>
      <c r="AC30" s="386">
        <v>1.0912268437609227</v>
      </c>
      <c r="AD30" s="386">
        <v>1.5083279948750801</v>
      </c>
      <c r="AE30" s="386">
        <v>1.9498832023784243</v>
      </c>
      <c r="AG30" s="347"/>
      <c r="AJ30"/>
      <c r="AL30"/>
      <c r="AP30"/>
      <c r="AV30"/>
    </row>
    <row r="31" spans="6:54" x14ac:dyDescent="0.25">
      <c r="F31" t="s">
        <v>310</v>
      </c>
      <c r="G31">
        <v>755</v>
      </c>
      <c r="H31">
        <v>1457</v>
      </c>
      <c r="I31" s="386">
        <v>1.9298013245033112</v>
      </c>
      <c r="J31" s="386">
        <v>2219</v>
      </c>
      <c r="K31" s="386">
        <v>1.5229924502402197</v>
      </c>
      <c r="L31" s="386">
        <v>1.3208652546191979</v>
      </c>
      <c r="M31" s="386">
        <v>1.3009211873080859</v>
      </c>
      <c r="N31" s="386">
        <v>1.0844479412536061</v>
      </c>
      <c r="O31" s="386">
        <v>1.0996372430471584</v>
      </c>
      <c r="P31" s="386">
        <v>0.93446228282383992</v>
      </c>
      <c r="Q31" s="386">
        <v>0.76159096257943049</v>
      </c>
      <c r="R31" s="386">
        <v>0.97496909765142148</v>
      </c>
      <c r="S31" s="386">
        <v>0.74041204437400954</v>
      </c>
      <c r="T31" s="386">
        <v>0.65154109589041098</v>
      </c>
      <c r="U31" s="386">
        <v>0.83311432325886992</v>
      </c>
      <c r="V31" s="386">
        <v>0.77208201892744477</v>
      </c>
      <c r="W31" s="386">
        <v>1.2614913176710929</v>
      </c>
      <c r="X31" s="386">
        <v>2.0048582995951416</v>
      </c>
      <c r="Y31" s="386">
        <v>1.4394184168012925</v>
      </c>
      <c r="Z31" s="386">
        <v>0.84483726150392813</v>
      </c>
      <c r="AA31" s="386">
        <v>0.83228163400863497</v>
      </c>
      <c r="AB31" s="386">
        <v>0.80766161213088583</v>
      </c>
      <c r="AC31" s="386">
        <v>1.1457509881422925</v>
      </c>
      <c r="AD31" s="386">
        <v>1.4294954721862871</v>
      </c>
      <c r="AE31" s="386">
        <v>1.9423831070889894</v>
      </c>
      <c r="AG31" s="347"/>
      <c r="AJ31"/>
      <c r="AL31"/>
      <c r="AP31"/>
      <c r="AV31"/>
    </row>
    <row r="32" spans="6:54" x14ac:dyDescent="0.25">
      <c r="F32" t="s">
        <v>311</v>
      </c>
      <c r="G32">
        <v>362</v>
      </c>
      <c r="H32">
        <v>750</v>
      </c>
      <c r="I32" s="386">
        <v>2.0718232044198897</v>
      </c>
      <c r="J32" s="386">
        <v>1123</v>
      </c>
      <c r="K32" s="386">
        <v>1.4973333333333334</v>
      </c>
      <c r="L32" s="386">
        <v>1.4407836153161175</v>
      </c>
      <c r="M32" s="386">
        <v>1.1755253399258343</v>
      </c>
      <c r="N32" s="386">
        <v>1.1924290220820188</v>
      </c>
      <c r="O32" s="386">
        <v>1.0418871252204585</v>
      </c>
      <c r="P32" s="386">
        <v>0.98307236563690226</v>
      </c>
      <c r="Q32" s="386">
        <v>0.82178217821782173</v>
      </c>
      <c r="R32" s="386">
        <v>0.90361445783132532</v>
      </c>
      <c r="S32" s="386">
        <v>0.71304347826086956</v>
      </c>
      <c r="T32" s="386">
        <v>0.70975609756097557</v>
      </c>
      <c r="U32" s="386">
        <v>0.92783505154639179</v>
      </c>
      <c r="V32" s="386">
        <v>0.74444444444444446</v>
      </c>
      <c r="W32" s="386">
        <v>1.285240464344942</v>
      </c>
      <c r="X32" s="386">
        <v>1.9316129032258065</v>
      </c>
      <c r="Y32" s="386">
        <v>1.4148296593186374</v>
      </c>
      <c r="Z32" s="386">
        <v>0.81161473087818692</v>
      </c>
      <c r="AA32" s="386">
        <v>0.92670157068062831</v>
      </c>
      <c r="AB32" s="386">
        <v>0.80853735091023227</v>
      </c>
      <c r="AC32" s="386">
        <v>1.1281055900621118</v>
      </c>
      <c r="AD32" s="386">
        <v>1.3654507914659326</v>
      </c>
      <c r="AE32" s="386">
        <v>1.78125</v>
      </c>
      <c r="AG32" s="347"/>
      <c r="AJ32"/>
      <c r="AL32"/>
      <c r="AP32"/>
      <c r="AV32"/>
    </row>
    <row r="33" spans="6:48" x14ac:dyDescent="0.25">
      <c r="F33" t="s">
        <v>308</v>
      </c>
      <c r="G33">
        <v>223</v>
      </c>
      <c r="H33">
        <v>454</v>
      </c>
      <c r="I33" s="386">
        <v>2.0358744394618835</v>
      </c>
      <c r="J33" s="386">
        <v>664</v>
      </c>
      <c r="K33" s="386">
        <v>1.4625550660792952</v>
      </c>
      <c r="L33" s="386">
        <v>1.4487951807228916</v>
      </c>
      <c r="M33" s="386">
        <v>1.1018711018711018</v>
      </c>
      <c r="N33" s="386">
        <v>1.1424528301886792</v>
      </c>
      <c r="O33" s="386">
        <v>1.0214698596201486</v>
      </c>
      <c r="P33" s="386">
        <v>1.0210185933710589</v>
      </c>
      <c r="Q33" s="386">
        <v>0.82422802850356292</v>
      </c>
      <c r="R33" s="386">
        <v>0.82132564841498557</v>
      </c>
      <c r="S33" s="386">
        <v>0.83157894736842108</v>
      </c>
      <c r="T33" s="386">
        <v>0.64556962025316456</v>
      </c>
      <c r="U33" s="386">
        <v>0.90849673202614378</v>
      </c>
      <c r="V33" s="386">
        <v>0.74340527577937654</v>
      </c>
      <c r="W33" s="386">
        <v>1.3516129032258064</v>
      </c>
      <c r="X33" s="386">
        <v>1.9570405727923628</v>
      </c>
      <c r="Y33" s="386">
        <v>1.3646341463414635</v>
      </c>
      <c r="Z33" s="386">
        <v>0.80607685433422693</v>
      </c>
      <c r="AA33" s="386">
        <v>0.95454545454545459</v>
      </c>
      <c r="AB33" s="386">
        <v>0.81300813008130079</v>
      </c>
      <c r="AC33" s="386">
        <v>1.1014285714285714</v>
      </c>
      <c r="AD33" s="386">
        <v>1.4383916990920882</v>
      </c>
      <c r="AE33" s="386">
        <v>1.4526600541027954</v>
      </c>
      <c r="AG33" s="347"/>
      <c r="AJ33"/>
      <c r="AL33"/>
      <c r="AP33"/>
      <c r="AV33"/>
    </row>
    <row r="34" spans="6:48" x14ac:dyDescent="0.25">
      <c r="F34" t="s">
        <v>312</v>
      </c>
      <c r="G34">
        <v>331</v>
      </c>
      <c r="H34">
        <v>585</v>
      </c>
      <c r="I34" s="386">
        <v>1.7673716012084593</v>
      </c>
      <c r="J34" s="386">
        <v>918</v>
      </c>
      <c r="K34" s="386">
        <v>1.5692307692307692</v>
      </c>
      <c r="L34" s="386">
        <v>1.593681917211329</v>
      </c>
      <c r="M34" s="386">
        <v>0.97470950102529053</v>
      </c>
      <c r="N34" s="386">
        <v>1.1872370266479664</v>
      </c>
      <c r="O34" s="386">
        <v>0.76727702303603074</v>
      </c>
      <c r="P34" s="386">
        <v>0.94226327944572752</v>
      </c>
      <c r="Q34" s="386">
        <v>0.73039215686274506</v>
      </c>
      <c r="R34" s="386">
        <v>0.95078299776286357</v>
      </c>
      <c r="S34" s="386">
        <v>0.66588235294117648</v>
      </c>
      <c r="T34" s="386">
        <v>0.59363957597173145</v>
      </c>
      <c r="U34" s="386">
        <v>0.9464285714285714</v>
      </c>
      <c r="V34" s="386">
        <v>0.67924528301886788</v>
      </c>
      <c r="W34" s="386">
        <v>1.2361111111111112</v>
      </c>
      <c r="X34" s="386">
        <v>1.404494382022472</v>
      </c>
      <c r="Y34" s="386">
        <v>1.5866666666666667</v>
      </c>
      <c r="Z34" s="386">
        <v>0.94621848739495795</v>
      </c>
      <c r="AA34" s="386">
        <v>0.85612788632326819</v>
      </c>
      <c r="AB34" s="386">
        <v>0.79875518672199175</v>
      </c>
      <c r="AC34" s="386">
        <v>1.0935064935064935</v>
      </c>
      <c r="AD34" s="386">
        <v>1.2470308788598574</v>
      </c>
      <c r="AE34" s="386">
        <v>1.3333333333333333</v>
      </c>
      <c r="AG34" s="347"/>
      <c r="AJ34"/>
      <c r="AL34"/>
      <c r="AP34"/>
      <c r="AV34"/>
    </row>
    <row r="35" spans="6:48" x14ac:dyDescent="0.25">
      <c r="S35" s="347"/>
      <c r="U35" s="347"/>
      <c r="W35" s="347"/>
      <c r="Y35" s="347"/>
      <c r="AB35"/>
      <c r="AD35"/>
      <c r="AE35" s="347"/>
      <c r="AF35"/>
      <c r="AG35" s="347"/>
      <c r="AJ35"/>
      <c r="AL35"/>
      <c r="AP35"/>
    </row>
    <row r="36" spans="6:48" x14ac:dyDescent="0.25">
      <c r="T36"/>
      <c r="V36"/>
      <c r="X36"/>
      <c r="Y36" s="347"/>
      <c r="AB36"/>
      <c r="AC36" s="347"/>
      <c r="AD36"/>
      <c r="AE36" s="347"/>
      <c r="AF36"/>
      <c r="AG36" s="347"/>
      <c r="AH36"/>
      <c r="AI36" s="347"/>
      <c r="AJ36"/>
      <c r="AP36"/>
    </row>
    <row r="37" spans="6:48" x14ac:dyDescent="0.25">
      <c r="U37" s="347"/>
      <c r="V37"/>
      <c r="Z37"/>
      <c r="AA37" s="347"/>
      <c r="AB37"/>
      <c r="AC37" s="347"/>
      <c r="AD37"/>
      <c r="AE37" s="347"/>
      <c r="AF37"/>
      <c r="AG37" s="347"/>
      <c r="AH37"/>
      <c r="AI37" s="347"/>
      <c r="AJ37"/>
      <c r="AK37" s="347"/>
      <c r="AL37"/>
      <c r="AP37"/>
    </row>
    <row r="38" spans="6:48" x14ac:dyDescent="0.25">
      <c r="U38" s="347"/>
      <c r="V38"/>
      <c r="AP38"/>
    </row>
    <row r="39" spans="6:48" x14ac:dyDescent="0.25">
      <c r="W39" s="347"/>
      <c r="X39"/>
      <c r="Y39" s="347"/>
      <c r="Z39"/>
      <c r="AA39" s="347"/>
      <c r="AB39"/>
      <c r="AC39" s="347"/>
      <c r="AD39"/>
      <c r="AE39" s="347"/>
      <c r="AF39"/>
      <c r="AG39" s="347"/>
      <c r="AH39"/>
      <c r="AI39" s="347"/>
      <c r="AJ39"/>
      <c r="AK39" s="347"/>
      <c r="AL39"/>
      <c r="AM39" s="347"/>
      <c r="AN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681D-51DC-46B2-88D5-545C6829A7E9}">
  <dimension ref="A3:J411"/>
  <sheetViews>
    <sheetView workbookViewId="0"/>
  </sheetViews>
  <sheetFormatPr baseColWidth="10" defaultRowHeight="15" x14ac:dyDescent="0.25"/>
  <cols>
    <col min="1" max="1" width="26.85546875" bestFit="1" customWidth="1"/>
    <col min="2" max="2" width="29.7109375" bestFit="1" customWidth="1"/>
    <col min="3" max="3" width="9.28515625" bestFit="1" customWidth="1"/>
    <col min="4" max="9" width="10.140625" bestFit="1" customWidth="1"/>
    <col min="10" max="10" width="11.7109375" bestFit="1" customWidth="1"/>
    <col min="11" max="11" width="16.7109375" bestFit="1" customWidth="1"/>
  </cols>
  <sheetData>
    <row r="3" spans="1:10" x14ac:dyDescent="0.25">
      <c r="A3" s="383" t="s">
        <v>348</v>
      </c>
      <c r="B3" s="383" t="s">
        <v>313</v>
      </c>
    </row>
    <row r="4" spans="1:10" x14ac:dyDescent="0.25">
      <c r="A4" s="383" t="s">
        <v>315</v>
      </c>
      <c r="B4" s="347" t="s">
        <v>309</v>
      </c>
      <c r="C4" s="347" t="s">
        <v>305</v>
      </c>
      <c r="D4" s="347" t="s">
        <v>304</v>
      </c>
      <c r="E4" s="347" t="s">
        <v>306</v>
      </c>
      <c r="F4" s="347" t="s">
        <v>307</v>
      </c>
      <c r="G4" s="347" t="s">
        <v>310</v>
      </c>
      <c r="H4" s="347" t="s">
        <v>311</v>
      </c>
      <c r="I4" s="347" t="s">
        <v>308</v>
      </c>
      <c r="J4" s="347" t="s">
        <v>312</v>
      </c>
    </row>
    <row r="5" spans="1:10" x14ac:dyDescent="0.25">
      <c r="A5" s="388">
        <v>43891</v>
      </c>
      <c r="B5" s="385"/>
      <c r="C5" s="385"/>
      <c r="D5" s="385"/>
      <c r="E5" s="385"/>
      <c r="F5" s="385">
        <v>1</v>
      </c>
      <c r="G5" s="385"/>
      <c r="H5" s="385"/>
      <c r="I5" s="385"/>
      <c r="J5" s="385"/>
    </row>
    <row r="6" spans="1:10" x14ac:dyDescent="0.25">
      <c r="A6" s="388">
        <v>43892</v>
      </c>
      <c r="B6" s="385"/>
      <c r="C6" s="385"/>
      <c r="D6" s="385"/>
      <c r="E6" s="385">
        <v>1</v>
      </c>
      <c r="F6" s="385"/>
      <c r="G6" s="385"/>
      <c r="H6" s="385"/>
      <c r="I6" s="385"/>
      <c r="J6" s="385"/>
    </row>
    <row r="7" spans="1:10" x14ac:dyDescent="0.25">
      <c r="A7" s="388">
        <v>43893</v>
      </c>
      <c r="B7" s="385"/>
      <c r="C7" s="385"/>
      <c r="D7" s="385"/>
      <c r="E7" s="385"/>
      <c r="F7" s="385">
        <v>1</v>
      </c>
      <c r="G7" s="385"/>
      <c r="H7" s="385"/>
      <c r="I7" s="385"/>
      <c r="J7" s="385"/>
    </row>
    <row r="8" spans="1:10" x14ac:dyDescent="0.25">
      <c r="A8" s="388">
        <v>43894</v>
      </c>
      <c r="B8" s="385"/>
      <c r="C8" s="385"/>
      <c r="D8" s="385"/>
      <c r="E8" s="385"/>
      <c r="F8" s="385"/>
      <c r="G8" s="385"/>
      <c r="H8" s="385">
        <v>1</v>
      </c>
      <c r="I8" s="385"/>
      <c r="J8" s="385">
        <v>1</v>
      </c>
    </row>
    <row r="9" spans="1:10" x14ac:dyDescent="0.25">
      <c r="A9" s="388">
        <v>43895</v>
      </c>
      <c r="B9" s="385"/>
      <c r="C9" s="385"/>
      <c r="D9" s="385">
        <v>1</v>
      </c>
      <c r="E9" s="385"/>
      <c r="F9" s="385">
        <v>1</v>
      </c>
      <c r="G9" s="385"/>
      <c r="H9" s="385">
        <v>1</v>
      </c>
      <c r="I9" s="385">
        <v>1</v>
      </c>
      <c r="J9" s="385"/>
    </row>
    <row r="10" spans="1:10" x14ac:dyDescent="0.25">
      <c r="A10" s="388">
        <v>43896</v>
      </c>
      <c r="B10" s="385"/>
      <c r="C10" s="385"/>
      <c r="D10" s="385"/>
      <c r="E10" s="385"/>
      <c r="F10" s="385"/>
      <c r="G10" s="385">
        <v>1</v>
      </c>
      <c r="H10" s="385"/>
      <c r="I10" s="385">
        <v>1</v>
      </c>
      <c r="J10" s="385"/>
    </row>
    <row r="11" spans="1:10" x14ac:dyDescent="0.25">
      <c r="A11" s="388">
        <v>43898</v>
      </c>
      <c r="B11" s="385"/>
      <c r="C11" s="385"/>
      <c r="D11" s="385">
        <v>1</v>
      </c>
      <c r="E11" s="385"/>
      <c r="F11" s="385"/>
      <c r="G11" s="385">
        <v>1</v>
      </c>
      <c r="H11" s="385"/>
      <c r="I11" s="385"/>
      <c r="J11" s="385"/>
    </row>
    <row r="12" spans="1:10" x14ac:dyDescent="0.25">
      <c r="A12" s="388">
        <v>43899</v>
      </c>
      <c r="B12" s="385"/>
      <c r="C12" s="385"/>
      <c r="D12" s="385"/>
      <c r="E12" s="385"/>
      <c r="F12" s="385">
        <v>2</v>
      </c>
      <c r="G12" s="385"/>
      <c r="H12" s="385">
        <v>2</v>
      </c>
      <c r="I12" s="385"/>
      <c r="J12" s="385"/>
    </row>
    <row r="13" spans="1:10" x14ac:dyDescent="0.25">
      <c r="A13" s="388">
        <v>43900</v>
      </c>
      <c r="B13" s="385"/>
      <c r="C13" s="385"/>
      <c r="D13" s="385"/>
      <c r="E13" s="385">
        <v>1</v>
      </c>
      <c r="F13" s="385">
        <v>2</v>
      </c>
      <c r="G13" s="385">
        <v>2</v>
      </c>
      <c r="H13" s="385">
        <v>1</v>
      </c>
      <c r="I13" s="385"/>
      <c r="J13" s="385"/>
    </row>
    <row r="14" spans="1:10" x14ac:dyDescent="0.25">
      <c r="A14" s="388">
        <v>43901</v>
      </c>
      <c r="B14" s="385"/>
      <c r="C14" s="385"/>
      <c r="D14" s="385">
        <v>3</v>
      </c>
      <c r="E14" s="385">
        <v>2</v>
      </c>
      <c r="F14" s="385">
        <v>2</v>
      </c>
      <c r="G14" s="385">
        <v>1</v>
      </c>
      <c r="H14" s="385">
        <v>1</v>
      </c>
      <c r="I14" s="385">
        <v>1</v>
      </c>
      <c r="J14" s="385"/>
    </row>
    <row r="15" spans="1:10" x14ac:dyDescent="0.25">
      <c r="A15" s="388">
        <v>43902</v>
      </c>
      <c r="B15" s="385"/>
      <c r="C15" s="385">
        <v>1</v>
      </c>
      <c r="D15" s="385">
        <v>1</v>
      </c>
      <c r="E15" s="385">
        <v>1</v>
      </c>
      <c r="F15" s="385">
        <v>1</v>
      </c>
      <c r="G15" s="385">
        <v>1</v>
      </c>
      <c r="H15" s="385">
        <v>1</v>
      </c>
      <c r="I15" s="385"/>
      <c r="J15" s="385">
        <v>1</v>
      </c>
    </row>
    <row r="16" spans="1:10" x14ac:dyDescent="0.25">
      <c r="A16" s="388">
        <v>43903</v>
      </c>
      <c r="B16" s="385"/>
      <c r="C16" s="385"/>
      <c r="D16" s="385">
        <v>3</v>
      </c>
      <c r="E16" s="385">
        <v>2</v>
      </c>
      <c r="F16" s="385">
        <v>3</v>
      </c>
      <c r="G16" s="385">
        <v>2</v>
      </c>
      <c r="H16" s="385">
        <v>1</v>
      </c>
      <c r="I16" s="385"/>
      <c r="J16" s="385"/>
    </row>
    <row r="17" spans="1:10" x14ac:dyDescent="0.25">
      <c r="A17" s="388">
        <v>43904</v>
      </c>
      <c r="B17" s="385"/>
      <c r="C17" s="385"/>
      <c r="D17" s="385">
        <v>3</v>
      </c>
      <c r="E17" s="385"/>
      <c r="F17" s="385">
        <v>4</v>
      </c>
      <c r="G17" s="385"/>
      <c r="H17" s="385"/>
      <c r="I17" s="385"/>
      <c r="J17" s="385"/>
    </row>
    <row r="18" spans="1:10" x14ac:dyDescent="0.25">
      <c r="A18" s="388">
        <v>43905</v>
      </c>
      <c r="B18" s="385"/>
      <c r="C18" s="385">
        <v>1</v>
      </c>
      <c r="D18" s="385">
        <v>1</v>
      </c>
      <c r="E18" s="385">
        <v>2</v>
      </c>
      <c r="F18" s="385">
        <v>3</v>
      </c>
      <c r="G18" s="385"/>
      <c r="H18" s="385"/>
      <c r="I18" s="385">
        <v>2</v>
      </c>
      <c r="J18" s="385"/>
    </row>
    <row r="19" spans="1:10" x14ac:dyDescent="0.25">
      <c r="A19" s="388">
        <v>43906</v>
      </c>
      <c r="B19" s="385"/>
      <c r="C19" s="385"/>
      <c r="D19" s="385">
        <v>4</v>
      </c>
      <c r="E19" s="385">
        <v>4</v>
      </c>
      <c r="F19" s="385">
        <v>1</v>
      </c>
      <c r="G19" s="385">
        <v>1</v>
      </c>
      <c r="H19" s="385">
        <v>1</v>
      </c>
      <c r="I19" s="385"/>
      <c r="J19" s="385"/>
    </row>
    <row r="20" spans="1:10" x14ac:dyDescent="0.25">
      <c r="A20" s="388">
        <v>43907</v>
      </c>
      <c r="B20" s="385"/>
      <c r="C20" s="385">
        <v>1</v>
      </c>
      <c r="D20" s="385">
        <v>4</v>
      </c>
      <c r="E20" s="385">
        <v>4</v>
      </c>
      <c r="F20" s="385">
        <v>2</v>
      </c>
      <c r="G20" s="385">
        <v>4</v>
      </c>
      <c r="H20" s="385">
        <v>3</v>
      </c>
      <c r="I20" s="385">
        <v>2</v>
      </c>
      <c r="J20" s="385"/>
    </row>
    <row r="21" spans="1:10" x14ac:dyDescent="0.25">
      <c r="A21" s="388">
        <v>43908</v>
      </c>
      <c r="B21" s="385"/>
      <c r="C21" s="385"/>
      <c r="D21" s="385">
        <v>6</v>
      </c>
      <c r="E21" s="385">
        <v>7</v>
      </c>
      <c r="F21" s="385">
        <v>3</v>
      </c>
      <c r="G21" s="385">
        <v>3</v>
      </c>
      <c r="H21" s="385">
        <v>1</v>
      </c>
      <c r="I21" s="385"/>
      <c r="J21" s="385"/>
    </row>
    <row r="22" spans="1:10" x14ac:dyDescent="0.25">
      <c r="A22" s="388">
        <v>43909</v>
      </c>
      <c r="B22" s="385"/>
      <c r="C22" s="385">
        <v>1</v>
      </c>
      <c r="D22" s="385">
        <v>2</v>
      </c>
      <c r="E22" s="385">
        <v>5</v>
      </c>
      <c r="F22" s="385">
        <v>5</v>
      </c>
      <c r="G22" s="385">
        <v>5</v>
      </c>
      <c r="H22" s="385"/>
      <c r="I22" s="385">
        <v>4</v>
      </c>
      <c r="J22" s="385">
        <v>1</v>
      </c>
    </row>
    <row r="23" spans="1:10" x14ac:dyDescent="0.25">
      <c r="A23" s="388">
        <v>43910</v>
      </c>
      <c r="B23" s="385"/>
      <c r="C23" s="385"/>
      <c r="D23" s="385">
        <v>6</v>
      </c>
      <c r="E23" s="385">
        <v>4</v>
      </c>
      <c r="F23" s="385">
        <v>4</v>
      </c>
      <c r="G23" s="385">
        <v>3</v>
      </c>
      <c r="H23" s="385">
        <v>2</v>
      </c>
      <c r="I23" s="385">
        <v>1</v>
      </c>
      <c r="J23" s="385">
        <v>2</v>
      </c>
    </row>
    <row r="24" spans="1:10" x14ac:dyDescent="0.25">
      <c r="A24" s="388">
        <v>43911</v>
      </c>
      <c r="B24" s="385"/>
      <c r="C24" s="385">
        <v>5</v>
      </c>
      <c r="D24" s="385">
        <v>5</v>
      </c>
      <c r="E24" s="385">
        <v>5</v>
      </c>
      <c r="F24" s="385">
        <v>4</v>
      </c>
      <c r="G24" s="385">
        <v>5</v>
      </c>
      <c r="H24" s="385">
        <v>4</v>
      </c>
      <c r="I24" s="385">
        <v>4</v>
      </c>
      <c r="J24" s="385">
        <v>1</v>
      </c>
    </row>
    <row r="25" spans="1:10" x14ac:dyDescent="0.25">
      <c r="A25" s="388">
        <v>43912</v>
      </c>
      <c r="B25" s="385"/>
      <c r="C25" s="385">
        <v>1</v>
      </c>
      <c r="D25" s="385">
        <v>2</v>
      </c>
      <c r="E25" s="385">
        <v>8</v>
      </c>
      <c r="F25" s="385">
        <v>7</v>
      </c>
      <c r="G25" s="385">
        <v>7</v>
      </c>
      <c r="H25" s="385">
        <v>4</v>
      </c>
      <c r="I25" s="385">
        <v>3</v>
      </c>
      <c r="J25" s="385">
        <v>1</v>
      </c>
    </row>
    <row r="26" spans="1:10" x14ac:dyDescent="0.25">
      <c r="A26" s="388">
        <v>43913</v>
      </c>
      <c r="B26" s="385"/>
      <c r="C26" s="385">
        <v>1</v>
      </c>
      <c r="D26" s="385">
        <v>3</v>
      </c>
      <c r="E26" s="385">
        <v>7</v>
      </c>
      <c r="F26" s="385">
        <v>7</v>
      </c>
      <c r="G26" s="385">
        <v>6</v>
      </c>
      <c r="H26" s="385">
        <v>3</v>
      </c>
      <c r="I26" s="385">
        <v>6</v>
      </c>
      <c r="J26" s="385">
        <v>2</v>
      </c>
    </row>
    <row r="27" spans="1:10" x14ac:dyDescent="0.25">
      <c r="A27" s="388">
        <v>43914</v>
      </c>
      <c r="B27" s="385"/>
      <c r="C27" s="385"/>
      <c r="D27" s="385">
        <v>10</v>
      </c>
      <c r="E27" s="385">
        <v>9</v>
      </c>
      <c r="F27" s="385">
        <v>5</v>
      </c>
      <c r="G27" s="385">
        <v>4</v>
      </c>
      <c r="H27" s="385">
        <v>2</v>
      </c>
      <c r="I27" s="385">
        <v>2</v>
      </c>
      <c r="J27" s="385">
        <v>1</v>
      </c>
    </row>
    <row r="28" spans="1:10" x14ac:dyDescent="0.25">
      <c r="A28" s="388">
        <v>43915</v>
      </c>
      <c r="B28" s="385">
        <v>1</v>
      </c>
      <c r="C28" s="385">
        <v>2</v>
      </c>
      <c r="D28" s="385">
        <v>6</v>
      </c>
      <c r="E28" s="385">
        <v>9</v>
      </c>
      <c r="F28" s="385">
        <v>4</v>
      </c>
      <c r="G28" s="385">
        <v>4</v>
      </c>
      <c r="H28" s="385">
        <v>1</v>
      </c>
      <c r="I28" s="385">
        <v>4</v>
      </c>
      <c r="J28" s="385">
        <v>4</v>
      </c>
    </row>
    <row r="29" spans="1:10" x14ac:dyDescent="0.25">
      <c r="A29" s="388">
        <v>43916</v>
      </c>
      <c r="B29" s="385"/>
      <c r="C29" s="385"/>
      <c r="D29" s="385">
        <v>3</v>
      </c>
      <c r="E29" s="385">
        <v>4</v>
      </c>
      <c r="F29" s="385">
        <v>2</v>
      </c>
      <c r="G29" s="385">
        <v>8</v>
      </c>
      <c r="H29" s="385">
        <v>5</v>
      </c>
      <c r="I29" s="385">
        <v>3</v>
      </c>
      <c r="J29" s="385">
        <v>1</v>
      </c>
    </row>
    <row r="30" spans="1:10" x14ac:dyDescent="0.25">
      <c r="A30" s="388">
        <v>43917</v>
      </c>
      <c r="B30" s="385"/>
      <c r="C30" s="385"/>
      <c r="D30" s="385">
        <v>2</v>
      </c>
      <c r="E30" s="385">
        <v>6</v>
      </c>
      <c r="F30" s="385">
        <v>6</v>
      </c>
      <c r="G30" s="385">
        <v>2</v>
      </c>
      <c r="H30" s="385">
        <v>4</v>
      </c>
      <c r="I30" s="385">
        <v>4</v>
      </c>
      <c r="J30" s="385"/>
    </row>
    <row r="31" spans="1:10" x14ac:dyDescent="0.25">
      <c r="A31" s="388">
        <v>43918</v>
      </c>
      <c r="B31" s="385"/>
      <c r="C31" s="385"/>
      <c r="D31" s="385">
        <v>2</v>
      </c>
      <c r="E31" s="385">
        <v>6</v>
      </c>
      <c r="F31" s="385">
        <v>4</v>
      </c>
      <c r="G31" s="385">
        <v>4</v>
      </c>
      <c r="H31" s="385">
        <v>4</v>
      </c>
      <c r="I31" s="385">
        <v>4</v>
      </c>
      <c r="J31" s="385">
        <v>4</v>
      </c>
    </row>
    <row r="32" spans="1:10" x14ac:dyDescent="0.25">
      <c r="A32" s="388">
        <v>43919</v>
      </c>
      <c r="B32" s="385"/>
      <c r="C32" s="385">
        <v>1</v>
      </c>
      <c r="D32" s="385">
        <v>5</v>
      </c>
      <c r="E32" s="385">
        <v>13</v>
      </c>
      <c r="F32" s="385">
        <v>1</v>
      </c>
      <c r="G32" s="385">
        <v>3</v>
      </c>
      <c r="H32" s="385">
        <v>7</v>
      </c>
      <c r="I32" s="385">
        <v>5</v>
      </c>
      <c r="J32" s="385">
        <v>2</v>
      </c>
    </row>
    <row r="33" spans="1:10" x14ac:dyDescent="0.25">
      <c r="A33" s="388">
        <v>43920</v>
      </c>
      <c r="B33" s="385"/>
      <c r="C33" s="385">
        <v>1</v>
      </c>
      <c r="D33" s="385">
        <v>6</v>
      </c>
      <c r="E33" s="385">
        <v>8</v>
      </c>
      <c r="F33" s="385">
        <v>5</v>
      </c>
      <c r="G33" s="385">
        <v>8</v>
      </c>
      <c r="H33" s="385">
        <v>6</v>
      </c>
      <c r="I33" s="385">
        <v>8</v>
      </c>
      <c r="J33" s="385">
        <v>1</v>
      </c>
    </row>
    <row r="34" spans="1:10" x14ac:dyDescent="0.25">
      <c r="A34" s="388">
        <v>43921</v>
      </c>
      <c r="B34" s="385">
        <v>1</v>
      </c>
      <c r="C34" s="385">
        <v>2</v>
      </c>
      <c r="D34" s="385">
        <v>8</v>
      </c>
      <c r="E34" s="385">
        <v>6</v>
      </c>
      <c r="F34" s="385">
        <v>3</v>
      </c>
      <c r="G34" s="385">
        <v>8</v>
      </c>
      <c r="H34" s="385">
        <v>3</v>
      </c>
      <c r="I34" s="385">
        <v>10</v>
      </c>
      <c r="J34" s="385">
        <v>4</v>
      </c>
    </row>
    <row r="35" spans="1:10" x14ac:dyDescent="0.25">
      <c r="A35" s="388">
        <v>43922</v>
      </c>
      <c r="B35" s="385"/>
      <c r="C35" s="385">
        <v>1</v>
      </c>
      <c r="D35" s="385">
        <v>7</v>
      </c>
      <c r="E35" s="385">
        <v>13</v>
      </c>
      <c r="F35" s="385">
        <v>9</v>
      </c>
      <c r="G35" s="385">
        <v>9</v>
      </c>
      <c r="H35" s="385">
        <v>8</v>
      </c>
      <c r="I35" s="385">
        <v>2</v>
      </c>
      <c r="J35" s="385">
        <v>2</v>
      </c>
    </row>
    <row r="36" spans="1:10" x14ac:dyDescent="0.25">
      <c r="A36" s="388">
        <v>43923</v>
      </c>
      <c r="B36" s="385"/>
      <c r="C36" s="385">
        <v>1</v>
      </c>
      <c r="D36" s="385">
        <v>2</v>
      </c>
      <c r="E36" s="385">
        <v>5</v>
      </c>
      <c r="F36" s="385">
        <v>8</v>
      </c>
      <c r="G36" s="385">
        <v>5</v>
      </c>
      <c r="H36" s="385">
        <v>4</v>
      </c>
      <c r="I36" s="385">
        <v>9</v>
      </c>
      <c r="J36" s="385">
        <v>10</v>
      </c>
    </row>
    <row r="37" spans="1:10" x14ac:dyDescent="0.25">
      <c r="A37" s="388">
        <v>43924</v>
      </c>
      <c r="B37" s="385"/>
      <c r="C37" s="385"/>
      <c r="D37" s="385">
        <v>4</v>
      </c>
      <c r="E37" s="385">
        <v>7</v>
      </c>
      <c r="F37" s="385">
        <v>3</v>
      </c>
      <c r="G37" s="385">
        <v>7</v>
      </c>
      <c r="H37" s="385">
        <v>5</v>
      </c>
      <c r="I37" s="385">
        <v>4</v>
      </c>
      <c r="J37" s="385">
        <v>2</v>
      </c>
    </row>
    <row r="38" spans="1:10" x14ac:dyDescent="0.25">
      <c r="A38" s="388">
        <v>43925</v>
      </c>
      <c r="B38" s="385">
        <v>2</v>
      </c>
      <c r="C38" s="385"/>
      <c r="D38" s="385">
        <v>2</v>
      </c>
      <c r="E38" s="385">
        <v>3</v>
      </c>
      <c r="F38" s="385">
        <v>3</v>
      </c>
      <c r="G38" s="385">
        <v>2</v>
      </c>
      <c r="H38" s="385">
        <v>3</v>
      </c>
      <c r="I38" s="385">
        <v>1</v>
      </c>
      <c r="J38" s="385">
        <v>2</v>
      </c>
    </row>
    <row r="39" spans="1:10" x14ac:dyDescent="0.25">
      <c r="A39" s="388">
        <v>43926</v>
      </c>
      <c r="B39" s="385">
        <v>1</v>
      </c>
      <c r="C39" s="385"/>
      <c r="D39" s="385">
        <v>1</v>
      </c>
      <c r="E39" s="385">
        <v>3</v>
      </c>
      <c r="F39" s="385">
        <v>5</v>
      </c>
      <c r="G39" s="385">
        <v>3</v>
      </c>
      <c r="H39" s="385">
        <v>1</v>
      </c>
      <c r="I39" s="385">
        <v>3</v>
      </c>
      <c r="J39" s="385">
        <v>2</v>
      </c>
    </row>
    <row r="40" spans="1:10" x14ac:dyDescent="0.25">
      <c r="A40" s="388">
        <v>43927</v>
      </c>
      <c r="B40" s="385"/>
      <c r="C40" s="385"/>
      <c r="D40" s="385">
        <v>4</v>
      </c>
      <c r="E40" s="385">
        <v>11</v>
      </c>
      <c r="F40" s="385">
        <v>2</v>
      </c>
      <c r="G40" s="385">
        <v>7</v>
      </c>
      <c r="H40" s="385">
        <v>5</v>
      </c>
      <c r="I40" s="385">
        <v>4</v>
      </c>
      <c r="J40" s="385">
        <v>1</v>
      </c>
    </row>
    <row r="41" spans="1:10" x14ac:dyDescent="0.25">
      <c r="A41" s="388">
        <v>43928</v>
      </c>
      <c r="B41" s="385"/>
      <c r="C41" s="385"/>
      <c r="D41" s="385">
        <v>4</v>
      </c>
      <c r="E41" s="385">
        <v>9</v>
      </c>
      <c r="F41" s="385">
        <v>2</v>
      </c>
      <c r="G41" s="385">
        <v>6</v>
      </c>
      <c r="H41" s="385">
        <v>3</v>
      </c>
      <c r="I41" s="385">
        <v>2</v>
      </c>
      <c r="J41" s="385">
        <v>5</v>
      </c>
    </row>
    <row r="42" spans="1:10" x14ac:dyDescent="0.25">
      <c r="A42" s="388">
        <v>43929</v>
      </c>
      <c r="B42" s="385">
        <v>1</v>
      </c>
      <c r="C42" s="385">
        <v>2</v>
      </c>
      <c r="D42" s="385">
        <v>4</v>
      </c>
      <c r="E42" s="385">
        <v>8</v>
      </c>
      <c r="F42" s="385">
        <v>6</v>
      </c>
      <c r="G42" s="385">
        <v>3</v>
      </c>
      <c r="H42" s="385">
        <v>2</v>
      </c>
      <c r="I42" s="385">
        <v>3</v>
      </c>
      <c r="J42" s="385">
        <v>1</v>
      </c>
    </row>
    <row r="43" spans="1:10" x14ac:dyDescent="0.25">
      <c r="A43" s="388">
        <v>43930</v>
      </c>
      <c r="B43" s="385"/>
      <c r="C43" s="385">
        <v>1</v>
      </c>
      <c r="D43" s="385">
        <v>3</v>
      </c>
      <c r="E43" s="385">
        <v>6</v>
      </c>
      <c r="F43" s="385">
        <v>2</v>
      </c>
      <c r="G43" s="385">
        <v>3</v>
      </c>
      <c r="H43" s="385">
        <v>1</v>
      </c>
      <c r="I43" s="385"/>
      <c r="J43" s="385">
        <v>1</v>
      </c>
    </row>
    <row r="44" spans="1:10" x14ac:dyDescent="0.25">
      <c r="A44" s="388">
        <v>43931</v>
      </c>
      <c r="B44" s="385"/>
      <c r="C44" s="385">
        <v>1</v>
      </c>
      <c r="D44" s="385">
        <v>1</v>
      </c>
      <c r="E44" s="385">
        <v>8</v>
      </c>
      <c r="F44" s="385"/>
      <c r="G44" s="385">
        <v>1</v>
      </c>
      <c r="H44" s="385">
        <v>2</v>
      </c>
      <c r="I44" s="385"/>
      <c r="J44" s="385"/>
    </row>
    <row r="45" spans="1:10" x14ac:dyDescent="0.25">
      <c r="A45" s="388">
        <v>43932</v>
      </c>
      <c r="B45" s="385"/>
      <c r="C45" s="385"/>
      <c r="D45" s="385">
        <v>3</v>
      </c>
      <c r="E45" s="385">
        <v>7</v>
      </c>
      <c r="F45" s="385">
        <v>3</v>
      </c>
      <c r="G45" s="385">
        <v>2</v>
      </c>
      <c r="H45" s="385">
        <v>1</v>
      </c>
      <c r="I45" s="385">
        <v>1</v>
      </c>
      <c r="J45" s="385">
        <v>3</v>
      </c>
    </row>
    <row r="46" spans="1:10" x14ac:dyDescent="0.25">
      <c r="A46" s="388">
        <v>43933</v>
      </c>
      <c r="B46" s="385">
        <v>1</v>
      </c>
      <c r="C46" s="385"/>
      <c r="D46" s="385">
        <v>3</v>
      </c>
      <c r="E46" s="385">
        <v>7</v>
      </c>
      <c r="F46" s="385">
        <v>2</v>
      </c>
      <c r="G46" s="385">
        <v>2</v>
      </c>
      <c r="H46" s="385"/>
      <c r="I46" s="385">
        <v>1</v>
      </c>
      <c r="J46" s="385">
        <v>2</v>
      </c>
    </row>
    <row r="47" spans="1:10" x14ac:dyDescent="0.25">
      <c r="A47" s="388">
        <v>43934</v>
      </c>
      <c r="B47" s="385">
        <v>1</v>
      </c>
      <c r="C47" s="385">
        <v>1</v>
      </c>
      <c r="D47" s="385">
        <v>5</v>
      </c>
      <c r="E47" s="385">
        <v>5</v>
      </c>
      <c r="F47" s="385">
        <v>7</v>
      </c>
      <c r="G47" s="385">
        <v>9</v>
      </c>
      <c r="H47" s="385">
        <v>3</v>
      </c>
      <c r="I47" s="385">
        <v>2</v>
      </c>
      <c r="J47" s="385">
        <v>2</v>
      </c>
    </row>
    <row r="48" spans="1:10" x14ac:dyDescent="0.25">
      <c r="A48" s="388">
        <v>43935</v>
      </c>
      <c r="B48" s="385"/>
      <c r="C48" s="385"/>
      <c r="D48" s="385">
        <v>4</v>
      </c>
      <c r="E48" s="385">
        <v>9</v>
      </c>
      <c r="F48" s="385">
        <v>6</v>
      </c>
      <c r="G48" s="385">
        <v>3</v>
      </c>
      <c r="H48" s="385">
        <v>4</v>
      </c>
      <c r="I48" s="385">
        <v>3</v>
      </c>
      <c r="J48" s="385">
        <v>3</v>
      </c>
    </row>
    <row r="49" spans="1:10" x14ac:dyDescent="0.25">
      <c r="A49" s="388">
        <v>43936</v>
      </c>
      <c r="B49" s="385"/>
      <c r="C49" s="385">
        <v>1</v>
      </c>
      <c r="D49" s="385">
        <v>1</v>
      </c>
      <c r="E49" s="385">
        <v>4</v>
      </c>
      <c r="F49" s="385">
        <v>5</v>
      </c>
      <c r="G49" s="385">
        <v>1</v>
      </c>
      <c r="H49" s="385">
        <v>1</v>
      </c>
      <c r="I49" s="385"/>
      <c r="J49" s="385">
        <v>2</v>
      </c>
    </row>
    <row r="50" spans="1:10" x14ac:dyDescent="0.25">
      <c r="A50" s="388">
        <v>43937</v>
      </c>
      <c r="B50" s="385"/>
      <c r="C50" s="385"/>
      <c r="D50" s="385">
        <v>2</v>
      </c>
      <c r="E50" s="385">
        <v>5</v>
      </c>
      <c r="F50" s="385">
        <v>4</v>
      </c>
      <c r="G50" s="385">
        <v>3</v>
      </c>
      <c r="H50" s="385">
        <v>3</v>
      </c>
      <c r="I50" s="385">
        <v>3</v>
      </c>
      <c r="J50" s="385">
        <v>9</v>
      </c>
    </row>
    <row r="51" spans="1:10" x14ac:dyDescent="0.25">
      <c r="A51" s="388">
        <v>43938</v>
      </c>
      <c r="B51" s="385"/>
      <c r="C51" s="385"/>
      <c r="D51" s="385">
        <v>5</v>
      </c>
      <c r="E51" s="385">
        <v>7</v>
      </c>
      <c r="F51" s="385">
        <v>5</v>
      </c>
      <c r="G51" s="385">
        <v>3</v>
      </c>
      <c r="H51" s="385">
        <v>3</v>
      </c>
      <c r="I51" s="385">
        <v>2</v>
      </c>
      <c r="J51" s="385">
        <v>8</v>
      </c>
    </row>
    <row r="52" spans="1:10" x14ac:dyDescent="0.25">
      <c r="A52" s="388">
        <v>43939</v>
      </c>
      <c r="B52" s="385">
        <v>2</v>
      </c>
      <c r="C52" s="385">
        <v>1</v>
      </c>
      <c r="D52" s="385">
        <v>2</v>
      </c>
      <c r="E52" s="385">
        <v>1</v>
      </c>
      <c r="F52" s="385">
        <v>5</v>
      </c>
      <c r="G52" s="385">
        <v>2</v>
      </c>
      <c r="H52" s="385">
        <v>4</v>
      </c>
      <c r="I52" s="385">
        <v>2</v>
      </c>
      <c r="J52" s="385">
        <v>9</v>
      </c>
    </row>
    <row r="53" spans="1:10" x14ac:dyDescent="0.25">
      <c r="A53" s="388">
        <v>43940</v>
      </c>
      <c r="B53" s="385"/>
      <c r="C53" s="385"/>
      <c r="D53" s="385">
        <v>2</v>
      </c>
      <c r="E53" s="385">
        <v>10</v>
      </c>
      <c r="F53" s="385">
        <v>4</v>
      </c>
      <c r="G53" s="385">
        <v>3</v>
      </c>
      <c r="H53" s="385"/>
      <c r="I53" s="385">
        <v>5</v>
      </c>
      <c r="J53" s="385">
        <v>6</v>
      </c>
    </row>
    <row r="54" spans="1:10" x14ac:dyDescent="0.25">
      <c r="A54" s="388">
        <v>43941</v>
      </c>
      <c r="B54" s="385"/>
      <c r="C54" s="385"/>
      <c r="D54" s="385">
        <v>4</v>
      </c>
      <c r="E54" s="385">
        <v>6</v>
      </c>
      <c r="F54" s="385">
        <v>6</v>
      </c>
      <c r="G54" s="385">
        <v>13</v>
      </c>
      <c r="H54" s="385">
        <v>3</v>
      </c>
      <c r="I54" s="385">
        <v>1</v>
      </c>
      <c r="J54" s="385">
        <v>8</v>
      </c>
    </row>
    <row r="55" spans="1:10" x14ac:dyDescent="0.25">
      <c r="A55" s="388">
        <v>43942</v>
      </c>
      <c r="B55" s="385">
        <v>5</v>
      </c>
      <c r="C55" s="385"/>
      <c r="D55" s="385">
        <v>7</v>
      </c>
      <c r="E55" s="385">
        <v>10</v>
      </c>
      <c r="F55" s="385">
        <v>7</v>
      </c>
      <c r="G55" s="385">
        <v>5</v>
      </c>
      <c r="H55" s="385">
        <v>5</v>
      </c>
      <c r="I55" s="385">
        <v>4</v>
      </c>
      <c r="J55" s="385">
        <v>11</v>
      </c>
    </row>
    <row r="56" spans="1:10" x14ac:dyDescent="0.25">
      <c r="A56" s="388">
        <v>43943</v>
      </c>
      <c r="B56" s="385">
        <v>1</v>
      </c>
      <c r="C56" s="385"/>
      <c r="D56" s="385">
        <v>14</v>
      </c>
      <c r="E56" s="385">
        <v>15</v>
      </c>
      <c r="F56" s="385">
        <v>10</v>
      </c>
      <c r="G56" s="385">
        <v>9</v>
      </c>
      <c r="H56" s="385">
        <v>5</v>
      </c>
      <c r="I56" s="385">
        <v>9</v>
      </c>
      <c r="J56" s="385">
        <v>23</v>
      </c>
    </row>
    <row r="57" spans="1:10" x14ac:dyDescent="0.25">
      <c r="A57" s="388">
        <v>43944</v>
      </c>
      <c r="B57" s="385">
        <v>6</v>
      </c>
      <c r="C57" s="385">
        <v>5</v>
      </c>
      <c r="D57" s="385">
        <v>11</v>
      </c>
      <c r="E57" s="385">
        <v>13</v>
      </c>
      <c r="F57" s="385">
        <v>13</v>
      </c>
      <c r="G57" s="385">
        <v>2</v>
      </c>
      <c r="H57" s="385">
        <v>7</v>
      </c>
      <c r="I57" s="385">
        <v>6</v>
      </c>
      <c r="J57" s="385">
        <v>16</v>
      </c>
    </row>
    <row r="58" spans="1:10" x14ac:dyDescent="0.25">
      <c r="A58" s="388">
        <v>43945</v>
      </c>
      <c r="B58" s="385">
        <v>1</v>
      </c>
      <c r="C58" s="385">
        <v>3</v>
      </c>
      <c r="D58" s="385">
        <v>9</v>
      </c>
      <c r="E58" s="385">
        <v>15</v>
      </c>
      <c r="F58" s="385">
        <v>7</v>
      </c>
      <c r="G58" s="385">
        <v>10</v>
      </c>
      <c r="H58" s="385">
        <v>6</v>
      </c>
      <c r="I58" s="385">
        <v>3</v>
      </c>
      <c r="J58" s="385">
        <v>6</v>
      </c>
    </row>
    <row r="59" spans="1:10" x14ac:dyDescent="0.25">
      <c r="A59" s="388">
        <v>43946</v>
      </c>
      <c r="B59" s="385">
        <v>4</v>
      </c>
      <c r="C59" s="385">
        <v>3</v>
      </c>
      <c r="D59" s="385">
        <v>5</v>
      </c>
      <c r="E59" s="385">
        <v>5</v>
      </c>
      <c r="F59" s="385">
        <v>11</v>
      </c>
      <c r="G59" s="385">
        <v>3</v>
      </c>
      <c r="H59" s="385">
        <v>2</v>
      </c>
      <c r="I59" s="385">
        <v>2</v>
      </c>
      <c r="J59" s="385">
        <v>4</v>
      </c>
    </row>
    <row r="60" spans="1:10" x14ac:dyDescent="0.25">
      <c r="A60" s="388">
        <v>43947</v>
      </c>
      <c r="B60" s="385">
        <v>3</v>
      </c>
      <c r="C60" s="385">
        <v>2</v>
      </c>
      <c r="D60" s="385">
        <v>4</v>
      </c>
      <c r="E60" s="385">
        <v>7</v>
      </c>
      <c r="F60" s="385">
        <v>5</v>
      </c>
      <c r="G60" s="385">
        <v>1</v>
      </c>
      <c r="H60" s="385"/>
      <c r="I60" s="385">
        <v>1</v>
      </c>
      <c r="J60" s="385">
        <v>4</v>
      </c>
    </row>
    <row r="61" spans="1:10" x14ac:dyDescent="0.25">
      <c r="A61" s="388">
        <v>43948</v>
      </c>
      <c r="B61" s="385">
        <v>5</v>
      </c>
      <c r="C61" s="385">
        <v>5</v>
      </c>
      <c r="D61" s="385">
        <v>11</v>
      </c>
      <c r="E61" s="385">
        <v>20</v>
      </c>
      <c r="F61" s="385">
        <v>17</v>
      </c>
      <c r="G61" s="385">
        <v>6</v>
      </c>
      <c r="H61" s="385">
        <v>4</v>
      </c>
      <c r="I61" s="385">
        <v>2</v>
      </c>
      <c r="J61" s="385">
        <v>9</v>
      </c>
    </row>
    <row r="62" spans="1:10" x14ac:dyDescent="0.25">
      <c r="A62" s="388">
        <v>43949</v>
      </c>
      <c r="B62" s="385"/>
      <c r="C62" s="385">
        <v>3</v>
      </c>
      <c r="D62" s="385">
        <v>7</v>
      </c>
      <c r="E62" s="385">
        <v>14</v>
      </c>
      <c r="F62" s="385">
        <v>10</v>
      </c>
      <c r="G62" s="385">
        <v>2</v>
      </c>
      <c r="H62" s="385">
        <v>5</v>
      </c>
      <c r="I62" s="385">
        <v>4</v>
      </c>
      <c r="J62" s="385">
        <v>9</v>
      </c>
    </row>
    <row r="63" spans="1:10" x14ac:dyDescent="0.25">
      <c r="A63" s="388">
        <v>43950</v>
      </c>
      <c r="B63" s="385">
        <v>2</v>
      </c>
      <c r="C63" s="385">
        <v>6</v>
      </c>
      <c r="D63" s="385">
        <v>5</v>
      </c>
      <c r="E63" s="385">
        <v>6</v>
      </c>
      <c r="F63" s="385">
        <v>11</v>
      </c>
      <c r="G63" s="385">
        <v>6</v>
      </c>
      <c r="H63" s="385">
        <v>5</v>
      </c>
      <c r="I63" s="385">
        <v>6</v>
      </c>
      <c r="J63" s="385">
        <v>6</v>
      </c>
    </row>
    <row r="64" spans="1:10" x14ac:dyDescent="0.25">
      <c r="A64" s="388">
        <v>43951</v>
      </c>
      <c r="B64" s="385">
        <v>3</v>
      </c>
      <c r="C64" s="385">
        <v>3</v>
      </c>
      <c r="D64" s="385">
        <v>6</v>
      </c>
      <c r="E64" s="385">
        <v>13</v>
      </c>
      <c r="F64" s="385">
        <v>7</v>
      </c>
      <c r="G64" s="385">
        <v>6</v>
      </c>
      <c r="H64" s="385">
        <v>5</v>
      </c>
      <c r="I64" s="385">
        <v>1</v>
      </c>
      <c r="J64" s="385">
        <v>1</v>
      </c>
    </row>
    <row r="65" spans="1:10" x14ac:dyDescent="0.25">
      <c r="A65" s="388">
        <v>43952</v>
      </c>
      <c r="B65" s="385">
        <v>6</v>
      </c>
      <c r="C65" s="385">
        <v>6</v>
      </c>
      <c r="D65" s="385">
        <v>12</v>
      </c>
      <c r="E65" s="385">
        <v>9</v>
      </c>
      <c r="F65" s="385">
        <v>7</v>
      </c>
      <c r="G65" s="385">
        <v>6</v>
      </c>
      <c r="H65" s="385">
        <v>4</v>
      </c>
      <c r="I65" s="385">
        <v>2</v>
      </c>
      <c r="J65" s="385">
        <v>2</v>
      </c>
    </row>
    <row r="66" spans="1:10" x14ac:dyDescent="0.25">
      <c r="A66" s="388">
        <v>43953</v>
      </c>
      <c r="B66" s="385">
        <v>6</v>
      </c>
      <c r="C66" s="385">
        <v>6</v>
      </c>
      <c r="D66" s="385">
        <v>13</v>
      </c>
      <c r="E66" s="385">
        <v>13</v>
      </c>
      <c r="F66" s="385">
        <v>4</v>
      </c>
      <c r="G66" s="385">
        <v>3</v>
      </c>
      <c r="H66" s="385"/>
      <c r="I66" s="385">
        <v>1</v>
      </c>
      <c r="J66" s="385">
        <v>1</v>
      </c>
    </row>
    <row r="67" spans="1:10" x14ac:dyDescent="0.25">
      <c r="A67" s="388">
        <v>43954</v>
      </c>
      <c r="B67" s="385">
        <v>2</v>
      </c>
      <c r="C67" s="385">
        <v>5</v>
      </c>
      <c r="D67" s="385">
        <v>11</v>
      </c>
      <c r="E67" s="385">
        <v>13</v>
      </c>
      <c r="F67" s="385">
        <v>5</v>
      </c>
      <c r="G67" s="385">
        <v>4</v>
      </c>
      <c r="H67" s="385">
        <v>5</v>
      </c>
      <c r="I67" s="385"/>
      <c r="J67" s="385">
        <v>3</v>
      </c>
    </row>
    <row r="68" spans="1:10" x14ac:dyDescent="0.25">
      <c r="A68" s="388">
        <v>43955</v>
      </c>
      <c r="B68" s="385">
        <v>7</v>
      </c>
      <c r="C68" s="385">
        <v>6</v>
      </c>
      <c r="D68" s="385">
        <v>14</v>
      </c>
      <c r="E68" s="385">
        <v>22</v>
      </c>
      <c r="F68" s="385">
        <v>12</v>
      </c>
      <c r="G68" s="385">
        <v>6</v>
      </c>
      <c r="H68" s="385">
        <v>4</v>
      </c>
      <c r="I68" s="385"/>
      <c r="J68" s="385">
        <v>4</v>
      </c>
    </row>
    <row r="69" spans="1:10" x14ac:dyDescent="0.25">
      <c r="A69" s="388">
        <v>43956</v>
      </c>
      <c r="B69" s="385">
        <v>10</v>
      </c>
      <c r="C69" s="385">
        <v>9</v>
      </c>
      <c r="D69" s="385">
        <v>32</v>
      </c>
      <c r="E69" s="385">
        <v>31</v>
      </c>
      <c r="F69" s="385">
        <v>29</v>
      </c>
      <c r="G69" s="385">
        <v>18</v>
      </c>
      <c r="H69" s="385">
        <v>4</v>
      </c>
      <c r="I69" s="385">
        <v>7</v>
      </c>
      <c r="J69" s="385">
        <v>27</v>
      </c>
    </row>
    <row r="70" spans="1:10" x14ac:dyDescent="0.25">
      <c r="A70" s="388">
        <v>43957</v>
      </c>
      <c r="B70" s="385">
        <v>5</v>
      </c>
      <c r="C70" s="385">
        <v>12</v>
      </c>
      <c r="D70" s="385">
        <v>16</v>
      </c>
      <c r="E70" s="385">
        <v>27</v>
      </c>
      <c r="F70" s="385">
        <v>17</v>
      </c>
      <c r="G70" s="385">
        <v>5</v>
      </c>
      <c r="H70" s="385">
        <v>3</v>
      </c>
      <c r="I70" s="385">
        <v>3</v>
      </c>
      <c r="J70" s="385">
        <v>7</v>
      </c>
    </row>
    <row r="71" spans="1:10" x14ac:dyDescent="0.25">
      <c r="A71" s="388">
        <v>43958</v>
      </c>
      <c r="B71" s="385">
        <v>11</v>
      </c>
      <c r="C71" s="385">
        <v>8</v>
      </c>
      <c r="D71" s="385">
        <v>31</v>
      </c>
      <c r="E71" s="385">
        <v>32</v>
      </c>
      <c r="F71" s="385">
        <v>23</v>
      </c>
      <c r="G71" s="385">
        <v>15</v>
      </c>
      <c r="H71" s="385">
        <v>6</v>
      </c>
      <c r="I71" s="385">
        <v>2</v>
      </c>
      <c r="J71" s="385">
        <v>7</v>
      </c>
    </row>
    <row r="72" spans="1:10" x14ac:dyDescent="0.25">
      <c r="A72" s="388">
        <v>43959</v>
      </c>
      <c r="B72" s="385">
        <v>18</v>
      </c>
      <c r="C72" s="385">
        <v>19</v>
      </c>
      <c r="D72" s="385">
        <v>37</v>
      </c>
      <c r="E72" s="385">
        <v>43</v>
      </c>
      <c r="F72" s="385">
        <v>33</v>
      </c>
      <c r="G72" s="385">
        <v>14</v>
      </c>
      <c r="H72" s="385">
        <v>11</v>
      </c>
      <c r="I72" s="385">
        <v>6</v>
      </c>
      <c r="J72" s="385">
        <v>7</v>
      </c>
    </row>
    <row r="73" spans="1:10" x14ac:dyDescent="0.25">
      <c r="A73" s="388">
        <v>43960</v>
      </c>
      <c r="B73" s="385">
        <v>5</v>
      </c>
      <c r="C73" s="385">
        <v>8</v>
      </c>
      <c r="D73" s="385">
        <v>20</v>
      </c>
      <c r="E73" s="385">
        <v>31</v>
      </c>
      <c r="F73" s="385">
        <v>21</v>
      </c>
      <c r="G73" s="385">
        <v>13</v>
      </c>
      <c r="H73" s="385">
        <v>12</v>
      </c>
      <c r="I73" s="385">
        <v>3</v>
      </c>
      <c r="J73" s="385">
        <v>1</v>
      </c>
    </row>
    <row r="74" spans="1:10" x14ac:dyDescent="0.25">
      <c r="A74" s="388">
        <v>43961</v>
      </c>
      <c r="B74" s="385">
        <v>7</v>
      </c>
      <c r="C74" s="385">
        <v>13</v>
      </c>
      <c r="D74" s="385">
        <v>27</v>
      </c>
      <c r="E74" s="385">
        <v>42</v>
      </c>
      <c r="F74" s="385">
        <v>41</v>
      </c>
      <c r="G74" s="385">
        <v>32</v>
      </c>
      <c r="H74" s="385">
        <v>14</v>
      </c>
      <c r="I74" s="385">
        <v>3</v>
      </c>
      <c r="J74" s="385">
        <v>2</v>
      </c>
    </row>
    <row r="75" spans="1:10" x14ac:dyDescent="0.25">
      <c r="A75" s="388">
        <v>43962</v>
      </c>
      <c r="B75" s="385">
        <v>17</v>
      </c>
      <c r="C75" s="385">
        <v>9</v>
      </c>
      <c r="D75" s="385">
        <v>25</v>
      </c>
      <c r="E75" s="385">
        <v>44</v>
      </c>
      <c r="F75" s="385">
        <v>24</v>
      </c>
      <c r="G75" s="385">
        <v>18</v>
      </c>
      <c r="H75" s="385">
        <v>7</v>
      </c>
      <c r="I75" s="385">
        <v>4</v>
      </c>
      <c r="J75" s="385">
        <v>5</v>
      </c>
    </row>
    <row r="76" spans="1:10" x14ac:dyDescent="0.25">
      <c r="A76" s="388">
        <v>43963</v>
      </c>
      <c r="B76" s="385">
        <v>25</v>
      </c>
      <c r="C76" s="385">
        <v>18</v>
      </c>
      <c r="D76" s="385">
        <v>51</v>
      </c>
      <c r="E76" s="385">
        <v>54</v>
      </c>
      <c r="F76" s="385">
        <v>36</v>
      </c>
      <c r="G76" s="385">
        <v>28</v>
      </c>
      <c r="H76" s="385">
        <v>15</v>
      </c>
      <c r="I76" s="385">
        <v>8</v>
      </c>
      <c r="J76" s="385">
        <v>8</v>
      </c>
    </row>
    <row r="77" spans="1:10" x14ac:dyDescent="0.25">
      <c r="A77" s="388">
        <v>43964</v>
      </c>
      <c r="B77" s="385">
        <v>14</v>
      </c>
      <c r="C77" s="385">
        <v>19</v>
      </c>
      <c r="D77" s="385">
        <v>46</v>
      </c>
      <c r="E77" s="385">
        <v>47</v>
      </c>
      <c r="F77" s="385">
        <v>36</v>
      </c>
      <c r="G77" s="385">
        <v>25</v>
      </c>
      <c r="H77" s="385">
        <v>18</v>
      </c>
      <c r="I77" s="385">
        <v>2</v>
      </c>
      <c r="J77" s="385">
        <v>8</v>
      </c>
    </row>
    <row r="78" spans="1:10" x14ac:dyDescent="0.25">
      <c r="A78" s="388">
        <v>43965</v>
      </c>
      <c r="B78" s="385">
        <v>34</v>
      </c>
      <c r="C78" s="385">
        <v>42</v>
      </c>
      <c r="D78" s="385">
        <v>55</v>
      </c>
      <c r="E78" s="385">
        <v>51</v>
      </c>
      <c r="F78" s="385">
        <v>40</v>
      </c>
      <c r="G78" s="385">
        <v>35</v>
      </c>
      <c r="H78" s="385">
        <v>12</v>
      </c>
      <c r="I78" s="385">
        <v>2</v>
      </c>
      <c r="J78" s="385">
        <v>4</v>
      </c>
    </row>
    <row r="79" spans="1:10" x14ac:dyDescent="0.25">
      <c r="A79" s="388">
        <v>43966</v>
      </c>
      <c r="B79" s="385">
        <v>30</v>
      </c>
      <c r="C79" s="385">
        <v>24</v>
      </c>
      <c r="D79" s="385">
        <v>44</v>
      </c>
      <c r="E79" s="385">
        <v>66</v>
      </c>
      <c r="F79" s="385">
        <v>44</v>
      </c>
      <c r="G79" s="385">
        <v>28</v>
      </c>
      <c r="H79" s="385">
        <v>4</v>
      </c>
      <c r="I79" s="385">
        <v>5</v>
      </c>
      <c r="J79" s="385">
        <v>4</v>
      </c>
    </row>
    <row r="80" spans="1:10" x14ac:dyDescent="0.25">
      <c r="A80" s="388">
        <v>43967</v>
      </c>
      <c r="B80" s="385">
        <v>22</v>
      </c>
      <c r="C80" s="385">
        <v>22</v>
      </c>
      <c r="D80" s="385">
        <v>46</v>
      </c>
      <c r="E80" s="385">
        <v>51</v>
      </c>
      <c r="F80" s="385">
        <v>47</v>
      </c>
      <c r="G80" s="385">
        <v>28</v>
      </c>
      <c r="H80" s="385">
        <v>11</v>
      </c>
      <c r="I80" s="385">
        <v>5</v>
      </c>
      <c r="J80" s="385">
        <v>12</v>
      </c>
    </row>
    <row r="81" spans="1:10" x14ac:dyDescent="0.25">
      <c r="A81" s="388">
        <v>43968</v>
      </c>
      <c r="B81" s="385">
        <v>22</v>
      </c>
      <c r="C81" s="385">
        <v>31</v>
      </c>
      <c r="D81" s="385">
        <v>52</v>
      </c>
      <c r="E81" s="385">
        <v>62</v>
      </c>
      <c r="F81" s="385">
        <v>37</v>
      </c>
      <c r="G81" s="385">
        <v>34</v>
      </c>
      <c r="H81" s="385">
        <v>16</v>
      </c>
      <c r="I81" s="385">
        <v>5</v>
      </c>
      <c r="J81" s="385">
        <v>12</v>
      </c>
    </row>
    <row r="82" spans="1:10" x14ac:dyDescent="0.25">
      <c r="A82" s="388">
        <v>43969</v>
      </c>
      <c r="B82" s="385">
        <v>41</v>
      </c>
      <c r="C82" s="385">
        <v>38</v>
      </c>
      <c r="D82" s="385">
        <v>91</v>
      </c>
      <c r="E82" s="385">
        <v>96</v>
      </c>
      <c r="F82" s="385">
        <v>66</v>
      </c>
      <c r="G82" s="385">
        <v>53</v>
      </c>
      <c r="H82" s="385">
        <v>19</v>
      </c>
      <c r="I82" s="385">
        <v>16</v>
      </c>
      <c r="J82" s="385">
        <v>16</v>
      </c>
    </row>
    <row r="83" spans="1:10" x14ac:dyDescent="0.25">
      <c r="A83" s="388">
        <v>43970</v>
      </c>
      <c r="B83" s="385">
        <v>47</v>
      </c>
      <c r="C83" s="385">
        <v>42</v>
      </c>
      <c r="D83" s="385">
        <v>80</v>
      </c>
      <c r="E83" s="385">
        <v>101</v>
      </c>
      <c r="F83" s="385">
        <v>74</v>
      </c>
      <c r="G83" s="385">
        <v>36</v>
      </c>
      <c r="H83" s="385">
        <v>16</v>
      </c>
      <c r="I83" s="385">
        <v>7</v>
      </c>
      <c r="J83" s="385">
        <v>12</v>
      </c>
    </row>
    <row r="84" spans="1:10" x14ac:dyDescent="0.25">
      <c r="A84" s="388">
        <v>43971</v>
      </c>
      <c r="B84" s="385">
        <v>32</v>
      </c>
      <c r="C84" s="385">
        <v>36</v>
      </c>
      <c r="D84" s="385">
        <v>101</v>
      </c>
      <c r="E84" s="385">
        <v>89</v>
      </c>
      <c r="F84" s="385">
        <v>81</v>
      </c>
      <c r="G84" s="385">
        <v>58</v>
      </c>
      <c r="H84" s="385">
        <v>27</v>
      </c>
      <c r="I84" s="385">
        <v>8</v>
      </c>
      <c r="J84" s="385">
        <v>9</v>
      </c>
    </row>
    <row r="85" spans="1:10" x14ac:dyDescent="0.25">
      <c r="A85" s="388">
        <v>43972</v>
      </c>
      <c r="B85" s="385">
        <v>33</v>
      </c>
      <c r="C85" s="385">
        <v>49</v>
      </c>
      <c r="D85" s="385">
        <v>82</v>
      </c>
      <c r="E85" s="385">
        <v>115</v>
      </c>
      <c r="F85" s="385">
        <v>75</v>
      </c>
      <c r="G85" s="385">
        <v>56</v>
      </c>
      <c r="H85" s="385">
        <v>21</v>
      </c>
      <c r="I85" s="385">
        <v>13</v>
      </c>
      <c r="J85" s="385">
        <v>10</v>
      </c>
    </row>
    <row r="86" spans="1:10" x14ac:dyDescent="0.25">
      <c r="A86" s="388">
        <v>43973</v>
      </c>
      <c r="B86" s="385">
        <v>28</v>
      </c>
      <c r="C86" s="385">
        <v>32</v>
      </c>
      <c r="D86" s="385">
        <v>86</v>
      </c>
      <c r="E86" s="385">
        <v>92</v>
      </c>
      <c r="F86" s="385">
        <v>80</v>
      </c>
      <c r="G86" s="385">
        <v>45</v>
      </c>
      <c r="H86" s="385">
        <v>25</v>
      </c>
      <c r="I86" s="385">
        <v>9</v>
      </c>
      <c r="J86" s="385">
        <v>7</v>
      </c>
    </row>
    <row r="87" spans="1:10" x14ac:dyDescent="0.25">
      <c r="A87" s="388">
        <v>43974</v>
      </c>
      <c r="B87" s="385">
        <v>41</v>
      </c>
      <c r="C87" s="385">
        <v>46</v>
      </c>
      <c r="D87" s="385">
        <v>71</v>
      </c>
      <c r="E87" s="385">
        <v>77</v>
      </c>
      <c r="F87" s="385">
        <v>65</v>
      </c>
      <c r="G87" s="385">
        <v>41</v>
      </c>
      <c r="H87" s="385">
        <v>22</v>
      </c>
      <c r="I87" s="385">
        <v>6</v>
      </c>
      <c r="J87" s="385">
        <v>16</v>
      </c>
    </row>
    <row r="88" spans="1:10" x14ac:dyDescent="0.25">
      <c r="A88" s="388">
        <v>43975</v>
      </c>
      <c r="B88" s="385">
        <v>28</v>
      </c>
      <c r="C88" s="385">
        <v>18</v>
      </c>
      <c r="D88" s="385">
        <v>61</v>
      </c>
      <c r="E88" s="385">
        <v>70</v>
      </c>
      <c r="F88" s="385">
        <v>51</v>
      </c>
      <c r="G88" s="385">
        <v>41</v>
      </c>
      <c r="H88" s="385">
        <v>17</v>
      </c>
      <c r="I88" s="385">
        <v>5</v>
      </c>
      <c r="J88" s="385">
        <v>7</v>
      </c>
    </row>
    <row r="89" spans="1:10" x14ac:dyDescent="0.25">
      <c r="A89" s="388">
        <v>43976</v>
      </c>
      <c r="B89" s="385">
        <v>38</v>
      </c>
      <c r="C89" s="385">
        <v>35</v>
      </c>
      <c r="D89" s="385">
        <v>61</v>
      </c>
      <c r="E89" s="385">
        <v>80</v>
      </c>
      <c r="F89" s="385">
        <v>52</v>
      </c>
      <c r="G89" s="385">
        <v>42</v>
      </c>
      <c r="H89" s="385">
        <v>18</v>
      </c>
      <c r="I89" s="385">
        <v>15</v>
      </c>
      <c r="J89" s="385">
        <v>12</v>
      </c>
    </row>
    <row r="90" spans="1:10" x14ac:dyDescent="0.25">
      <c r="A90" s="388">
        <v>43977</v>
      </c>
      <c r="B90" s="385">
        <v>38</v>
      </c>
      <c r="C90" s="385">
        <v>46</v>
      </c>
      <c r="D90" s="385">
        <v>98</v>
      </c>
      <c r="E90" s="385">
        <v>103</v>
      </c>
      <c r="F90" s="385">
        <v>88</v>
      </c>
      <c r="G90" s="385">
        <v>72</v>
      </c>
      <c r="H90" s="385">
        <v>22</v>
      </c>
      <c r="I90" s="385">
        <v>10</v>
      </c>
      <c r="J90" s="385">
        <v>18</v>
      </c>
    </row>
    <row r="91" spans="1:10" x14ac:dyDescent="0.25">
      <c r="A91" s="388">
        <v>43978</v>
      </c>
      <c r="B91" s="385">
        <v>42</v>
      </c>
      <c r="C91" s="385">
        <v>43</v>
      </c>
      <c r="D91" s="385">
        <v>121</v>
      </c>
      <c r="E91" s="385">
        <v>104</v>
      </c>
      <c r="F91" s="385">
        <v>81</v>
      </c>
      <c r="G91" s="385">
        <v>64</v>
      </c>
      <c r="H91" s="385">
        <v>21</v>
      </c>
      <c r="I91" s="385">
        <v>15</v>
      </c>
      <c r="J91" s="385">
        <v>17</v>
      </c>
    </row>
    <row r="92" spans="1:10" x14ac:dyDescent="0.25">
      <c r="A92" s="388">
        <v>43979</v>
      </c>
      <c r="B92" s="385">
        <v>41</v>
      </c>
      <c r="C92" s="385">
        <v>56</v>
      </c>
      <c r="D92" s="385">
        <v>104</v>
      </c>
      <c r="E92" s="385">
        <v>105</v>
      </c>
      <c r="F92" s="385">
        <v>80</v>
      </c>
      <c r="G92" s="385">
        <v>57</v>
      </c>
      <c r="H92" s="385">
        <v>31</v>
      </c>
      <c r="I92" s="385">
        <v>15</v>
      </c>
      <c r="J92" s="385">
        <v>59</v>
      </c>
    </row>
    <row r="93" spans="1:10" x14ac:dyDescent="0.25">
      <c r="A93" s="388">
        <v>43980</v>
      </c>
      <c r="B93" s="385">
        <v>55</v>
      </c>
      <c r="C93" s="385">
        <v>51</v>
      </c>
      <c r="D93" s="385">
        <v>103</v>
      </c>
      <c r="E93" s="385">
        <v>107</v>
      </c>
      <c r="F93" s="385">
        <v>62</v>
      </c>
      <c r="G93" s="385">
        <v>51</v>
      </c>
      <c r="H93" s="385">
        <v>26</v>
      </c>
      <c r="I93" s="385">
        <v>23</v>
      </c>
      <c r="J93" s="385">
        <v>29</v>
      </c>
    </row>
    <row r="94" spans="1:10" x14ac:dyDescent="0.25">
      <c r="A94" s="388">
        <v>43981</v>
      </c>
      <c r="B94" s="385">
        <v>29</v>
      </c>
      <c r="C94" s="385">
        <v>49</v>
      </c>
      <c r="D94" s="385">
        <v>71</v>
      </c>
      <c r="E94" s="385">
        <v>86</v>
      </c>
      <c r="F94" s="385">
        <v>46</v>
      </c>
      <c r="G94" s="385">
        <v>32</v>
      </c>
      <c r="H94" s="385">
        <v>15</v>
      </c>
      <c r="I94" s="385">
        <v>11</v>
      </c>
      <c r="J94" s="385">
        <v>9</v>
      </c>
    </row>
    <row r="95" spans="1:10" x14ac:dyDescent="0.25">
      <c r="A95" s="388">
        <v>43982</v>
      </c>
      <c r="B95" s="385">
        <v>19</v>
      </c>
      <c r="C95" s="385">
        <v>28</v>
      </c>
      <c r="D95" s="385">
        <v>62</v>
      </c>
      <c r="E95" s="385">
        <v>65</v>
      </c>
      <c r="F95" s="385">
        <v>60</v>
      </c>
      <c r="G95" s="385">
        <v>37</v>
      </c>
      <c r="H95" s="385">
        <v>20</v>
      </c>
      <c r="I95" s="385">
        <v>10</v>
      </c>
      <c r="J95" s="385">
        <v>17</v>
      </c>
    </row>
    <row r="96" spans="1:10" x14ac:dyDescent="0.25">
      <c r="A96" s="388">
        <v>43983</v>
      </c>
      <c r="B96" s="385">
        <v>40</v>
      </c>
      <c r="C96" s="385">
        <v>44</v>
      </c>
      <c r="D96" s="385">
        <v>89</v>
      </c>
      <c r="E96" s="385">
        <v>111</v>
      </c>
      <c r="F96" s="385">
        <v>103</v>
      </c>
      <c r="G96" s="385">
        <v>62</v>
      </c>
      <c r="H96" s="385">
        <v>27</v>
      </c>
      <c r="I96" s="385">
        <v>19</v>
      </c>
      <c r="J96" s="385">
        <v>19</v>
      </c>
    </row>
    <row r="97" spans="1:10" x14ac:dyDescent="0.25">
      <c r="A97" s="388">
        <v>43984</v>
      </c>
      <c r="B97" s="385">
        <v>44</v>
      </c>
      <c r="C97" s="385">
        <v>64</v>
      </c>
      <c r="D97" s="385">
        <v>119</v>
      </c>
      <c r="E97" s="385">
        <v>118</v>
      </c>
      <c r="F97" s="385">
        <v>81</v>
      </c>
      <c r="G97" s="385">
        <v>60</v>
      </c>
      <c r="H97" s="385">
        <v>36</v>
      </c>
      <c r="I97" s="385">
        <v>21</v>
      </c>
      <c r="J97" s="385">
        <v>43</v>
      </c>
    </row>
    <row r="98" spans="1:10" x14ac:dyDescent="0.25">
      <c r="A98" s="388">
        <v>43985</v>
      </c>
      <c r="B98" s="385">
        <v>40</v>
      </c>
      <c r="C98" s="385">
        <v>41</v>
      </c>
      <c r="D98" s="385">
        <v>102</v>
      </c>
      <c r="E98" s="385">
        <v>131</v>
      </c>
      <c r="F98" s="385">
        <v>93</v>
      </c>
      <c r="G98" s="385">
        <v>60</v>
      </c>
      <c r="H98" s="385">
        <v>39</v>
      </c>
      <c r="I98" s="385">
        <v>24</v>
      </c>
      <c r="J98" s="385">
        <v>21</v>
      </c>
    </row>
    <row r="99" spans="1:10" x14ac:dyDescent="0.25">
      <c r="A99" s="388">
        <v>43986</v>
      </c>
      <c r="B99" s="385">
        <v>48</v>
      </c>
      <c r="C99" s="385">
        <v>48</v>
      </c>
      <c r="D99" s="385">
        <v>109</v>
      </c>
      <c r="E99" s="385">
        <v>117</v>
      </c>
      <c r="F99" s="385">
        <v>71</v>
      </c>
      <c r="G99" s="385">
        <v>57</v>
      </c>
      <c r="H99" s="385">
        <v>33</v>
      </c>
      <c r="I99" s="385">
        <v>10</v>
      </c>
      <c r="J99" s="385">
        <v>24</v>
      </c>
    </row>
    <row r="100" spans="1:10" x14ac:dyDescent="0.25">
      <c r="A100" s="388">
        <v>43987</v>
      </c>
      <c r="B100" s="385">
        <v>53</v>
      </c>
      <c r="C100" s="385">
        <v>67</v>
      </c>
      <c r="D100" s="385">
        <v>119</v>
      </c>
      <c r="E100" s="385">
        <v>141</v>
      </c>
      <c r="F100" s="385">
        <v>105</v>
      </c>
      <c r="G100" s="385">
        <v>68</v>
      </c>
      <c r="H100" s="385">
        <v>35</v>
      </c>
      <c r="I100" s="385">
        <v>23</v>
      </c>
      <c r="J100" s="385">
        <v>24</v>
      </c>
    </row>
    <row r="101" spans="1:10" x14ac:dyDescent="0.25">
      <c r="A101" s="388">
        <v>43988</v>
      </c>
      <c r="B101" s="385">
        <v>47</v>
      </c>
      <c r="C101" s="385">
        <v>41</v>
      </c>
      <c r="D101" s="385">
        <v>90</v>
      </c>
      <c r="E101" s="385">
        <v>122</v>
      </c>
      <c r="F101" s="385">
        <v>84</v>
      </c>
      <c r="G101" s="385">
        <v>52</v>
      </c>
      <c r="H101" s="385">
        <v>22</v>
      </c>
      <c r="I101" s="385">
        <v>22</v>
      </c>
      <c r="J101" s="385">
        <v>32</v>
      </c>
    </row>
    <row r="102" spans="1:10" x14ac:dyDescent="0.25">
      <c r="A102" s="388">
        <v>43989</v>
      </c>
      <c r="B102" s="385">
        <v>36</v>
      </c>
      <c r="C102" s="385">
        <v>34</v>
      </c>
      <c r="D102" s="385">
        <v>95</v>
      </c>
      <c r="E102" s="385">
        <v>72</v>
      </c>
      <c r="F102" s="385">
        <v>71</v>
      </c>
      <c r="G102" s="385">
        <v>43</v>
      </c>
      <c r="H102" s="385">
        <v>23</v>
      </c>
      <c r="I102" s="385">
        <v>11</v>
      </c>
      <c r="J102" s="385">
        <v>29</v>
      </c>
    </row>
    <row r="103" spans="1:10" x14ac:dyDescent="0.25">
      <c r="A103" s="388">
        <v>43990</v>
      </c>
      <c r="B103" s="385">
        <v>69</v>
      </c>
      <c r="C103" s="385">
        <v>62</v>
      </c>
      <c r="D103" s="385">
        <v>141</v>
      </c>
      <c r="E103" s="385">
        <v>181</v>
      </c>
      <c r="F103" s="385">
        <v>135</v>
      </c>
      <c r="G103" s="385">
        <v>111</v>
      </c>
      <c r="H103" s="385">
        <v>53</v>
      </c>
      <c r="I103" s="385">
        <v>32</v>
      </c>
      <c r="J103" s="385">
        <v>41</v>
      </c>
    </row>
    <row r="104" spans="1:10" x14ac:dyDescent="0.25">
      <c r="A104" s="388">
        <v>43991</v>
      </c>
      <c r="B104" s="385">
        <v>54</v>
      </c>
      <c r="C104" s="385">
        <v>66</v>
      </c>
      <c r="D104" s="385">
        <v>133</v>
      </c>
      <c r="E104" s="385">
        <v>210</v>
      </c>
      <c r="F104" s="385">
        <v>162</v>
      </c>
      <c r="G104" s="385">
        <v>123</v>
      </c>
      <c r="H104" s="385">
        <v>46</v>
      </c>
      <c r="I104" s="385">
        <v>31</v>
      </c>
      <c r="J104" s="385">
        <v>39</v>
      </c>
    </row>
    <row r="105" spans="1:10" x14ac:dyDescent="0.25">
      <c r="A105" s="388">
        <v>43992</v>
      </c>
      <c r="B105" s="385">
        <v>43</v>
      </c>
      <c r="C105" s="385">
        <v>52</v>
      </c>
      <c r="D105" s="385">
        <v>150</v>
      </c>
      <c r="E105" s="385">
        <v>175</v>
      </c>
      <c r="F105" s="385">
        <v>138</v>
      </c>
      <c r="G105" s="385">
        <v>85</v>
      </c>
      <c r="H105" s="385">
        <v>48</v>
      </c>
      <c r="I105" s="385">
        <v>38</v>
      </c>
      <c r="J105" s="385">
        <v>69</v>
      </c>
    </row>
    <row r="106" spans="1:10" x14ac:dyDescent="0.25">
      <c r="A106" s="388">
        <v>43993</v>
      </c>
      <c r="B106" s="385">
        <v>54</v>
      </c>
      <c r="C106" s="385">
        <v>77</v>
      </c>
      <c r="D106" s="385">
        <v>192</v>
      </c>
      <c r="E106" s="385">
        <v>173</v>
      </c>
      <c r="F106" s="385">
        <v>168</v>
      </c>
      <c r="G106" s="385">
        <v>91</v>
      </c>
      <c r="H106" s="385">
        <v>46</v>
      </c>
      <c r="I106" s="385">
        <v>34</v>
      </c>
      <c r="J106" s="385">
        <v>30</v>
      </c>
    </row>
    <row r="107" spans="1:10" x14ac:dyDescent="0.25">
      <c r="A107" s="388">
        <v>43994</v>
      </c>
      <c r="B107" s="385">
        <v>76</v>
      </c>
      <c r="C107" s="385">
        <v>91</v>
      </c>
      <c r="D107" s="385">
        <v>153</v>
      </c>
      <c r="E107" s="385">
        <v>199</v>
      </c>
      <c r="F107" s="385">
        <v>161</v>
      </c>
      <c r="G107" s="385">
        <v>95</v>
      </c>
      <c r="H107" s="385">
        <v>64</v>
      </c>
      <c r="I107" s="385">
        <v>33</v>
      </c>
      <c r="J107" s="385">
        <v>21</v>
      </c>
    </row>
    <row r="108" spans="1:10" x14ac:dyDescent="0.25">
      <c r="A108" s="388">
        <v>43995</v>
      </c>
      <c r="B108" s="385">
        <v>56</v>
      </c>
      <c r="C108" s="385">
        <v>65</v>
      </c>
      <c r="D108" s="385">
        <v>147</v>
      </c>
      <c r="E108" s="385">
        <v>156</v>
      </c>
      <c r="F108" s="385">
        <v>120</v>
      </c>
      <c r="G108" s="385">
        <v>76</v>
      </c>
      <c r="H108" s="385">
        <v>48</v>
      </c>
      <c r="I108" s="385">
        <v>27</v>
      </c>
      <c r="J108" s="385">
        <v>37</v>
      </c>
    </row>
    <row r="109" spans="1:10" x14ac:dyDescent="0.25">
      <c r="A109" s="388">
        <v>43996</v>
      </c>
      <c r="B109" s="385">
        <v>44</v>
      </c>
      <c r="C109" s="385">
        <v>43</v>
      </c>
      <c r="D109" s="385">
        <v>96</v>
      </c>
      <c r="E109" s="385">
        <v>117</v>
      </c>
      <c r="F109" s="385">
        <v>79</v>
      </c>
      <c r="G109" s="385">
        <v>56</v>
      </c>
      <c r="H109" s="385">
        <v>32</v>
      </c>
      <c r="I109" s="385">
        <v>13</v>
      </c>
      <c r="J109" s="385">
        <v>32</v>
      </c>
    </row>
    <row r="110" spans="1:10" x14ac:dyDescent="0.25">
      <c r="A110" s="388">
        <v>43997</v>
      </c>
      <c r="B110" s="385">
        <v>37</v>
      </c>
      <c r="C110" s="385">
        <v>58</v>
      </c>
      <c r="D110" s="385">
        <v>139</v>
      </c>
      <c r="E110" s="385">
        <v>155</v>
      </c>
      <c r="F110" s="385">
        <v>105</v>
      </c>
      <c r="G110" s="385">
        <v>69</v>
      </c>
      <c r="H110" s="385">
        <v>35</v>
      </c>
      <c r="I110" s="385">
        <v>13</v>
      </c>
      <c r="J110" s="385">
        <v>27</v>
      </c>
    </row>
    <row r="111" spans="1:10" x14ac:dyDescent="0.25">
      <c r="A111" s="388">
        <v>43998</v>
      </c>
      <c r="B111" s="385">
        <v>78</v>
      </c>
      <c r="C111" s="385">
        <v>56</v>
      </c>
      <c r="D111" s="385">
        <v>201</v>
      </c>
      <c r="E111" s="385">
        <v>234</v>
      </c>
      <c r="F111" s="385">
        <v>181</v>
      </c>
      <c r="G111" s="385">
        <v>128</v>
      </c>
      <c r="H111" s="385">
        <v>62</v>
      </c>
      <c r="I111" s="385">
        <v>37</v>
      </c>
      <c r="J111" s="385">
        <v>36</v>
      </c>
    </row>
    <row r="112" spans="1:10" x14ac:dyDescent="0.25">
      <c r="A112" s="388">
        <v>43999</v>
      </c>
      <c r="B112" s="385">
        <v>69</v>
      </c>
      <c r="C112" s="385">
        <v>83</v>
      </c>
      <c r="D112" s="385">
        <v>246</v>
      </c>
      <c r="E112" s="385">
        <v>271</v>
      </c>
      <c r="F112" s="385">
        <v>217</v>
      </c>
      <c r="G112" s="385">
        <v>163</v>
      </c>
      <c r="H112" s="385">
        <v>90</v>
      </c>
      <c r="I112" s="385">
        <v>51</v>
      </c>
      <c r="J112" s="385">
        <v>56</v>
      </c>
    </row>
    <row r="113" spans="1:10" x14ac:dyDescent="0.25">
      <c r="A113" s="388">
        <v>44000</v>
      </c>
      <c r="B113" s="385">
        <v>67</v>
      </c>
      <c r="C113" s="385">
        <v>85</v>
      </c>
      <c r="D113" s="385">
        <v>236</v>
      </c>
      <c r="E113" s="385">
        <v>301</v>
      </c>
      <c r="F113" s="385">
        <v>224</v>
      </c>
      <c r="G113" s="385">
        <v>163</v>
      </c>
      <c r="H113" s="385">
        <v>66</v>
      </c>
      <c r="I113" s="385">
        <v>38</v>
      </c>
      <c r="J113" s="385">
        <v>46</v>
      </c>
    </row>
    <row r="114" spans="1:10" x14ac:dyDescent="0.25">
      <c r="A114" s="388">
        <v>44001</v>
      </c>
      <c r="B114" s="385">
        <v>74</v>
      </c>
      <c r="C114" s="385">
        <v>107</v>
      </c>
      <c r="D114" s="385">
        <v>222</v>
      </c>
      <c r="E114" s="385">
        <v>280</v>
      </c>
      <c r="F114" s="385">
        <v>186</v>
      </c>
      <c r="G114" s="385">
        <v>145</v>
      </c>
      <c r="H114" s="385">
        <v>78</v>
      </c>
      <c r="I114" s="385">
        <v>59</v>
      </c>
      <c r="J114" s="385">
        <v>80</v>
      </c>
    </row>
    <row r="115" spans="1:10" x14ac:dyDescent="0.25">
      <c r="A115" s="388">
        <v>44002</v>
      </c>
      <c r="B115" s="385">
        <v>71</v>
      </c>
      <c r="C115" s="385">
        <v>81</v>
      </c>
      <c r="D115" s="385">
        <v>197</v>
      </c>
      <c r="E115" s="385">
        <v>206</v>
      </c>
      <c r="F115" s="385">
        <v>168</v>
      </c>
      <c r="G115" s="385">
        <v>109</v>
      </c>
      <c r="H115" s="385">
        <v>59</v>
      </c>
      <c r="I115" s="385">
        <v>37</v>
      </c>
      <c r="J115" s="385">
        <v>42</v>
      </c>
    </row>
    <row r="116" spans="1:10" x14ac:dyDescent="0.25">
      <c r="A116" s="388">
        <v>44003</v>
      </c>
      <c r="B116" s="385">
        <v>62</v>
      </c>
      <c r="C116" s="385">
        <v>67</v>
      </c>
      <c r="D116" s="385">
        <v>125</v>
      </c>
      <c r="E116" s="385">
        <v>178</v>
      </c>
      <c r="F116" s="385">
        <v>122</v>
      </c>
      <c r="G116" s="385">
        <v>80</v>
      </c>
      <c r="H116" s="385">
        <v>52</v>
      </c>
      <c r="I116" s="385">
        <v>22</v>
      </c>
      <c r="J116" s="385">
        <v>46</v>
      </c>
    </row>
    <row r="117" spans="1:10" x14ac:dyDescent="0.25">
      <c r="A117" s="388">
        <v>44004</v>
      </c>
      <c r="B117" s="385">
        <v>89</v>
      </c>
      <c r="C117" s="385">
        <v>109</v>
      </c>
      <c r="D117" s="385">
        <v>234</v>
      </c>
      <c r="E117" s="385">
        <v>319</v>
      </c>
      <c r="F117" s="385">
        <v>238</v>
      </c>
      <c r="G117" s="385">
        <v>196</v>
      </c>
      <c r="H117" s="385">
        <v>109</v>
      </c>
      <c r="I117" s="385">
        <v>68</v>
      </c>
      <c r="J117" s="385">
        <v>68</v>
      </c>
    </row>
    <row r="118" spans="1:10" x14ac:dyDescent="0.25">
      <c r="A118" s="388">
        <v>44005</v>
      </c>
      <c r="B118" s="385">
        <v>69</v>
      </c>
      <c r="C118" s="385">
        <v>96</v>
      </c>
      <c r="D118" s="385">
        <v>268</v>
      </c>
      <c r="E118" s="385">
        <v>287</v>
      </c>
      <c r="F118" s="385">
        <v>220</v>
      </c>
      <c r="G118" s="385">
        <v>186</v>
      </c>
      <c r="H118" s="385">
        <v>80</v>
      </c>
      <c r="I118" s="385">
        <v>40</v>
      </c>
      <c r="J118" s="385">
        <v>86</v>
      </c>
    </row>
    <row r="119" spans="1:10" x14ac:dyDescent="0.25">
      <c r="A119" s="388">
        <v>44006</v>
      </c>
      <c r="B119" s="385">
        <v>63</v>
      </c>
      <c r="C119" s="385">
        <v>82</v>
      </c>
      <c r="D119" s="385">
        <v>272</v>
      </c>
      <c r="E119" s="385">
        <v>278</v>
      </c>
      <c r="F119" s="385">
        <v>266</v>
      </c>
      <c r="G119" s="385">
        <v>168</v>
      </c>
      <c r="H119" s="385">
        <v>76</v>
      </c>
      <c r="I119" s="385">
        <v>43</v>
      </c>
      <c r="J119" s="385">
        <v>54</v>
      </c>
    </row>
    <row r="120" spans="1:10" x14ac:dyDescent="0.25">
      <c r="A120" s="388">
        <v>44007</v>
      </c>
      <c r="B120" s="385">
        <v>87</v>
      </c>
      <c r="C120" s="385">
        <v>96</v>
      </c>
      <c r="D120" s="385">
        <v>281</v>
      </c>
      <c r="E120" s="385">
        <v>334</v>
      </c>
      <c r="F120" s="385">
        <v>231</v>
      </c>
      <c r="G120" s="385">
        <v>165</v>
      </c>
      <c r="H120" s="385">
        <v>74</v>
      </c>
      <c r="I120" s="385">
        <v>44</v>
      </c>
      <c r="J120" s="385">
        <v>57</v>
      </c>
    </row>
    <row r="121" spans="1:10" x14ac:dyDescent="0.25">
      <c r="A121" s="388">
        <v>44008</v>
      </c>
      <c r="B121" s="385">
        <v>87</v>
      </c>
      <c r="C121" s="385">
        <v>112</v>
      </c>
      <c r="D121" s="385">
        <v>245</v>
      </c>
      <c r="E121" s="385">
        <v>312</v>
      </c>
      <c r="F121" s="385">
        <v>224</v>
      </c>
      <c r="G121" s="385">
        <v>168</v>
      </c>
      <c r="H121" s="385">
        <v>83</v>
      </c>
      <c r="I121" s="385">
        <v>39</v>
      </c>
      <c r="J121" s="385">
        <v>60</v>
      </c>
    </row>
    <row r="122" spans="1:10" x14ac:dyDescent="0.25">
      <c r="A122" s="388">
        <v>44009</v>
      </c>
      <c r="B122" s="385">
        <v>77</v>
      </c>
      <c r="C122" s="385">
        <v>87</v>
      </c>
      <c r="D122" s="385">
        <v>214</v>
      </c>
      <c r="E122" s="385">
        <v>236</v>
      </c>
      <c r="F122" s="385">
        <v>191</v>
      </c>
      <c r="G122" s="385">
        <v>118</v>
      </c>
      <c r="H122" s="385">
        <v>68</v>
      </c>
      <c r="I122" s="385">
        <v>28</v>
      </c>
      <c r="J122" s="385">
        <v>47</v>
      </c>
    </row>
    <row r="123" spans="1:10" x14ac:dyDescent="0.25">
      <c r="A123" s="388">
        <v>44010</v>
      </c>
      <c r="B123" s="385">
        <v>55</v>
      </c>
      <c r="C123" s="385">
        <v>63</v>
      </c>
      <c r="D123" s="385">
        <v>185</v>
      </c>
      <c r="E123" s="385">
        <v>181</v>
      </c>
      <c r="F123" s="385">
        <v>157</v>
      </c>
      <c r="G123" s="385">
        <v>101</v>
      </c>
      <c r="H123" s="385">
        <v>57</v>
      </c>
      <c r="I123" s="385">
        <v>32</v>
      </c>
      <c r="J123" s="385">
        <v>42</v>
      </c>
    </row>
    <row r="124" spans="1:10" x14ac:dyDescent="0.25">
      <c r="A124" s="388">
        <v>44011</v>
      </c>
      <c r="B124" s="385">
        <v>62</v>
      </c>
      <c r="C124" s="385">
        <v>94</v>
      </c>
      <c r="D124" s="385">
        <v>265</v>
      </c>
      <c r="E124" s="385">
        <v>321</v>
      </c>
      <c r="F124" s="385">
        <v>289</v>
      </c>
      <c r="G124" s="385">
        <v>189</v>
      </c>
      <c r="H124" s="385">
        <v>82</v>
      </c>
      <c r="I124" s="385">
        <v>43</v>
      </c>
      <c r="J124" s="385">
        <v>80</v>
      </c>
    </row>
    <row r="125" spans="1:10" x14ac:dyDescent="0.25">
      <c r="A125" s="388">
        <v>44012</v>
      </c>
      <c r="B125" s="385">
        <v>60</v>
      </c>
      <c r="C125" s="385">
        <v>101</v>
      </c>
      <c r="D125" s="385">
        <v>237</v>
      </c>
      <c r="E125" s="385">
        <v>307</v>
      </c>
      <c r="F125" s="385">
        <v>247</v>
      </c>
      <c r="G125" s="385">
        <v>174</v>
      </c>
      <c r="H125" s="385">
        <v>75</v>
      </c>
      <c r="I125" s="385">
        <v>57</v>
      </c>
      <c r="J125" s="385">
        <v>76</v>
      </c>
    </row>
    <row r="126" spans="1:10" x14ac:dyDescent="0.25">
      <c r="A126" s="388">
        <v>44013</v>
      </c>
      <c r="B126" s="385">
        <v>66</v>
      </c>
      <c r="C126" s="385">
        <v>91</v>
      </c>
      <c r="D126" s="385">
        <v>250</v>
      </c>
      <c r="E126" s="385">
        <v>317</v>
      </c>
      <c r="F126" s="385">
        <v>216</v>
      </c>
      <c r="G126" s="385">
        <v>154</v>
      </c>
      <c r="H126" s="385">
        <v>90</v>
      </c>
      <c r="I126" s="385">
        <v>57</v>
      </c>
      <c r="J126" s="385">
        <v>71</v>
      </c>
    </row>
    <row r="127" spans="1:10" x14ac:dyDescent="0.25">
      <c r="A127" s="388">
        <v>44014</v>
      </c>
      <c r="B127" s="385">
        <v>71</v>
      </c>
      <c r="C127" s="385">
        <v>103</v>
      </c>
      <c r="D127" s="385">
        <v>257</v>
      </c>
      <c r="E127" s="385">
        <v>315</v>
      </c>
      <c r="F127" s="385">
        <v>265</v>
      </c>
      <c r="G127" s="385">
        <v>161</v>
      </c>
      <c r="H127" s="385">
        <v>99</v>
      </c>
      <c r="I127" s="385">
        <v>62</v>
      </c>
      <c r="J127" s="385">
        <v>53</v>
      </c>
    </row>
    <row r="128" spans="1:10" x14ac:dyDescent="0.25">
      <c r="A128" s="388">
        <v>44015</v>
      </c>
      <c r="B128" s="385">
        <v>96</v>
      </c>
      <c r="C128" s="385">
        <v>118</v>
      </c>
      <c r="D128" s="385">
        <v>277</v>
      </c>
      <c r="E128" s="385">
        <v>363</v>
      </c>
      <c r="F128" s="385">
        <v>277</v>
      </c>
      <c r="G128" s="385">
        <v>206</v>
      </c>
      <c r="H128" s="385">
        <v>94</v>
      </c>
      <c r="I128" s="385">
        <v>59</v>
      </c>
      <c r="J128" s="385">
        <v>78</v>
      </c>
    </row>
    <row r="129" spans="1:10" x14ac:dyDescent="0.25">
      <c r="A129" s="388">
        <v>44016</v>
      </c>
      <c r="B129" s="385">
        <v>79</v>
      </c>
      <c r="C129" s="385">
        <v>66</v>
      </c>
      <c r="D129" s="385">
        <v>209</v>
      </c>
      <c r="E129" s="385">
        <v>257</v>
      </c>
      <c r="F129" s="385">
        <v>221</v>
      </c>
      <c r="G129" s="385">
        <v>153</v>
      </c>
      <c r="H129" s="385">
        <v>84</v>
      </c>
      <c r="I129" s="385">
        <v>70</v>
      </c>
      <c r="J129" s="385">
        <v>100</v>
      </c>
    </row>
    <row r="130" spans="1:10" x14ac:dyDescent="0.25">
      <c r="A130" s="388">
        <v>44017</v>
      </c>
      <c r="B130" s="385">
        <v>59</v>
      </c>
      <c r="C130" s="385">
        <v>66</v>
      </c>
      <c r="D130" s="385">
        <v>184</v>
      </c>
      <c r="E130" s="385">
        <v>198</v>
      </c>
      <c r="F130" s="385">
        <v>175</v>
      </c>
      <c r="G130" s="385">
        <v>142</v>
      </c>
      <c r="H130" s="385">
        <v>81</v>
      </c>
      <c r="I130" s="385">
        <v>69</v>
      </c>
      <c r="J130" s="385">
        <v>81</v>
      </c>
    </row>
    <row r="131" spans="1:10" x14ac:dyDescent="0.25">
      <c r="A131" s="388">
        <v>44018</v>
      </c>
      <c r="B131" s="385">
        <v>72</v>
      </c>
      <c r="C131" s="385">
        <v>91</v>
      </c>
      <c r="D131" s="385">
        <v>297</v>
      </c>
      <c r="E131" s="385">
        <v>394</v>
      </c>
      <c r="F131" s="385">
        <v>312</v>
      </c>
      <c r="G131" s="385">
        <v>226</v>
      </c>
      <c r="H131" s="385">
        <v>127</v>
      </c>
      <c r="I131" s="385">
        <v>75</v>
      </c>
      <c r="J131" s="385">
        <v>120</v>
      </c>
    </row>
    <row r="132" spans="1:10" x14ac:dyDescent="0.25">
      <c r="A132" s="388">
        <v>44019</v>
      </c>
      <c r="B132" s="385">
        <v>82</v>
      </c>
      <c r="C132" s="385">
        <v>84</v>
      </c>
      <c r="D132" s="385">
        <v>306</v>
      </c>
      <c r="E132" s="385">
        <v>391</v>
      </c>
      <c r="F132" s="385">
        <v>313</v>
      </c>
      <c r="G132" s="385">
        <v>209</v>
      </c>
      <c r="H132" s="385">
        <v>100</v>
      </c>
      <c r="I132" s="385">
        <v>77</v>
      </c>
      <c r="J132" s="385">
        <v>80</v>
      </c>
    </row>
    <row r="133" spans="1:10" x14ac:dyDescent="0.25">
      <c r="A133" s="388">
        <v>44020</v>
      </c>
      <c r="B133" s="385">
        <v>91</v>
      </c>
      <c r="C133" s="385">
        <v>95</v>
      </c>
      <c r="D133" s="385">
        <v>317</v>
      </c>
      <c r="E133" s="385">
        <v>402</v>
      </c>
      <c r="F133" s="385">
        <v>337</v>
      </c>
      <c r="G133" s="385">
        <v>231</v>
      </c>
      <c r="H133" s="385">
        <v>128</v>
      </c>
      <c r="I133" s="385">
        <v>84</v>
      </c>
      <c r="J133" s="385">
        <v>127</v>
      </c>
    </row>
    <row r="134" spans="1:10" x14ac:dyDescent="0.25">
      <c r="A134" s="388">
        <v>44021</v>
      </c>
      <c r="B134" s="385">
        <v>75</v>
      </c>
      <c r="C134" s="385">
        <v>88</v>
      </c>
      <c r="D134" s="385">
        <v>227</v>
      </c>
      <c r="E134" s="385">
        <v>316</v>
      </c>
      <c r="F134" s="385">
        <v>252</v>
      </c>
      <c r="G134" s="385">
        <v>126</v>
      </c>
      <c r="H134" s="385">
        <v>110</v>
      </c>
      <c r="I134" s="385">
        <v>60</v>
      </c>
      <c r="J134" s="385">
        <v>87</v>
      </c>
    </row>
    <row r="135" spans="1:10" x14ac:dyDescent="0.25">
      <c r="A135" s="388">
        <v>44022</v>
      </c>
      <c r="B135" s="385">
        <v>71</v>
      </c>
      <c r="C135" s="385">
        <v>89</v>
      </c>
      <c r="D135" s="385">
        <v>242</v>
      </c>
      <c r="E135" s="385">
        <v>295</v>
      </c>
      <c r="F135" s="385">
        <v>251</v>
      </c>
      <c r="G135" s="385">
        <v>194</v>
      </c>
      <c r="H135" s="385">
        <v>120</v>
      </c>
      <c r="I135" s="385">
        <v>52</v>
      </c>
      <c r="J135" s="385">
        <v>82</v>
      </c>
    </row>
    <row r="136" spans="1:10" x14ac:dyDescent="0.25">
      <c r="A136" s="388">
        <v>44023</v>
      </c>
      <c r="B136" s="385">
        <v>58</v>
      </c>
      <c r="C136" s="385">
        <v>75</v>
      </c>
      <c r="D136" s="385">
        <v>195</v>
      </c>
      <c r="E136" s="385">
        <v>294</v>
      </c>
      <c r="F136" s="385">
        <v>255</v>
      </c>
      <c r="G136" s="385">
        <v>169</v>
      </c>
      <c r="H136" s="385">
        <v>105</v>
      </c>
      <c r="I136" s="385">
        <v>54</v>
      </c>
      <c r="J136" s="385">
        <v>76</v>
      </c>
    </row>
    <row r="137" spans="1:10" x14ac:dyDescent="0.25">
      <c r="A137" s="388">
        <v>44024</v>
      </c>
      <c r="B137" s="385">
        <v>57</v>
      </c>
      <c r="C137" s="385">
        <v>60</v>
      </c>
      <c r="D137" s="385">
        <v>174</v>
      </c>
      <c r="E137" s="385">
        <v>223</v>
      </c>
      <c r="F137" s="385">
        <v>189</v>
      </c>
      <c r="G137" s="385">
        <v>144</v>
      </c>
      <c r="H137" s="385">
        <v>80</v>
      </c>
      <c r="I137" s="385">
        <v>50</v>
      </c>
      <c r="J137" s="385">
        <v>87</v>
      </c>
    </row>
    <row r="138" spans="1:10" x14ac:dyDescent="0.25">
      <c r="A138" s="388">
        <v>44025</v>
      </c>
      <c r="B138" s="385">
        <v>87</v>
      </c>
      <c r="C138" s="385">
        <v>128</v>
      </c>
      <c r="D138" s="385">
        <v>340</v>
      </c>
      <c r="E138" s="385">
        <v>463</v>
      </c>
      <c r="F138" s="385">
        <v>387</v>
      </c>
      <c r="G138" s="385">
        <v>273</v>
      </c>
      <c r="H138" s="385">
        <v>130</v>
      </c>
      <c r="I138" s="385">
        <v>83</v>
      </c>
      <c r="J138" s="385">
        <v>143</v>
      </c>
    </row>
    <row r="139" spans="1:10" x14ac:dyDescent="0.25">
      <c r="A139" s="388">
        <v>44026</v>
      </c>
      <c r="B139" s="385">
        <v>89</v>
      </c>
      <c r="C139" s="385">
        <v>106</v>
      </c>
      <c r="D139" s="385">
        <v>315</v>
      </c>
      <c r="E139" s="385">
        <v>462</v>
      </c>
      <c r="F139" s="385">
        <v>330</v>
      </c>
      <c r="G139" s="385">
        <v>240</v>
      </c>
      <c r="H139" s="385">
        <v>141</v>
      </c>
      <c r="I139" s="385">
        <v>64</v>
      </c>
      <c r="J139" s="385">
        <v>99</v>
      </c>
    </row>
    <row r="140" spans="1:10" x14ac:dyDescent="0.25">
      <c r="A140" s="388">
        <v>44027</v>
      </c>
      <c r="B140" s="385">
        <v>88</v>
      </c>
      <c r="C140" s="385">
        <v>97</v>
      </c>
      <c r="D140" s="385">
        <v>324</v>
      </c>
      <c r="E140" s="385">
        <v>451</v>
      </c>
      <c r="F140" s="385">
        <v>324</v>
      </c>
      <c r="G140" s="385">
        <v>231</v>
      </c>
      <c r="H140" s="385">
        <v>122</v>
      </c>
      <c r="I140" s="385">
        <v>70</v>
      </c>
      <c r="J140" s="385">
        <v>98</v>
      </c>
    </row>
    <row r="141" spans="1:10" x14ac:dyDescent="0.25">
      <c r="A141" s="388">
        <v>44028</v>
      </c>
      <c r="B141" s="385">
        <v>90</v>
      </c>
      <c r="C141" s="385">
        <v>116</v>
      </c>
      <c r="D141" s="385">
        <v>309</v>
      </c>
      <c r="E141" s="385">
        <v>475</v>
      </c>
      <c r="F141" s="385">
        <v>364</v>
      </c>
      <c r="G141" s="385">
        <v>244</v>
      </c>
      <c r="H141" s="385">
        <v>132</v>
      </c>
      <c r="I141" s="385">
        <v>75</v>
      </c>
      <c r="J141" s="385">
        <v>148</v>
      </c>
    </row>
    <row r="142" spans="1:10" x14ac:dyDescent="0.25">
      <c r="A142" s="388">
        <v>44029</v>
      </c>
      <c r="B142" s="385">
        <v>78</v>
      </c>
      <c r="C142" s="385">
        <v>95</v>
      </c>
      <c r="D142" s="385">
        <v>364</v>
      </c>
      <c r="E142" s="385">
        <v>458</v>
      </c>
      <c r="F142" s="385">
        <v>329</v>
      </c>
      <c r="G142" s="385">
        <v>265</v>
      </c>
      <c r="H142" s="385">
        <v>112</v>
      </c>
      <c r="I142" s="385">
        <v>73</v>
      </c>
      <c r="J142" s="385">
        <v>144</v>
      </c>
    </row>
    <row r="143" spans="1:10" x14ac:dyDescent="0.25">
      <c r="A143" s="388">
        <v>44030</v>
      </c>
      <c r="B143" s="385">
        <v>82</v>
      </c>
      <c r="C143" s="385">
        <v>95</v>
      </c>
      <c r="D143" s="385">
        <v>276</v>
      </c>
      <c r="E143" s="385">
        <v>394</v>
      </c>
      <c r="F143" s="385">
        <v>325</v>
      </c>
      <c r="G143" s="385">
        <v>237</v>
      </c>
      <c r="H143" s="385">
        <v>130</v>
      </c>
      <c r="I143" s="385">
        <v>76</v>
      </c>
      <c r="J143" s="385">
        <v>91</v>
      </c>
    </row>
    <row r="144" spans="1:10" x14ac:dyDescent="0.25">
      <c r="A144" s="388">
        <v>44031</v>
      </c>
      <c r="B144" s="385">
        <v>81</v>
      </c>
      <c r="C144" s="385">
        <v>101</v>
      </c>
      <c r="D144" s="385">
        <v>241</v>
      </c>
      <c r="E144" s="385">
        <v>363</v>
      </c>
      <c r="F144" s="385">
        <v>280</v>
      </c>
      <c r="G144" s="385">
        <v>210</v>
      </c>
      <c r="H144" s="385">
        <v>114</v>
      </c>
      <c r="I144" s="385">
        <v>63</v>
      </c>
      <c r="J144" s="385">
        <v>100</v>
      </c>
    </row>
    <row r="145" spans="1:10" x14ac:dyDescent="0.25">
      <c r="A145" s="388">
        <v>44032</v>
      </c>
      <c r="B145" s="385">
        <v>91</v>
      </c>
      <c r="C145" s="385">
        <v>117</v>
      </c>
      <c r="D145" s="385">
        <v>409</v>
      </c>
      <c r="E145" s="385">
        <v>536</v>
      </c>
      <c r="F145" s="385">
        <v>437</v>
      </c>
      <c r="G145" s="385">
        <v>325</v>
      </c>
      <c r="H145" s="385">
        <v>181</v>
      </c>
      <c r="I145" s="385">
        <v>86</v>
      </c>
      <c r="J145" s="385">
        <v>98</v>
      </c>
    </row>
    <row r="146" spans="1:10" x14ac:dyDescent="0.25">
      <c r="A146" s="388">
        <v>44033</v>
      </c>
      <c r="B146" s="385">
        <v>103</v>
      </c>
      <c r="C146" s="385">
        <v>125</v>
      </c>
      <c r="D146" s="385">
        <v>416</v>
      </c>
      <c r="E146" s="385">
        <v>540</v>
      </c>
      <c r="F146" s="385">
        <v>455</v>
      </c>
      <c r="G146" s="385">
        <v>326</v>
      </c>
      <c r="H146" s="385">
        <v>159</v>
      </c>
      <c r="I146" s="385">
        <v>77</v>
      </c>
      <c r="J146" s="385">
        <v>119</v>
      </c>
    </row>
    <row r="147" spans="1:10" x14ac:dyDescent="0.25">
      <c r="A147" s="388">
        <v>44034</v>
      </c>
      <c r="B147" s="385">
        <v>79</v>
      </c>
      <c r="C147" s="385">
        <v>116</v>
      </c>
      <c r="D147" s="385">
        <v>435</v>
      </c>
      <c r="E147" s="385">
        <v>558</v>
      </c>
      <c r="F147" s="385">
        <v>396</v>
      </c>
      <c r="G147" s="385">
        <v>313</v>
      </c>
      <c r="H147" s="385">
        <v>169</v>
      </c>
      <c r="I147" s="385">
        <v>101</v>
      </c>
      <c r="J147" s="385">
        <v>104</v>
      </c>
    </row>
    <row r="148" spans="1:10" x14ac:dyDescent="0.25">
      <c r="A148" s="388">
        <v>44035</v>
      </c>
      <c r="B148" s="385">
        <v>89</v>
      </c>
      <c r="C148" s="385">
        <v>101</v>
      </c>
      <c r="D148" s="385">
        <v>424</v>
      </c>
      <c r="E148" s="385">
        <v>523</v>
      </c>
      <c r="F148" s="385">
        <v>403</v>
      </c>
      <c r="G148" s="385">
        <v>273</v>
      </c>
      <c r="H148" s="385">
        <v>142</v>
      </c>
      <c r="I148" s="385">
        <v>70</v>
      </c>
      <c r="J148" s="385">
        <v>87</v>
      </c>
    </row>
    <row r="149" spans="1:10" x14ac:dyDescent="0.25">
      <c r="A149" s="388">
        <v>44036</v>
      </c>
      <c r="B149" s="385">
        <v>98</v>
      </c>
      <c r="C149" s="385">
        <v>113</v>
      </c>
      <c r="D149" s="385">
        <v>415</v>
      </c>
      <c r="E149" s="385">
        <v>520</v>
      </c>
      <c r="F149" s="385">
        <v>403</v>
      </c>
      <c r="G149" s="385">
        <v>314</v>
      </c>
      <c r="H149" s="385">
        <v>137</v>
      </c>
      <c r="I149" s="385">
        <v>64</v>
      </c>
      <c r="J149" s="385">
        <v>107</v>
      </c>
    </row>
    <row r="150" spans="1:10" x14ac:dyDescent="0.25">
      <c r="A150" s="388">
        <v>44037</v>
      </c>
      <c r="B150" s="385">
        <v>57</v>
      </c>
      <c r="C150" s="385">
        <v>90</v>
      </c>
      <c r="D150" s="385">
        <v>330</v>
      </c>
      <c r="E150" s="385">
        <v>419</v>
      </c>
      <c r="F150" s="385">
        <v>323</v>
      </c>
      <c r="G150" s="385">
        <v>218</v>
      </c>
      <c r="H150" s="385">
        <v>104</v>
      </c>
      <c r="I150" s="385">
        <v>63</v>
      </c>
      <c r="J150" s="385">
        <v>81</v>
      </c>
    </row>
    <row r="151" spans="1:10" x14ac:dyDescent="0.25">
      <c r="A151" s="388">
        <v>44038</v>
      </c>
      <c r="B151" s="385">
        <v>63</v>
      </c>
      <c r="C151" s="385">
        <v>87</v>
      </c>
      <c r="D151" s="385">
        <v>229</v>
      </c>
      <c r="E151" s="385">
        <v>317</v>
      </c>
      <c r="F151" s="385">
        <v>227</v>
      </c>
      <c r="G151" s="385">
        <v>164</v>
      </c>
      <c r="H151" s="385">
        <v>82</v>
      </c>
      <c r="I151" s="385">
        <v>60</v>
      </c>
      <c r="J151" s="385">
        <v>91</v>
      </c>
    </row>
    <row r="152" spans="1:10" x14ac:dyDescent="0.25">
      <c r="A152" s="388">
        <v>44039</v>
      </c>
      <c r="B152" s="385">
        <v>76</v>
      </c>
      <c r="C152" s="385">
        <v>111</v>
      </c>
      <c r="D152" s="385">
        <v>398</v>
      </c>
      <c r="E152" s="385">
        <v>523</v>
      </c>
      <c r="F152" s="385">
        <v>390</v>
      </c>
      <c r="G152" s="385">
        <v>290</v>
      </c>
      <c r="H152" s="385">
        <v>151</v>
      </c>
      <c r="I152" s="385">
        <v>87</v>
      </c>
      <c r="J152" s="385">
        <v>99</v>
      </c>
    </row>
    <row r="153" spans="1:10" x14ac:dyDescent="0.25">
      <c r="A153" s="388">
        <v>44040</v>
      </c>
      <c r="B153" s="385">
        <v>94</v>
      </c>
      <c r="C153" s="385">
        <v>124</v>
      </c>
      <c r="D153" s="385">
        <v>439</v>
      </c>
      <c r="E153" s="385">
        <v>584</v>
      </c>
      <c r="F153" s="385">
        <v>423</v>
      </c>
      <c r="G153" s="385">
        <v>285</v>
      </c>
      <c r="H153" s="385">
        <v>136</v>
      </c>
      <c r="I153" s="385">
        <v>89</v>
      </c>
      <c r="J153" s="385">
        <v>99</v>
      </c>
    </row>
    <row r="154" spans="1:10" x14ac:dyDescent="0.25">
      <c r="A154" s="388">
        <v>44041</v>
      </c>
      <c r="B154" s="385">
        <v>76</v>
      </c>
      <c r="C154" s="385">
        <v>140</v>
      </c>
      <c r="D154" s="385">
        <v>429</v>
      </c>
      <c r="E154" s="385">
        <v>524</v>
      </c>
      <c r="F154" s="385">
        <v>438</v>
      </c>
      <c r="G154" s="385">
        <v>285</v>
      </c>
      <c r="H154" s="385">
        <v>127</v>
      </c>
      <c r="I154" s="385">
        <v>81</v>
      </c>
      <c r="J154" s="385">
        <v>107</v>
      </c>
    </row>
    <row r="155" spans="1:10" x14ac:dyDescent="0.25">
      <c r="A155" s="388">
        <v>44042</v>
      </c>
      <c r="B155" s="385">
        <v>95</v>
      </c>
      <c r="C155" s="385">
        <v>123</v>
      </c>
      <c r="D155" s="385">
        <v>405</v>
      </c>
      <c r="E155" s="385">
        <v>566</v>
      </c>
      <c r="F155" s="385">
        <v>427</v>
      </c>
      <c r="G155" s="385">
        <v>269</v>
      </c>
      <c r="H155" s="385">
        <v>141</v>
      </c>
      <c r="I155" s="385">
        <v>86</v>
      </c>
      <c r="J155" s="385">
        <v>133</v>
      </c>
    </row>
    <row r="156" spans="1:10" x14ac:dyDescent="0.25">
      <c r="A156" s="388">
        <v>44043</v>
      </c>
      <c r="B156" s="385">
        <v>82</v>
      </c>
      <c r="C156" s="385">
        <v>133</v>
      </c>
      <c r="D156" s="385">
        <v>423</v>
      </c>
      <c r="E156" s="385">
        <v>495</v>
      </c>
      <c r="F156" s="385">
        <v>412</v>
      </c>
      <c r="G156" s="385">
        <v>299</v>
      </c>
      <c r="H156" s="385">
        <v>135</v>
      </c>
      <c r="I156" s="385">
        <v>76</v>
      </c>
      <c r="J156" s="385">
        <v>123</v>
      </c>
    </row>
    <row r="157" spans="1:10" x14ac:dyDescent="0.25">
      <c r="A157" s="388">
        <v>44044</v>
      </c>
      <c r="B157" s="385">
        <v>77</v>
      </c>
      <c r="C157" s="385">
        <v>122</v>
      </c>
      <c r="D157" s="385">
        <v>364</v>
      </c>
      <c r="E157" s="385">
        <v>468</v>
      </c>
      <c r="F157" s="385">
        <v>394</v>
      </c>
      <c r="G157" s="385">
        <v>242</v>
      </c>
      <c r="H157" s="385">
        <v>124</v>
      </c>
      <c r="I157" s="385">
        <v>57</v>
      </c>
      <c r="J157" s="385">
        <v>78</v>
      </c>
    </row>
    <row r="158" spans="1:10" x14ac:dyDescent="0.25">
      <c r="A158" s="388">
        <v>44045</v>
      </c>
      <c r="B158" s="385">
        <v>67</v>
      </c>
      <c r="C158" s="385">
        <v>97</v>
      </c>
      <c r="D158" s="385">
        <v>282</v>
      </c>
      <c r="E158" s="385">
        <v>356</v>
      </c>
      <c r="F158" s="385">
        <v>282</v>
      </c>
      <c r="G158" s="385">
        <v>196</v>
      </c>
      <c r="H158" s="385">
        <v>132</v>
      </c>
      <c r="I158" s="385">
        <v>90</v>
      </c>
      <c r="J158" s="385">
        <v>129</v>
      </c>
    </row>
    <row r="159" spans="1:10" x14ac:dyDescent="0.25">
      <c r="A159" s="388">
        <v>44046</v>
      </c>
      <c r="B159" s="385">
        <v>120</v>
      </c>
      <c r="C159" s="385">
        <v>151</v>
      </c>
      <c r="D159" s="385">
        <v>529</v>
      </c>
      <c r="E159" s="385">
        <v>664</v>
      </c>
      <c r="F159" s="385">
        <v>537</v>
      </c>
      <c r="G159" s="385">
        <v>393</v>
      </c>
      <c r="H159" s="385">
        <v>202</v>
      </c>
      <c r="I159" s="385">
        <v>111</v>
      </c>
      <c r="J159" s="385">
        <v>172</v>
      </c>
    </row>
    <row r="160" spans="1:10" x14ac:dyDescent="0.25">
      <c r="A160" s="388">
        <v>44047</v>
      </c>
      <c r="B160" s="385">
        <v>79</v>
      </c>
      <c r="C160" s="385">
        <v>150</v>
      </c>
      <c r="D160" s="385">
        <v>510</v>
      </c>
      <c r="E160" s="385">
        <v>637</v>
      </c>
      <c r="F160" s="385">
        <v>556</v>
      </c>
      <c r="G160" s="385">
        <v>339</v>
      </c>
      <c r="H160" s="385">
        <v>205</v>
      </c>
      <c r="I160" s="385">
        <v>125</v>
      </c>
      <c r="J160" s="385">
        <v>199</v>
      </c>
    </row>
    <row r="161" spans="1:10" x14ac:dyDescent="0.25">
      <c r="A161" s="388">
        <v>44048</v>
      </c>
      <c r="B161" s="385">
        <v>105</v>
      </c>
      <c r="C161" s="385">
        <v>163</v>
      </c>
      <c r="D161" s="385">
        <v>504</v>
      </c>
      <c r="E161" s="385">
        <v>640</v>
      </c>
      <c r="F161" s="385">
        <v>575</v>
      </c>
      <c r="G161" s="385">
        <v>374</v>
      </c>
      <c r="H161" s="385">
        <v>227</v>
      </c>
      <c r="I161" s="385">
        <v>113</v>
      </c>
      <c r="J161" s="385">
        <v>191</v>
      </c>
    </row>
    <row r="162" spans="1:10" x14ac:dyDescent="0.25">
      <c r="A162" s="388">
        <v>44049</v>
      </c>
      <c r="B162" s="385">
        <v>94</v>
      </c>
      <c r="C162" s="385">
        <v>142</v>
      </c>
      <c r="D162" s="385">
        <v>527</v>
      </c>
      <c r="E162" s="385">
        <v>603</v>
      </c>
      <c r="F162" s="385">
        <v>463</v>
      </c>
      <c r="G162" s="385">
        <v>335</v>
      </c>
      <c r="H162" s="385">
        <v>163</v>
      </c>
      <c r="I162" s="385">
        <v>78</v>
      </c>
      <c r="J162" s="385">
        <v>116</v>
      </c>
    </row>
    <row r="163" spans="1:10" x14ac:dyDescent="0.25">
      <c r="A163" s="388">
        <v>44050</v>
      </c>
      <c r="B163" s="385">
        <v>73</v>
      </c>
      <c r="C163" s="385">
        <v>135</v>
      </c>
      <c r="D163" s="385">
        <v>434</v>
      </c>
      <c r="E163" s="385">
        <v>602</v>
      </c>
      <c r="F163" s="385">
        <v>439</v>
      </c>
      <c r="G163" s="385">
        <v>313</v>
      </c>
      <c r="H163" s="385">
        <v>151</v>
      </c>
      <c r="I163" s="385">
        <v>74</v>
      </c>
      <c r="J163" s="385">
        <v>100</v>
      </c>
    </row>
    <row r="164" spans="1:10" x14ac:dyDescent="0.25">
      <c r="A164" s="388">
        <v>44051</v>
      </c>
      <c r="B164" s="385">
        <v>84</v>
      </c>
      <c r="C164" s="385">
        <v>95</v>
      </c>
      <c r="D164" s="385">
        <v>338</v>
      </c>
      <c r="E164" s="385">
        <v>450</v>
      </c>
      <c r="F164" s="385">
        <v>335</v>
      </c>
      <c r="G164" s="385">
        <v>233</v>
      </c>
      <c r="H164" s="385">
        <v>123</v>
      </c>
      <c r="I164" s="385">
        <v>67</v>
      </c>
      <c r="J164" s="385">
        <v>117</v>
      </c>
    </row>
    <row r="165" spans="1:10" x14ac:dyDescent="0.25">
      <c r="A165" s="388">
        <v>44052</v>
      </c>
      <c r="B165" s="385">
        <v>63</v>
      </c>
      <c r="C165" s="385">
        <v>104</v>
      </c>
      <c r="D165" s="385">
        <v>251</v>
      </c>
      <c r="E165" s="385">
        <v>339</v>
      </c>
      <c r="F165" s="385">
        <v>283</v>
      </c>
      <c r="G165" s="385">
        <v>194</v>
      </c>
      <c r="H165" s="385">
        <v>139</v>
      </c>
      <c r="I165" s="385">
        <v>43</v>
      </c>
      <c r="J165" s="385">
        <v>68</v>
      </c>
    </row>
    <row r="166" spans="1:10" x14ac:dyDescent="0.25">
      <c r="A166" s="388">
        <v>44053</v>
      </c>
      <c r="B166" s="385">
        <v>86</v>
      </c>
      <c r="C166" s="385">
        <v>126</v>
      </c>
      <c r="D166" s="385">
        <v>433</v>
      </c>
      <c r="E166" s="385">
        <v>644</v>
      </c>
      <c r="F166" s="385">
        <v>539</v>
      </c>
      <c r="G166" s="385">
        <v>331</v>
      </c>
      <c r="H166" s="385">
        <v>168</v>
      </c>
      <c r="I166" s="385">
        <v>81</v>
      </c>
      <c r="J166" s="385">
        <v>113</v>
      </c>
    </row>
    <row r="167" spans="1:10" x14ac:dyDescent="0.25">
      <c r="A167" s="388">
        <v>44054</v>
      </c>
      <c r="B167" s="385">
        <v>83</v>
      </c>
      <c r="C167" s="385">
        <v>119</v>
      </c>
      <c r="D167" s="385">
        <v>400</v>
      </c>
      <c r="E167" s="385">
        <v>588</v>
      </c>
      <c r="F167" s="385">
        <v>462</v>
      </c>
      <c r="G167" s="385">
        <v>312</v>
      </c>
      <c r="H167" s="385">
        <v>169</v>
      </c>
      <c r="I167" s="385">
        <v>106</v>
      </c>
      <c r="J167" s="385">
        <v>130</v>
      </c>
    </row>
    <row r="168" spans="1:10" x14ac:dyDescent="0.25">
      <c r="A168" s="388">
        <v>44055</v>
      </c>
      <c r="B168" s="385">
        <v>82</v>
      </c>
      <c r="C168" s="385">
        <v>127</v>
      </c>
      <c r="D168" s="385">
        <v>423</v>
      </c>
      <c r="E168" s="385">
        <v>519</v>
      </c>
      <c r="F168" s="385">
        <v>448</v>
      </c>
      <c r="G168" s="385">
        <v>314</v>
      </c>
      <c r="H168" s="385">
        <v>177</v>
      </c>
      <c r="I168" s="385">
        <v>75</v>
      </c>
      <c r="J168" s="385">
        <v>68</v>
      </c>
    </row>
    <row r="169" spans="1:10" x14ac:dyDescent="0.25">
      <c r="A169" s="388">
        <v>44056</v>
      </c>
      <c r="B169" s="385">
        <v>64</v>
      </c>
      <c r="C169" s="385">
        <v>111</v>
      </c>
      <c r="D169" s="385">
        <v>428</v>
      </c>
      <c r="E169" s="385">
        <v>533</v>
      </c>
      <c r="F169" s="385">
        <v>386</v>
      </c>
      <c r="G169" s="385">
        <v>272</v>
      </c>
      <c r="H169" s="385">
        <v>161</v>
      </c>
      <c r="I169" s="385">
        <v>68</v>
      </c>
      <c r="J169" s="385">
        <v>66</v>
      </c>
    </row>
    <row r="170" spans="1:10" x14ac:dyDescent="0.25">
      <c r="A170" s="388">
        <v>44057</v>
      </c>
      <c r="B170" s="385">
        <v>73</v>
      </c>
      <c r="C170" s="385">
        <v>135</v>
      </c>
      <c r="D170" s="385">
        <v>400</v>
      </c>
      <c r="E170" s="385">
        <v>537</v>
      </c>
      <c r="F170" s="385">
        <v>416</v>
      </c>
      <c r="G170" s="385">
        <v>293</v>
      </c>
      <c r="H170" s="385">
        <v>136</v>
      </c>
      <c r="I170" s="385">
        <v>76</v>
      </c>
      <c r="J170" s="385">
        <v>79</v>
      </c>
    </row>
    <row r="171" spans="1:10" x14ac:dyDescent="0.25">
      <c r="A171" s="388">
        <v>44058</v>
      </c>
      <c r="B171" s="385">
        <v>52</v>
      </c>
      <c r="C171" s="385">
        <v>96</v>
      </c>
      <c r="D171" s="385">
        <v>372</v>
      </c>
      <c r="E171" s="385">
        <v>449</v>
      </c>
      <c r="F171" s="385">
        <v>330</v>
      </c>
      <c r="G171" s="385">
        <v>236</v>
      </c>
      <c r="H171" s="385">
        <v>115</v>
      </c>
      <c r="I171" s="385">
        <v>104</v>
      </c>
      <c r="J171" s="385">
        <v>145</v>
      </c>
    </row>
    <row r="172" spans="1:10" x14ac:dyDescent="0.25">
      <c r="A172" s="388">
        <v>44059</v>
      </c>
      <c r="B172" s="385">
        <v>59</v>
      </c>
      <c r="C172" s="385">
        <v>63</v>
      </c>
      <c r="D172" s="385">
        <v>269</v>
      </c>
      <c r="E172" s="385">
        <v>331</v>
      </c>
      <c r="F172" s="385">
        <v>246</v>
      </c>
      <c r="G172" s="385">
        <v>175</v>
      </c>
      <c r="H172" s="385">
        <v>110</v>
      </c>
      <c r="I172" s="385">
        <v>64</v>
      </c>
      <c r="J172" s="385">
        <v>73</v>
      </c>
    </row>
    <row r="173" spans="1:10" x14ac:dyDescent="0.25">
      <c r="A173" s="388">
        <v>44060</v>
      </c>
      <c r="B173" s="385">
        <v>53</v>
      </c>
      <c r="C173" s="385">
        <v>107</v>
      </c>
      <c r="D173" s="385">
        <v>327</v>
      </c>
      <c r="E173" s="385">
        <v>476</v>
      </c>
      <c r="F173" s="385">
        <v>350</v>
      </c>
      <c r="G173" s="385">
        <v>255</v>
      </c>
      <c r="H173" s="385">
        <v>136</v>
      </c>
      <c r="I173" s="385">
        <v>71</v>
      </c>
      <c r="J173" s="385">
        <v>58</v>
      </c>
    </row>
    <row r="174" spans="1:10" x14ac:dyDescent="0.25">
      <c r="A174" s="388">
        <v>44061</v>
      </c>
      <c r="B174" s="385">
        <v>73</v>
      </c>
      <c r="C174" s="385">
        <v>120</v>
      </c>
      <c r="D174" s="385">
        <v>435</v>
      </c>
      <c r="E174" s="385">
        <v>609</v>
      </c>
      <c r="F174" s="385">
        <v>464</v>
      </c>
      <c r="G174" s="385">
        <v>371</v>
      </c>
      <c r="H174" s="385">
        <v>164</v>
      </c>
      <c r="I174" s="385">
        <v>80</v>
      </c>
      <c r="J174" s="385">
        <v>126</v>
      </c>
    </row>
    <row r="175" spans="1:10" x14ac:dyDescent="0.25">
      <c r="A175" s="388">
        <v>44062</v>
      </c>
      <c r="B175" s="385">
        <v>83</v>
      </c>
      <c r="C175" s="385">
        <v>134</v>
      </c>
      <c r="D175" s="385">
        <v>511</v>
      </c>
      <c r="E175" s="385">
        <v>643</v>
      </c>
      <c r="F175" s="385">
        <v>535</v>
      </c>
      <c r="G175" s="385">
        <v>331</v>
      </c>
      <c r="H175" s="385">
        <v>162</v>
      </c>
      <c r="I175" s="385">
        <v>91</v>
      </c>
      <c r="J175" s="385">
        <v>116</v>
      </c>
    </row>
    <row r="176" spans="1:10" x14ac:dyDescent="0.25">
      <c r="A176" s="388">
        <v>44063</v>
      </c>
      <c r="B176" s="385">
        <v>71</v>
      </c>
      <c r="C176" s="385">
        <v>110</v>
      </c>
      <c r="D176" s="385">
        <v>409</v>
      </c>
      <c r="E176" s="385">
        <v>594</v>
      </c>
      <c r="F176" s="385">
        <v>413</v>
      </c>
      <c r="G176" s="385">
        <v>278</v>
      </c>
      <c r="H176" s="385">
        <v>155</v>
      </c>
      <c r="I176" s="385">
        <v>85</v>
      </c>
      <c r="J176" s="385">
        <v>104</v>
      </c>
    </row>
    <row r="177" spans="1:10" x14ac:dyDescent="0.25">
      <c r="A177" s="388">
        <v>44064</v>
      </c>
      <c r="B177" s="385">
        <v>69</v>
      </c>
      <c r="C177" s="385">
        <v>137</v>
      </c>
      <c r="D177" s="385">
        <v>476</v>
      </c>
      <c r="E177" s="385">
        <v>610</v>
      </c>
      <c r="F177" s="385">
        <v>441</v>
      </c>
      <c r="G177" s="385">
        <v>348</v>
      </c>
      <c r="H177" s="385">
        <v>161</v>
      </c>
      <c r="I177" s="385">
        <v>81</v>
      </c>
      <c r="J177" s="385">
        <v>83</v>
      </c>
    </row>
    <row r="178" spans="1:10" x14ac:dyDescent="0.25">
      <c r="A178" s="388">
        <v>44065</v>
      </c>
      <c r="B178" s="385">
        <v>66</v>
      </c>
      <c r="C178" s="385">
        <v>111</v>
      </c>
      <c r="D178" s="385">
        <v>386</v>
      </c>
      <c r="E178" s="385">
        <v>512</v>
      </c>
      <c r="F178" s="385">
        <v>396</v>
      </c>
      <c r="G178" s="385">
        <v>286</v>
      </c>
      <c r="H178" s="385">
        <v>125</v>
      </c>
      <c r="I178" s="385">
        <v>72</v>
      </c>
      <c r="J178" s="385">
        <v>53</v>
      </c>
    </row>
    <row r="179" spans="1:10" x14ac:dyDescent="0.25">
      <c r="A179" s="388">
        <v>44066</v>
      </c>
      <c r="B179" s="385">
        <v>55</v>
      </c>
      <c r="C179" s="385">
        <v>93</v>
      </c>
      <c r="D179" s="385">
        <v>284</v>
      </c>
      <c r="E179" s="385">
        <v>307</v>
      </c>
      <c r="F179" s="385">
        <v>267</v>
      </c>
      <c r="G179" s="385">
        <v>211</v>
      </c>
      <c r="H179" s="385">
        <v>120</v>
      </c>
      <c r="I179" s="385">
        <v>65</v>
      </c>
      <c r="J179" s="385">
        <v>81</v>
      </c>
    </row>
    <row r="180" spans="1:10" x14ac:dyDescent="0.25">
      <c r="A180" s="388">
        <v>44067</v>
      </c>
      <c r="B180" s="385">
        <v>99</v>
      </c>
      <c r="C180" s="385">
        <v>129</v>
      </c>
      <c r="D180" s="385">
        <v>444</v>
      </c>
      <c r="E180" s="385">
        <v>665</v>
      </c>
      <c r="F180" s="385">
        <v>564</v>
      </c>
      <c r="G180" s="385">
        <v>364</v>
      </c>
      <c r="H180" s="385">
        <v>213</v>
      </c>
      <c r="I180" s="385">
        <v>88</v>
      </c>
      <c r="J180" s="385">
        <v>83</v>
      </c>
    </row>
    <row r="181" spans="1:10" x14ac:dyDescent="0.25">
      <c r="A181" s="388">
        <v>44068</v>
      </c>
      <c r="B181" s="385">
        <v>107</v>
      </c>
      <c r="C181" s="385">
        <v>147</v>
      </c>
      <c r="D181" s="385">
        <v>517</v>
      </c>
      <c r="E181" s="385">
        <v>798</v>
      </c>
      <c r="F181" s="385">
        <v>551</v>
      </c>
      <c r="G181" s="385">
        <v>385</v>
      </c>
      <c r="H181" s="385">
        <v>222</v>
      </c>
      <c r="I181" s="385">
        <v>101</v>
      </c>
      <c r="J181" s="385">
        <v>112</v>
      </c>
    </row>
    <row r="182" spans="1:10" x14ac:dyDescent="0.25">
      <c r="A182" s="388">
        <v>44069</v>
      </c>
      <c r="B182" s="385">
        <v>108</v>
      </c>
      <c r="C182" s="385">
        <v>171</v>
      </c>
      <c r="D182" s="385">
        <v>545</v>
      </c>
      <c r="E182" s="385">
        <v>756</v>
      </c>
      <c r="F182" s="385">
        <v>669</v>
      </c>
      <c r="G182" s="385">
        <v>450</v>
      </c>
      <c r="H182" s="385">
        <v>206</v>
      </c>
      <c r="I182" s="385">
        <v>143</v>
      </c>
      <c r="J182" s="385">
        <v>128</v>
      </c>
    </row>
    <row r="183" spans="1:10" x14ac:dyDescent="0.25">
      <c r="A183" s="388">
        <v>44070</v>
      </c>
      <c r="B183" s="385">
        <v>107</v>
      </c>
      <c r="C183" s="385">
        <v>167</v>
      </c>
      <c r="D183" s="385">
        <v>581</v>
      </c>
      <c r="E183" s="385">
        <v>705</v>
      </c>
      <c r="F183" s="385">
        <v>618</v>
      </c>
      <c r="G183" s="385">
        <v>384</v>
      </c>
      <c r="H183" s="385">
        <v>214</v>
      </c>
      <c r="I183" s="385">
        <v>103</v>
      </c>
      <c r="J183" s="385">
        <v>134</v>
      </c>
    </row>
    <row r="184" spans="1:10" x14ac:dyDescent="0.25">
      <c r="A184" s="388">
        <v>44071</v>
      </c>
      <c r="B184" s="385">
        <v>85</v>
      </c>
      <c r="C184" s="385">
        <v>154</v>
      </c>
      <c r="D184" s="385">
        <v>560</v>
      </c>
      <c r="E184" s="385">
        <v>660</v>
      </c>
      <c r="F184" s="385">
        <v>523</v>
      </c>
      <c r="G184" s="385">
        <v>415</v>
      </c>
      <c r="H184" s="385">
        <v>213</v>
      </c>
      <c r="I184" s="385">
        <v>117</v>
      </c>
      <c r="J184" s="385">
        <v>88</v>
      </c>
    </row>
    <row r="185" spans="1:10" x14ac:dyDescent="0.25">
      <c r="A185" s="388">
        <v>44072</v>
      </c>
      <c r="B185" s="385">
        <v>66</v>
      </c>
      <c r="C185" s="385">
        <v>111</v>
      </c>
      <c r="D185" s="385">
        <v>359</v>
      </c>
      <c r="E185" s="385">
        <v>486</v>
      </c>
      <c r="F185" s="385">
        <v>440</v>
      </c>
      <c r="G185" s="385">
        <v>294</v>
      </c>
      <c r="H185" s="385">
        <v>162</v>
      </c>
      <c r="I185" s="385">
        <v>76</v>
      </c>
      <c r="J185" s="385">
        <v>60</v>
      </c>
    </row>
    <row r="186" spans="1:10" x14ac:dyDescent="0.25">
      <c r="A186" s="388">
        <v>44073</v>
      </c>
      <c r="B186" s="385">
        <v>34</v>
      </c>
      <c r="C186" s="385">
        <v>97</v>
      </c>
      <c r="D186" s="385">
        <v>262</v>
      </c>
      <c r="E186" s="385">
        <v>369</v>
      </c>
      <c r="F186" s="385">
        <v>312</v>
      </c>
      <c r="G186" s="385">
        <v>230</v>
      </c>
      <c r="H186" s="385">
        <v>120</v>
      </c>
      <c r="I186" s="385">
        <v>68</v>
      </c>
      <c r="J186" s="385">
        <v>73</v>
      </c>
    </row>
    <row r="187" spans="1:10" x14ac:dyDescent="0.25">
      <c r="A187" s="388">
        <v>44074</v>
      </c>
      <c r="B187" s="385">
        <v>70</v>
      </c>
      <c r="C187" s="385">
        <v>123</v>
      </c>
      <c r="D187" s="385">
        <v>483</v>
      </c>
      <c r="E187" s="385">
        <v>656</v>
      </c>
      <c r="F187" s="385">
        <v>560</v>
      </c>
      <c r="G187" s="385">
        <v>347</v>
      </c>
      <c r="H187" s="385">
        <v>202</v>
      </c>
      <c r="I187" s="385">
        <v>110</v>
      </c>
      <c r="J187" s="385">
        <v>131</v>
      </c>
    </row>
    <row r="188" spans="1:10" x14ac:dyDescent="0.25">
      <c r="A188" s="388">
        <v>44075</v>
      </c>
      <c r="B188" s="385">
        <v>54</v>
      </c>
      <c r="C188" s="385">
        <v>130</v>
      </c>
      <c r="D188" s="385">
        <v>496</v>
      </c>
      <c r="E188" s="385">
        <v>670</v>
      </c>
      <c r="F188" s="385">
        <v>590</v>
      </c>
      <c r="G188" s="385">
        <v>361</v>
      </c>
      <c r="H188" s="385">
        <v>187</v>
      </c>
      <c r="I188" s="385">
        <v>92</v>
      </c>
      <c r="J188" s="385">
        <v>112</v>
      </c>
    </row>
    <row r="189" spans="1:10" x14ac:dyDescent="0.25">
      <c r="A189" s="388">
        <v>44076</v>
      </c>
      <c r="B189" s="385">
        <v>62</v>
      </c>
      <c r="C189" s="385">
        <v>99</v>
      </c>
      <c r="D189" s="385">
        <v>406</v>
      </c>
      <c r="E189" s="385">
        <v>569</v>
      </c>
      <c r="F189" s="385">
        <v>455</v>
      </c>
      <c r="G189" s="385">
        <v>271</v>
      </c>
      <c r="H189" s="385">
        <v>169</v>
      </c>
      <c r="I189" s="385">
        <v>102</v>
      </c>
      <c r="J189" s="385">
        <v>73</v>
      </c>
    </row>
    <row r="190" spans="1:10" x14ac:dyDescent="0.25">
      <c r="A190" s="388">
        <v>44077</v>
      </c>
      <c r="B190" s="385">
        <v>68</v>
      </c>
      <c r="C190" s="385">
        <v>106</v>
      </c>
      <c r="D190" s="385">
        <v>459</v>
      </c>
      <c r="E190" s="385">
        <v>556</v>
      </c>
      <c r="F190" s="385">
        <v>494</v>
      </c>
      <c r="G190" s="385">
        <v>316</v>
      </c>
      <c r="H190" s="385">
        <v>175</v>
      </c>
      <c r="I190" s="385">
        <v>91</v>
      </c>
      <c r="J190" s="385">
        <v>76</v>
      </c>
    </row>
    <row r="191" spans="1:10" x14ac:dyDescent="0.25">
      <c r="A191" s="388">
        <v>44078</v>
      </c>
      <c r="B191" s="385">
        <v>59</v>
      </c>
      <c r="C191" s="385">
        <v>145</v>
      </c>
      <c r="D191" s="385">
        <v>453</v>
      </c>
      <c r="E191" s="385">
        <v>604</v>
      </c>
      <c r="F191" s="385">
        <v>503</v>
      </c>
      <c r="G191" s="385">
        <v>348</v>
      </c>
      <c r="H191" s="385">
        <v>161</v>
      </c>
      <c r="I191" s="385">
        <v>86</v>
      </c>
      <c r="J191" s="385">
        <v>66</v>
      </c>
    </row>
    <row r="192" spans="1:10" x14ac:dyDescent="0.25">
      <c r="A192" s="388">
        <v>44079</v>
      </c>
      <c r="B192" s="385">
        <v>53</v>
      </c>
      <c r="C192" s="385">
        <v>96</v>
      </c>
      <c r="D192" s="385">
        <v>369</v>
      </c>
      <c r="E192" s="385">
        <v>443</v>
      </c>
      <c r="F192" s="385">
        <v>394</v>
      </c>
      <c r="G192" s="385">
        <v>261</v>
      </c>
      <c r="H192" s="385">
        <v>129</v>
      </c>
      <c r="I192" s="385">
        <v>84</v>
      </c>
      <c r="J192" s="385">
        <v>79</v>
      </c>
    </row>
    <row r="193" spans="1:10" x14ac:dyDescent="0.25">
      <c r="A193" s="388">
        <v>44080</v>
      </c>
      <c r="B193" s="385">
        <v>59</v>
      </c>
      <c r="C193" s="385">
        <v>97</v>
      </c>
      <c r="D193" s="385">
        <v>250</v>
      </c>
      <c r="E193" s="385">
        <v>289</v>
      </c>
      <c r="F193" s="385">
        <v>284</v>
      </c>
      <c r="G193" s="385">
        <v>196</v>
      </c>
      <c r="H193" s="385">
        <v>118</v>
      </c>
      <c r="I193" s="385">
        <v>60</v>
      </c>
      <c r="J193" s="385">
        <v>58</v>
      </c>
    </row>
    <row r="194" spans="1:10" x14ac:dyDescent="0.25">
      <c r="A194" s="388">
        <v>44081</v>
      </c>
      <c r="B194" s="385">
        <v>62</v>
      </c>
      <c r="C194" s="385">
        <v>132</v>
      </c>
      <c r="D194" s="385">
        <v>459</v>
      </c>
      <c r="E194" s="385">
        <v>577</v>
      </c>
      <c r="F194" s="385">
        <v>496</v>
      </c>
      <c r="G194" s="385">
        <v>353</v>
      </c>
      <c r="H194" s="385">
        <v>202</v>
      </c>
      <c r="I194" s="385">
        <v>107</v>
      </c>
      <c r="J194" s="385">
        <v>120</v>
      </c>
    </row>
    <row r="195" spans="1:10" x14ac:dyDescent="0.25">
      <c r="A195" s="388">
        <v>44082</v>
      </c>
      <c r="B195" s="385">
        <v>93</v>
      </c>
      <c r="C195" s="385">
        <v>131</v>
      </c>
      <c r="D195" s="385">
        <v>456</v>
      </c>
      <c r="E195" s="385">
        <v>630</v>
      </c>
      <c r="F195" s="385">
        <v>545</v>
      </c>
      <c r="G195" s="385">
        <v>364</v>
      </c>
      <c r="H195" s="385">
        <v>192</v>
      </c>
      <c r="I195" s="385">
        <v>103</v>
      </c>
      <c r="J195" s="385">
        <v>102</v>
      </c>
    </row>
    <row r="196" spans="1:10" x14ac:dyDescent="0.25">
      <c r="A196" s="388">
        <v>44083</v>
      </c>
      <c r="B196" s="385">
        <v>79</v>
      </c>
      <c r="C196" s="385">
        <v>133</v>
      </c>
      <c r="D196" s="385">
        <v>503</v>
      </c>
      <c r="E196" s="385">
        <v>631</v>
      </c>
      <c r="F196" s="385">
        <v>497</v>
      </c>
      <c r="G196" s="385">
        <v>322</v>
      </c>
      <c r="H196" s="385">
        <v>204</v>
      </c>
      <c r="I196" s="385">
        <v>104</v>
      </c>
      <c r="J196" s="385">
        <v>76</v>
      </c>
    </row>
    <row r="197" spans="1:10" x14ac:dyDescent="0.25">
      <c r="A197" s="388">
        <v>44084</v>
      </c>
      <c r="B197" s="385">
        <v>73</v>
      </c>
      <c r="C197" s="385">
        <v>134</v>
      </c>
      <c r="D197" s="385">
        <v>435</v>
      </c>
      <c r="E197" s="385">
        <v>576</v>
      </c>
      <c r="F197" s="385">
        <v>455</v>
      </c>
      <c r="G197" s="385">
        <v>332</v>
      </c>
      <c r="H197" s="385">
        <v>163</v>
      </c>
      <c r="I197" s="385">
        <v>96</v>
      </c>
      <c r="J197" s="385">
        <v>122</v>
      </c>
    </row>
    <row r="198" spans="1:10" x14ac:dyDescent="0.25">
      <c r="A198" s="388">
        <v>44085</v>
      </c>
      <c r="B198" s="385">
        <v>86</v>
      </c>
      <c r="C198" s="385">
        <v>139</v>
      </c>
      <c r="D198" s="385">
        <v>418</v>
      </c>
      <c r="E198" s="385">
        <v>583</v>
      </c>
      <c r="F198" s="385">
        <v>519</v>
      </c>
      <c r="G198" s="385">
        <v>330</v>
      </c>
      <c r="H198" s="385">
        <v>156</v>
      </c>
      <c r="I198" s="385">
        <v>107</v>
      </c>
      <c r="J198" s="385">
        <v>65</v>
      </c>
    </row>
    <row r="199" spans="1:10" x14ac:dyDescent="0.25">
      <c r="A199" s="388">
        <v>44086</v>
      </c>
      <c r="B199" s="385">
        <v>42</v>
      </c>
      <c r="C199" s="385">
        <v>83</v>
      </c>
      <c r="D199" s="385">
        <v>301</v>
      </c>
      <c r="E199" s="385">
        <v>376</v>
      </c>
      <c r="F199" s="385">
        <v>325</v>
      </c>
      <c r="G199" s="385">
        <v>218</v>
      </c>
      <c r="H199" s="385">
        <v>145</v>
      </c>
      <c r="I199" s="385">
        <v>53</v>
      </c>
      <c r="J199" s="385">
        <v>71</v>
      </c>
    </row>
    <row r="200" spans="1:10" x14ac:dyDescent="0.25">
      <c r="A200" s="388">
        <v>44087</v>
      </c>
      <c r="B200" s="385">
        <v>45</v>
      </c>
      <c r="C200" s="385">
        <v>80</v>
      </c>
      <c r="D200" s="385">
        <v>229</v>
      </c>
      <c r="E200" s="385">
        <v>306</v>
      </c>
      <c r="F200" s="385">
        <v>262</v>
      </c>
      <c r="G200" s="385">
        <v>180</v>
      </c>
      <c r="H200" s="385">
        <v>128</v>
      </c>
      <c r="I200" s="385">
        <v>73</v>
      </c>
      <c r="J200" s="385">
        <v>56</v>
      </c>
    </row>
    <row r="201" spans="1:10" x14ac:dyDescent="0.25">
      <c r="A201" s="388">
        <v>44088</v>
      </c>
      <c r="B201" s="385">
        <v>57</v>
      </c>
      <c r="C201" s="385">
        <v>105</v>
      </c>
      <c r="D201" s="385">
        <v>390</v>
      </c>
      <c r="E201" s="385">
        <v>546</v>
      </c>
      <c r="F201" s="385">
        <v>389</v>
      </c>
      <c r="G201" s="385">
        <v>283</v>
      </c>
      <c r="H201" s="385">
        <v>170</v>
      </c>
      <c r="I201" s="385">
        <v>86</v>
      </c>
      <c r="J201" s="385">
        <v>67</v>
      </c>
    </row>
    <row r="202" spans="1:10" x14ac:dyDescent="0.25">
      <c r="A202" s="388">
        <v>44089</v>
      </c>
      <c r="B202" s="385">
        <v>67</v>
      </c>
      <c r="C202" s="385">
        <v>115</v>
      </c>
      <c r="D202" s="385">
        <v>424</v>
      </c>
      <c r="E202" s="385">
        <v>484</v>
      </c>
      <c r="F202" s="385">
        <v>418</v>
      </c>
      <c r="G202" s="385">
        <v>303</v>
      </c>
      <c r="H202" s="385">
        <v>158</v>
      </c>
      <c r="I202" s="385">
        <v>79</v>
      </c>
      <c r="J202" s="385">
        <v>75</v>
      </c>
    </row>
    <row r="203" spans="1:10" x14ac:dyDescent="0.25">
      <c r="A203" s="388">
        <v>44090</v>
      </c>
      <c r="B203" s="385">
        <v>68</v>
      </c>
      <c r="C203" s="385">
        <v>122</v>
      </c>
      <c r="D203" s="385">
        <v>404</v>
      </c>
      <c r="E203" s="385">
        <v>494</v>
      </c>
      <c r="F203" s="385">
        <v>436</v>
      </c>
      <c r="G203" s="385">
        <v>292</v>
      </c>
      <c r="H203" s="385">
        <v>144</v>
      </c>
      <c r="I203" s="385">
        <v>94</v>
      </c>
      <c r="J203" s="385">
        <v>95</v>
      </c>
    </row>
    <row r="204" spans="1:10" x14ac:dyDescent="0.25">
      <c r="A204" s="388">
        <v>44091</v>
      </c>
      <c r="B204" s="385">
        <v>51</v>
      </c>
      <c r="C204" s="385">
        <v>99</v>
      </c>
      <c r="D204" s="385">
        <v>397</v>
      </c>
      <c r="E204" s="385">
        <v>445</v>
      </c>
      <c r="F204" s="385">
        <v>385</v>
      </c>
      <c r="G204" s="385">
        <v>234</v>
      </c>
      <c r="H204" s="385">
        <v>140</v>
      </c>
      <c r="I204" s="385">
        <v>57</v>
      </c>
      <c r="J204" s="385">
        <v>48</v>
      </c>
    </row>
    <row r="205" spans="1:10" x14ac:dyDescent="0.25">
      <c r="A205" s="388">
        <v>44092</v>
      </c>
      <c r="B205" s="385">
        <v>98</v>
      </c>
      <c r="C205" s="385">
        <v>113</v>
      </c>
      <c r="D205" s="385">
        <v>352</v>
      </c>
      <c r="E205" s="385">
        <v>481</v>
      </c>
      <c r="F205" s="385">
        <v>355</v>
      </c>
      <c r="G205" s="385">
        <v>239</v>
      </c>
      <c r="H205" s="385">
        <v>138</v>
      </c>
      <c r="I205" s="385">
        <v>80</v>
      </c>
      <c r="J205" s="385">
        <v>63</v>
      </c>
    </row>
    <row r="206" spans="1:10" x14ac:dyDescent="0.25">
      <c r="A206" s="388">
        <v>44093</v>
      </c>
      <c r="B206" s="385">
        <v>32</v>
      </c>
      <c r="C206" s="385">
        <v>92</v>
      </c>
      <c r="D206" s="385">
        <v>248</v>
      </c>
      <c r="E206" s="385">
        <v>325</v>
      </c>
      <c r="F206" s="385">
        <v>271</v>
      </c>
      <c r="G206" s="385">
        <v>177</v>
      </c>
      <c r="H206" s="385">
        <v>120</v>
      </c>
      <c r="I206" s="385">
        <v>59</v>
      </c>
      <c r="J206" s="385">
        <v>39</v>
      </c>
    </row>
    <row r="207" spans="1:10" x14ac:dyDescent="0.25">
      <c r="A207" s="388">
        <v>44094</v>
      </c>
      <c r="B207" s="385">
        <v>37</v>
      </c>
      <c r="C207" s="385">
        <v>72</v>
      </c>
      <c r="D207" s="385">
        <v>182</v>
      </c>
      <c r="E207" s="385">
        <v>230</v>
      </c>
      <c r="F207" s="385">
        <v>176</v>
      </c>
      <c r="G207" s="385">
        <v>125</v>
      </c>
      <c r="H207" s="385">
        <v>83</v>
      </c>
      <c r="I207" s="385">
        <v>67</v>
      </c>
      <c r="J207" s="385">
        <v>40</v>
      </c>
    </row>
    <row r="208" spans="1:10" x14ac:dyDescent="0.25">
      <c r="A208" s="388">
        <v>44095</v>
      </c>
      <c r="B208" s="385">
        <v>44</v>
      </c>
      <c r="C208" s="385">
        <v>96</v>
      </c>
      <c r="D208" s="385">
        <v>343</v>
      </c>
      <c r="E208" s="385">
        <v>404</v>
      </c>
      <c r="F208" s="385">
        <v>321</v>
      </c>
      <c r="G208" s="385">
        <v>219</v>
      </c>
      <c r="H208" s="385">
        <v>123</v>
      </c>
      <c r="I208" s="385">
        <v>74</v>
      </c>
      <c r="J208" s="385">
        <v>66</v>
      </c>
    </row>
    <row r="209" spans="1:10" x14ac:dyDescent="0.25">
      <c r="A209" s="388">
        <v>44096</v>
      </c>
      <c r="B209" s="385">
        <v>50</v>
      </c>
      <c r="C209" s="385">
        <v>92</v>
      </c>
      <c r="D209" s="385">
        <v>372</v>
      </c>
      <c r="E209" s="385">
        <v>469</v>
      </c>
      <c r="F209" s="385">
        <v>363</v>
      </c>
      <c r="G209" s="385">
        <v>223</v>
      </c>
      <c r="H209" s="385">
        <v>162</v>
      </c>
      <c r="I209" s="385">
        <v>69</v>
      </c>
      <c r="J209" s="385">
        <v>88</v>
      </c>
    </row>
    <row r="210" spans="1:10" x14ac:dyDescent="0.25">
      <c r="A210" s="388">
        <v>44097</v>
      </c>
      <c r="B210" s="385">
        <v>78</v>
      </c>
      <c r="C210" s="385">
        <v>105</v>
      </c>
      <c r="D210" s="385">
        <v>375</v>
      </c>
      <c r="E210" s="385">
        <v>413</v>
      </c>
      <c r="F210" s="385">
        <v>392</v>
      </c>
      <c r="G210" s="385">
        <v>243</v>
      </c>
      <c r="H210" s="385">
        <v>141</v>
      </c>
      <c r="I210" s="385">
        <v>79</v>
      </c>
      <c r="J210" s="385">
        <v>51</v>
      </c>
    </row>
    <row r="211" spans="1:10" x14ac:dyDescent="0.25">
      <c r="A211" s="388">
        <v>44098</v>
      </c>
      <c r="B211" s="385">
        <v>63</v>
      </c>
      <c r="C211" s="385">
        <v>136</v>
      </c>
      <c r="D211" s="385">
        <v>330</v>
      </c>
      <c r="E211" s="385">
        <v>465</v>
      </c>
      <c r="F211" s="385">
        <v>374</v>
      </c>
      <c r="G211" s="385">
        <v>244</v>
      </c>
      <c r="H211" s="385">
        <v>149</v>
      </c>
      <c r="I211" s="385">
        <v>81</v>
      </c>
      <c r="J211" s="385">
        <v>71</v>
      </c>
    </row>
    <row r="212" spans="1:10" x14ac:dyDescent="0.25">
      <c r="A212" s="388">
        <v>44099</v>
      </c>
      <c r="B212" s="385">
        <v>66</v>
      </c>
      <c r="C212" s="385">
        <v>112</v>
      </c>
      <c r="D212" s="385">
        <v>372</v>
      </c>
      <c r="E212" s="385">
        <v>442</v>
      </c>
      <c r="F212" s="385">
        <v>375</v>
      </c>
      <c r="G212" s="385">
        <v>287</v>
      </c>
      <c r="H212" s="385">
        <v>145</v>
      </c>
      <c r="I212" s="385">
        <v>89</v>
      </c>
      <c r="J212" s="385">
        <v>79</v>
      </c>
    </row>
    <row r="213" spans="1:10" x14ac:dyDescent="0.25">
      <c r="A213" s="388">
        <v>44100</v>
      </c>
      <c r="B213" s="385">
        <v>46</v>
      </c>
      <c r="C213" s="385">
        <v>90</v>
      </c>
      <c r="D213" s="385">
        <v>226</v>
      </c>
      <c r="E213" s="385">
        <v>277</v>
      </c>
      <c r="F213" s="385">
        <v>260</v>
      </c>
      <c r="G213" s="385">
        <v>187</v>
      </c>
      <c r="H213" s="385">
        <v>108</v>
      </c>
      <c r="I213" s="385">
        <v>54</v>
      </c>
      <c r="J213" s="385">
        <v>56</v>
      </c>
    </row>
    <row r="214" spans="1:10" x14ac:dyDescent="0.25">
      <c r="A214" s="388">
        <v>44101</v>
      </c>
      <c r="B214" s="385">
        <v>48</v>
      </c>
      <c r="C214" s="385">
        <v>84</v>
      </c>
      <c r="D214" s="385">
        <v>226</v>
      </c>
      <c r="E214" s="385">
        <v>267</v>
      </c>
      <c r="F214" s="385">
        <v>233</v>
      </c>
      <c r="G214" s="385">
        <v>149</v>
      </c>
      <c r="H214" s="385">
        <v>76</v>
      </c>
      <c r="I214" s="385">
        <v>47</v>
      </c>
      <c r="J214" s="385">
        <v>35</v>
      </c>
    </row>
    <row r="215" spans="1:10" x14ac:dyDescent="0.25">
      <c r="A215" s="388">
        <v>44102</v>
      </c>
      <c r="B215" s="385">
        <v>50</v>
      </c>
      <c r="C215" s="385">
        <v>111</v>
      </c>
      <c r="D215" s="385">
        <v>361</v>
      </c>
      <c r="E215" s="385">
        <v>435</v>
      </c>
      <c r="F215" s="385">
        <v>363</v>
      </c>
      <c r="G215" s="385">
        <v>262</v>
      </c>
      <c r="H215" s="385">
        <v>162</v>
      </c>
      <c r="I215" s="385">
        <v>77</v>
      </c>
      <c r="J215" s="385">
        <v>86</v>
      </c>
    </row>
    <row r="216" spans="1:10" x14ac:dyDescent="0.25">
      <c r="A216" s="388">
        <v>44103</v>
      </c>
      <c r="B216" s="385">
        <v>69</v>
      </c>
      <c r="C216" s="385">
        <v>85</v>
      </c>
      <c r="D216" s="385">
        <v>385</v>
      </c>
      <c r="E216" s="385">
        <v>463</v>
      </c>
      <c r="F216" s="385">
        <v>398</v>
      </c>
      <c r="G216" s="385">
        <v>271</v>
      </c>
      <c r="H216" s="385">
        <v>152</v>
      </c>
      <c r="I216" s="385">
        <v>97</v>
      </c>
      <c r="J216" s="385">
        <v>69</v>
      </c>
    </row>
    <row r="217" spans="1:10" x14ac:dyDescent="0.25">
      <c r="A217" s="388">
        <v>44104</v>
      </c>
      <c r="B217" s="385">
        <v>62</v>
      </c>
      <c r="C217" s="385">
        <v>127</v>
      </c>
      <c r="D217" s="385">
        <v>422</v>
      </c>
      <c r="E217" s="385">
        <v>481</v>
      </c>
      <c r="F217" s="385">
        <v>397</v>
      </c>
      <c r="G217" s="385">
        <v>293</v>
      </c>
      <c r="H217" s="385">
        <v>156</v>
      </c>
      <c r="I217" s="385">
        <v>68</v>
      </c>
      <c r="J217" s="385">
        <v>61</v>
      </c>
    </row>
    <row r="218" spans="1:10" x14ac:dyDescent="0.25">
      <c r="A218" s="388">
        <v>44105</v>
      </c>
      <c r="B218" s="385">
        <v>48</v>
      </c>
      <c r="C218" s="385">
        <v>107</v>
      </c>
      <c r="D218" s="385">
        <v>384</v>
      </c>
      <c r="E218" s="385">
        <v>456</v>
      </c>
      <c r="F218" s="385">
        <v>328</v>
      </c>
      <c r="G218" s="385">
        <v>246</v>
      </c>
      <c r="H218" s="385">
        <v>133</v>
      </c>
      <c r="I218" s="385">
        <v>74</v>
      </c>
      <c r="J218" s="385">
        <v>57</v>
      </c>
    </row>
    <row r="219" spans="1:10" x14ac:dyDescent="0.25">
      <c r="A219" s="388">
        <v>44106</v>
      </c>
      <c r="B219" s="385">
        <v>69</v>
      </c>
      <c r="C219" s="385">
        <v>104</v>
      </c>
      <c r="D219" s="385">
        <v>352</v>
      </c>
      <c r="E219" s="385">
        <v>431</v>
      </c>
      <c r="F219" s="385">
        <v>330</v>
      </c>
      <c r="G219" s="385">
        <v>250</v>
      </c>
      <c r="H219" s="385">
        <v>165</v>
      </c>
      <c r="I219" s="385">
        <v>62</v>
      </c>
      <c r="J219" s="385">
        <v>71</v>
      </c>
    </row>
    <row r="220" spans="1:10" x14ac:dyDescent="0.25">
      <c r="A220" s="388">
        <v>44107</v>
      </c>
      <c r="B220" s="385">
        <v>55</v>
      </c>
      <c r="C220" s="385">
        <v>87</v>
      </c>
      <c r="D220" s="385">
        <v>207</v>
      </c>
      <c r="E220" s="385">
        <v>249</v>
      </c>
      <c r="F220" s="385">
        <v>243</v>
      </c>
      <c r="G220" s="385">
        <v>152</v>
      </c>
      <c r="H220" s="385">
        <v>77</v>
      </c>
      <c r="I220" s="385">
        <v>36</v>
      </c>
      <c r="J220" s="385">
        <v>40</v>
      </c>
    </row>
    <row r="221" spans="1:10" x14ac:dyDescent="0.25">
      <c r="A221" s="388">
        <v>44108</v>
      </c>
      <c r="B221" s="385">
        <v>31</v>
      </c>
      <c r="C221" s="385">
        <v>56</v>
      </c>
      <c r="D221" s="385">
        <v>188</v>
      </c>
      <c r="E221" s="385">
        <v>183</v>
      </c>
      <c r="F221" s="385">
        <v>175</v>
      </c>
      <c r="G221" s="385">
        <v>116</v>
      </c>
      <c r="H221" s="385">
        <v>69</v>
      </c>
      <c r="I221" s="385">
        <v>37</v>
      </c>
      <c r="J221" s="385">
        <v>38</v>
      </c>
    </row>
    <row r="222" spans="1:10" x14ac:dyDescent="0.25">
      <c r="A222" s="388">
        <v>44109</v>
      </c>
      <c r="B222" s="385">
        <v>45</v>
      </c>
      <c r="C222" s="385">
        <v>75</v>
      </c>
      <c r="D222" s="385">
        <v>286</v>
      </c>
      <c r="E222" s="385">
        <v>396</v>
      </c>
      <c r="F222" s="385">
        <v>291</v>
      </c>
      <c r="G222" s="385">
        <v>237</v>
      </c>
      <c r="H222" s="385">
        <v>138</v>
      </c>
      <c r="I222" s="385">
        <v>75</v>
      </c>
      <c r="J222" s="385">
        <v>54</v>
      </c>
    </row>
    <row r="223" spans="1:10" x14ac:dyDescent="0.25">
      <c r="A223" s="388">
        <v>44110</v>
      </c>
      <c r="B223" s="385">
        <v>55</v>
      </c>
      <c r="C223" s="385">
        <v>95</v>
      </c>
      <c r="D223" s="385">
        <v>340</v>
      </c>
      <c r="E223" s="385">
        <v>435</v>
      </c>
      <c r="F223" s="385">
        <v>315</v>
      </c>
      <c r="G223" s="385">
        <v>269</v>
      </c>
      <c r="H223" s="385">
        <v>141</v>
      </c>
      <c r="I223" s="385">
        <v>52</v>
      </c>
      <c r="J223" s="385">
        <v>57</v>
      </c>
    </row>
    <row r="224" spans="1:10" x14ac:dyDescent="0.25">
      <c r="A224" s="388">
        <v>44111</v>
      </c>
      <c r="B224" s="385">
        <v>49</v>
      </c>
      <c r="C224" s="385">
        <v>94</v>
      </c>
      <c r="D224" s="385">
        <v>344</v>
      </c>
      <c r="E224" s="385">
        <v>383</v>
      </c>
      <c r="F224" s="385">
        <v>319</v>
      </c>
      <c r="G224" s="385">
        <v>238</v>
      </c>
      <c r="H224" s="385">
        <v>118</v>
      </c>
      <c r="I224" s="385">
        <v>59</v>
      </c>
      <c r="J224" s="385">
        <v>60</v>
      </c>
    </row>
    <row r="225" spans="1:10" x14ac:dyDescent="0.25">
      <c r="A225" s="388">
        <v>44112</v>
      </c>
      <c r="B225" s="385">
        <v>57</v>
      </c>
      <c r="C225" s="385">
        <v>97</v>
      </c>
      <c r="D225" s="385">
        <v>332</v>
      </c>
      <c r="E225" s="385">
        <v>380</v>
      </c>
      <c r="F225" s="385">
        <v>309</v>
      </c>
      <c r="G225" s="385">
        <v>221</v>
      </c>
      <c r="H225" s="385">
        <v>112</v>
      </c>
      <c r="I225" s="385">
        <v>63</v>
      </c>
      <c r="J225" s="385">
        <v>106</v>
      </c>
    </row>
    <row r="226" spans="1:10" x14ac:dyDescent="0.25">
      <c r="A226" s="388">
        <v>44113</v>
      </c>
      <c r="B226" s="385">
        <v>53</v>
      </c>
      <c r="C226" s="385">
        <v>99</v>
      </c>
      <c r="D226" s="385">
        <v>304</v>
      </c>
      <c r="E226" s="385">
        <v>421</v>
      </c>
      <c r="F226" s="385">
        <v>291</v>
      </c>
      <c r="G226" s="385">
        <v>260</v>
      </c>
      <c r="H226" s="385">
        <v>116</v>
      </c>
      <c r="I226" s="385">
        <v>60</v>
      </c>
      <c r="J226" s="385">
        <v>83</v>
      </c>
    </row>
    <row r="227" spans="1:10" x14ac:dyDescent="0.25">
      <c r="A227" s="388">
        <v>44114</v>
      </c>
      <c r="B227" s="385">
        <v>52</v>
      </c>
      <c r="C227" s="385">
        <v>100</v>
      </c>
      <c r="D227" s="385">
        <v>253</v>
      </c>
      <c r="E227" s="385">
        <v>315</v>
      </c>
      <c r="F227" s="385">
        <v>253</v>
      </c>
      <c r="G227" s="385">
        <v>191</v>
      </c>
      <c r="H227" s="385">
        <v>110</v>
      </c>
      <c r="I227" s="385">
        <v>48</v>
      </c>
      <c r="J227" s="385">
        <v>33</v>
      </c>
    </row>
    <row r="228" spans="1:10" x14ac:dyDescent="0.25">
      <c r="A228" s="388">
        <v>44115</v>
      </c>
      <c r="B228" s="385">
        <v>39</v>
      </c>
      <c r="C228" s="385">
        <v>58</v>
      </c>
      <c r="D228" s="385">
        <v>188</v>
      </c>
      <c r="E228" s="385">
        <v>233</v>
      </c>
      <c r="F228" s="385">
        <v>203</v>
      </c>
      <c r="G228" s="385">
        <v>129</v>
      </c>
      <c r="H228" s="385">
        <v>73</v>
      </c>
      <c r="I228" s="385">
        <v>40</v>
      </c>
      <c r="J228" s="385">
        <v>54</v>
      </c>
    </row>
    <row r="229" spans="1:10" x14ac:dyDescent="0.25">
      <c r="A229" s="388">
        <v>44116</v>
      </c>
      <c r="B229" s="385">
        <v>56</v>
      </c>
      <c r="C229" s="385">
        <v>86</v>
      </c>
      <c r="D229" s="385">
        <v>226</v>
      </c>
      <c r="E229" s="385">
        <v>257</v>
      </c>
      <c r="F229" s="385">
        <v>222</v>
      </c>
      <c r="G229" s="385">
        <v>187</v>
      </c>
      <c r="H229" s="385">
        <v>92</v>
      </c>
      <c r="I229" s="385">
        <v>56</v>
      </c>
      <c r="J229" s="385">
        <v>41</v>
      </c>
    </row>
    <row r="230" spans="1:10" x14ac:dyDescent="0.25">
      <c r="A230" s="388">
        <v>44117</v>
      </c>
      <c r="B230" s="385">
        <v>46</v>
      </c>
      <c r="C230" s="385">
        <v>99</v>
      </c>
      <c r="D230" s="385">
        <v>291</v>
      </c>
      <c r="E230" s="385">
        <v>381</v>
      </c>
      <c r="F230" s="385">
        <v>329</v>
      </c>
      <c r="G230" s="385">
        <v>229</v>
      </c>
      <c r="H230" s="385">
        <v>111</v>
      </c>
      <c r="I230" s="385">
        <v>57</v>
      </c>
      <c r="J230" s="385">
        <v>61</v>
      </c>
    </row>
    <row r="231" spans="1:10" x14ac:dyDescent="0.25">
      <c r="A231" s="388">
        <v>44118</v>
      </c>
      <c r="B231" s="385">
        <v>59</v>
      </c>
      <c r="C231" s="385">
        <v>91</v>
      </c>
      <c r="D231" s="385">
        <v>328</v>
      </c>
      <c r="E231" s="385">
        <v>382</v>
      </c>
      <c r="F231" s="385">
        <v>342</v>
      </c>
      <c r="G231" s="385">
        <v>252</v>
      </c>
      <c r="H231" s="385">
        <v>117</v>
      </c>
      <c r="I231" s="385">
        <v>63</v>
      </c>
      <c r="J231" s="385">
        <v>43</v>
      </c>
    </row>
    <row r="232" spans="1:10" x14ac:dyDescent="0.25">
      <c r="A232" s="388">
        <v>44119</v>
      </c>
      <c r="B232" s="385">
        <v>59</v>
      </c>
      <c r="C232" s="385">
        <v>120</v>
      </c>
      <c r="D232" s="385">
        <v>311</v>
      </c>
      <c r="E232" s="385">
        <v>348</v>
      </c>
      <c r="F232" s="385">
        <v>298</v>
      </c>
      <c r="G232" s="385">
        <v>187</v>
      </c>
      <c r="H232" s="385">
        <v>113</v>
      </c>
      <c r="I232" s="385">
        <v>61</v>
      </c>
      <c r="J232" s="385">
        <v>48</v>
      </c>
    </row>
    <row r="233" spans="1:10" x14ac:dyDescent="0.25">
      <c r="A233" s="388">
        <v>44120</v>
      </c>
      <c r="B233" s="385">
        <v>52</v>
      </c>
      <c r="C233" s="385">
        <v>110</v>
      </c>
      <c r="D233" s="385">
        <v>328</v>
      </c>
      <c r="E233" s="385">
        <v>355</v>
      </c>
      <c r="F233" s="385">
        <v>303</v>
      </c>
      <c r="G233" s="385">
        <v>189</v>
      </c>
      <c r="H233" s="385">
        <v>107</v>
      </c>
      <c r="I233" s="385">
        <v>57</v>
      </c>
      <c r="J233" s="385">
        <v>81</v>
      </c>
    </row>
    <row r="234" spans="1:10" x14ac:dyDescent="0.25">
      <c r="A234" s="388">
        <v>44121</v>
      </c>
      <c r="B234" s="385">
        <v>48</v>
      </c>
      <c r="C234" s="385">
        <v>67</v>
      </c>
      <c r="D234" s="385">
        <v>200</v>
      </c>
      <c r="E234" s="385">
        <v>263</v>
      </c>
      <c r="F234" s="385">
        <v>186</v>
      </c>
      <c r="G234" s="385">
        <v>132</v>
      </c>
      <c r="H234" s="385">
        <v>70</v>
      </c>
      <c r="I234" s="385">
        <v>41</v>
      </c>
      <c r="J234" s="385">
        <v>29</v>
      </c>
    </row>
    <row r="235" spans="1:10" x14ac:dyDescent="0.25">
      <c r="A235" s="388">
        <v>44122</v>
      </c>
      <c r="B235" s="385">
        <v>27</v>
      </c>
      <c r="C235" s="385">
        <v>50</v>
      </c>
      <c r="D235" s="385">
        <v>138</v>
      </c>
      <c r="E235" s="385">
        <v>148</v>
      </c>
      <c r="F235" s="385">
        <v>104</v>
      </c>
      <c r="G235" s="385">
        <v>102</v>
      </c>
      <c r="H235" s="385">
        <v>50</v>
      </c>
      <c r="I235" s="385">
        <v>48</v>
      </c>
      <c r="J235" s="385">
        <v>21</v>
      </c>
    </row>
    <row r="236" spans="1:10" x14ac:dyDescent="0.25">
      <c r="A236" s="388">
        <v>44123</v>
      </c>
      <c r="B236" s="385">
        <v>44</v>
      </c>
      <c r="C236" s="385">
        <v>84</v>
      </c>
      <c r="D236" s="385">
        <v>224</v>
      </c>
      <c r="E236" s="385">
        <v>274</v>
      </c>
      <c r="F236" s="385">
        <v>227</v>
      </c>
      <c r="G236" s="385">
        <v>193</v>
      </c>
      <c r="H236" s="385">
        <v>101</v>
      </c>
      <c r="I236" s="385">
        <v>71</v>
      </c>
      <c r="J236" s="385">
        <v>34</v>
      </c>
    </row>
    <row r="237" spans="1:10" x14ac:dyDescent="0.25">
      <c r="A237" s="388">
        <v>44124</v>
      </c>
      <c r="B237" s="385">
        <v>26</v>
      </c>
      <c r="C237" s="385">
        <v>63</v>
      </c>
      <c r="D237" s="385">
        <v>261</v>
      </c>
      <c r="E237" s="385">
        <v>296</v>
      </c>
      <c r="F237" s="385">
        <v>242</v>
      </c>
      <c r="G237" s="385">
        <v>167</v>
      </c>
      <c r="H237" s="385">
        <v>99</v>
      </c>
      <c r="I237" s="385">
        <v>49</v>
      </c>
      <c r="J237" s="385">
        <v>46</v>
      </c>
    </row>
    <row r="238" spans="1:10" x14ac:dyDescent="0.25">
      <c r="A238" s="388">
        <v>44125</v>
      </c>
      <c r="B238" s="385">
        <v>32</v>
      </c>
      <c r="C238" s="385">
        <v>71</v>
      </c>
      <c r="D238" s="385">
        <v>245</v>
      </c>
      <c r="E238" s="385">
        <v>257</v>
      </c>
      <c r="F238" s="385">
        <v>207</v>
      </c>
      <c r="G238" s="385">
        <v>174</v>
      </c>
      <c r="H238" s="385">
        <v>80</v>
      </c>
      <c r="I238" s="385">
        <v>49</v>
      </c>
      <c r="J238" s="385">
        <v>33</v>
      </c>
    </row>
    <row r="239" spans="1:10" x14ac:dyDescent="0.25">
      <c r="A239" s="388">
        <v>44126</v>
      </c>
      <c r="B239" s="385">
        <v>30</v>
      </c>
      <c r="C239" s="385">
        <v>63</v>
      </c>
      <c r="D239" s="385">
        <v>230</v>
      </c>
      <c r="E239" s="385">
        <v>226</v>
      </c>
      <c r="F239" s="385">
        <v>199</v>
      </c>
      <c r="G239" s="385">
        <v>134</v>
      </c>
      <c r="H239" s="385">
        <v>73</v>
      </c>
      <c r="I239" s="385">
        <v>41</v>
      </c>
      <c r="J239" s="385">
        <v>23</v>
      </c>
    </row>
    <row r="240" spans="1:10" x14ac:dyDescent="0.25">
      <c r="A240" s="388">
        <v>44127</v>
      </c>
      <c r="B240" s="385">
        <v>32</v>
      </c>
      <c r="C240" s="385">
        <v>56</v>
      </c>
      <c r="D240" s="385">
        <v>234</v>
      </c>
      <c r="E240" s="385">
        <v>231</v>
      </c>
      <c r="F240" s="385">
        <v>210</v>
      </c>
      <c r="G240" s="385">
        <v>150</v>
      </c>
      <c r="H240" s="385">
        <v>84</v>
      </c>
      <c r="I240" s="385">
        <v>42</v>
      </c>
      <c r="J240" s="385">
        <v>30</v>
      </c>
    </row>
    <row r="241" spans="1:10" x14ac:dyDescent="0.25">
      <c r="A241" s="388">
        <v>44128</v>
      </c>
      <c r="B241" s="385">
        <v>37</v>
      </c>
      <c r="C241" s="385">
        <v>60</v>
      </c>
      <c r="D241" s="385">
        <v>177</v>
      </c>
      <c r="E241" s="385">
        <v>171</v>
      </c>
      <c r="F241" s="385">
        <v>182</v>
      </c>
      <c r="G241" s="385">
        <v>111</v>
      </c>
      <c r="H241" s="385">
        <v>60</v>
      </c>
      <c r="I241" s="385">
        <v>36</v>
      </c>
      <c r="J241" s="385">
        <v>22</v>
      </c>
    </row>
    <row r="242" spans="1:10" x14ac:dyDescent="0.25">
      <c r="A242" s="388">
        <v>44129</v>
      </c>
      <c r="B242" s="385">
        <v>29</v>
      </c>
      <c r="C242" s="385">
        <v>46</v>
      </c>
      <c r="D242" s="385">
        <v>107</v>
      </c>
      <c r="E242" s="385">
        <v>113</v>
      </c>
      <c r="F242" s="385">
        <v>126</v>
      </c>
      <c r="G242" s="385">
        <v>99</v>
      </c>
      <c r="H242" s="385">
        <v>38</v>
      </c>
      <c r="I242" s="385">
        <v>21</v>
      </c>
      <c r="J242" s="385">
        <v>16</v>
      </c>
    </row>
    <row r="243" spans="1:10" x14ac:dyDescent="0.25">
      <c r="A243" s="388">
        <v>44130</v>
      </c>
      <c r="B243" s="385">
        <v>20</v>
      </c>
      <c r="C243" s="385">
        <v>85</v>
      </c>
      <c r="D243" s="385">
        <v>182</v>
      </c>
      <c r="E243" s="385">
        <v>263</v>
      </c>
      <c r="F243" s="385">
        <v>234</v>
      </c>
      <c r="G243" s="385">
        <v>154</v>
      </c>
      <c r="H243" s="385">
        <v>91</v>
      </c>
      <c r="I243" s="385">
        <v>29</v>
      </c>
      <c r="J243" s="385">
        <v>42</v>
      </c>
    </row>
    <row r="244" spans="1:10" x14ac:dyDescent="0.25">
      <c r="A244" s="388">
        <v>44131</v>
      </c>
      <c r="B244" s="385">
        <v>33</v>
      </c>
      <c r="C244" s="385">
        <v>70</v>
      </c>
      <c r="D244" s="385">
        <v>211</v>
      </c>
      <c r="E244" s="385">
        <v>240</v>
      </c>
      <c r="F244" s="385">
        <v>212</v>
      </c>
      <c r="G244" s="385">
        <v>152</v>
      </c>
      <c r="H244" s="385">
        <v>87</v>
      </c>
      <c r="I244" s="385">
        <v>51</v>
      </c>
      <c r="J244" s="385">
        <v>36</v>
      </c>
    </row>
    <row r="245" spans="1:10" x14ac:dyDescent="0.25">
      <c r="A245" s="388">
        <v>44132</v>
      </c>
      <c r="B245" s="385">
        <v>36</v>
      </c>
      <c r="C245" s="385">
        <v>76</v>
      </c>
      <c r="D245" s="385">
        <v>193</v>
      </c>
      <c r="E245" s="385">
        <v>264</v>
      </c>
      <c r="F245" s="385">
        <v>174</v>
      </c>
      <c r="G245" s="385">
        <v>124</v>
      </c>
      <c r="H245" s="385">
        <v>69</v>
      </c>
      <c r="I245" s="385">
        <v>38</v>
      </c>
      <c r="J245" s="385">
        <v>26</v>
      </c>
    </row>
    <row r="246" spans="1:10" x14ac:dyDescent="0.25">
      <c r="A246" s="388">
        <v>44133</v>
      </c>
      <c r="B246" s="385">
        <v>29</v>
      </c>
      <c r="C246" s="385">
        <v>56</v>
      </c>
      <c r="D246" s="385">
        <v>195</v>
      </c>
      <c r="E246" s="385">
        <v>201</v>
      </c>
      <c r="F246" s="385">
        <v>178</v>
      </c>
      <c r="G246" s="385">
        <v>115</v>
      </c>
      <c r="H246" s="385">
        <v>57</v>
      </c>
      <c r="I246" s="385">
        <v>34</v>
      </c>
      <c r="J246" s="385">
        <v>35</v>
      </c>
    </row>
    <row r="247" spans="1:10" x14ac:dyDescent="0.25">
      <c r="A247" s="388">
        <v>44134</v>
      </c>
      <c r="B247" s="385">
        <v>25</v>
      </c>
      <c r="C247" s="385">
        <v>36</v>
      </c>
      <c r="D247" s="385">
        <v>131</v>
      </c>
      <c r="E247" s="385">
        <v>173</v>
      </c>
      <c r="F247" s="385">
        <v>151</v>
      </c>
      <c r="G247" s="385">
        <v>104</v>
      </c>
      <c r="H247" s="385">
        <v>62</v>
      </c>
      <c r="I247" s="385">
        <v>34</v>
      </c>
      <c r="J247" s="385">
        <v>18</v>
      </c>
    </row>
    <row r="248" spans="1:10" x14ac:dyDescent="0.25">
      <c r="A248" s="388">
        <v>44135</v>
      </c>
      <c r="B248" s="385">
        <v>14</v>
      </c>
      <c r="C248" s="385">
        <v>39</v>
      </c>
      <c r="D248" s="385">
        <v>109</v>
      </c>
      <c r="E248" s="385">
        <v>107</v>
      </c>
      <c r="F248" s="385">
        <v>106</v>
      </c>
      <c r="G248" s="385">
        <v>70</v>
      </c>
      <c r="H248" s="385">
        <v>35</v>
      </c>
      <c r="I248" s="385">
        <v>17</v>
      </c>
      <c r="J248" s="385">
        <v>13</v>
      </c>
    </row>
    <row r="249" spans="1:10" x14ac:dyDescent="0.25">
      <c r="A249" s="388">
        <v>44136</v>
      </c>
      <c r="B249" s="385">
        <v>23</v>
      </c>
      <c r="C249" s="385">
        <v>36</v>
      </c>
      <c r="D249" s="385">
        <v>123</v>
      </c>
      <c r="E249" s="385">
        <v>115</v>
      </c>
      <c r="F249" s="385">
        <v>99</v>
      </c>
      <c r="G249" s="385">
        <v>76</v>
      </c>
      <c r="H249" s="385">
        <v>49</v>
      </c>
      <c r="I249" s="385">
        <v>27</v>
      </c>
      <c r="J249" s="385">
        <v>11</v>
      </c>
    </row>
    <row r="250" spans="1:10" x14ac:dyDescent="0.25">
      <c r="A250" s="388">
        <v>44137</v>
      </c>
      <c r="B250" s="385">
        <v>23</v>
      </c>
      <c r="C250" s="385">
        <v>65</v>
      </c>
      <c r="D250" s="385">
        <v>145</v>
      </c>
      <c r="E250" s="385">
        <v>190</v>
      </c>
      <c r="F250" s="385">
        <v>191</v>
      </c>
      <c r="G250" s="385">
        <v>105</v>
      </c>
      <c r="H250" s="385">
        <v>65</v>
      </c>
      <c r="I250" s="385">
        <v>29</v>
      </c>
      <c r="J250" s="385">
        <v>27</v>
      </c>
    </row>
    <row r="251" spans="1:10" x14ac:dyDescent="0.25">
      <c r="A251" s="388">
        <v>44138</v>
      </c>
      <c r="B251" s="385">
        <v>29</v>
      </c>
      <c r="C251" s="385">
        <v>46</v>
      </c>
      <c r="D251" s="385">
        <v>157</v>
      </c>
      <c r="E251" s="385">
        <v>181</v>
      </c>
      <c r="F251" s="385">
        <v>136</v>
      </c>
      <c r="G251" s="385">
        <v>115</v>
      </c>
      <c r="H251" s="385">
        <v>60</v>
      </c>
      <c r="I251" s="385">
        <v>34</v>
      </c>
      <c r="J251" s="385">
        <v>20</v>
      </c>
    </row>
    <row r="252" spans="1:10" x14ac:dyDescent="0.25">
      <c r="A252" s="388">
        <v>44139</v>
      </c>
      <c r="B252" s="385">
        <v>32</v>
      </c>
      <c r="C252" s="385">
        <v>53</v>
      </c>
      <c r="D252" s="385">
        <v>182</v>
      </c>
      <c r="E252" s="385">
        <v>229</v>
      </c>
      <c r="F252" s="385">
        <v>166</v>
      </c>
      <c r="G252" s="385">
        <v>118</v>
      </c>
      <c r="H252" s="385">
        <v>60</v>
      </c>
      <c r="I252" s="385">
        <v>34</v>
      </c>
      <c r="J252" s="385">
        <v>17</v>
      </c>
    </row>
    <row r="253" spans="1:10" x14ac:dyDescent="0.25">
      <c r="A253" s="388">
        <v>44140</v>
      </c>
      <c r="B253" s="385">
        <v>46</v>
      </c>
      <c r="C253" s="385">
        <v>82</v>
      </c>
      <c r="D253" s="385">
        <v>233</v>
      </c>
      <c r="E253" s="385">
        <v>253</v>
      </c>
      <c r="F253" s="385">
        <v>181</v>
      </c>
      <c r="G253" s="385">
        <v>124</v>
      </c>
      <c r="H253" s="385">
        <v>76</v>
      </c>
      <c r="I253" s="385">
        <v>39</v>
      </c>
      <c r="J253" s="385">
        <v>30</v>
      </c>
    </row>
    <row r="254" spans="1:10" x14ac:dyDescent="0.25">
      <c r="A254" s="388">
        <v>44141</v>
      </c>
      <c r="B254" s="385">
        <v>33</v>
      </c>
      <c r="C254" s="385">
        <v>50</v>
      </c>
      <c r="D254" s="385">
        <v>153</v>
      </c>
      <c r="E254" s="385">
        <v>202</v>
      </c>
      <c r="F254" s="385">
        <v>154</v>
      </c>
      <c r="G254" s="385">
        <v>90</v>
      </c>
      <c r="H254" s="385">
        <v>69</v>
      </c>
      <c r="I254" s="385">
        <v>45</v>
      </c>
      <c r="J254" s="385">
        <v>27</v>
      </c>
    </row>
    <row r="255" spans="1:10" x14ac:dyDescent="0.25">
      <c r="A255" s="388">
        <v>44142</v>
      </c>
      <c r="B255" s="385">
        <v>17</v>
      </c>
      <c r="C255" s="385">
        <v>34</v>
      </c>
      <c r="D255" s="385">
        <v>107</v>
      </c>
      <c r="E255" s="385">
        <v>156</v>
      </c>
      <c r="F255" s="385">
        <v>132</v>
      </c>
      <c r="G255" s="385">
        <v>76</v>
      </c>
      <c r="H255" s="385">
        <v>55</v>
      </c>
      <c r="I255" s="385">
        <v>27</v>
      </c>
      <c r="J255" s="385">
        <v>18</v>
      </c>
    </row>
    <row r="256" spans="1:10" x14ac:dyDescent="0.25">
      <c r="A256" s="388">
        <v>44143</v>
      </c>
      <c r="B256" s="385">
        <v>12</v>
      </c>
      <c r="C256" s="385">
        <v>34</v>
      </c>
      <c r="D256" s="385">
        <v>92</v>
      </c>
      <c r="E256" s="385">
        <v>108</v>
      </c>
      <c r="F256" s="385">
        <v>99</v>
      </c>
      <c r="G256" s="385">
        <v>62</v>
      </c>
      <c r="H256" s="385">
        <v>43</v>
      </c>
      <c r="I256" s="385">
        <v>17</v>
      </c>
      <c r="J256" s="385">
        <v>16</v>
      </c>
    </row>
    <row r="257" spans="1:10" x14ac:dyDescent="0.25">
      <c r="A257" s="388">
        <v>44144</v>
      </c>
      <c r="B257" s="385">
        <v>25</v>
      </c>
      <c r="C257" s="385">
        <v>47</v>
      </c>
      <c r="D257" s="385">
        <v>152</v>
      </c>
      <c r="E257" s="385">
        <v>206</v>
      </c>
      <c r="F257" s="385">
        <v>148</v>
      </c>
      <c r="G257" s="385">
        <v>148</v>
      </c>
      <c r="H257" s="385">
        <v>83</v>
      </c>
      <c r="I257" s="385">
        <v>43</v>
      </c>
      <c r="J257" s="385">
        <v>25</v>
      </c>
    </row>
    <row r="258" spans="1:10" x14ac:dyDescent="0.25">
      <c r="A258" s="388">
        <v>44145</v>
      </c>
      <c r="B258" s="385">
        <v>32</v>
      </c>
      <c r="C258" s="385">
        <v>51</v>
      </c>
      <c r="D258" s="385">
        <v>171</v>
      </c>
      <c r="E258" s="385">
        <v>226</v>
      </c>
      <c r="F258" s="385">
        <v>187</v>
      </c>
      <c r="G258" s="385">
        <v>91</v>
      </c>
      <c r="H258" s="385">
        <v>71</v>
      </c>
      <c r="I258" s="385">
        <v>48</v>
      </c>
      <c r="J258" s="385">
        <v>32</v>
      </c>
    </row>
    <row r="259" spans="1:10" x14ac:dyDescent="0.25">
      <c r="A259" s="388">
        <v>44146</v>
      </c>
      <c r="B259" s="385">
        <v>29</v>
      </c>
      <c r="C259" s="385">
        <v>40</v>
      </c>
      <c r="D259" s="385">
        <v>161</v>
      </c>
      <c r="E259" s="385">
        <v>189</v>
      </c>
      <c r="F259" s="385">
        <v>153</v>
      </c>
      <c r="G259" s="385">
        <v>106</v>
      </c>
      <c r="H259" s="385">
        <v>62</v>
      </c>
      <c r="I259" s="385">
        <v>38</v>
      </c>
      <c r="J259" s="385">
        <v>28</v>
      </c>
    </row>
    <row r="260" spans="1:10" x14ac:dyDescent="0.25">
      <c r="A260" s="388">
        <v>44147</v>
      </c>
      <c r="B260" s="385">
        <v>22</v>
      </c>
      <c r="C260" s="385">
        <v>64</v>
      </c>
      <c r="D260" s="385">
        <v>155</v>
      </c>
      <c r="E260" s="385">
        <v>176</v>
      </c>
      <c r="F260" s="385">
        <v>129</v>
      </c>
      <c r="G260" s="385">
        <v>97</v>
      </c>
      <c r="H260" s="385">
        <v>50</v>
      </c>
      <c r="I260" s="385">
        <v>25</v>
      </c>
      <c r="J260" s="385">
        <v>15</v>
      </c>
    </row>
    <row r="261" spans="1:10" x14ac:dyDescent="0.25">
      <c r="A261" s="388">
        <v>44148</v>
      </c>
      <c r="B261" s="385">
        <v>30</v>
      </c>
      <c r="C261" s="385">
        <v>57</v>
      </c>
      <c r="D261" s="385">
        <v>150</v>
      </c>
      <c r="E261" s="385">
        <v>147</v>
      </c>
      <c r="F261" s="385">
        <v>165</v>
      </c>
      <c r="G261" s="385">
        <v>100</v>
      </c>
      <c r="H261" s="385">
        <v>58</v>
      </c>
      <c r="I261" s="385">
        <v>40</v>
      </c>
      <c r="J261" s="385">
        <v>27</v>
      </c>
    </row>
    <row r="262" spans="1:10" x14ac:dyDescent="0.25">
      <c r="A262" s="388">
        <v>44149</v>
      </c>
      <c r="B262" s="385">
        <v>26</v>
      </c>
      <c r="C262" s="385">
        <v>45</v>
      </c>
      <c r="D262" s="385">
        <v>115</v>
      </c>
      <c r="E262" s="385">
        <v>158</v>
      </c>
      <c r="F262" s="385">
        <v>118</v>
      </c>
      <c r="G262" s="385">
        <v>89</v>
      </c>
      <c r="H262" s="385">
        <v>42</v>
      </c>
      <c r="I262" s="385">
        <v>24</v>
      </c>
      <c r="J262" s="385">
        <v>23</v>
      </c>
    </row>
    <row r="263" spans="1:10" x14ac:dyDescent="0.25">
      <c r="A263" s="388">
        <v>44150</v>
      </c>
      <c r="B263" s="385">
        <v>16</v>
      </c>
      <c r="C263" s="385">
        <v>32</v>
      </c>
      <c r="D263" s="385">
        <v>77</v>
      </c>
      <c r="E263" s="385">
        <v>80</v>
      </c>
      <c r="F263" s="385">
        <v>68</v>
      </c>
      <c r="G263" s="385">
        <v>52</v>
      </c>
      <c r="H263" s="385">
        <v>44</v>
      </c>
      <c r="I263" s="385">
        <v>19</v>
      </c>
      <c r="J263" s="385">
        <v>17</v>
      </c>
    </row>
    <row r="264" spans="1:10" x14ac:dyDescent="0.25">
      <c r="A264" s="388">
        <v>44151</v>
      </c>
      <c r="B264" s="385">
        <v>26</v>
      </c>
      <c r="C264" s="385">
        <v>49</v>
      </c>
      <c r="D264" s="385">
        <v>135</v>
      </c>
      <c r="E264" s="385">
        <v>162</v>
      </c>
      <c r="F264" s="385">
        <v>136</v>
      </c>
      <c r="G264" s="385">
        <v>90</v>
      </c>
      <c r="H264" s="385">
        <v>58</v>
      </c>
      <c r="I264" s="385">
        <v>28</v>
      </c>
      <c r="J264" s="385">
        <v>28</v>
      </c>
    </row>
    <row r="265" spans="1:10" x14ac:dyDescent="0.25">
      <c r="A265" s="388">
        <v>44152</v>
      </c>
      <c r="B265" s="385">
        <v>30</v>
      </c>
      <c r="C265" s="385">
        <v>60</v>
      </c>
      <c r="D265" s="385">
        <v>157</v>
      </c>
      <c r="E265" s="385">
        <v>174</v>
      </c>
      <c r="F265" s="385">
        <v>148</v>
      </c>
      <c r="G265" s="385">
        <v>102</v>
      </c>
      <c r="H265" s="385">
        <v>79</v>
      </c>
      <c r="I265" s="385">
        <v>28</v>
      </c>
      <c r="J265" s="385">
        <v>33</v>
      </c>
    </row>
    <row r="266" spans="1:10" x14ac:dyDescent="0.25">
      <c r="A266" s="388">
        <v>44153</v>
      </c>
      <c r="B266" s="385">
        <v>28</v>
      </c>
      <c r="C266" s="385">
        <v>62</v>
      </c>
      <c r="D266" s="385">
        <v>154</v>
      </c>
      <c r="E266" s="385">
        <v>200</v>
      </c>
      <c r="F266" s="385">
        <v>138</v>
      </c>
      <c r="G266" s="385">
        <v>94</v>
      </c>
      <c r="H266" s="385">
        <v>60</v>
      </c>
      <c r="I266" s="385">
        <v>31</v>
      </c>
      <c r="J266" s="385">
        <v>31</v>
      </c>
    </row>
    <row r="267" spans="1:10" x14ac:dyDescent="0.25">
      <c r="A267" s="388">
        <v>44154</v>
      </c>
      <c r="B267" s="385">
        <v>14</v>
      </c>
      <c r="C267" s="385">
        <v>40</v>
      </c>
      <c r="D267" s="385">
        <v>145</v>
      </c>
      <c r="E267" s="385">
        <v>163</v>
      </c>
      <c r="F267" s="385">
        <v>110</v>
      </c>
      <c r="G267" s="385">
        <v>100</v>
      </c>
      <c r="H267" s="385">
        <v>61</v>
      </c>
      <c r="I267" s="385">
        <v>31</v>
      </c>
      <c r="J267" s="385">
        <v>12</v>
      </c>
    </row>
    <row r="268" spans="1:10" x14ac:dyDescent="0.25">
      <c r="A268" s="388">
        <v>44155</v>
      </c>
      <c r="B268" s="385">
        <v>18</v>
      </c>
      <c r="C268" s="385">
        <v>55</v>
      </c>
      <c r="D268" s="385">
        <v>129</v>
      </c>
      <c r="E268" s="385">
        <v>119</v>
      </c>
      <c r="F268" s="385">
        <v>89</v>
      </c>
      <c r="G268" s="385">
        <v>67</v>
      </c>
      <c r="H268" s="385">
        <v>55</v>
      </c>
      <c r="I268" s="385">
        <v>17</v>
      </c>
      <c r="J268" s="385">
        <v>17</v>
      </c>
    </row>
    <row r="269" spans="1:10" x14ac:dyDescent="0.25">
      <c r="A269" s="388">
        <v>44156</v>
      </c>
      <c r="B269" s="385">
        <v>19</v>
      </c>
      <c r="C269" s="385">
        <v>42</v>
      </c>
      <c r="D269" s="385">
        <v>90</v>
      </c>
      <c r="E269" s="385">
        <v>123</v>
      </c>
      <c r="F269" s="385">
        <v>96</v>
      </c>
      <c r="G269" s="385">
        <v>70</v>
      </c>
      <c r="H269" s="385">
        <v>44</v>
      </c>
      <c r="I269" s="385">
        <v>28</v>
      </c>
      <c r="J269" s="385">
        <v>14</v>
      </c>
    </row>
    <row r="270" spans="1:10" x14ac:dyDescent="0.25">
      <c r="A270" s="388">
        <v>44157</v>
      </c>
      <c r="B270" s="385">
        <v>13</v>
      </c>
      <c r="C270" s="385">
        <v>22</v>
      </c>
      <c r="D270" s="385">
        <v>68</v>
      </c>
      <c r="E270" s="385">
        <v>78</v>
      </c>
      <c r="F270" s="385">
        <v>69</v>
      </c>
      <c r="G270" s="385">
        <v>42</v>
      </c>
      <c r="H270" s="385">
        <v>34</v>
      </c>
      <c r="I270" s="385">
        <v>22</v>
      </c>
      <c r="J270" s="385">
        <v>10</v>
      </c>
    </row>
    <row r="271" spans="1:10" x14ac:dyDescent="0.25">
      <c r="A271" s="388">
        <v>44158</v>
      </c>
      <c r="B271" s="385">
        <v>8</v>
      </c>
      <c r="C271" s="385">
        <v>25</v>
      </c>
      <c r="D271" s="385">
        <v>66</v>
      </c>
      <c r="E271" s="385">
        <v>97</v>
      </c>
      <c r="F271" s="385">
        <v>71</v>
      </c>
      <c r="G271" s="385">
        <v>54</v>
      </c>
      <c r="H271" s="385">
        <v>33</v>
      </c>
      <c r="I271" s="385">
        <v>16</v>
      </c>
      <c r="J271" s="385">
        <v>9</v>
      </c>
    </row>
    <row r="272" spans="1:10" x14ac:dyDescent="0.25">
      <c r="A272" s="388">
        <v>44159</v>
      </c>
      <c r="B272" s="385">
        <v>21</v>
      </c>
      <c r="C272" s="385">
        <v>34</v>
      </c>
      <c r="D272" s="385">
        <v>146</v>
      </c>
      <c r="E272" s="385">
        <v>157</v>
      </c>
      <c r="F272" s="385">
        <v>114</v>
      </c>
      <c r="G272" s="385">
        <v>76</v>
      </c>
      <c r="H272" s="385">
        <v>57</v>
      </c>
      <c r="I272" s="385">
        <v>25</v>
      </c>
      <c r="J272" s="385">
        <v>17</v>
      </c>
    </row>
    <row r="273" spans="1:10" x14ac:dyDescent="0.25">
      <c r="A273" s="388">
        <v>44160</v>
      </c>
      <c r="B273" s="385">
        <v>30</v>
      </c>
      <c r="C273" s="385">
        <v>43</v>
      </c>
      <c r="D273" s="385">
        <v>158</v>
      </c>
      <c r="E273" s="385">
        <v>173</v>
      </c>
      <c r="F273" s="385">
        <v>153</v>
      </c>
      <c r="G273" s="385">
        <v>96</v>
      </c>
      <c r="H273" s="385">
        <v>61</v>
      </c>
      <c r="I273" s="385">
        <v>29</v>
      </c>
      <c r="J273" s="385">
        <v>23</v>
      </c>
    </row>
    <row r="274" spans="1:10" x14ac:dyDescent="0.25">
      <c r="A274" s="388">
        <v>44161</v>
      </c>
      <c r="B274" s="385">
        <v>26</v>
      </c>
      <c r="C274" s="385">
        <v>56</v>
      </c>
      <c r="D274" s="385">
        <v>132</v>
      </c>
      <c r="E274" s="385">
        <v>155</v>
      </c>
      <c r="F274" s="385">
        <v>96</v>
      </c>
      <c r="G274" s="385">
        <v>81</v>
      </c>
      <c r="H274" s="385">
        <v>49</v>
      </c>
      <c r="I274" s="385">
        <v>18</v>
      </c>
      <c r="J274" s="385">
        <v>18</v>
      </c>
    </row>
    <row r="275" spans="1:10" x14ac:dyDescent="0.25">
      <c r="A275" s="388">
        <v>44162</v>
      </c>
      <c r="B275" s="385">
        <v>12</v>
      </c>
      <c r="C275" s="385">
        <v>41</v>
      </c>
      <c r="D275" s="385">
        <v>137</v>
      </c>
      <c r="E275" s="385">
        <v>113</v>
      </c>
      <c r="F275" s="385">
        <v>119</v>
      </c>
      <c r="G275" s="385">
        <v>81</v>
      </c>
      <c r="H275" s="385">
        <v>49</v>
      </c>
      <c r="I275" s="385">
        <v>21</v>
      </c>
      <c r="J275" s="385">
        <v>18</v>
      </c>
    </row>
    <row r="276" spans="1:10" x14ac:dyDescent="0.25">
      <c r="A276" s="388">
        <v>44163</v>
      </c>
      <c r="B276" s="385">
        <v>15</v>
      </c>
      <c r="C276" s="385">
        <v>55</v>
      </c>
      <c r="D276" s="385">
        <v>104</v>
      </c>
      <c r="E276" s="385">
        <v>108</v>
      </c>
      <c r="F276" s="385">
        <v>88</v>
      </c>
      <c r="G276" s="385">
        <v>63</v>
      </c>
      <c r="H276" s="385">
        <v>37</v>
      </c>
      <c r="I276" s="385">
        <v>15</v>
      </c>
      <c r="J276" s="385">
        <v>6</v>
      </c>
    </row>
    <row r="277" spans="1:10" x14ac:dyDescent="0.25">
      <c r="A277" s="388">
        <v>44164</v>
      </c>
      <c r="B277" s="385">
        <v>11</v>
      </c>
      <c r="C277" s="385">
        <v>33</v>
      </c>
      <c r="D277" s="385">
        <v>98</v>
      </c>
      <c r="E277" s="385">
        <v>99</v>
      </c>
      <c r="F277" s="385">
        <v>69</v>
      </c>
      <c r="G277" s="385">
        <v>65</v>
      </c>
      <c r="H277" s="385">
        <v>34</v>
      </c>
      <c r="I277" s="385">
        <v>19</v>
      </c>
      <c r="J277" s="385">
        <v>14</v>
      </c>
    </row>
    <row r="278" spans="1:10" x14ac:dyDescent="0.25">
      <c r="A278" s="388">
        <v>44165</v>
      </c>
      <c r="B278" s="385">
        <v>26</v>
      </c>
      <c r="C278" s="385">
        <v>41</v>
      </c>
      <c r="D278" s="385">
        <v>121</v>
      </c>
      <c r="E278" s="385">
        <v>151</v>
      </c>
      <c r="F278" s="385">
        <v>97</v>
      </c>
      <c r="G278" s="385">
        <v>85</v>
      </c>
      <c r="H278" s="385">
        <v>50</v>
      </c>
      <c r="I278" s="385">
        <v>26</v>
      </c>
      <c r="J278" s="385">
        <v>21</v>
      </c>
    </row>
    <row r="279" spans="1:10" x14ac:dyDescent="0.25">
      <c r="A279" s="388">
        <v>44166</v>
      </c>
      <c r="B279" s="385">
        <v>22</v>
      </c>
      <c r="C279" s="385">
        <v>39</v>
      </c>
      <c r="D279" s="385">
        <v>113</v>
      </c>
      <c r="E279" s="385">
        <v>145</v>
      </c>
      <c r="F279" s="385">
        <v>125</v>
      </c>
      <c r="G279" s="385">
        <v>76</v>
      </c>
      <c r="H279" s="385">
        <v>39</v>
      </c>
      <c r="I279" s="385">
        <v>21</v>
      </c>
      <c r="J279" s="385">
        <v>11</v>
      </c>
    </row>
    <row r="280" spans="1:10" x14ac:dyDescent="0.25">
      <c r="A280" s="388">
        <v>44167</v>
      </c>
      <c r="B280" s="385">
        <v>9</v>
      </c>
      <c r="C280" s="385">
        <v>32</v>
      </c>
      <c r="D280" s="385">
        <v>88</v>
      </c>
      <c r="E280" s="385">
        <v>96</v>
      </c>
      <c r="F280" s="385">
        <v>93</v>
      </c>
      <c r="G280" s="385">
        <v>50</v>
      </c>
      <c r="H280" s="385">
        <v>35</v>
      </c>
      <c r="I280" s="385">
        <v>25</v>
      </c>
      <c r="J280" s="385">
        <v>24</v>
      </c>
    </row>
    <row r="281" spans="1:10" x14ac:dyDescent="0.25">
      <c r="A281" s="388">
        <v>44168</v>
      </c>
      <c r="B281" s="385">
        <v>18</v>
      </c>
      <c r="C281" s="385">
        <v>34</v>
      </c>
      <c r="D281" s="385">
        <v>121</v>
      </c>
      <c r="E281" s="385">
        <v>133</v>
      </c>
      <c r="F281" s="385">
        <v>97</v>
      </c>
      <c r="G281" s="385">
        <v>67</v>
      </c>
      <c r="H281" s="385">
        <v>41</v>
      </c>
      <c r="I281" s="385">
        <v>24</v>
      </c>
      <c r="J281" s="385">
        <v>16</v>
      </c>
    </row>
    <row r="282" spans="1:10" x14ac:dyDescent="0.25">
      <c r="A282" s="388">
        <v>44169</v>
      </c>
      <c r="B282" s="385">
        <v>19</v>
      </c>
      <c r="C282" s="385">
        <v>43</v>
      </c>
      <c r="D282" s="385">
        <v>97</v>
      </c>
      <c r="E282" s="385">
        <v>126</v>
      </c>
      <c r="F282" s="385">
        <v>115</v>
      </c>
      <c r="G282" s="385">
        <v>76</v>
      </c>
      <c r="H282" s="385">
        <v>46</v>
      </c>
      <c r="I282" s="385">
        <v>23</v>
      </c>
      <c r="J282" s="385">
        <v>15</v>
      </c>
    </row>
    <row r="283" spans="1:10" x14ac:dyDescent="0.25">
      <c r="A283" s="388">
        <v>44170</v>
      </c>
      <c r="B283" s="385">
        <v>16</v>
      </c>
      <c r="C283" s="385">
        <v>27</v>
      </c>
      <c r="D283" s="385">
        <v>96</v>
      </c>
      <c r="E283" s="385">
        <v>91</v>
      </c>
      <c r="F283" s="385">
        <v>83</v>
      </c>
      <c r="G283" s="385">
        <v>67</v>
      </c>
      <c r="H283" s="385">
        <v>38</v>
      </c>
      <c r="I283" s="385">
        <v>26</v>
      </c>
      <c r="J283" s="385">
        <v>14</v>
      </c>
    </row>
    <row r="284" spans="1:10" x14ac:dyDescent="0.25">
      <c r="A284" s="388">
        <v>44171</v>
      </c>
      <c r="B284" s="385">
        <v>20</v>
      </c>
      <c r="C284" s="385">
        <v>34</v>
      </c>
      <c r="D284" s="385">
        <v>57</v>
      </c>
      <c r="E284" s="385">
        <v>81</v>
      </c>
      <c r="F284" s="385">
        <v>62</v>
      </c>
      <c r="G284" s="385">
        <v>58</v>
      </c>
      <c r="H284" s="385">
        <v>38</v>
      </c>
      <c r="I284" s="385">
        <v>16</v>
      </c>
      <c r="J284" s="385">
        <v>10</v>
      </c>
    </row>
    <row r="285" spans="1:10" x14ac:dyDescent="0.25">
      <c r="A285" s="388">
        <v>44172</v>
      </c>
      <c r="B285" s="385">
        <v>13</v>
      </c>
      <c r="C285" s="385">
        <v>29</v>
      </c>
      <c r="D285" s="385">
        <v>79</v>
      </c>
      <c r="E285" s="385">
        <v>92</v>
      </c>
      <c r="F285" s="385">
        <v>81</v>
      </c>
      <c r="G285" s="385">
        <v>53</v>
      </c>
      <c r="H285" s="385">
        <v>47</v>
      </c>
      <c r="I285" s="385">
        <v>19</v>
      </c>
      <c r="J285" s="385">
        <v>11</v>
      </c>
    </row>
    <row r="286" spans="1:10" x14ac:dyDescent="0.25">
      <c r="A286" s="388">
        <v>44173</v>
      </c>
      <c r="B286" s="385">
        <v>9</v>
      </c>
      <c r="C286" s="385">
        <v>33</v>
      </c>
      <c r="D286" s="385">
        <v>86</v>
      </c>
      <c r="E286" s="385">
        <v>106</v>
      </c>
      <c r="F286" s="385">
        <v>97</v>
      </c>
      <c r="G286" s="385">
        <v>71</v>
      </c>
      <c r="H286" s="385">
        <v>39</v>
      </c>
      <c r="I286" s="385">
        <v>29</v>
      </c>
      <c r="J286" s="385">
        <v>23</v>
      </c>
    </row>
    <row r="287" spans="1:10" x14ac:dyDescent="0.25">
      <c r="A287" s="388">
        <v>44174</v>
      </c>
      <c r="B287" s="385">
        <v>20</v>
      </c>
      <c r="C287" s="385">
        <v>48</v>
      </c>
      <c r="D287" s="385">
        <v>134</v>
      </c>
      <c r="E287" s="385">
        <v>140</v>
      </c>
      <c r="F287" s="385">
        <v>142</v>
      </c>
      <c r="G287" s="385">
        <v>99</v>
      </c>
      <c r="H287" s="385">
        <v>62</v>
      </c>
      <c r="I287" s="385">
        <v>24</v>
      </c>
      <c r="J287" s="385">
        <v>20</v>
      </c>
    </row>
    <row r="288" spans="1:10" x14ac:dyDescent="0.25">
      <c r="A288" s="388">
        <v>44175</v>
      </c>
      <c r="B288" s="385">
        <v>24</v>
      </c>
      <c r="C288" s="385">
        <v>57</v>
      </c>
      <c r="D288" s="385">
        <v>156</v>
      </c>
      <c r="E288" s="385">
        <v>166</v>
      </c>
      <c r="F288" s="385">
        <v>130</v>
      </c>
      <c r="G288" s="385">
        <v>85</v>
      </c>
      <c r="H288" s="385">
        <v>55</v>
      </c>
      <c r="I288" s="385">
        <v>29</v>
      </c>
      <c r="J288" s="385">
        <v>17</v>
      </c>
    </row>
    <row r="289" spans="1:10" x14ac:dyDescent="0.25">
      <c r="A289" s="388">
        <v>44176</v>
      </c>
      <c r="B289" s="385">
        <v>22</v>
      </c>
      <c r="C289" s="385">
        <v>39</v>
      </c>
      <c r="D289" s="385">
        <v>152</v>
      </c>
      <c r="E289" s="385">
        <v>152</v>
      </c>
      <c r="F289" s="385">
        <v>130</v>
      </c>
      <c r="G289" s="385">
        <v>88</v>
      </c>
      <c r="H289" s="385">
        <v>54</v>
      </c>
      <c r="I289" s="385">
        <v>25</v>
      </c>
      <c r="J289" s="385">
        <v>19</v>
      </c>
    </row>
    <row r="290" spans="1:10" x14ac:dyDescent="0.25">
      <c r="A290" s="388">
        <v>44177</v>
      </c>
      <c r="B290" s="385">
        <v>16</v>
      </c>
      <c r="C290" s="385">
        <v>31</v>
      </c>
      <c r="D290" s="385">
        <v>142</v>
      </c>
      <c r="E290" s="385">
        <v>133</v>
      </c>
      <c r="F290" s="385">
        <v>93</v>
      </c>
      <c r="G290" s="385">
        <v>68</v>
      </c>
      <c r="H290" s="385">
        <v>38</v>
      </c>
      <c r="I290" s="385">
        <v>34</v>
      </c>
      <c r="J290" s="385">
        <v>8</v>
      </c>
    </row>
    <row r="291" spans="1:10" x14ac:dyDescent="0.25">
      <c r="A291" s="388">
        <v>44178</v>
      </c>
      <c r="B291" s="385">
        <v>16</v>
      </c>
      <c r="C291" s="385">
        <v>32</v>
      </c>
      <c r="D291" s="385">
        <v>115</v>
      </c>
      <c r="E291" s="385">
        <v>119</v>
      </c>
      <c r="F291" s="385">
        <v>80</v>
      </c>
      <c r="G291" s="385">
        <v>60</v>
      </c>
      <c r="H291" s="385">
        <v>50</v>
      </c>
      <c r="I291" s="385">
        <v>28</v>
      </c>
      <c r="J291" s="385">
        <v>12</v>
      </c>
    </row>
    <row r="292" spans="1:10" x14ac:dyDescent="0.25">
      <c r="A292" s="388">
        <v>44179</v>
      </c>
      <c r="B292" s="385">
        <v>16</v>
      </c>
      <c r="C292" s="385">
        <v>60</v>
      </c>
      <c r="D292" s="385">
        <v>204</v>
      </c>
      <c r="E292" s="385">
        <v>216</v>
      </c>
      <c r="F292" s="385">
        <v>147</v>
      </c>
      <c r="G292" s="385">
        <v>120</v>
      </c>
      <c r="H292" s="385">
        <v>57</v>
      </c>
      <c r="I292" s="385">
        <v>30</v>
      </c>
      <c r="J292" s="385">
        <v>25</v>
      </c>
    </row>
    <row r="293" spans="1:10" x14ac:dyDescent="0.25">
      <c r="A293" s="388">
        <v>44180</v>
      </c>
      <c r="B293" s="385">
        <v>13</v>
      </c>
      <c r="C293" s="385">
        <v>56</v>
      </c>
      <c r="D293" s="385">
        <v>206</v>
      </c>
      <c r="E293" s="385">
        <v>205</v>
      </c>
      <c r="F293" s="385">
        <v>155</v>
      </c>
      <c r="G293" s="385">
        <v>101</v>
      </c>
      <c r="H293" s="385">
        <v>61</v>
      </c>
      <c r="I293" s="385">
        <v>32</v>
      </c>
      <c r="J293" s="385">
        <v>23</v>
      </c>
    </row>
    <row r="294" spans="1:10" x14ac:dyDescent="0.25">
      <c r="A294" s="388">
        <v>44181</v>
      </c>
      <c r="B294" s="385">
        <v>29</v>
      </c>
      <c r="C294" s="385">
        <v>69</v>
      </c>
      <c r="D294" s="385">
        <v>222</v>
      </c>
      <c r="E294" s="385">
        <v>170</v>
      </c>
      <c r="F294" s="385">
        <v>124</v>
      </c>
      <c r="G294" s="385">
        <v>89</v>
      </c>
      <c r="H294" s="385">
        <v>53</v>
      </c>
      <c r="I294" s="385">
        <v>37</v>
      </c>
      <c r="J294" s="385">
        <v>26</v>
      </c>
    </row>
    <row r="295" spans="1:10" x14ac:dyDescent="0.25">
      <c r="A295" s="388">
        <v>44182</v>
      </c>
      <c r="B295" s="385">
        <v>20</v>
      </c>
      <c r="C295" s="385">
        <v>77</v>
      </c>
      <c r="D295" s="385">
        <v>266</v>
      </c>
      <c r="E295" s="385">
        <v>247</v>
      </c>
      <c r="F295" s="385">
        <v>166</v>
      </c>
      <c r="G295" s="385">
        <v>114</v>
      </c>
      <c r="H295" s="385">
        <v>67</v>
      </c>
      <c r="I295" s="385">
        <v>41</v>
      </c>
      <c r="J295" s="385">
        <v>17</v>
      </c>
    </row>
    <row r="296" spans="1:10" x14ac:dyDescent="0.25">
      <c r="A296" s="388">
        <v>44183</v>
      </c>
      <c r="B296" s="385">
        <v>23</v>
      </c>
      <c r="C296" s="385">
        <v>75</v>
      </c>
      <c r="D296" s="385">
        <v>275</v>
      </c>
      <c r="E296" s="385">
        <v>247</v>
      </c>
      <c r="F296" s="385">
        <v>199</v>
      </c>
      <c r="G296" s="385">
        <v>122</v>
      </c>
      <c r="H296" s="385">
        <v>86</v>
      </c>
      <c r="I296" s="385">
        <v>42</v>
      </c>
      <c r="J296" s="385">
        <v>37</v>
      </c>
    </row>
    <row r="297" spans="1:10" x14ac:dyDescent="0.25">
      <c r="A297" s="388">
        <v>44184</v>
      </c>
      <c r="B297" s="385">
        <v>25</v>
      </c>
      <c r="C297" s="385">
        <v>80</v>
      </c>
      <c r="D297" s="385">
        <v>189</v>
      </c>
      <c r="E297" s="385">
        <v>167</v>
      </c>
      <c r="F297" s="385">
        <v>133</v>
      </c>
      <c r="G297" s="385">
        <v>107</v>
      </c>
      <c r="H297" s="385">
        <v>68</v>
      </c>
      <c r="I297" s="385">
        <v>33</v>
      </c>
      <c r="J297" s="385">
        <v>19</v>
      </c>
    </row>
    <row r="298" spans="1:10" x14ac:dyDescent="0.25">
      <c r="A298" s="388">
        <v>44185</v>
      </c>
      <c r="B298" s="385">
        <v>17</v>
      </c>
      <c r="C298" s="385">
        <v>60</v>
      </c>
      <c r="D298" s="385">
        <v>169</v>
      </c>
      <c r="E298" s="385">
        <v>145</v>
      </c>
      <c r="F298" s="385">
        <v>148</v>
      </c>
      <c r="G298" s="385">
        <v>96</v>
      </c>
      <c r="H298" s="385">
        <v>63</v>
      </c>
      <c r="I298" s="385">
        <v>28</v>
      </c>
      <c r="J298" s="385">
        <v>20</v>
      </c>
    </row>
    <row r="299" spans="1:10" x14ac:dyDescent="0.25">
      <c r="A299" s="388">
        <v>44186</v>
      </c>
      <c r="B299" s="385">
        <v>29</v>
      </c>
      <c r="C299" s="385">
        <v>85</v>
      </c>
      <c r="D299" s="385">
        <v>291</v>
      </c>
      <c r="E299" s="385">
        <v>307</v>
      </c>
      <c r="F299" s="385">
        <v>237</v>
      </c>
      <c r="G299" s="385">
        <v>170</v>
      </c>
      <c r="H299" s="385">
        <v>109</v>
      </c>
      <c r="I299" s="385">
        <v>55</v>
      </c>
      <c r="J299" s="385">
        <v>24</v>
      </c>
    </row>
    <row r="300" spans="1:10" x14ac:dyDescent="0.25">
      <c r="A300" s="388">
        <v>44187</v>
      </c>
      <c r="B300" s="385">
        <v>22</v>
      </c>
      <c r="C300" s="385">
        <v>78</v>
      </c>
      <c r="D300" s="385">
        <v>288</v>
      </c>
      <c r="E300" s="385">
        <v>309</v>
      </c>
      <c r="F300" s="385">
        <v>214</v>
      </c>
      <c r="G300" s="385">
        <v>188</v>
      </c>
      <c r="H300" s="385">
        <v>83</v>
      </c>
      <c r="I300" s="385">
        <v>50</v>
      </c>
      <c r="J300" s="385">
        <v>32</v>
      </c>
    </row>
    <row r="301" spans="1:10" x14ac:dyDescent="0.25">
      <c r="A301" s="388">
        <v>44188</v>
      </c>
      <c r="B301" s="385">
        <v>31</v>
      </c>
      <c r="C301" s="385">
        <v>86</v>
      </c>
      <c r="D301" s="385">
        <v>380</v>
      </c>
      <c r="E301" s="385">
        <v>344</v>
      </c>
      <c r="F301" s="385">
        <v>264</v>
      </c>
      <c r="G301" s="385">
        <v>196</v>
      </c>
      <c r="H301" s="385">
        <v>106</v>
      </c>
      <c r="I301" s="385">
        <v>62</v>
      </c>
      <c r="J301" s="385">
        <v>34</v>
      </c>
    </row>
    <row r="302" spans="1:10" x14ac:dyDescent="0.25">
      <c r="A302" s="388">
        <v>44189</v>
      </c>
      <c r="B302" s="385">
        <v>10</v>
      </c>
      <c r="C302" s="385">
        <v>41</v>
      </c>
      <c r="D302" s="385">
        <v>202</v>
      </c>
      <c r="E302" s="385">
        <v>179</v>
      </c>
      <c r="F302" s="385">
        <v>142</v>
      </c>
      <c r="G302" s="385">
        <v>104</v>
      </c>
      <c r="H302" s="385">
        <v>52</v>
      </c>
      <c r="I302" s="385">
        <v>34</v>
      </c>
      <c r="J302" s="385">
        <v>18</v>
      </c>
    </row>
    <row r="303" spans="1:10" x14ac:dyDescent="0.25">
      <c r="A303" s="388">
        <v>44190</v>
      </c>
      <c r="B303" s="385">
        <v>18</v>
      </c>
      <c r="C303" s="385">
        <v>36</v>
      </c>
      <c r="D303" s="385">
        <v>104</v>
      </c>
      <c r="E303" s="385">
        <v>95</v>
      </c>
      <c r="F303" s="385">
        <v>92</v>
      </c>
      <c r="G303" s="385">
        <v>65</v>
      </c>
      <c r="H303" s="385">
        <v>50</v>
      </c>
      <c r="I303" s="385">
        <v>21</v>
      </c>
      <c r="J303" s="385">
        <v>8</v>
      </c>
    </row>
    <row r="304" spans="1:10" x14ac:dyDescent="0.25">
      <c r="A304" s="388">
        <v>44191</v>
      </c>
      <c r="B304" s="385">
        <v>24</v>
      </c>
      <c r="C304" s="385">
        <v>87</v>
      </c>
      <c r="D304" s="385">
        <v>357</v>
      </c>
      <c r="E304" s="385">
        <v>322</v>
      </c>
      <c r="F304" s="385">
        <v>275</v>
      </c>
      <c r="G304" s="385">
        <v>220</v>
      </c>
      <c r="H304" s="385">
        <v>139</v>
      </c>
      <c r="I304" s="385">
        <v>58</v>
      </c>
      <c r="J304" s="385">
        <v>21</v>
      </c>
    </row>
    <row r="305" spans="1:10" x14ac:dyDescent="0.25">
      <c r="A305" s="388">
        <v>44192</v>
      </c>
      <c r="B305" s="385">
        <v>20</v>
      </c>
      <c r="C305" s="385">
        <v>85</v>
      </c>
      <c r="D305" s="385">
        <v>268</v>
      </c>
      <c r="E305" s="385">
        <v>265</v>
      </c>
      <c r="F305" s="385">
        <v>204</v>
      </c>
      <c r="G305" s="385">
        <v>152</v>
      </c>
      <c r="H305" s="385">
        <v>91</v>
      </c>
      <c r="I305" s="385">
        <v>57</v>
      </c>
      <c r="J305" s="385">
        <v>16</v>
      </c>
    </row>
    <row r="306" spans="1:10" x14ac:dyDescent="0.25">
      <c r="A306" s="388">
        <v>44193</v>
      </c>
      <c r="B306" s="385">
        <v>44</v>
      </c>
      <c r="C306" s="385">
        <v>147</v>
      </c>
      <c r="D306" s="385">
        <v>429</v>
      </c>
      <c r="E306" s="385">
        <v>408</v>
      </c>
      <c r="F306" s="385">
        <v>371</v>
      </c>
      <c r="G306" s="385">
        <v>294</v>
      </c>
      <c r="H306" s="385">
        <v>172</v>
      </c>
      <c r="I306" s="385">
        <v>98</v>
      </c>
      <c r="J306" s="385">
        <v>52</v>
      </c>
    </row>
    <row r="307" spans="1:10" x14ac:dyDescent="0.25">
      <c r="A307" s="388">
        <v>44194</v>
      </c>
      <c r="B307" s="385">
        <v>33</v>
      </c>
      <c r="C307" s="385">
        <v>141</v>
      </c>
      <c r="D307" s="385">
        <v>572</v>
      </c>
      <c r="E307" s="385">
        <v>496</v>
      </c>
      <c r="F307" s="385">
        <v>358</v>
      </c>
      <c r="G307" s="385">
        <v>284</v>
      </c>
      <c r="H307" s="385">
        <v>159</v>
      </c>
      <c r="I307" s="385">
        <v>103</v>
      </c>
      <c r="J307" s="385">
        <v>44</v>
      </c>
    </row>
    <row r="308" spans="1:10" x14ac:dyDescent="0.25">
      <c r="A308" s="388">
        <v>44195</v>
      </c>
      <c r="B308" s="385">
        <v>56</v>
      </c>
      <c r="C308" s="385">
        <v>173</v>
      </c>
      <c r="D308" s="385">
        <v>579</v>
      </c>
      <c r="E308" s="385">
        <v>462</v>
      </c>
      <c r="F308" s="385">
        <v>395</v>
      </c>
      <c r="G308" s="385">
        <v>266</v>
      </c>
      <c r="H308" s="385">
        <v>169</v>
      </c>
      <c r="I308" s="385">
        <v>102</v>
      </c>
      <c r="J308" s="385">
        <v>49</v>
      </c>
    </row>
    <row r="309" spans="1:10" x14ac:dyDescent="0.25">
      <c r="A309" s="388">
        <v>44196</v>
      </c>
      <c r="B309" s="385">
        <v>25</v>
      </c>
      <c r="C309" s="385">
        <v>110</v>
      </c>
      <c r="D309" s="385">
        <v>370</v>
      </c>
      <c r="E309" s="385">
        <v>287</v>
      </c>
      <c r="F309" s="385">
        <v>223</v>
      </c>
      <c r="G309" s="385">
        <v>147</v>
      </c>
      <c r="H309" s="385">
        <v>96</v>
      </c>
      <c r="I309" s="385">
        <v>50</v>
      </c>
      <c r="J309" s="385">
        <v>21</v>
      </c>
    </row>
    <row r="310" spans="1:10" x14ac:dyDescent="0.25">
      <c r="A310" s="388">
        <v>44197</v>
      </c>
      <c r="B310" s="385">
        <v>22</v>
      </c>
      <c r="C310" s="385">
        <v>47</v>
      </c>
      <c r="D310" s="385">
        <v>122</v>
      </c>
      <c r="E310" s="385">
        <v>136</v>
      </c>
      <c r="F310" s="385">
        <v>115</v>
      </c>
      <c r="G310" s="385">
        <v>77</v>
      </c>
      <c r="H310" s="385">
        <v>61</v>
      </c>
      <c r="I310" s="385">
        <v>30</v>
      </c>
      <c r="J310" s="385">
        <v>10</v>
      </c>
    </row>
    <row r="311" spans="1:10" x14ac:dyDescent="0.25">
      <c r="A311" s="388">
        <v>44198</v>
      </c>
      <c r="B311" s="385">
        <v>29</v>
      </c>
      <c r="C311" s="385">
        <v>108</v>
      </c>
      <c r="D311" s="385">
        <v>333</v>
      </c>
      <c r="E311" s="385">
        <v>347</v>
      </c>
      <c r="F311" s="385">
        <v>286</v>
      </c>
      <c r="G311" s="385">
        <v>217</v>
      </c>
      <c r="H311" s="385">
        <v>147</v>
      </c>
      <c r="I311" s="385">
        <v>72</v>
      </c>
      <c r="J311" s="385">
        <v>26</v>
      </c>
    </row>
    <row r="312" spans="1:10" x14ac:dyDescent="0.25">
      <c r="A312" s="388">
        <v>44199</v>
      </c>
      <c r="B312" s="385">
        <v>38</v>
      </c>
      <c r="C312" s="385">
        <v>86</v>
      </c>
      <c r="D312" s="385">
        <v>374</v>
      </c>
      <c r="E312" s="385">
        <v>351</v>
      </c>
      <c r="F312" s="385">
        <v>252</v>
      </c>
      <c r="G312" s="385">
        <v>205</v>
      </c>
      <c r="H312" s="385">
        <v>111</v>
      </c>
      <c r="I312" s="385">
        <v>61</v>
      </c>
      <c r="J312" s="385">
        <v>29</v>
      </c>
    </row>
    <row r="313" spans="1:10" x14ac:dyDescent="0.25">
      <c r="A313" s="388">
        <v>44200</v>
      </c>
      <c r="B313" s="385">
        <v>48</v>
      </c>
      <c r="C313" s="385">
        <v>157</v>
      </c>
      <c r="D313" s="385">
        <v>626</v>
      </c>
      <c r="E313" s="385">
        <v>550</v>
      </c>
      <c r="F313" s="385">
        <v>396</v>
      </c>
      <c r="G313" s="385">
        <v>311</v>
      </c>
      <c r="H313" s="385">
        <v>181</v>
      </c>
      <c r="I313" s="385">
        <v>102</v>
      </c>
      <c r="J313" s="385">
        <v>70</v>
      </c>
    </row>
    <row r="314" spans="1:10" x14ac:dyDescent="0.25">
      <c r="A314" s="388">
        <v>44201</v>
      </c>
      <c r="B314" s="385">
        <v>46</v>
      </c>
      <c r="C314" s="385">
        <v>161</v>
      </c>
      <c r="D314" s="385">
        <v>708</v>
      </c>
      <c r="E314" s="385">
        <v>569</v>
      </c>
      <c r="F314" s="385">
        <v>400</v>
      </c>
      <c r="G314" s="385">
        <v>307</v>
      </c>
      <c r="H314" s="385">
        <v>171</v>
      </c>
      <c r="I314" s="385">
        <v>92</v>
      </c>
      <c r="J314" s="385">
        <v>48</v>
      </c>
    </row>
    <row r="315" spans="1:10" x14ac:dyDescent="0.25">
      <c r="A315" s="388">
        <v>44202</v>
      </c>
      <c r="B315" s="385">
        <v>37</v>
      </c>
      <c r="C315" s="385">
        <v>154</v>
      </c>
      <c r="D315" s="385">
        <v>710</v>
      </c>
      <c r="E315" s="385">
        <v>571</v>
      </c>
      <c r="F315" s="385">
        <v>379</v>
      </c>
      <c r="G315" s="385">
        <v>295</v>
      </c>
      <c r="H315" s="385">
        <v>164</v>
      </c>
      <c r="I315" s="385">
        <v>103</v>
      </c>
      <c r="J315" s="385">
        <v>40</v>
      </c>
    </row>
    <row r="316" spans="1:10" x14ac:dyDescent="0.25">
      <c r="A316" s="388">
        <v>44203</v>
      </c>
      <c r="B316" s="385">
        <v>43</v>
      </c>
      <c r="C316" s="385">
        <v>157</v>
      </c>
      <c r="D316" s="385">
        <v>616</v>
      </c>
      <c r="E316" s="385">
        <v>530</v>
      </c>
      <c r="F316" s="385">
        <v>369</v>
      </c>
      <c r="G316" s="385">
        <v>312</v>
      </c>
      <c r="H316" s="385">
        <v>158</v>
      </c>
      <c r="I316" s="385">
        <v>83</v>
      </c>
      <c r="J316" s="385">
        <v>46</v>
      </c>
    </row>
    <row r="317" spans="1:10" x14ac:dyDescent="0.25">
      <c r="A317" s="388">
        <v>44204</v>
      </c>
      <c r="B317" s="385">
        <v>51</v>
      </c>
      <c r="C317" s="385">
        <v>138</v>
      </c>
      <c r="D317" s="385">
        <v>590</v>
      </c>
      <c r="E317" s="385">
        <v>482</v>
      </c>
      <c r="F317" s="385">
        <v>388</v>
      </c>
      <c r="G317" s="385">
        <v>298</v>
      </c>
      <c r="H317" s="385">
        <v>185</v>
      </c>
      <c r="I317" s="385">
        <v>90</v>
      </c>
      <c r="J317" s="385">
        <v>48</v>
      </c>
    </row>
    <row r="318" spans="1:10" x14ac:dyDescent="0.25">
      <c r="A318" s="388">
        <v>44205</v>
      </c>
      <c r="B318" s="385">
        <v>29</v>
      </c>
      <c r="C318" s="385">
        <v>101</v>
      </c>
      <c r="D318" s="385">
        <v>509</v>
      </c>
      <c r="E318" s="385">
        <v>405</v>
      </c>
      <c r="F318" s="385">
        <v>354</v>
      </c>
      <c r="G318" s="385">
        <v>227</v>
      </c>
      <c r="H318" s="385">
        <v>146</v>
      </c>
      <c r="I318" s="385">
        <v>65</v>
      </c>
      <c r="J318" s="385">
        <v>29</v>
      </c>
    </row>
    <row r="319" spans="1:10" x14ac:dyDescent="0.25">
      <c r="A319" s="388">
        <v>44206</v>
      </c>
      <c r="B319" s="385">
        <v>26</v>
      </c>
      <c r="C319" s="385">
        <v>88</v>
      </c>
      <c r="D319" s="385">
        <v>355</v>
      </c>
      <c r="E319" s="385">
        <v>243</v>
      </c>
      <c r="F319" s="385">
        <v>217</v>
      </c>
      <c r="G319" s="385">
        <v>169</v>
      </c>
      <c r="H319" s="385">
        <v>98</v>
      </c>
      <c r="I319" s="385">
        <v>47</v>
      </c>
      <c r="J319" s="385">
        <v>28</v>
      </c>
    </row>
    <row r="320" spans="1:10" x14ac:dyDescent="0.25">
      <c r="A320" s="388">
        <v>44207</v>
      </c>
      <c r="B320" s="385">
        <v>27</v>
      </c>
      <c r="C320" s="385">
        <v>137</v>
      </c>
      <c r="D320" s="385">
        <v>596</v>
      </c>
      <c r="E320" s="385">
        <v>456</v>
      </c>
      <c r="F320" s="385">
        <v>304</v>
      </c>
      <c r="G320" s="385">
        <v>249</v>
      </c>
      <c r="H320" s="385">
        <v>160</v>
      </c>
      <c r="I320" s="385">
        <v>95</v>
      </c>
      <c r="J320" s="385">
        <v>43</v>
      </c>
    </row>
    <row r="321" spans="1:10" x14ac:dyDescent="0.25">
      <c r="A321" s="388">
        <v>44208</v>
      </c>
      <c r="B321" s="385">
        <v>28</v>
      </c>
      <c r="C321" s="385">
        <v>138</v>
      </c>
      <c r="D321" s="385">
        <v>584</v>
      </c>
      <c r="E321" s="385">
        <v>481</v>
      </c>
      <c r="F321" s="385">
        <v>350</v>
      </c>
      <c r="G321" s="385">
        <v>247</v>
      </c>
      <c r="H321" s="385">
        <v>159</v>
      </c>
      <c r="I321" s="385">
        <v>93</v>
      </c>
      <c r="J321" s="385">
        <v>48</v>
      </c>
    </row>
    <row r="322" spans="1:10" x14ac:dyDescent="0.25">
      <c r="A322" s="388">
        <v>44209</v>
      </c>
      <c r="B322" s="385">
        <v>47</v>
      </c>
      <c r="C322" s="385">
        <v>154</v>
      </c>
      <c r="D322" s="385">
        <v>605</v>
      </c>
      <c r="E322" s="385">
        <v>482</v>
      </c>
      <c r="F322" s="385">
        <v>348</v>
      </c>
      <c r="G322" s="385">
        <v>266</v>
      </c>
      <c r="H322" s="385">
        <v>165</v>
      </c>
      <c r="I322" s="385">
        <v>83</v>
      </c>
      <c r="J322" s="385">
        <v>38</v>
      </c>
    </row>
    <row r="323" spans="1:10" x14ac:dyDescent="0.25">
      <c r="A323" s="388">
        <v>44210</v>
      </c>
      <c r="B323" s="385">
        <v>37</v>
      </c>
      <c r="C323" s="385">
        <v>151</v>
      </c>
      <c r="D323" s="385">
        <v>559</v>
      </c>
      <c r="E323" s="385">
        <v>455</v>
      </c>
      <c r="F323" s="385">
        <v>309</v>
      </c>
      <c r="G323" s="385">
        <v>242</v>
      </c>
      <c r="H323" s="385">
        <v>141</v>
      </c>
      <c r="I323" s="385">
        <v>75</v>
      </c>
      <c r="J323" s="385">
        <v>44</v>
      </c>
    </row>
    <row r="324" spans="1:10" x14ac:dyDescent="0.25">
      <c r="A324" s="388">
        <v>44211</v>
      </c>
      <c r="B324" s="385">
        <v>34</v>
      </c>
      <c r="C324" s="385">
        <v>162</v>
      </c>
      <c r="D324" s="385">
        <v>562</v>
      </c>
      <c r="E324" s="385">
        <v>464</v>
      </c>
      <c r="F324" s="385">
        <v>318</v>
      </c>
      <c r="G324" s="385">
        <v>267</v>
      </c>
      <c r="H324" s="385">
        <v>149</v>
      </c>
      <c r="I324" s="385">
        <v>80</v>
      </c>
      <c r="J324" s="385">
        <v>46</v>
      </c>
    </row>
    <row r="325" spans="1:10" x14ac:dyDescent="0.25">
      <c r="A325" s="388">
        <v>44212</v>
      </c>
      <c r="B325" s="385">
        <v>20</v>
      </c>
      <c r="C325" s="385">
        <v>139</v>
      </c>
      <c r="D325" s="385">
        <v>420</v>
      </c>
      <c r="E325" s="385">
        <v>349</v>
      </c>
      <c r="F325" s="385">
        <v>263</v>
      </c>
      <c r="G325" s="385">
        <v>169</v>
      </c>
      <c r="H325" s="385">
        <v>130</v>
      </c>
      <c r="I325" s="385">
        <v>50</v>
      </c>
      <c r="J325" s="385">
        <v>38</v>
      </c>
    </row>
    <row r="326" spans="1:10" x14ac:dyDescent="0.25">
      <c r="A326" s="388">
        <v>44213</v>
      </c>
      <c r="B326" s="385">
        <v>25</v>
      </c>
      <c r="C326" s="385">
        <v>109</v>
      </c>
      <c r="D326" s="385">
        <v>407</v>
      </c>
      <c r="E326" s="385">
        <v>282</v>
      </c>
      <c r="F326" s="385">
        <v>205</v>
      </c>
      <c r="G326" s="385">
        <v>149</v>
      </c>
      <c r="H326" s="385">
        <v>102</v>
      </c>
      <c r="I326" s="385">
        <v>36</v>
      </c>
      <c r="J326" s="385">
        <v>23</v>
      </c>
    </row>
    <row r="327" spans="1:10" x14ac:dyDescent="0.25">
      <c r="A327" s="388">
        <v>44214</v>
      </c>
      <c r="B327" s="385">
        <v>41</v>
      </c>
      <c r="C327" s="385">
        <v>152</v>
      </c>
      <c r="D327" s="385">
        <v>667</v>
      </c>
      <c r="E327" s="385">
        <v>476</v>
      </c>
      <c r="F327" s="385">
        <v>349</v>
      </c>
      <c r="G327" s="385">
        <v>277</v>
      </c>
      <c r="H327" s="385">
        <v>142</v>
      </c>
      <c r="I327" s="385">
        <v>95</v>
      </c>
      <c r="J327" s="385">
        <v>45</v>
      </c>
    </row>
    <row r="328" spans="1:10" x14ac:dyDescent="0.25">
      <c r="A328" s="388">
        <v>44215</v>
      </c>
      <c r="B328" s="385">
        <v>32</v>
      </c>
      <c r="C328" s="385">
        <v>182</v>
      </c>
      <c r="D328" s="385">
        <v>594</v>
      </c>
      <c r="E328" s="385">
        <v>408</v>
      </c>
      <c r="F328" s="385">
        <v>341</v>
      </c>
      <c r="G328" s="385">
        <v>234</v>
      </c>
      <c r="H328" s="385">
        <v>153</v>
      </c>
      <c r="I328" s="385">
        <v>71</v>
      </c>
      <c r="J328" s="385">
        <v>52</v>
      </c>
    </row>
    <row r="329" spans="1:10" x14ac:dyDescent="0.25">
      <c r="A329" s="388">
        <v>44216</v>
      </c>
      <c r="B329" s="385">
        <v>16</v>
      </c>
      <c r="C329" s="385">
        <v>165</v>
      </c>
      <c r="D329" s="385">
        <v>555</v>
      </c>
      <c r="E329" s="385">
        <v>428</v>
      </c>
      <c r="F329" s="385">
        <v>353</v>
      </c>
      <c r="G329" s="385">
        <v>250</v>
      </c>
      <c r="H329" s="385">
        <v>133</v>
      </c>
      <c r="I329" s="385">
        <v>74</v>
      </c>
      <c r="J329" s="385">
        <v>55</v>
      </c>
    </row>
    <row r="330" spans="1:10" x14ac:dyDescent="0.25">
      <c r="A330" s="388">
        <v>44217</v>
      </c>
      <c r="B330" s="385">
        <v>29</v>
      </c>
      <c r="C330" s="385">
        <v>150</v>
      </c>
      <c r="D330" s="385">
        <v>487</v>
      </c>
      <c r="E330" s="385">
        <v>405</v>
      </c>
      <c r="F330" s="385">
        <v>322</v>
      </c>
      <c r="G330" s="385">
        <v>247</v>
      </c>
      <c r="H330" s="385">
        <v>158</v>
      </c>
      <c r="I330" s="385">
        <v>78</v>
      </c>
      <c r="J330" s="385">
        <v>60</v>
      </c>
    </row>
    <row r="331" spans="1:10" x14ac:dyDescent="0.25">
      <c r="A331" s="388">
        <v>44218</v>
      </c>
      <c r="B331" s="385">
        <v>33</v>
      </c>
      <c r="C331" s="385">
        <v>146</v>
      </c>
      <c r="D331" s="385">
        <v>494</v>
      </c>
      <c r="E331" s="385">
        <v>378</v>
      </c>
      <c r="F331" s="385">
        <v>254</v>
      </c>
      <c r="G331" s="385">
        <v>223</v>
      </c>
      <c r="H331" s="385">
        <v>114</v>
      </c>
      <c r="I331" s="385">
        <v>69</v>
      </c>
      <c r="J331" s="385">
        <v>43</v>
      </c>
    </row>
    <row r="332" spans="1:10" x14ac:dyDescent="0.25">
      <c r="A332" s="388">
        <v>44219</v>
      </c>
      <c r="B332" s="385">
        <v>21</v>
      </c>
      <c r="C332" s="385">
        <v>144</v>
      </c>
      <c r="D332" s="385">
        <v>397</v>
      </c>
      <c r="E332" s="385">
        <v>277</v>
      </c>
      <c r="F332" s="385">
        <v>207</v>
      </c>
      <c r="G332" s="385">
        <v>200</v>
      </c>
      <c r="H332" s="385">
        <v>94</v>
      </c>
      <c r="I332" s="385">
        <v>66</v>
      </c>
      <c r="J332" s="385">
        <v>25</v>
      </c>
    </row>
    <row r="333" spans="1:10" x14ac:dyDescent="0.25">
      <c r="A333" s="388">
        <v>44220</v>
      </c>
      <c r="B333" s="385">
        <v>26</v>
      </c>
      <c r="C333" s="385">
        <v>121</v>
      </c>
      <c r="D333" s="385">
        <v>356</v>
      </c>
      <c r="E333" s="385">
        <v>250</v>
      </c>
      <c r="F333" s="385">
        <v>185</v>
      </c>
      <c r="G333" s="385">
        <v>129</v>
      </c>
      <c r="H333" s="385">
        <v>89</v>
      </c>
      <c r="I333" s="385">
        <v>45</v>
      </c>
      <c r="J333" s="385">
        <v>15</v>
      </c>
    </row>
    <row r="334" spans="1:10" x14ac:dyDescent="0.25">
      <c r="A334" s="388">
        <v>44221</v>
      </c>
      <c r="B334" s="385">
        <v>38</v>
      </c>
      <c r="C334" s="385">
        <v>224</v>
      </c>
      <c r="D334" s="385">
        <v>547</v>
      </c>
      <c r="E334" s="385">
        <v>405</v>
      </c>
      <c r="F334" s="385">
        <v>327</v>
      </c>
      <c r="G334" s="385">
        <v>236</v>
      </c>
      <c r="H334" s="385">
        <v>141</v>
      </c>
      <c r="I334" s="385">
        <v>81</v>
      </c>
      <c r="J334" s="385">
        <v>44</v>
      </c>
    </row>
    <row r="335" spans="1:10" x14ac:dyDescent="0.25">
      <c r="A335" s="388">
        <v>44222</v>
      </c>
      <c r="B335" s="385">
        <v>42</v>
      </c>
      <c r="C335" s="385">
        <v>262</v>
      </c>
      <c r="D335" s="385">
        <v>519</v>
      </c>
      <c r="E335" s="385">
        <v>351</v>
      </c>
      <c r="F335" s="385">
        <v>281</v>
      </c>
      <c r="G335" s="385">
        <v>229</v>
      </c>
      <c r="H335" s="385">
        <v>115</v>
      </c>
      <c r="I335" s="385">
        <v>62</v>
      </c>
      <c r="J335" s="385">
        <v>60</v>
      </c>
    </row>
    <row r="336" spans="1:10" x14ac:dyDescent="0.25">
      <c r="A336" s="388">
        <v>44223</v>
      </c>
      <c r="B336" s="385">
        <v>37</v>
      </c>
      <c r="C336" s="385">
        <v>247</v>
      </c>
      <c r="D336" s="385">
        <v>493</v>
      </c>
      <c r="E336" s="385">
        <v>352</v>
      </c>
      <c r="F336" s="385">
        <v>255</v>
      </c>
      <c r="G336" s="385">
        <v>220</v>
      </c>
      <c r="H336" s="385">
        <v>130</v>
      </c>
      <c r="I336" s="385">
        <v>55</v>
      </c>
      <c r="J336" s="385">
        <v>32</v>
      </c>
    </row>
    <row r="337" spans="1:10" x14ac:dyDescent="0.25">
      <c r="A337" s="388">
        <v>44224</v>
      </c>
      <c r="B337" s="385">
        <v>36</v>
      </c>
      <c r="C337" s="385">
        <v>211</v>
      </c>
      <c r="D337" s="385">
        <v>497</v>
      </c>
      <c r="E337" s="385">
        <v>321</v>
      </c>
      <c r="F337" s="385">
        <v>302</v>
      </c>
      <c r="G337" s="385">
        <v>221</v>
      </c>
      <c r="H337" s="385">
        <v>129</v>
      </c>
      <c r="I337" s="385">
        <v>57</v>
      </c>
      <c r="J337" s="385">
        <v>38</v>
      </c>
    </row>
    <row r="338" spans="1:10" x14ac:dyDescent="0.25">
      <c r="A338" s="388">
        <v>44225</v>
      </c>
      <c r="B338" s="385">
        <v>42</v>
      </c>
      <c r="C338" s="385">
        <v>235</v>
      </c>
      <c r="D338" s="385">
        <v>424</v>
      </c>
      <c r="E338" s="385">
        <v>338</v>
      </c>
      <c r="F338" s="385">
        <v>282</v>
      </c>
      <c r="G338" s="385">
        <v>231</v>
      </c>
      <c r="H338" s="385">
        <v>119</v>
      </c>
      <c r="I338" s="385">
        <v>64</v>
      </c>
      <c r="J338" s="385">
        <v>43</v>
      </c>
    </row>
    <row r="339" spans="1:10" x14ac:dyDescent="0.25">
      <c r="A339" s="388">
        <v>44226</v>
      </c>
      <c r="B339" s="385">
        <v>24</v>
      </c>
      <c r="C339" s="385">
        <v>246</v>
      </c>
      <c r="D339" s="385">
        <v>348</v>
      </c>
      <c r="E339" s="385">
        <v>278</v>
      </c>
      <c r="F339" s="385">
        <v>212</v>
      </c>
      <c r="G339" s="385">
        <v>165</v>
      </c>
      <c r="H339" s="385">
        <v>100</v>
      </c>
      <c r="I339" s="385">
        <v>49</v>
      </c>
      <c r="J339" s="385">
        <v>28</v>
      </c>
    </row>
    <row r="340" spans="1:10" x14ac:dyDescent="0.25">
      <c r="A340" s="388">
        <v>44227</v>
      </c>
      <c r="B340" s="385">
        <v>25</v>
      </c>
      <c r="C340" s="385">
        <v>268</v>
      </c>
      <c r="D340" s="385">
        <v>306</v>
      </c>
      <c r="E340" s="385">
        <v>217</v>
      </c>
      <c r="F340" s="385">
        <v>208</v>
      </c>
      <c r="G340" s="385">
        <v>133</v>
      </c>
      <c r="H340" s="385">
        <v>101</v>
      </c>
      <c r="I340" s="385">
        <v>49</v>
      </c>
      <c r="J340" s="385">
        <v>17</v>
      </c>
    </row>
    <row r="341" spans="1:10" x14ac:dyDescent="0.25">
      <c r="A341" s="388">
        <v>44228</v>
      </c>
      <c r="B341" s="385">
        <v>40</v>
      </c>
      <c r="C341" s="385">
        <v>291</v>
      </c>
      <c r="D341" s="385">
        <v>435</v>
      </c>
      <c r="E341" s="385">
        <v>368</v>
      </c>
      <c r="F341" s="385">
        <v>335</v>
      </c>
      <c r="G341" s="385">
        <v>245</v>
      </c>
      <c r="H341" s="385">
        <v>148</v>
      </c>
      <c r="I341" s="385">
        <v>91</v>
      </c>
      <c r="J341" s="385">
        <v>47</v>
      </c>
    </row>
    <row r="342" spans="1:10" x14ac:dyDescent="0.25">
      <c r="A342" s="388">
        <v>44229</v>
      </c>
      <c r="B342" s="385">
        <v>25</v>
      </c>
      <c r="C342" s="385">
        <v>211</v>
      </c>
      <c r="D342" s="385">
        <v>407</v>
      </c>
      <c r="E342" s="385">
        <v>333</v>
      </c>
      <c r="F342" s="385">
        <v>269</v>
      </c>
      <c r="G342" s="385">
        <v>223</v>
      </c>
      <c r="H342" s="385">
        <v>106</v>
      </c>
      <c r="I342" s="385">
        <v>60</v>
      </c>
      <c r="J342" s="385">
        <v>44</v>
      </c>
    </row>
    <row r="343" spans="1:10" x14ac:dyDescent="0.25">
      <c r="A343" s="388">
        <v>44230</v>
      </c>
      <c r="B343" s="385">
        <v>31</v>
      </c>
      <c r="C343" s="385">
        <v>164</v>
      </c>
      <c r="D343" s="385">
        <v>391</v>
      </c>
      <c r="E343" s="385">
        <v>350</v>
      </c>
      <c r="F343" s="385">
        <v>274</v>
      </c>
      <c r="G343" s="385">
        <v>207</v>
      </c>
      <c r="H343" s="385">
        <v>134</v>
      </c>
      <c r="I343" s="385">
        <v>71</v>
      </c>
      <c r="J343" s="385">
        <v>44</v>
      </c>
    </row>
    <row r="344" spans="1:10" x14ac:dyDescent="0.25">
      <c r="A344" s="388">
        <v>44231</v>
      </c>
      <c r="B344" s="385">
        <v>24</v>
      </c>
      <c r="C344" s="385">
        <v>153</v>
      </c>
      <c r="D344" s="385">
        <v>346</v>
      </c>
      <c r="E344" s="385">
        <v>316</v>
      </c>
      <c r="F344" s="385">
        <v>258</v>
      </c>
      <c r="G344" s="385">
        <v>218</v>
      </c>
      <c r="H344" s="385">
        <v>136</v>
      </c>
      <c r="I344" s="385">
        <v>68</v>
      </c>
      <c r="J344" s="385">
        <v>40</v>
      </c>
    </row>
    <row r="345" spans="1:10" x14ac:dyDescent="0.25">
      <c r="A345" s="388">
        <v>44232</v>
      </c>
      <c r="B345" s="385">
        <v>41</v>
      </c>
      <c r="C345" s="385">
        <v>149</v>
      </c>
      <c r="D345" s="385">
        <v>311</v>
      </c>
      <c r="E345" s="385">
        <v>325</v>
      </c>
      <c r="F345" s="385">
        <v>239</v>
      </c>
      <c r="G345" s="385">
        <v>182</v>
      </c>
      <c r="H345" s="385">
        <v>118</v>
      </c>
      <c r="I345" s="385">
        <v>54</v>
      </c>
      <c r="J345" s="385">
        <v>29</v>
      </c>
    </row>
    <row r="346" spans="1:10" x14ac:dyDescent="0.25">
      <c r="A346" s="388">
        <v>44233</v>
      </c>
      <c r="B346" s="385">
        <v>24</v>
      </c>
      <c r="C346" s="385">
        <v>93</v>
      </c>
      <c r="D346" s="385">
        <v>226</v>
      </c>
      <c r="E346" s="385">
        <v>248</v>
      </c>
      <c r="F346" s="385">
        <v>187</v>
      </c>
      <c r="G346" s="385">
        <v>140</v>
      </c>
      <c r="H346" s="385">
        <v>93</v>
      </c>
      <c r="I346" s="385">
        <v>43</v>
      </c>
      <c r="J346" s="385">
        <v>27</v>
      </c>
    </row>
    <row r="347" spans="1:10" x14ac:dyDescent="0.25">
      <c r="A347" s="388">
        <v>44234</v>
      </c>
      <c r="B347" s="385">
        <v>17</v>
      </c>
      <c r="C347" s="385">
        <v>84</v>
      </c>
      <c r="D347" s="385">
        <v>165</v>
      </c>
      <c r="E347" s="385">
        <v>182</v>
      </c>
      <c r="F347" s="385">
        <v>134</v>
      </c>
      <c r="G347" s="385">
        <v>131</v>
      </c>
      <c r="H347" s="385">
        <v>95</v>
      </c>
      <c r="I347" s="385">
        <v>47</v>
      </c>
      <c r="J347" s="385">
        <v>21</v>
      </c>
    </row>
    <row r="348" spans="1:10" x14ac:dyDescent="0.25">
      <c r="A348" s="388">
        <v>44235</v>
      </c>
      <c r="B348" s="385">
        <v>40</v>
      </c>
      <c r="C348" s="385">
        <v>136</v>
      </c>
      <c r="D348" s="385">
        <v>263</v>
      </c>
      <c r="E348" s="385">
        <v>315</v>
      </c>
      <c r="F348" s="385">
        <v>303</v>
      </c>
      <c r="G348" s="385">
        <v>196</v>
      </c>
      <c r="H348" s="385">
        <v>144</v>
      </c>
      <c r="I348" s="385">
        <v>86</v>
      </c>
      <c r="J348" s="385">
        <v>42</v>
      </c>
    </row>
    <row r="349" spans="1:10" x14ac:dyDescent="0.25">
      <c r="A349" s="388">
        <v>44236</v>
      </c>
      <c r="B349" s="385">
        <v>31</v>
      </c>
      <c r="C349" s="385">
        <v>102</v>
      </c>
      <c r="D349" s="385">
        <v>258</v>
      </c>
      <c r="E349" s="385">
        <v>300</v>
      </c>
      <c r="F349" s="385">
        <v>251</v>
      </c>
      <c r="G349" s="385">
        <v>166</v>
      </c>
      <c r="H349" s="385">
        <v>110</v>
      </c>
      <c r="I349" s="385">
        <v>50</v>
      </c>
      <c r="J349" s="385">
        <v>32</v>
      </c>
    </row>
    <row r="350" spans="1:10" x14ac:dyDescent="0.25">
      <c r="A350" s="388">
        <v>44237</v>
      </c>
      <c r="B350" s="385">
        <v>29</v>
      </c>
      <c r="C350" s="385">
        <v>109</v>
      </c>
      <c r="D350" s="385">
        <v>267</v>
      </c>
      <c r="E350" s="385">
        <v>314</v>
      </c>
      <c r="F350" s="385">
        <v>219</v>
      </c>
      <c r="G350" s="385">
        <v>177</v>
      </c>
      <c r="H350" s="385">
        <v>97</v>
      </c>
      <c r="I350" s="385">
        <v>54</v>
      </c>
      <c r="J350" s="385">
        <v>34</v>
      </c>
    </row>
    <row r="351" spans="1:10" x14ac:dyDescent="0.25">
      <c r="A351" s="388">
        <v>44238</v>
      </c>
      <c r="B351" s="385">
        <v>22</v>
      </c>
      <c r="C351" s="385">
        <v>82</v>
      </c>
      <c r="D351" s="385">
        <v>252</v>
      </c>
      <c r="E351" s="385">
        <v>258</v>
      </c>
      <c r="F351" s="385">
        <v>229</v>
      </c>
      <c r="G351" s="385">
        <v>170</v>
      </c>
      <c r="H351" s="385">
        <v>125</v>
      </c>
      <c r="I351" s="385">
        <v>76</v>
      </c>
      <c r="J351" s="385">
        <v>25</v>
      </c>
    </row>
    <row r="352" spans="1:10" x14ac:dyDescent="0.25">
      <c r="A352" s="388">
        <v>44239</v>
      </c>
      <c r="B352" s="385">
        <v>32</v>
      </c>
      <c r="C352" s="385">
        <v>92</v>
      </c>
      <c r="D352" s="385">
        <v>251</v>
      </c>
      <c r="E352" s="385">
        <v>284</v>
      </c>
      <c r="F352" s="385">
        <v>239</v>
      </c>
      <c r="G352" s="385">
        <v>171</v>
      </c>
      <c r="H352" s="385">
        <v>99</v>
      </c>
      <c r="I352" s="385">
        <v>55</v>
      </c>
      <c r="J352" s="385">
        <v>48</v>
      </c>
    </row>
    <row r="353" spans="1:10" x14ac:dyDescent="0.25">
      <c r="A353" s="388">
        <v>44240</v>
      </c>
      <c r="B353" s="385">
        <v>23</v>
      </c>
      <c r="C353" s="385">
        <v>79</v>
      </c>
      <c r="D353" s="385">
        <v>186</v>
      </c>
      <c r="E353" s="385">
        <v>194</v>
      </c>
      <c r="F353" s="385">
        <v>184</v>
      </c>
      <c r="G353" s="385">
        <v>147</v>
      </c>
      <c r="H353" s="385">
        <v>87</v>
      </c>
      <c r="I353" s="385">
        <v>57</v>
      </c>
      <c r="J353" s="385">
        <v>32</v>
      </c>
    </row>
    <row r="354" spans="1:10" x14ac:dyDescent="0.25">
      <c r="A354" s="388">
        <v>44241</v>
      </c>
      <c r="B354" s="385">
        <v>15</v>
      </c>
      <c r="C354" s="385">
        <v>67</v>
      </c>
      <c r="D354" s="385">
        <v>120</v>
      </c>
      <c r="E354" s="385">
        <v>151</v>
      </c>
      <c r="F354" s="385">
        <v>154</v>
      </c>
      <c r="G354" s="385">
        <v>97</v>
      </c>
      <c r="H354" s="385">
        <v>77</v>
      </c>
      <c r="I354" s="385">
        <v>51</v>
      </c>
      <c r="J354" s="385">
        <v>21</v>
      </c>
    </row>
    <row r="355" spans="1:10" x14ac:dyDescent="0.25">
      <c r="A355" s="388">
        <v>44242</v>
      </c>
      <c r="B355" s="385">
        <v>16</v>
      </c>
      <c r="C355" s="385">
        <v>75</v>
      </c>
      <c r="D355" s="385">
        <v>185</v>
      </c>
      <c r="E355" s="385">
        <v>240</v>
      </c>
      <c r="F355" s="385">
        <v>196</v>
      </c>
      <c r="G355" s="385">
        <v>112</v>
      </c>
      <c r="H355" s="385">
        <v>83</v>
      </c>
      <c r="I355" s="385">
        <v>32</v>
      </c>
      <c r="J355" s="385">
        <v>23</v>
      </c>
    </row>
    <row r="356" spans="1:10" x14ac:dyDescent="0.25">
      <c r="A356" s="388">
        <v>44243</v>
      </c>
      <c r="B356" s="385">
        <v>27</v>
      </c>
      <c r="C356" s="385">
        <v>93</v>
      </c>
      <c r="D356" s="385">
        <v>167</v>
      </c>
      <c r="E356" s="385">
        <v>218</v>
      </c>
      <c r="F356" s="385">
        <v>172</v>
      </c>
      <c r="G356" s="385">
        <v>113</v>
      </c>
      <c r="H356" s="385">
        <v>75</v>
      </c>
      <c r="I356" s="385">
        <v>54</v>
      </c>
      <c r="J356" s="385">
        <v>29</v>
      </c>
    </row>
    <row r="357" spans="1:10" x14ac:dyDescent="0.25">
      <c r="A357" s="388">
        <v>44244</v>
      </c>
      <c r="B357" s="385">
        <v>29</v>
      </c>
      <c r="C357" s="385">
        <v>83</v>
      </c>
      <c r="D357" s="385">
        <v>295</v>
      </c>
      <c r="E357" s="385">
        <v>307</v>
      </c>
      <c r="F357" s="385">
        <v>256</v>
      </c>
      <c r="G357" s="385">
        <v>194</v>
      </c>
      <c r="H357" s="385">
        <v>134</v>
      </c>
      <c r="I357" s="385">
        <v>65</v>
      </c>
      <c r="J357" s="385">
        <v>39</v>
      </c>
    </row>
    <row r="358" spans="1:10" x14ac:dyDescent="0.25">
      <c r="A358" s="388">
        <v>44245</v>
      </c>
      <c r="B358" s="385">
        <v>21</v>
      </c>
      <c r="C358" s="385">
        <v>83</v>
      </c>
      <c r="D358" s="385">
        <v>310</v>
      </c>
      <c r="E358" s="385">
        <v>326</v>
      </c>
      <c r="F358" s="385">
        <v>256</v>
      </c>
      <c r="G358" s="385">
        <v>167</v>
      </c>
      <c r="H358" s="385">
        <v>104</v>
      </c>
      <c r="I358" s="385">
        <v>72</v>
      </c>
      <c r="J358" s="385">
        <v>31</v>
      </c>
    </row>
    <row r="359" spans="1:10" x14ac:dyDescent="0.25">
      <c r="A359" s="388">
        <v>44246</v>
      </c>
      <c r="B359" s="385">
        <v>18</v>
      </c>
      <c r="C359" s="385">
        <v>105</v>
      </c>
      <c r="D359" s="385">
        <v>262</v>
      </c>
      <c r="E359" s="385">
        <v>327</v>
      </c>
      <c r="F359" s="385">
        <v>247</v>
      </c>
      <c r="G359" s="385">
        <v>162</v>
      </c>
      <c r="H359" s="385">
        <v>87</v>
      </c>
      <c r="I359" s="385">
        <v>51</v>
      </c>
      <c r="J359" s="385">
        <v>21</v>
      </c>
    </row>
    <row r="360" spans="1:10" x14ac:dyDescent="0.25">
      <c r="A360" s="388">
        <v>44247</v>
      </c>
      <c r="B360" s="385">
        <v>16</v>
      </c>
      <c r="C360" s="385">
        <v>68</v>
      </c>
      <c r="D360" s="385">
        <v>221</v>
      </c>
      <c r="E360" s="385">
        <v>239</v>
      </c>
      <c r="F360" s="385">
        <v>170</v>
      </c>
      <c r="G360" s="385">
        <v>146</v>
      </c>
      <c r="H360" s="385">
        <v>90</v>
      </c>
      <c r="I360" s="385">
        <v>49</v>
      </c>
      <c r="J360" s="385">
        <v>24</v>
      </c>
    </row>
    <row r="361" spans="1:10" x14ac:dyDescent="0.25">
      <c r="A361" s="388">
        <v>44248</v>
      </c>
      <c r="B361" s="385">
        <v>11</v>
      </c>
      <c r="C361" s="385">
        <v>56</v>
      </c>
      <c r="D361" s="385">
        <v>206</v>
      </c>
      <c r="E361" s="385">
        <v>221</v>
      </c>
      <c r="F361" s="385">
        <v>158</v>
      </c>
      <c r="G361" s="385">
        <v>119</v>
      </c>
      <c r="H361" s="385">
        <v>78</v>
      </c>
      <c r="I361" s="385">
        <v>33</v>
      </c>
      <c r="J361" s="385">
        <v>17</v>
      </c>
    </row>
    <row r="362" spans="1:10" x14ac:dyDescent="0.25">
      <c r="A362" s="388">
        <v>44249</v>
      </c>
      <c r="B362" s="385">
        <v>24</v>
      </c>
      <c r="C362" s="385">
        <v>90</v>
      </c>
      <c r="D362" s="385">
        <v>256</v>
      </c>
      <c r="E362" s="385">
        <v>270</v>
      </c>
      <c r="F362" s="385">
        <v>212</v>
      </c>
      <c r="G362" s="385">
        <v>154</v>
      </c>
      <c r="H362" s="385">
        <v>86</v>
      </c>
      <c r="I362" s="385">
        <v>43</v>
      </c>
      <c r="J362" s="385">
        <v>27</v>
      </c>
    </row>
    <row r="363" spans="1:10" x14ac:dyDescent="0.25">
      <c r="A363" s="388">
        <v>44250</v>
      </c>
      <c r="B363" s="385">
        <v>24</v>
      </c>
      <c r="C363" s="385">
        <v>94</v>
      </c>
      <c r="D363" s="385">
        <v>280</v>
      </c>
      <c r="E363" s="385">
        <v>309</v>
      </c>
      <c r="F363" s="385">
        <v>220</v>
      </c>
      <c r="G363" s="385">
        <v>158</v>
      </c>
      <c r="H363" s="385">
        <v>112</v>
      </c>
      <c r="I363" s="385">
        <v>51</v>
      </c>
      <c r="J363" s="385">
        <v>30</v>
      </c>
    </row>
    <row r="364" spans="1:10" x14ac:dyDescent="0.25">
      <c r="A364" s="388">
        <v>44251</v>
      </c>
      <c r="B364" s="385">
        <v>27</v>
      </c>
      <c r="C364" s="385">
        <v>85</v>
      </c>
      <c r="D364" s="385">
        <v>261</v>
      </c>
      <c r="E364" s="385">
        <v>239</v>
      </c>
      <c r="F364" s="385">
        <v>212</v>
      </c>
      <c r="G364" s="385">
        <v>158</v>
      </c>
      <c r="H364" s="385">
        <v>82</v>
      </c>
      <c r="I364" s="385">
        <v>44</v>
      </c>
      <c r="J364" s="385">
        <v>24</v>
      </c>
    </row>
    <row r="365" spans="1:10" x14ac:dyDescent="0.25">
      <c r="A365" s="388">
        <v>44252</v>
      </c>
      <c r="B365" s="385">
        <v>30</v>
      </c>
      <c r="C365" s="385">
        <v>87</v>
      </c>
      <c r="D365" s="385">
        <v>319</v>
      </c>
      <c r="E365" s="385">
        <v>307</v>
      </c>
      <c r="F365" s="385">
        <v>245</v>
      </c>
      <c r="G365" s="385">
        <v>145</v>
      </c>
      <c r="H365" s="385">
        <v>100</v>
      </c>
      <c r="I365" s="385">
        <v>54</v>
      </c>
      <c r="J365" s="385">
        <v>38</v>
      </c>
    </row>
    <row r="366" spans="1:10" x14ac:dyDescent="0.25">
      <c r="A366" s="388">
        <v>44253</v>
      </c>
      <c r="B366" s="385">
        <v>32</v>
      </c>
      <c r="C366" s="385">
        <v>88</v>
      </c>
      <c r="D366" s="385">
        <v>223</v>
      </c>
      <c r="E366" s="385">
        <v>232</v>
      </c>
      <c r="F366" s="385">
        <v>199</v>
      </c>
      <c r="G366" s="385">
        <v>177</v>
      </c>
      <c r="H366" s="385">
        <v>101</v>
      </c>
      <c r="I366" s="385">
        <v>60</v>
      </c>
      <c r="J366" s="385">
        <v>41</v>
      </c>
    </row>
    <row r="367" spans="1:10" x14ac:dyDescent="0.25">
      <c r="A367" s="388">
        <v>44254</v>
      </c>
      <c r="B367" s="385">
        <v>21</v>
      </c>
      <c r="C367" s="385">
        <v>67</v>
      </c>
      <c r="D367" s="385">
        <v>193</v>
      </c>
      <c r="E367" s="385">
        <v>211</v>
      </c>
      <c r="F367" s="385">
        <v>164</v>
      </c>
      <c r="G367" s="385">
        <v>122</v>
      </c>
      <c r="H367" s="385">
        <v>79</v>
      </c>
      <c r="I367" s="385">
        <v>41</v>
      </c>
      <c r="J367" s="385">
        <v>20</v>
      </c>
    </row>
    <row r="368" spans="1:10" x14ac:dyDescent="0.25">
      <c r="A368" s="388">
        <v>44255</v>
      </c>
      <c r="B368" s="385">
        <v>15</v>
      </c>
      <c r="C368" s="385">
        <v>54</v>
      </c>
      <c r="D368" s="385">
        <v>136</v>
      </c>
      <c r="E368" s="385">
        <v>182</v>
      </c>
      <c r="F368" s="385">
        <v>119</v>
      </c>
      <c r="G368" s="385">
        <v>90</v>
      </c>
      <c r="H368" s="385">
        <v>74</v>
      </c>
      <c r="I368" s="385">
        <v>29</v>
      </c>
      <c r="J368" s="385">
        <v>20</v>
      </c>
    </row>
    <row r="369" spans="1:10" x14ac:dyDescent="0.25">
      <c r="A369" s="388">
        <v>44256</v>
      </c>
      <c r="B369" s="385">
        <v>45</v>
      </c>
      <c r="C369" s="385">
        <v>99</v>
      </c>
      <c r="D369" s="385">
        <v>255</v>
      </c>
      <c r="E369" s="385">
        <v>308</v>
      </c>
      <c r="F369" s="385">
        <v>259</v>
      </c>
      <c r="G369" s="385">
        <v>179</v>
      </c>
      <c r="H369" s="385">
        <v>122</v>
      </c>
      <c r="I369" s="385">
        <v>71</v>
      </c>
      <c r="J369" s="385">
        <v>32</v>
      </c>
    </row>
    <row r="370" spans="1:10" x14ac:dyDescent="0.25">
      <c r="A370" s="388">
        <v>44257</v>
      </c>
      <c r="B370" s="385">
        <v>31</v>
      </c>
      <c r="C370" s="385">
        <v>104</v>
      </c>
      <c r="D370" s="385">
        <v>247</v>
      </c>
      <c r="E370" s="385">
        <v>284</v>
      </c>
      <c r="F370" s="385">
        <v>203</v>
      </c>
      <c r="G370" s="385">
        <v>163</v>
      </c>
      <c r="H370" s="385">
        <v>94</v>
      </c>
      <c r="I370" s="385">
        <v>54</v>
      </c>
      <c r="J370" s="385">
        <v>33</v>
      </c>
    </row>
    <row r="371" spans="1:10" x14ac:dyDescent="0.25">
      <c r="A371" s="388">
        <v>44258</v>
      </c>
      <c r="B371" s="385">
        <v>33</v>
      </c>
      <c r="C371" s="385">
        <v>128</v>
      </c>
      <c r="D371" s="385">
        <v>282</v>
      </c>
      <c r="E371" s="385">
        <v>311</v>
      </c>
      <c r="F371" s="385">
        <v>216</v>
      </c>
      <c r="G371" s="385">
        <v>159</v>
      </c>
      <c r="H371" s="385">
        <v>109</v>
      </c>
      <c r="I371" s="385">
        <v>68</v>
      </c>
      <c r="J371" s="385">
        <v>33</v>
      </c>
    </row>
    <row r="372" spans="1:10" x14ac:dyDescent="0.25">
      <c r="A372" s="388">
        <v>44259</v>
      </c>
      <c r="B372" s="385">
        <v>37</v>
      </c>
      <c r="C372" s="385">
        <v>115</v>
      </c>
      <c r="D372" s="385">
        <v>258</v>
      </c>
      <c r="E372" s="385">
        <v>256</v>
      </c>
      <c r="F372" s="385">
        <v>222</v>
      </c>
      <c r="G372" s="385">
        <v>177</v>
      </c>
      <c r="H372" s="385">
        <v>113</v>
      </c>
      <c r="I372" s="385">
        <v>47</v>
      </c>
      <c r="J372" s="385">
        <v>21</v>
      </c>
    </row>
    <row r="373" spans="1:10" x14ac:dyDescent="0.25">
      <c r="A373" s="388">
        <v>44260</v>
      </c>
      <c r="B373" s="385">
        <v>37</v>
      </c>
      <c r="C373" s="385">
        <v>143</v>
      </c>
      <c r="D373" s="385">
        <v>290</v>
      </c>
      <c r="E373" s="385">
        <v>293</v>
      </c>
      <c r="F373" s="385">
        <v>260</v>
      </c>
      <c r="G373" s="385">
        <v>177</v>
      </c>
      <c r="H373" s="385">
        <v>100</v>
      </c>
      <c r="I373" s="385">
        <v>50</v>
      </c>
      <c r="J373" s="385">
        <v>27</v>
      </c>
    </row>
    <row r="374" spans="1:10" x14ac:dyDescent="0.25">
      <c r="A374" s="388">
        <v>44261</v>
      </c>
      <c r="B374" s="385">
        <v>19</v>
      </c>
      <c r="C374" s="385">
        <v>117</v>
      </c>
      <c r="D374" s="385">
        <v>169</v>
      </c>
      <c r="E374" s="385">
        <v>207</v>
      </c>
      <c r="F374" s="385">
        <v>183</v>
      </c>
      <c r="G374" s="385">
        <v>128</v>
      </c>
      <c r="H374" s="385">
        <v>85</v>
      </c>
      <c r="I374" s="385">
        <v>45</v>
      </c>
      <c r="J374" s="385">
        <v>26</v>
      </c>
    </row>
    <row r="375" spans="1:10" x14ac:dyDescent="0.25">
      <c r="A375" s="388">
        <v>44262</v>
      </c>
      <c r="B375" s="385">
        <v>30</v>
      </c>
      <c r="C375" s="385">
        <v>89</v>
      </c>
      <c r="D375" s="385">
        <v>155</v>
      </c>
      <c r="E375" s="385">
        <v>176</v>
      </c>
      <c r="F375" s="385">
        <v>162</v>
      </c>
      <c r="G375" s="385">
        <v>120</v>
      </c>
      <c r="H375" s="385">
        <v>89</v>
      </c>
      <c r="I375" s="385">
        <v>38</v>
      </c>
      <c r="J375" s="385">
        <v>17</v>
      </c>
    </row>
    <row r="376" spans="1:10" x14ac:dyDescent="0.25">
      <c r="A376" s="388">
        <v>44263</v>
      </c>
      <c r="B376" s="385">
        <v>49</v>
      </c>
      <c r="C376" s="385">
        <v>113</v>
      </c>
      <c r="D376" s="385">
        <v>265</v>
      </c>
      <c r="E376" s="385">
        <v>321</v>
      </c>
      <c r="F376" s="385">
        <v>270</v>
      </c>
      <c r="G376" s="385">
        <v>221</v>
      </c>
      <c r="H376" s="385">
        <v>130</v>
      </c>
      <c r="I376" s="385">
        <v>61</v>
      </c>
      <c r="J376" s="385">
        <v>45</v>
      </c>
    </row>
    <row r="377" spans="1:10" x14ac:dyDescent="0.25">
      <c r="A377" s="388">
        <v>44264</v>
      </c>
      <c r="B377" s="385">
        <v>39</v>
      </c>
      <c r="C377" s="385">
        <v>157</v>
      </c>
      <c r="D377" s="385">
        <v>282</v>
      </c>
      <c r="E377" s="385">
        <v>322</v>
      </c>
      <c r="F377" s="385">
        <v>277</v>
      </c>
      <c r="G377" s="385">
        <v>192</v>
      </c>
      <c r="H377" s="385">
        <v>121</v>
      </c>
      <c r="I377" s="385">
        <v>67</v>
      </c>
      <c r="J377" s="385">
        <v>33</v>
      </c>
    </row>
    <row r="378" spans="1:10" x14ac:dyDescent="0.25">
      <c r="A378" s="388">
        <v>44265</v>
      </c>
      <c r="B378" s="385">
        <v>49</v>
      </c>
      <c r="C378" s="385">
        <v>147</v>
      </c>
      <c r="D378" s="385">
        <v>271</v>
      </c>
      <c r="E378" s="385">
        <v>348</v>
      </c>
      <c r="F378" s="385">
        <v>228</v>
      </c>
      <c r="G378" s="385">
        <v>182</v>
      </c>
      <c r="H378" s="385">
        <v>109</v>
      </c>
      <c r="I378" s="385">
        <v>66</v>
      </c>
      <c r="J378" s="385">
        <v>31</v>
      </c>
    </row>
    <row r="379" spans="1:10" x14ac:dyDescent="0.25">
      <c r="A379" s="388">
        <v>44266</v>
      </c>
      <c r="B379" s="385">
        <v>35</v>
      </c>
      <c r="C379" s="385">
        <v>181</v>
      </c>
      <c r="D379" s="385">
        <v>285</v>
      </c>
      <c r="E379" s="385">
        <v>286</v>
      </c>
      <c r="F379" s="385">
        <v>240</v>
      </c>
      <c r="G379" s="385">
        <v>169</v>
      </c>
      <c r="H379" s="385">
        <v>103</v>
      </c>
      <c r="I379" s="385">
        <v>53</v>
      </c>
      <c r="J379" s="385">
        <v>39</v>
      </c>
    </row>
    <row r="380" spans="1:10" x14ac:dyDescent="0.25">
      <c r="A380" s="388">
        <v>44267</v>
      </c>
      <c r="B380" s="385">
        <v>38</v>
      </c>
      <c r="C380" s="385">
        <v>191</v>
      </c>
      <c r="D380" s="385">
        <v>277</v>
      </c>
      <c r="E380" s="385">
        <v>273</v>
      </c>
      <c r="F380" s="385">
        <v>265</v>
      </c>
      <c r="G380" s="385">
        <v>199</v>
      </c>
      <c r="H380" s="385">
        <v>116</v>
      </c>
      <c r="I380" s="385">
        <v>80</v>
      </c>
      <c r="J380" s="385">
        <v>49</v>
      </c>
    </row>
    <row r="381" spans="1:10" x14ac:dyDescent="0.25">
      <c r="A381" s="388">
        <v>44268</v>
      </c>
      <c r="B381" s="385">
        <v>30</v>
      </c>
      <c r="C381" s="385">
        <v>169</v>
      </c>
      <c r="D381" s="385">
        <v>252</v>
      </c>
      <c r="E381" s="385">
        <v>254</v>
      </c>
      <c r="F381" s="385">
        <v>218</v>
      </c>
      <c r="G381" s="385">
        <v>163</v>
      </c>
      <c r="H381" s="385">
        <v>88</v>
      </c>
      <c r="I381" s="385">
        <v>42</v>
      </c>
      <c r="J381" s="385">
        <v>15</v>
      </c>
    </row>
    <row r="382" spans="1:10" x14ac:dyDescent="0.25">
      <c r="A382" s="388">
        <v>44269</v>
      </c>
      <c r="B382" s="385">
        <v>23</v>
      </c>
      <c r="C382" s="385">
        <v>103</v>
      </c>
      <c r="D382" s="385">
        <v>183</v>
      </c>
      <c r="E382" s="385">
        <v>198</v>
      </c>
      <c r="F382" s="385">
        <v>186</v>
      </c>
      <c r="G382" s="385">
        <v>152</v>
      </c>
      <c r="H382" s="385">
        <v>84</v>
      </c>
      <c r="I382" s="385">
        <v>60</v>
      </c>
      <c r="J382" s="385">
        <v>15</v>
      </c>
    </row>
    <row r="383" spans="1:10" x14ac:dyDescent="0.25">
      <c r="A383" s="388">
        <v>44270</v>
      </c>
      <c r="B383" s="385">
        <v>49</v>
      </c>
      <c r="C383" s="385">
        <v>132</v>
      </c>
      <c r="D383" s="385">
        <v>283</v>
      </c>
      <c r="E383" s="385">
        <v>333</v>
      </c>
      <c r="F383" s="385">
        <v>304</v>
      </c>
      <c r="G383" s="385">
        <v>242</v>
      </c>
      <c r="H383" s="385">
        <v>138</v>
      </c>
      <c r="I383" s="385">
        <v>78</v>
      </c>
      <c r="J383" s="385">
        <v>44</v>
      </c>
    </row>
    <row r="384" spans="1:10" x14ac:dyDescent="0.25">
      <c r="A384" s="388">
        <v>44271</v>
      </c>
      <c r="B384" s="385">
        <v>37</v>
      </c>
      <c r="C384" s="385">
        <v>154</v>
      </c>
      <c r="D384" s="385">
        <v>337</v>
      </c>
      <c r="E384" s="385">
        <v>312</v>
      </c>
      <c r="F384" s="385">
        <v>287</v>
      </c>
      <c r="G384" s="385">
        <v>208</v>
      </c>
      <c r="H384" s="385">
        <v>110</v>
      </c>
      <c r="I384" s="385">
        <v>55</v>
      </c>
      <c r="J384" s="385">
        <v>49</v>
      </c>
    </row>
    <row r="385" spans="1:10" x14ac:dyDescent="0.25">
      <c r="A385" s="388">
        <v>44272</v>
      </c>
      <c r="B385" s="385">
        <v>34</v>
      </c>
      <c r="C385" s="385">
        <v>168</v>
      </c>
      <c r="D385" s="385">
        <v>351</v>
      </c>
      <c r="E385" s="385">
        <v>358</v>
      </c>
      <c r="F385" s="385">
        <v>283</v>
      </c>
      <c r="G385" s="385">
        <v>195</v>
      </c>
      <c r="H385" s="385">
        <v>117</v>
      </c>
      <c r="I385" s="385">
        <v>84</v>
      </c>
      <c r="J385" s="385">
        <v>26</v>
      </c>
    </row>
    <row r="386" spans="1:10" x14ac:dyDescent="0.25">
      <c r="A386" s="388">
        <v>44273</v>
      </c>
      <c r="B386" s="385">
        <v>44</v>
      </c>
      <c r="C386" s="385">
        <v>143</v>
      </c>
      <c r="D386" s="385">
        <v>342</v>
      </c>
      <c r="E386" s="385">
        <v>328</v>
      </c>
      <c r="F386" s="385">
        <v>252</v>
      </c>
      <c r="G386" s="385">
        <v>197</v>
      </c>
      <c r="H386" s="385">
        <v>128</v>
      </c>
      <c r="I386" s="385">
        <v>70</v>
      </c>
      <c r="J386" s="385">
        <v>33</v>
      </c>
    </row>
    <row r="387" spans="1:10" x14ac:dyDescent="0.25">
      <c r="A387" s="388">
        <v>44274</v>
      </c>
      <c r="B387" s="385">
        <v>54</v>
      </c>
      <c r="C387" s="385">
        <v>183</v>
      </c>
      <c r="D387" s="385">
        <v>302</v>
      </c>
      <c r="E387" s="385">
        <v>350</v>
      </c>
      <c r="F387" s="385">
        <v>328</v>
      </c>
      <c r="G387" s="385">
        <v>205</v>
      </c>
      <c r="H387" s="385">
        <v>128</v>
      </c>
      <c r="I387" s="385">
        <v>74</v>
      </c>
      <c r="J387" s="385">
        <v>35</v>
      </c>
    </row>
    <row r="388" spans="1:10" x14ac:dyDescent="0.25">
      <c r="A388" s="388">
        <v>44275</v>
      </c>
      <c r="B388" s="385">
        <v>38</v>
      </c>
      <c r="C388" s="385">
        <v>96</v>
      </c>
      <c r="D388" s="385">
        <v>255</v>
      </c>
      <c r="E388" s="385">
        <v>261</v>
      </c>
      <c r="F388" s="385">
        <v>235</v>
      </c>
      <c r="G388" s="385">
        <v>164</v>
      </c>
      <c r="H388" s="385">
        <v>87</v>
      </c>
      <c r="I388" s="385">
        <v>41</v>
      </c>
      <c r="J388" s="385">
        <v>17</v>
      </c>
    </row>
    <row r="389" spans="1:10" x14ac:dyDescent="0.25">
      <c r="A389" s="388">
        <v>44276</v>
      </c>
      <c r="B389" s="385">
        <v>35</v>
      </c>
      <c r="C389" s="385">
        <v>110</v>
      </c>
      <c r="D389" s="385">
        <v>202</v>
      </c>
      <c r="E389" s="385">
        <v>265</v>
      </c>
      <c r="F389" s="385">
        <v>211</v>
      </c>
      <c r="G389" s="385">
        <v>143</v>
      </c>
      <c r="H389" s="385">
        <v>110</v>
      </c>
      <c r="I389" s="385">
        <v>84</v>
      </c>
      <c r="J389" s="385">
        <v>23</v>
      </c>
    </row>
    <row r="390" spans="1:10" x14ac:dyDescent="0.25">
      <c r="A390" s="388">
        <v>44277</v>
      </c>
      <c r="B390" s="385">
        <v>60</v>
      </c>
      <c r="C390" s="385">
        <v>192</v>
      </c>
      <c r="D390" s="385">
        <v>409</v>
      </c>
      <c r="E390" s="385">
        <v>462</v>
      </c>
      <c r="F390" s="385">
        <v>395</v>
      </c>
      <c r="G390" s="385">
        <v>286</v>
      </c>
      <c r="H390" s="385">
        <v>136</v>
      </c>
      <c r="I390" s="385">
        <v>82</v>
      </c>
      <c r="J390" s="385">
        <v>51</v>
      </c>
    </row>
    <row r="391" spans="1:10" x14ac:dyDescent="0.25">
      <c r="A391" s="388">
        <v>44278</v>
      </c>
      <c r="B391" s="385">
        <v>44</v>
      </c>
      <c r="C391" s="385">
        <v>195</v>
      </c>
      <c r="D391" s="385">
        <v>463</v>
      </c>
      <c r="E391" s="385">
        <v>498</v>
      </c>
      <c r="F391" s="385">
        <v>429</v>
      </c>
      <c r="G391" s="385">
        <v>292</v>
      </c>
      <c r="H391" s="385">
        <v>171</v>
      </c>
      <c r="I391" s="385">
        <v>92</v>
      </c>
      <c r="J391" s="385">
        <v>46</v>
      </c>
    </row>
    <row r="392" spans="1:10" x14ac:dyDescent="0.25">
      <c r="A392" s="388">
        <v>44279</v>
      </c>
      <c r="B392" s="385">
        <v>48</v>
      </c>
      <c r="C392" s="385">
        <v>212</v>
      </c>
      <c r="D392" s="385">
        <v>456</v>
      </c>
      <c r="E392" s="385">
        <v>423</v>
      </c>
      <c r="F392" s="385">
        <v>390</v>
      </c>
      <c r="G392" s="385">
        <v>262</v>
      </c>
      <c r="H392" s="385">
        <v>173</v>
      </c>
      <c r="I392" s="385">
        <v>76</v>
      </c>
      <c r="J392" s="385">
        <v>44</v>
      </c>
    </row>
    <row r="393" spans="1:10" x14ac:dyDescent="0.25">
      <c r="A393" s="388">
        <v>44280</v>
      </c>
      <c r="B393" s="385">
        <v>57</v>
      </c>
      <c r="C393" s="385">
        <v>215</v>
      </c>
      <c r="D393" s="385">
        <v>597</v>
      </c>
      <c r="E393" s="385">
        <v>551</v>
      </c>
      <c r="F393" s="385">
        <v>470</v>
      </c>
      <c r="G393" s="385">
        <v>348</v>
      </c>
      <c r="H393" s="385">
        <v>213</v>
      </c>
      <c r="I393" s="385">
        <v>118</v>
      </c>
      <c r="J393" s="385">
        <v>52</v>
      </c>
    </row>
    <row r="394" spans="1:10" x14ac:dyDescent="0.25">
      <c r="A394" s="388">
        <v>44281</v>
      </c>
      <c r="B394" s="385">
        <v>70</v>
      </c>
      <c r="C394" s="385">
        <v>260</v>
      </c>
      <c r="D394" s="385">
        <v>687</v>
      </c>
      <c r="E394" s="385">
        <v>607</v>
      </c>
      <c r="F394" s="385">
        <v>511</v>
      </c>
      <c r="G394" s="385">
        <v>346</v>
      </c>
      <c r="H394" s="385">
        <v>210</v>
      </c>
      <c r="I394" s="385">
        <v>98</v>
      </c>
      <c r="J394" s="385">
        <v>49</v>
      </c>
    </row>
    <row r="395" spans="1:10" x14ac:dyDescent="0.25">
      <c r="A395" s="388">
        <v>44282</v>
      </c>
      <c r="B395" s="385">
        <v>45</v>
      </c>
      <c r="C395" s="385">
        <v>202</v>
      </c>
      <c r="D395" s="385">
        <v>521</v>
      </c>
      <c r="E395" s="385">
        <v>522</v>
      </c>
      <c r="F395" s="385">
        <v>428</v>
      </c>
      <c r="G395" s="385">
        <v>275</v>
      </c>
      <c r="H395" s="385">
        <v>179</v>
      </c>
      <c r="I395" s="385">
        <v>97</v>
      </c>
      <c r="J395" s="385">
        <v>41</v>
      </c>
    </row>
    <row r="396" spans="1:10" x14ac:dyDescent="0.25">
      <c r="A396" s="388">
        <v>44283</v>
      </c>
      <c r="B396" s="385">
        <v>36</v>
      </c>
      <c r="C396" s="385">
        <v>181</v>
      </c>
      <c r="D396" s="385">
        <v>410</v>
      </c>
      <c r="E396" s="385">
        <v>443</v>
      </c>
      <c r="F396" s="385">
        <v>393</v>
      </c>
      <c r="G396" s="385">
        <v>296</v>
      </c>
      <c r="H396" s="385">
        <v>155</v>
      </c>
      <c r="I396" s="385">
        <v>76</v>
      </c>
      <c r="J396" s="385">
        <v>30</v>
      </c>
    </row>
    <row r="397" spans="1:10" x14ac:dyDescent="0.25">
      <c r="A397" s="388">
        <v>44284</v>
      </c>
      <c r="B397" s="385">
        <v>89</v>
      </c>
      <c r="C397" s="385">
        <v>312</v>
      </c>
      <c r="D397" s="385">
        <v>725</v>
      </c>
      <c r="E397" s="385">
        <v>727</v>
      </c>
      <c r="F397" s="385">
        <v>586</v>
      </c>
      <c r="G397" s="385">
        <v>447</v>
      </c>
      <c r="H397" s="385">
        <v>236</v>
      </c>
      <c r="I397" s="385">
        <v>114</v>
      </c>
      <c r="J397" s="385">
        <v>49</v>
      </c>
    </row>
    <row r="398" spans="1:10" x14ac:dyDescent="0.25">
      <c r="A398" s="388">
        <v>44285</v>
      </c>
      <c r="B398" s="385">
        <v>61</v>
      </c>
      <c r="C398" s="385">
        <v>323</v>
      </c>
      <c r="D398" s="385">
        <v>815</v>
      </c>
      <c r="E398" s="385">
        <v>773</v>
      </c>
      <c r="F398" s="385">
        <v>644</v>
      </c>
      <c r="G398" s="385">
        <v>454</v>
      </c>
      <c r="H398" s="385">
        <v>231</v>
      </c>
      <c r="I398" s="385">
        <v>129</v>
      </c>
      <c r="J398" s="385">
        <v>60</v>
      </c>
    </row>
    <row r="399" spans="1:10" x14ac:dyDescent="0.25">
      <c r="A399" s="388">
        <v>44286</v>
      </c>
      <c r="B399" s="385">
        <v>80</v>
      </c>
      <c r="C399" s="385">
        <v>344</v>
      </c>
      <c r="D399" s="385">
        <v>923</v>
      </c>
      <c r="E399" s="385">
        <v>818</v>
      </c>
      <c r="F399" s="385">
        <v>681</v>
      </c>
      <c r="G399" s="385">
        <v>424</v>
      </c>
      <c r="H399" s="385">
        <v>243</v>
      </c>
      <c r="I399" s="385">
        <v>120</v>
      </c>
      <c r="J399" s="385">
        <v>60</v>
      </c>
    </row>
    <row r="400" spans="1:10" x14ac:dyDescent="0.25">
      <c r="A400" s="388">
        <v>44287</v>
      </c>
      <c r="B400" s="385">
        <v>69</v>
      </c>
      <c r="C400" s="385">
        <v>432</v>
      </c>
      <c r="D400" s="385">
        <v>967</v>
      </c>
      <c r="E400" s="385">
        <v>822</v>
      </c>
      <c r="F400" s="385">
        <v>605</v>
      </c>
      <c r="G400" s="385">
        <v>458</v>
      </c>
      <c r="H400" s="385">
        <v>272</v>
      </c>
      <c r="I400" s="385">
        <v>119</v>
      </c>
      <c r="J400" s="385">
        <v>37</v>
      </c>
    </row>
    <row r="401" spans="1:10" x14ac:dyDescent="0.25">
      <c r="A401" s="388">
        <v>44288</v>
      </c>
      <c r="B401" s="385">
        <v>79</v>
      </c>
      <c r="C401" s="385">
        <v>391</v>
      </c>
      <c r="D401" s="385">
        <v>681</v>
      </c>
      <c r="E401" s="385">
        <v>696</v>
      </c>
      <c r="F401" s="385">
        <v>540</v>
      </c>
      <c r="G401" s="385">
        <v>371</v>
      </c>
      <c r="H401" s="385">
        <v>252</v>
      </c>
      <c r="I401" s="385">
        <v>94</v>
      </c>
      <c r="J401" s="385">
        <v>33</v>
      </c>
    </row>
    <row r="402" spans="1:10" x14ac:dyDescent="0.25">
      <c r="A402" s="388">
        <v>44289</v>
      </c>
      <c r="B402" s="385">
        <v>57</v>
      </c>
      <c r="C402" s="385">
        <v>315</v>
      </c>
      <c r="D402" s="385">
        <v>737</v>
      </c>
      <c r="E402" s="385">
        <v>703</v>
      </c>
      <c r="F402" s="385">
        <v>678</v>
      </c>
      <c r="G402" s="385">
        <v>439</v>
      </c>
      <c r="H402" s="385">
        <v>278</v>
      </c>
      <c r="I402" s="385">
        <v>116</v>
      </c>
      <c r="J402" s="385">
        <v>58</v>
      </c>
    </row>
    <row r="403" spans="1:10" x14ac:dyDescent="0.25">
      <c r="A403" s="388">
        <v>44290</v>
      </c>
      <c r="B403" s="385">
        <v>73</v>
      </c>
      <c r="C403" s="385">
        <v>279</v>
      </c>
      <c r="D403" s="385">
        <v>684</v>
      </c>
      <c r="E403" s="385">
        <v>674</v>
      </c>
      <c r="F403" s="385">
        <v>584</v>
      </c>
      <c r="G403" s="385">
        <v>426</v>
      </c>
      <c r="H403" s="385">
        <v>262</v>
      </c>
      <c r="I403" s="385">
        <v>107</v>
      </c>
      <c r="J403" s="385">
        <v>43</v>
      </c>
    </row>
    <row r="404" spans="1:10" x14ac:dyDescent="0.25">
      <c r="A404" s="388">
        <v>44291</v>
      </c>
      <c r="B404" s="385">
        <v>109</v>
      </c>
      <c r="C404" s="385">
        <v>493</v>
      </c>
      <c r="D404" s="385">
        <v>1108</v>
      </c>
      <c r="E404" s="385">
        <v>1129</v>
      </c>
      <c r="F404" s="385">
        <v>876</v>
      </c>
      <c r="G404" s="385">
        <v>689</v>
      </c>
      <c r="H404" s="385">
        <v>349</v>
      </c>
      <c r="I404" s="385">
        <v>159</v>
      </c>
      <c r="J404" s="385">
        <v>76</v>
      </c>
    </row>
    <row r="405" spans="1:10" x14ac:dyDescent="0.25">
      <c r="A405" s="388">
        <v>44292</v>
      </c>
      <c r="B405" s="385">
        <v>119</v>
      </c>
      <c r="C405" s="385">
        <v>470</v>
      </c>
      <c r="D405" s="385">
        <v>1213</v>
      </c>
      <c r="E405" s="385">
        <v>1113</v>
      </c>
      <c r="F405" s="385">
        <v>938</v>
      </c>
      <c r="G405" s="385">
        <v>581</v>
      </c>
      <c r="H405" s="385">
        <v>312</v>
      </c>
      <c r="I405" s="385">
        <v>124</v>
      </c>
      <c r="J405" s="385">
        <v>64</v>
      </c>
    </row>
    <row r="406" spans="1:10" x14ac:dyDescent="0.25">
      <c r="A406" s="388">
        <v>44293</v>
      </c>
      <c r="B406" s="385">
        <v>92</v>
      </c>
      <c r="C406" s="385">
        <v>497</v>
      </c>
      <c r="D406" s="385">
        <v>1153</v>
      </c>
      <c r="E406" s="385">
        <v>1033</v>
      </c>
      <c r="F406" s="385">
        <v>827</v>
      </c>
      <c r="G406" s="385">
        <v>591</v>
      </c>
      <c r="H406" s="385">
        <v>296</v>
      </c>
      <c r="I406" s="385">
        <v>138</v>
      </c>
      <c r="J406" s="385">
        <v>58</v>
      </c>
    </row>
    <row r="407" spans="1:10" x14ac:dyDescent="0.25">
      <c r="A407" s="388">
        <v>44294</v>
      </c>
      <c r="B407" s="385">
        <v>113</v>
      </c>
      <c r="C407" s="385">
        <v>470</v>
      </c>
      <c r="D407" s="385">
        <v>1065</v>
      </c>
      <c r="E407" s="385">
        <v>932</v>
      </c>
      <c r="F407" s="385">
        <v>747</v>
      </c>
      <c r="G407" s="385">
        <v>543</v>
      </c>
      <c r="H407" s="385">
        <v>240</v>
      </c>
      <c r="I407" s="385">
        <v>143</v>
      </c>
      <c r="J407" s="385">
        <v>52</v>
      </c>
    </row>
    <row r="408" spans="1:10" x14ac:dyDescent="0.25">
      <c r="A408" s="388">
        <v>44295</v>
      </c>
      <c r="B408" s="385">
        <v>95</v>
      </c>
      <c r="C408" s="385">
        <v>426</v>
      </c>
      <c r="D408" s="385">
        <v>873</v>
      </c>
      <c r="E408" s="385">
        <v>822</v>
      </c>
      <c r="F408" s="385">
        <v>677</v>
      </c>
      <c r="G408" s="385">
        <v>441</v>
      </c>
      <c r="H408" s="385">
        <v>218</v>
      </c>
      <c r="I408" s="385">
        <v>110</v>
      </c>
      <c r="J408" s="385">
        <v>43</v>
      </c>
    </row>
    <row r="409" spans="1:10" x14ac:dyDescent="0.25">
      <c r="A409" s="388">
        <v>44296</v>
      </c>
      <c r="B409" s="385">
        <v>76</v>
      </c>
      <c r="C409" s="385">
        <v>328</v>
      </c>
      <c r="D409" s="385">
        <v>529</v>
      </c>
      <c r="E409" s="385">
        <v>493</v>
      </c>
      <c r="F409" s="385">
        <v>406</v>
      </c>
      <c r="G409" s="385">
        <v>279</v>
      </c>
      <c r="H409" s="385">
        <v>190</v>
      </c>
      <c r="I409" s="385">
        <v>62</v>
      </c>
      <c r="J409" s="385">
        <v>37</v>
      </c>
    </row>
    <row r="410" spans="1:10" x14ac:dyDescent="0.25">
      <c r="A410" s="388">
        <v>44297</v>
      </c>
      <c r="B410" s="385">
        <v>27</v>
      </c>
      <c r="C410" s="385">
        <v>204</v>
      </c>
      <c r="D410" s="385">
        <v>229</v>
      </c>
      <c r="E410" s="385">
        <v>255</v>
      </c>
      <c r="F410" s="385">
        <v>237</v>
      </c>
      <c r="G410" s="385">
        <v>172</v>
      </c>
      <c r="H410" s="385">
        <v>62</v>
      </c>
      <c r="I410" s="385">
        <v>31</v>
      </c>
      <c r="J410" s="385">
        <v>11</v>
      </c>
    </row>
    <row r="411" spans="1:10" x14ac:dyDescent="0.25">
      <c r="A411" s="388">
        <v>44298</v>
      </c>
      <c r="B411" s="385">
        <v>17</v>
      </c>
      <c r="C411" s="385">
        <v>13</v>
      </c>
      <c r="D411" s="385">
        <v>34</v>
      </c>
      <c r="E411" s="385">
        <v>61</v>
      </c>
      <c r="F411" s="385">
        <v>52</v>
      </c>
      <c r="G411" s="385">
        <v>45</v>
      </c>
      <c r="H411" s="385">
        <v>10</v>
      </c>
      <c r="I411" s="385">
        <v>8</v>
      </c>
      <c r="J411" s="385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87F3-9CB3-423E-8593-21A03A317895}">
  <dimension ref="C1:E3514"/>
  <sheetViews>
    <sheetView workbookViewId="0"/>
  </sheetViews>
  <sheetFormatPr baseColWidth="10" defaultRowHeight="15" x14ac:dyDescent="0.25"/>
  <cols>
    <col min="3" max="3" width="11.42578125" style="248"/>
  </cols>
  <sheetData>
    <row r="1" spans="3:5" x14ac:dyDescent="0.25">
      <c r="C1" s="248" t="s">
        <v>301</v>
      </c>
      <c r="D1" t="s">
        <v>302</v>
      </c>
      <c r="E1" t="s">
        <v>303</v>
      </c>
    </row>
    <row r="2" spans="3:5" x14ac:dyDescent="0.25">
      <c r="C2" s="248">
        <v>44271</v>
      </c>
      <c r="D2" t="s">
        <v>304</v>
      </c>
      <c r="E2">
        <v>337</v>
      </c>
    </row>
    <row r="3" spans="3:5" x14ac:dyDescent="0.25">
      <c r="C3" s="248">
        <v>44272</v>
      </c>
      <c r="D3" t="s">
        <v>305</v>
      </c>
      <c r="E3">
        <v>168</v>
      </c>
    </row>
    <row r="4" spans="3:5" x14ac:dyDescent="0.25">
      <c r="C4" s="248">
        <v>44279</v>
      </c>
      <c r="D4" t="s">
        <v>306</v>
      </c>
      <c r="E4">
        <v>423</v>
      </c>
    </row>
    <row r="5" spans="3:5" x14ac:dyDescent="0.25">
      <c r="C5" s="248">
        <v>44272</v>
      </c>
      <c r="D5" t="s">
        <v>307</v>
      </c>
      <c r="E5">
        <v>283</v>
      </c>
    </row>
    <row r="6" spans="3:5" x14ac:dyDescent="0.25">
      <c r="C6" s="248">
        <v>44271</v>
      </c>
      <c r="D6" t="s">
        <v>305</v>
      </c>
      <c r="E6">
        <v>154</v>
      </c>
    </row>
    <row r="7" spans="3:5" x14ac:dyDescent="0.25">
      <c r="C7" s="248">
        <v>44272</v>
      </c>
      <c r="D7" t="s">
        <v>308</v>
      </c>
      <c r="E7">
        <v>84</v>
      </c>
    </row>
    <row r="8" spans="3:5" x14ac:dyDescent="0.25">
      <c r="C8" s="248">
        <v>44271</v>
      </c>
      <c r="D8" t="s">
        <v>307</v>
      </c>
      <c r="E8">
        <v>287</v>
      </c>
    </row>
    <row r="9" spans="3:5" x14ac:dyDescent="0.25">
      <c r="C9" s="248">
        <v>44270</v>
      </c>
      <c r="D9" t="s">
        <v>305</v>
      </c>
      <c r="E9">
        <v>132</v>
      </c>
    </row>
    <row r="10" spans="3:5" x14ac:dyDescent="0.25">
      <c r="C10" s="248">
        <v>44272</v>
      </c>
      <c r="D10" t="s">
        <v>306</v>
      </c>
      <c r="E10">
        <v>358</v>
      </c>
    </row>
    <row r="11" spans="3:5" x14ac:dyDescent="0.25">
      <c r="C11" s="248">
        <v>44272</v>
      </c>
      <c r="D11" t="s">
        <v>304</v>
      </c>
      <c r="E11">
        <v>351</v>
      </c>
    </row>
    <row r="12" spans="3:5" x14ac:dyDescent="0.25">
      <c r="C12" s="248">
        <v>44270</v>
      </c>
      <c r="D12" t="s">
        <v>309</v>
      </c>
      <c r="E12">
        <v>49</v>
      </c>
    </row>
    <row r="13" spans="3:5" x14ac:dyDescent="0.25">
      <c r="C13" s="248">
        <v>44267</v>
      </c>
      <c r="D13" t="s">
        <v>307</v>
      </c>
      <c r="E13">
        <v>265</v>
      </c>
    </row>
    <row r="14" spans="3:5" x14ac:dyDescent="0.25">
      <c r="C14" s="248">
        <v>44271</v>
      </c>
      <c r="D14" t="s">
        <v>306</v>
      </c>
      <c r="E14">
        <v>312</v>
      </c>
    </row>
    <row r="15" spans="3:5" x14ac:dyDescent="0.25">
      <c r="C15" s="248">
        <v>44271</v>
      </c>
      <c r="D15" t="s">
        <v>310</v>
      </c>
      <c r="E15">
        <v>208</v>
      </c>
    </row>
    <row r="16" spans="3:5" x14ac:dyDescent="0.25">
      <c r="C16" s="248">
        <v>44272</v>
      </c>
      <c r="D16" t="s">
        <v>309</v>
      </c>
      <c r="E16">
        <v>34</v>
      </c>
    </row>
    <row r="17" spans="3:5" x14ac:dyDescent="0.25">
      <c r="C17" s="248">
        <v>44265</v>
      </c>
      <c r="D17" t="s">
        <v>306</v>
      </c>
      <c r="E17">
        <v>348</v>
      </c>
    </row>
    <row r="18" spans="3:5" x14ac:dyDescent="0.25">
      <c r="C18" s="248">
        <v>44268</v>
      </c>
      <c r="D18" t="s">
        <v>304</v>
      </c>
      <c r="E18">
        <v>252</v>
      </c>
    </row>
    <row r="19" spans="3:5" x14ac:dyDescent="0.25">
      <c r="C19" s="248">
        <v>44272</v>
      </c>
      <c r="D19" t="s">
        <v>311</v>
      </c>
      <c r="E19">
        <v>117</v>
      </c>
    </row>
    <row r="20" spans="3:5" x14ac:dyDescent="0.25">
      <c r="C20" s="248">
        <v>44275</v>
      </c>
      <c r="D20" t="s">
        <v>311</v>
      </c>
      <c r="E20">
        <v>87</v>
      </c>
    </row>
    <row r="21" spans="3:5" x14ac:dyDescent="0.25">
      <c r="C21" s="248">
        <v>44263</v>
      </c>
      <c r="D21" t="s">
        <v>311</v>
      </c>
      <c r="E21">
        <v>130</v>
      </c>
    </row>
    <row r="22" spans="3:5" x14ac:dyDescent="0.25">
      <c r="C22" s="248">
        <v>44274</v>
      </c>
      <c r="D22" t="s">
        <v>310</v>
      </c>
      <c r="E22">
        <v>205</v>
      </c>
    </row>
    <row r="23" spans="3:5" x14ac:dyDescent="0.25">
      <c r="C23" s="248">
        <v>44273</v>
      </c>
      <c r="D23" t="s">
        <v>306</v>
      </c>
      <c r="E23">
        <v>328</v>
      </c>
    </row>
    <row r="24" spans="3:5" x14ac:dyDescent="0.25">
      <c r="C24" s="248">
        <v>44272</v>
      </c>
      <c r="D24" t="s">
        <v>310</v>
      </c>
      <c r="E24">
        <v>195</v>
      </c>
    </row>
    <row r="25" spans="3:5" x14ac:dyDescent="0.25">
      <c r="C25" s="248">
        <v>44271</v>
      </c>
      <c r="D25" t="s">
        <v>308</v>
      </c>
      <c r="E25">
        <v>55</v>
      </c>
    </row>
    <row r="26" spans="3:5" x14ac:dyDescent="0.25">
      <c r="C26" s="248">
        <v>44275</v>
      </c>
      <c r="D26" t="s">
        <v>306</v>
      </c>
      <c r="E26">
        <v>261</v>
      </c>
    </row>
    <row r="27" spans="3:5" x14ac:dyDescent="0.25">
      <c r="C27" s="248">
        <v>44286</v>
      </c>
      <c r="D27" t="s">
        <v>304</v>
      </c>
      <c r="E27">
        <v>923</v>
      </c>
    </row>
    <row r="28" spans="3:5" x14ac:dyDescent="0.25">
      <c r="C28" s="248">
        <v>44285</v>
      </c>
      <c r="D28" t="s">
        <v>307</v>
      </c>
      <c r="E28">
        <v>644</v>
      </c>
    </row>
    <row r="29" spans="3:5" x14ac:dyDescent="0.25">
      <c r="C29" s="248">
        <v>44277</v>
      </c>
      <c r="D29" t="s">
        <v>307</v>
      </c>
      <c r="E29">
        <v>395</v>
      </c>
    </row>
    <row r="30" spans="3:5" x14ac:dyDescent="0.25">
      <c r="C30" s="248">
        <v>44283</v>
      </c>
      <c r="D30" t="s">
        <v>306</v>
      </c>
      <c r="E30">
        <v>443</v>
      </c>
    </row>
    <row r="31" spans="3:5" x14ac:dyDescent="0.25">
      <c r="C31" s="248">
        <v>44279</v>
      </c>
      <c r="D31" t="s">
        <v>311</v>
      </c>
      <c r="E31">
        <v>173</v>
      </c>
    </row>
    <row r="32" spans="3:5" x14ac:dyDescent="0.25">
      <c r="C32" s="248">
        <v>44284</v>
      </c>
      <c r="D32" t="s">
        <v>306</v>
      </c>
      <c r="E32">
        <v>727</v>
      </c>
    </row>
    <row r="33" spans="3:5" x14ac:dyDescent="0.25">
      <c r="C33" s="248">
        <v>44287</v>
      </c>
      <c r="D33" t="s">
        <v>310</v>
      </c>
      <c r="E33">
        <v>458</v>
      </c>
    </row>
    <row r="34" spans="3:5" x14ac:dyDescent="0.25">
      <c r="C34" s="248">
        <v>44275</v>
      </c>
      <c r="D34" t="s">
        <v>310</v>
      </c>
      <c r="E34">
        <v>164</v>
      </c>
    </row>
    <row r="35" spans="3:5" x14ac:dyDescent="0.25">
      <c r="C35" s="248">
        <v>44285</v>
      </c>
      <c r="D35" t="s">
        <v>306</v>
      </c>
      <c r="E35">
        <v>773</v>
      </c>
    </row>
    <row r="36" spans="3:5" x14ac:dyDescent="0.25">
      <c r="C36" s="248">
        <v>44271</v>
      </c>
      <c r="D36" t="s">
        <v>311</v>
      </c>
      <c r="E36">
        <v>110</v>
      </c>
    </row>
    <row r="37" spans="3:5" x14ac:dyDescent="0.25">
      <c r="C37" s="248">
        <v>44273</v>
      </c>
      <c r="D37" t="s">
        <v>310</v>
      </c>
      <c r="E37">
        <v>197</v>
      </c>
    </row>
    <row r="38" spans="3:5" x14ac:dyDescent="0.25">
      <c r="C38" s="248">
        <v>44273</v>
      </c>
      <c r="D38" t="s">
        <v>311</v>
      </c>
      <c r="E38">
        <v>128</v>
      </c>
    </row>
    <row r="39" spans="3:5" x14ac:dyDescent="0.25">
      <c r="C39" s="248">
        <v>44273</v>
      </c>
      <c r="D39" t="s">
        <v>307</v>
      </c>
      <c r="E39">
        <v>252</v>
      </c>
    </row>
    <row r="40" spans="3:5" x14ac:dyDescent="0.25">
      <c r="C40" s="248">
        <v>44273</v>
      </c>
      <c r="D40" t="s">
        <v>304</v>
      </c>
      <c r="E40">
        <v>342</v>
      </c>
    </row>
    <row r="41" spans="3:5" x14ac:dyDescent="0.25">
      <c r="C41" s="248">
        <v>44273</v>
      </c>
      <c r="D41" t="s">
        <v>305</v>
      </c>
      <c r="E41">
        <v>143</v>
      </c>
    </row>
    <row r="42" spans="3:5" x14ac:dyDescent="0.25">
      <c r="C42" s="248">
        <v>44278</v>
      </c>
      <c r="D42" t="s">
        <v>306</v>
      </c>
      <c r="E42">
        <v>498</v>
      </c>
    </row>
    <row r="43" spans="3:5" x14ac:dyDescent="0.25">
      <c r="C43" s="248">
        <v>44273</v>
      </c>
      <c r="D43" t="s">
        <v>309</v>
      </c>
      <c r="E43">
        <v>44</v>
      </c>
    </row>
    <row r="44" spans="3:5" x14ac:dyDescent="0.25">
      <c r="C44" s="248">
        <v>44269</v>
      </c>
      <c r="D44" t="s">
        <v>305</v>
      </c>
      <c r="E44">
        <v>103</v>
      </c>
    </row>
    <row r="45" spans="3:5" x14ac:dyDescent="0.25">
      <c r="C45" s="248">
        <v>44269</v>
      </c>
      <c r="D45" t="s">
        <v>306</v>
      </c>
      <c r="E45">
        <v>198</v>
      </c>
    </row>
    <row r="46" spans="3:5" x14ac:dyDescent="0.25">
      <c r="C46" s="248">
        <v>44267</v>
      </c>
      <c r="D46" t="s">
        <v>306</v>
      </c>
      <c r="E46">
        <v>273</v>
      </c>
    </row>
    <row r="47" spans="3:5" x14ac:dyDescent="0.25">
      <c r="C47" s="248">
        <v>44267</v>
      </c>
      <c r="D47" t="s">
        <v>305</v>
      </c>
      <c r="E47">
        <v>191</v>
      </c>
    </row>
    <row r="48" spans="3:5" x14ac:dyDescent="0.25">
      <c r="C48" s="248">
        <v>44257</v>
      </c>
      <c r="D48" t="s">
        <v>306</v>
      </c>
      <c r="E48">
        <v>284</v>
      </c>
    </row>
    <row r="49" spans="3:5" x14ac:dyDescent="0.25">
      <c r="C49" s="248">
        <v>44267</v>
      </c>
      <c r="D49" t="s">
        <v>310</v>
      </c>
      <c r="E49">
        <v>199</v>
      </c>
    </row>
    <row r="50" spans="3:5" x14ac:dyDescent="0.25">
      <c r="C50" s="248">
        <v>44268</v>
      </c>
      <c r="D50" t="s">
        <v>308</v>
      </c>
      <c r="E50">
        <v>42</v>
      </c>
    </row>
    <row r="51" spans="3:5" x14ac:dyDescent="0.25">
      <c r="C51" s="248">
        <v>44269</v>
      </c>
      <c r="D51" t="s">
        <v>310</v>
      </c>
      <c r="E51">
        <v>152</v>
      </c>
    </row>
    <row r="52" spans="3:5" x14ac:dyDescent="0.25">
      <c r="C52" s="248">
        <v>44267</v>
      </c>
      <c r="D52" t="s">
        <v>304</v>
      </c>
      <c r="E52">
        <v>277</v>
      </c>
    </row>
    <row r="53" spans="3:5" x14ac:dyDescent="0.25">
      <c r="C53" s="248">
        <v>44257</v>
      </c>
      <c r="D53" t="s">
        <v>307</v>
      </c>
      <c r="E53">
        <v>203</v>
      </c>
    </row>
    <row r="54" spans="3:5" x14ac:dyDescent="0.25">
      <c r="C54" s="248">
        <v>44268</v>
      </c>
      <c r="D54" t="s">
        <v>306</v>
      </c>
      <c r="E54">
        <v>254</v>
      </c>
    </row>
    <row r="55" spans="3:5" x14ac:dyDescent="0.25">
      <c r="C55" s="248">
        <v>44257</v>
      </c>
      <c r="D55" t="s">
        <v>305</v>
      </c>
      <c r="E55">
        <v>104</v>
      </c>
    </row>
    <row r="56" spans="3:5" x14ac:dyDescent="0.25">
      <c r="C56" s="248">
        <v>44269</v>
      </c>
      <c r="D56" t="s">
        <v>307</v>
      </c>
      <c r="E56">
        <v>186</v>
      </c>
    </row>
    <row r="57" spans="3:5" x14ac:dyDescent="0.25">
      <c r="C57" s="248">
        <v>44269</v>
      </c>
      <c r="D57" t="s">
        <v>304</v>
      </c>
      <c r="E57">
        <v>183</v>
      </c>
    </row>
    <row r="58" spans="3:5" x14ac:dyDescent="0.25">
      <c r="C58" s="248">
        <v>44267</v>
      </c>
      <c r="D58" t="s">
        <v>309</v>
      </c>
      <c r="E58">
        <v>38</v>
      </c>
    </row>
    <row r="59" spans="3:5" x14ac:dyDescent="0.25">
      <c r="C59" s="248">
        <v>44258</v>
      </c>
      <c r="D59" t="s">
        <v>307</v>
      </c>
      <c r="E59">
        <v>216</v>
      </c>
    </row>
    <row r="60" spans="3:5" x14ac:dyDescent="0.25">
      <c r="C60" s="248">
        <v>44268</v>
      </c>
      <c r="D60" t="s">
        <v>310</v>
      </c>
      <c r="E60">
        <v>163</v>
      </c>
    </row>
    <row r="61" spans="3:5" x14ac:dyDescent="0.25">
      <c r="C61" s="248">
        <v>44268</v>
      </c>
      <c r="D61" t="s">
        <v>307</v>
      </c>
      <c r="E61">
        <v>218</v>
      </c>
    </row>
    <row r="62" spans="3:5" x14ac:dyDescent="0.25">
      <c r="C62" s="248">
        <v>44269</v>
      </c>
      <c r="D62" t="s">
        <v>311</v>
      </c>
      <c r="E62">
        <v>84</v>
      </c>
    </row>
    <row r="63" spans="3:5" x14ac:dyDescent="0.25">
      <c r="C63" s="248">
        <v>44266</v>
      </c>
      <c r="D63" t="s">
        <v>311</v>
      </c>
      <c r="E63">
        <v>103</v>
      </c>
    </row>
    <row r="64" spans="3:5" x14ac:dyDescent="0.25">
      <c r="C64" s="248">
        <v>44268</v>
      </c>
      <c r="D64" t="s">
        <v>312</v>
      </c>
      <c r="E64">
        <v>15</v>
      </c>
    </row>
    <row r="65" spans="3:5" x14ac:dyDescent="0.25">
      <c r="C65" s="248">
        <v>44283</v>
      </c>
      <c r="D65" t="s">
        <v>310</v>
      </c>
      <c r="E65">
        <v>296</v>
      </c>
    </row>
    <row r="66" spans="3:5" x14ac:dyDescent="0.25">
      <c r="C66" s="248">
        <v>44279</v>
      </c>
      <c r="D66" t="s">
        <v>307</v>
      </c>
      <c r="E66">
        <v>390</v>
      </c>
    </row>
    <row r="67" spans="3:5" x14ac:dyDescent="0.25">
      <c r="C67" s="248">
        <v>44288</v>
      </c>
      <c r="D67" t="s">
        <v>304</v>
      </c>
      <c r="E67">
        <v>681</v>
      </c>
    </row>
    <row r="68" spans="3:5" x14ac:dyDescent="0.25">
      <c r="C68" s="248">
        <v>44294</v>
      </c>
      <c r="D68" t="s">
        <v>304</v>
      </c>
      <c r="E68">
        <v>1065</v>
      </c>
    </row>
    <row r="69" spans="3:5" x14ac:dyDescent="0.25">
      <c r="C69" s="248">
        <v>44292</v>
      </c>
      <c r="D69" t="s">
        <v>307</v>
      </c>
      <c r="E69">
        <v>938</v>
      </c>
    </row>
    <row r="70" spans="3:5" x14ac:dyDescent="0.25">
      <c r="C70" s="248">
        <v>44279</v>
      </c>
      <c r="D70" t="s">
        <v>304</v>
      </c>
      <c r="E70">
        <v>456</v>
      </c>
    </row>
    <row r="71" spans="3:5" x14ac:dyDescent="0.25">
      <c r="C71" s="248">
        <v>44268</v>
      </c>
      <c r="D71" t="s">
        <v>311</v>
      </c>
      <c r="E71">
        <v>88</v>
      </c>
    </row>
    <row r="72" spans="3:5" x14ac:dyDescent="0.25">
      <c r="C72" s="248">
        <v>44269</v>
      </c>
      <c r="D72" t="s">
        <v>309</v>
      </c>
      <c r="E72">
        <v>23</v>
      </c>
    </row>
    <row r="73" spans="3:5" x14ac:dyDescent="0.25">
      <c r="C73" s="248">
        <v>44274</v>
      </c>
      <c r="D73" t="s">
        <v>308</v>
      </c>
      <c r="E73">
        <v>74</v>
      </c>
    </row>
    <row r="74" spans="3:5" x14ac:dyDescent="0.25">
      <c r="C74" s="248">
        <v>44270</v>
      </c>
      <c r="D74" t="s">
        <v>307</v>
      </c>
      <c r="E74">
        <v>304</v>
      </c>
    </row>
    <row r="75" spans="3:5" x14ac:dyDescent="0.25">
      <c r="C75" s="248">
        <v>44270</v>
      </c>
      <c r="D75" t="s">
        <v>310</v>
      </c>
      <c r="E75">
        <v>242</v>
      </c>
    </row>
    <row r="76" spans="3:5" x14ac:dyDescent="0.25">
      <c r="C76" s="248">
        <v>44270</v>
      </c>
      <c r="D76" t="s">
        <v>308</v>
      </c>
      <c r="E76">
        <v>78</v>
      </c>
    </row>
    <row r="77" spans="3:5" x14ac:dyDescent="0.25">
      <c r="C77" s="248">
        <v>44267</v>
      </c>
      <c r="D77" t="s">
        <v>308</v>
      </c>
      <c r="E77">
        <v>80</v>
      </c>
    </row>
    <row r="78" spans="3:5" x14ac:dyDescent="0.25">
      <c r="C78" s="248">
        <v>44266</v>
      </c>
      <c r="D78" t="s">
        <v>307</v>
      </c>
      <c r="E78">
        <v>240</v>
      </c>
    </row>
    <row r="79" spans="3:5" x14ac:dyDescent="0.25">
      <c r="C79" s="248">
        <v>44266</v>
      </c>
      <c r="D79" t="s">
        <v>304</v>
      </c>
      <c r="E79">
        <v>285</v>
      </c>
    </row>
    <row r="80" spans="3:5" x14ac:dyDescent="0.25">
      <c r="C80" s="248">
        <v>44267</v>
      </c>
      <c r="D80" t="s">
        <v>312</v>
      </c>
      <c r="E80">
        <v>49</v>
      </c>
    </row>
    <row r="81" spans="3:5" x14ac:dyDescent="0.25">
      <c r="C81" s="248">
        <v>44268</v>
      </c>
      <c r="D81" t="s">
        <v>305</v>
      </c>
      <c r="E81">
        <v>169</v>
      </c>
    </row>
    <row r="82" spans="3:5" x14ac:dyDescent="0.25">
      <c r="C82" s="248">
        <v>44266</v>
      </c>
      <c r="D82" t="s">
        <v>305</v>
      </c>
      <c r="E82">
        <v>181</v>
      </c>
    </row>
    <row r="83" spans="3:5" x14ac:dyDescent="0.25">
      <c r="C83" s="248">
        <v>44270</v>
      </c>
      <c r="D83" t="s">
        <v>306</v>
      </c>
      <c r="E83">
        <v>333</v>
      </c>
    </row>
    <row r="84" spans="3:5" x14ac:dyDescent="0.25">
      <c r="C84" s="248">
        <v>44270</v>
      </c>
      <c r="D84" t="s">
        <v>304</v>
      </c>
      <c r="E84">
        <v>283</v>
      </c>
    </row>
    <row r="85" spans="3:5" x14ac:dyDescent="0.25">
      <c r="C85" s="248">
        <v>44266</v>
      </c>
      <c r="D85" t="s">
        <v>306</v>
      </c>
      <c r="E85">
        <v>286</v>
      </c>
    </row>
    <row r="86" spans="3:5" x14ac:dyDescent="0.25">
      <c r="C86" s="248">
        <v>44250</v>
      </c>
      <c r="D86" t="s">
        <v>307</v>
      </c>
      <c r="E86">
        <v>220</v>
      </c>
    </row>
    <row r="87" spans="3:5" x14ac:dyDescent="0.25">
      <c r="C87" s="248">
        <v>44270</v>
      </c>
      <c r="D87" t="s">
        <v>311</v>
      </c>
      <c r="E87">
        <v>138</v>
      </c>
    </row>
    <row r="88" spans="3:5" x14ac:dyDescent="0.25">
      <c r="C88" s="248">
        <v>44275</v>
      </c>
      <c r="D88" t="s">
        <v>304</v>
      </c>
      <c r="E88">
        <v>255</v>
      </c>
    </row>
    <row r="89" spans="3:5" x14ac:dyDescent="0.25">
      <c r="C89" s="248">
        <v>44284</v>
      </c>
      <c r="D89" t="s">
        <v>311</v>
      </c>
      <c r="E89">
        <v>236</v>
      </c>
    </row>
    <row r="90" spans="3:5" x14ac:dyDescent="0.25">
      <c r="C90" s="248">
        <v>44266</v>
      </c>
      <c r="D90" t="s">
        <v>312</v>
      </c>
      <c r="E90">
        <v>39</v>
      </c>
    </row>
    <row r="91" spans="3:5" x14ac:dyDescent="0.25">
      <c r="C91" s="248">
        <v>44275</v>
      </c>
      <c r="D91" t="s">
        <v>307</v>
      </c>
      <c r="E91">
        <v>235</v>
      </c>
    </row>
    <row r="92" spans="3:5" x14ac:dyDescent="0.25">
      <c r="C92" s="248">
        <v>44219</v>
      </c>
      <c r="D92" t="s">
        <v>306</v>
      </c>
      <c r="E92">
        <v>277</v>
      </c>
    </row>
    <row r="93" spans="3:5" x14ac:dyDescent="0.25">
      <c r="C93" s="248">
        <v>44281</v>
      </c>
      <c r="D93" t="s">
        <v>311</v>
      </c>
      <c r="E93">
        <v>210</v>
      </c>
    </row>
    <row r="94" spans="3:5" x14ac:dyDescent="0.25">
      <c r="C94" s="248">
        <v>44277</v>
      </c>
      <c r="D94" t="s">
        <v>304</v>
      </c>
      <c r="E94">
        <v>409</v>
      </c>
    </row>
    <row r="95" spans="3:5" x14ac:dyDescent="0.25">
      <c r="C95" s="248">
        <v>44263</v>
      </c>
      <c r="D95" t="s">
        <v>306</v>
      </c>
      <c r="E95">
        <v>321</v>
      </c>
    </row>
    <row r="96" spans="3:5" x14ac:dyDescent="0.25">
      <c r="C96" s="248">
        <v>44266</v>
      </c>
      <c r="D96" t="s">
        <v>308</v>
      </c>
      <c r="E96">
        <v>53</v>
      </c>
    </row>
    <row r="97" spans="3:5" x14ac:dyDescent="0.25">
      <c r="C97" s="248">
        <v>44280</v>
      </c>
      <c r="D97" t="s">
        <v>305</v>
      </c>
      <c r="E97">
        <v>215</v>
      </c>
    </row>
    <row r="98" spans="3:5" x14ac:dyDescent="0.25">
      <c r="C98" s="248">
        <v>44285</v>
      </c>
      <c r="D98" t="s">
        <v>304</v>
      </c>
      <c r="E98">
        <v>815</v>
      </c>
    </row>
    <row r="99" spans="3:5" x14ac:dyDescent="0.25">
      <c r="C99" s="248">
        <v>44280</v>
      </c>
      <c r="D99" t="s">
        <v>308</v>
      </c>
      <c r="E99">
        <v>118</v>
      </c>
    </row>
    <row r="100" spans="3:5" x14ac:dyDescent="0.25">
      <c r="C100" s="248">
        <v>44271</v>
      </c>
      <c r="D100" t="s">
        <v>312</v>
      </c>
      <c r="E100">
        <v>49</v>
      </c>
    </row>
    <row r="101" spans="3:5" x14ac:dyDescent="0.25">
      <c r="C101" s="248">
        <v>44293</v>
      </c>
      <c r="D101" t="s">
        <v>310</v>
      </c>
      <c r="E101">
        <v>591</v>
      </c>
    </row>
    <row r="102" spans="3:5" x14ac:dyDescent="0.25">
      <c r="C102" s="248">
        <v>44274</v>
      </c>
      <c r="D102" t="s">
        <v>311</v>
      </c>
      <c r="E102">
        <v>128</v>
      </c>
    </row>
    <row r="103" spans="3:5" x14ac:dyDescent="0.25">
      <c r="C103" s="248">
        <v>44274</v>
      </c>
      <c r="D103" t="s">
        <v>307</v>
      </c>
      <c r="E103">
        <v>328</v>
      </c>
    </row>
    <row r="104" spans="3:5" x14ac:dyDescent="0.25">
      <c r="C104" s="248">
        <v>44274</v>
      </c>
      <c r="D104" t="s">
        <v>304</v>
      </c>
      <c r="E104">
        <v>302</v>
      </c>
    </row>
    <row r="105" spans="3:5" x14ac:dyDescent="0.25">
      <c r="C105" s="248">
        <v>44268</v>
      </c>
      <c r="D105" t="s">
        <v>309</v>
      </c>
      <c r="E105">
        <v>30</v>
      </c>
    </row>
    <row r="106" spans="3:5" x14ac:dyDescent="0.25">
      <c r="C106" s="248">
        <v>44276</v>
      </c>
      <c r="D106" t="s">
        <v>310</v>
      </c>
      <c r="E106">
        <v>143</v>
      </c>
    </row>
    <row r="107" spans="3:5" x14ac:dyDescent="0.25">
      <c r="C107" s="248">
        <v>44284</v>
      </c>
      <c r="D107" t="s">
        <v>304</v>
      </c>
      <c r="E107">
        <v>725</v>
      </c>
    </row>
    <row r="108" spans="3:5" x14ac:dyDescent="0.25">
      <c r="C108" s="248">
        <v>44273</v>
      </c>
      <c r="D108" t="s">
        <v>312</v>
      </c>
      <c r="E108">
        <v>33</v>
      </c>
    </row>
    <row r="109" spans="3:5" x14ac:dyDescent="0.25">
      <c r="C109" s="248">
        <v>44274</v>
      </c>
      <c r="D109" t="s">
        <v>306</v>
      </c>
      <c r="E109">
        <v>350</v>
      </c>
    </row>
    <row r="110" spans="3:5" x14ac:dyDescent="0.25">
      <c r="C110" s="248">
        <v>44257</v>
      </c>
      <c r="D110" t="s">
        <v>312</v>
      </c>
      <c r="E110">
        <v>33</v>
      </c>
    </row>
    <row r="111" spans="3:5" x14ac:dyDescent="0.25">
      <c r="C111" s="248">
        <v>44281</v>
      </c>
      <c r="D111" t="s">
        <v>304</v>
      </c>
      <c r="E111">
        <v>687</v>
      </c>
    </row>
    <row r="112" spans="3:5" x14ac:dyDescent="0.25">
      <c r="C112" s="248">
        <v>44274</v>
      </c>
      <c r="D112" t="s">
        <v>305</v>
      </c>
      <c r="E112">
        <v>183</v>
      </c>
    </row>
    <row r="113" spans="3:5" x14ac:dyDescent="0.25">
      <c r="C113" s="248">
        <v>44281</v>
      </c>
      <c r="D113" t="s">
        <v>306</v>
      </c>
      <c r="E113">
        <v>607</v>
      </c>
    </row>
    <row r="114" spans="3:5" x14ac:dyDescent="0.25">
      <c r="C114" s="248">
        <v>44278</v>
      </c>
      <c r="D114" t="s">
        <v>307</v>
      </c>
      <c r="E114">
        <v>429</v>
      </c>
    </row>
    <row r="115" spans="3:5" x14ac:dyDescent="0.25">
      <c r="C115" s="248">
        <v>44292</v>
      </c>
      <c r="D115" t="s">
        <v>304</v>
      </c>
      <c r="E115">
        <v>1213</v>
      </c>
    </row>
    <row r="116" spans="3:5" x14ac:dyDescent="0.25">
      <c r="C116" s="248">
        <v>44202</v>
      </c>
      <c r="D116" t="s">
        <v>307</v>
      </c>
      <c r="E116">
        <v>379</v>
      </c>
    </row>
    <row r="117" spans="3:5" x14ac:dyDescent="0.25">
      <c r="C117" s="248">
        <v>44273</v>
      </c>
      <c r="D117" t="s">
        <v>308</v>
      </c>
      <c r="E117">
        <v>70</v>
      </c>
    </row>
    <row r="118" spans="3:5" x14ac:dyDescent="0.25">
      <c r="C118" s="248">
        <v>44285</v>
      </c>
      <c r="D118" t="s">
        <v>310</v>
      </c>
      <c r="E118">
        <v>454</v>
      </c>
    </row>
    <row r="119" spans="3:5" x14ac:dyDescent="0.25">
      <c r="C119" s="248">
        <v>44278</v>
      </c>
      <c r="D119" t="s">
        <v>310</v>
      </c>
      <c r="E119">
        <v>292</v>
      </c>
    </row>
    <row r="120" spans="3:5" x14ac:dyDescent="0.25">
      <c r="C120" s="248">
        <v>44287</v>
      </c>
      <c r="D120" t="s">
        <v>306</v>
      </c>
      <c r="E120">
        <v>822</v>
      </c>
    </row>
    <row r="121" spans="3:5" x14ac:dyDescent="0.25">
      <c r="C121" s="248">
        <v>44202</v>
      </c>
      <c r="D121" t="s">
        <v>311</v>
      </c>
      <c r="E121">
        <v>164</v>
      </c>
    </row>
    <row r="122" spans="3:5" x14ac:dyDescent="0.25">
      <c r="C122" s="248">
        <v>44278</v>
      </c>
      <c r="D122" t="s">
        <v>305</v>
      </c>
      <c r="E122">
        <v>195</v>
      </c>
    </row>
    <row r="123" spans="3:5" x14ac:dyDescent="0.25">
      <c r="C123" s="248">
        <v>44295</v>
      </c>
      <c r="D123" t="s">
        <v>306</v>
      </c>
      <c r="E123">
        <v>822</v>
      </c>
    </row>
    <row r="124" spans="3:5" x14ac:dyDescent="0.25">
      <c r="C124" s="248">
        <v>44290</v>
      </c>
      <c r="D124" t="s">
        <v>304</v>
      </c>
      <c r="E124">
        <v>684</v>
      </c>
    </row>
    <row r="125" spans="3:5" x14ac:dyDescent="0.25">
      <c r="C125" s="248">
        <v>44258</v>
      </c>
      <c r="D125" t="s">
        <v>310</v>
      </c>
      <c r="E125">
        <v>159</v>
      </c>
    </row>
    <row r="126" spans="3:5" x14ac:dyDescent="0.25">
      <c r="C126" s="248">
        <v>44286</v>
      </c>
      <c r="D126" t="s">
        <v>306</v>
      </c>
      <c r="E126">
        <v>818</v>
      </c>
    </row>
    <row r="127" spans="3:5" x14ac:dyDescent="0.25">
      <c r="C127" s="248">
        <v>44200</v>
      </c>
      <c r="D127" t="s">
        <v>307</v>
      </c>
      <c r="E127">
        <v>396</v>
      </c>
    </row>
    <row r="128" spans="3:5" x14ac:dyDescent="0.25">
      <c r="C128" s="248">
        <v>44257</v>
      </c>
      <c r="D128" t="s">
        <v>310</v>
      </c>
      <c r="E128">
        <v>163</v>
      </c>
    </row>
    <row r="129" spans="3:5" x14ac:dyDescent="0.25">
      <c r="C129" s="248">
        <v>44274</v>
      </c>
      <c r="D129" t="s">
        <v>309</v>
      </c>
      <c r="E129">
        <v>54</v>
      </c>
    </row>
    <row r="130" spans="3:5" x14ac:dyDescent="0.25">
      <c r="C130" s="248">
        <v>44272</v>
      </c>
      <c r="D130" t="s">
        <v>312</v>
      </c>
      <c r="E130">
        <v>26</v>
      </c>
    </row>
    <row r="131" spans="3:5" x14ac:dyDescent="0.25">
      <c r="C131" s="248">
        <v>44161</v>
      </c>
      <c r="D131" t="s">
        <v>312</v>
      </c>
      <c r="E131">
        <v>18</v>
      </c>
    </row>
    <row r="132" spans="3:5" x14ac:dyDescent="0.25">
      <c r="C132" s="248">
        <v>44163</v>
      </c>
      <c r="D132" t="s">
        <v>308</v>
      </c>
      <c r="E132">
        <v>15</v>
      </c>
    </row>
    <row r="133" spans="3:5" x14ac:dyDescent="0.25">
      <c r="C133" s="248">
        <v>44175</v>
      </c>
      <c r="D133" t="s">
        <v>312</v>
      </c>
      <c r="E133">
        <v>17</v>
      </c>
    </row>
    <row r="134" spans="3:5" x14ac:dyDescent="0.25">
      <c r="C134" s="248">
        <v>44162</v>
      </c>
      <c r="D134" t="s">
        <v>308</v>
      </c>
      <c r="E134">
        <v>21</v>
      </c>
    </row>
    <row r="135" spans="3:5" x14ac:dyDescent="0.25">
      <c r="C135" s="248">
        <v>44162</v>
      </c>
      <c r="D135" t="s">
        <v>312</v>
      </c>
      <c r="E135">
        <v>18</v>
      </c>
    </row>
    <row r="136" spans="3:5" x14ac:dyDescent="0.25">
      <c r="C136" s="248">
        <v>44287</v>
      </c>
      <c r="D136" t="s">
        <v>304</v>
      </c>
      <c r="E136">
        <v>967</v>
      </c>
    </row>
    <row r="137" spans="3:5" x14ac:dyDescent="0.25">
      <c r="C137" s="248">
        <v>44278</v>
      </c>
      <c r="D137" t="s">
        <v>304</v>
      </c>
      <c r="E137">
        <v>463</v>
      </c>
    </row>
    <row r="138" spans="3:5" x14ac:dyDescent="0.25">
      <c r="C138" s="248">
        <v>44264</v>
      </c>
      <c r="D138" t="s">
        <v>310</v>
      </c>
      <c r="E138">
        <v>192</v>
      </c>
    </row>
    <row r="139" spans="3:5" x14ac:dyDescent="0.25">
      <c r="C139" s="248">
        <v>44162</v>
      </c>
      <c r="D139" t="s">
        <v>310</v>
      </c>
      <c r="E139">
        <v>81</v>
      </c>
    </row>
    <row r="140" spans="3:5" x14ac:dyDescent="0.25">
      <c r="C140" s="248">
        <v>44173</v>
      </c>
      <c r="D140" t="s">
        <v>312</v>
      </c>
      <c r="E140">
        <v>23</v>
      </c>
    </row>
    <row r="141" spans="3:5" x14ac:dyDescent="0.25">
      <c r="C141" s="248">
        <v>44182</v>
      </c>
      <c r="D141" t="s">
        <v>312</v>
      </c>
      <c r="E141">
        <v>17</v>
      </c>
    </row>
    <row r="142" spans="3:5" x14ac:dyDescent="0.25">
      <c r="C142" s="248">
        <v>44163</v>
      </c>
      <c r="D142" t="s">
        <v>311</v>
      </c>
      <c r="E142">
        <v>37</v>
      </c>
    </row>
    <row r="143" spans="3:5" x14ac:dyDescent="0.25">
      <c r="C143" s="248">
        <v>44291</v>
      </c>
      <c r="D143" t="s">
        <v>306</v>
      </c>
      <c r="E143">
        <v>1129</v>
      </c>
    </row>
    <row r="144" spans="3:5" x14ac:dyDescent="0.25">
      <c r="C144" s="248">
        <v>44289</v>
      </c>
      <c r="D144" t="s">
        <v>304</v>
      </c>
      <c r="E144">
        <v>737</v>
      </c>
    </row>
    <row r="145" spans="3:5" x14ac:dyDescent="0.25">
      <c r="C145" s="248">
        <v>44164</v>
      </c>
      <c r="D145" t="s">
        <v>308</v>
      </c>
      <c r="E145">
        <v>19</v>
      </c>
    </row>
    <row r="146" spans="3:5" x14ac:dyDescent="0.25">
      <c r="C146" s="248">
        <v>44291</v>
      </c>
      <c r="D146" t="s">
        <v>304</v>
      </c>
      <c r="E146">
        <v>1108</v>
      </c>
    </row>
    <row r="147" spans="3:5" x14ac:dyDescent="0.25">
      <c r="C147" s="248">
        <v>44165</v>
      </c>
      <c r="D147" t="s">
        <v>312</v>
      </c>
      <c r="E147">
        <v>21</v>
      </c>
    </row>
    <row r="148" spans="3:5" x14ac:dyDescent="0.25">
      <c r="C148" s="248">
        <v>44168</v>
      </c>
      <c r="D148" t="s">
        <v>311</v>
      </c>
      <c r="E148">
        <v>41</v>
      </c>
    </row>
    <row r="149" spans="3:5" x14ac:dyDescent="0.25">
      <c r="C149" s="248">
        <v>44155</v>
      </c>
      <c r="D149" t="s">
        <v>312</v>
      </c>
      <c r="E149">
        <v>17</v>
      </c>
    </row>
    <row r="150" spans="3:5" x14ac:dyDescent="0.25">
      <c r="C150" s="248">
        <v>44183</v>
      </c>
      <c r="D150" t="s">
        <v>308</v>
      </c>
      <c r="E150">
        <v>42</v>
      </c>
    </row>
    <row r="151" spans="3:5" x14ac:dyDescent="0.25">
      <c r="C151" s="248">
        <v>44170</v>
      </c>
      <c r="D151" t="s">
        <v>312</v>
      </c>
      <c r="E151">
        <v>14</v>
      </c>
    </row>
    <row r="152" spans="3:5" x14ac:dyDescent="0.25">
      <c r="C152" s="248">
        <v>44253</v>
      </c>
      <c r="D152" t="s">
        <v>311</v>
      </c>
      <c r="E152">
        <v>101</v>
      </c>
    </row>
    <row r="153" spans="3:5" x14ac:dyDescent="0.25">
      <c r="C153" s="248">
        <v>44164</v>
      </c>
      <c r="D153" t="s">
        <v>305</v>
      </c>
      <c r="E153">
        <v>33</v>
      </c>
    </row>
    <row r="154" spans="3:5" x14ac:dyDescent="0.25">
      <c r="C154" s="248">
        <v>44256</v>
      </c>
      <c r="D154" t="s">
        <v>307</v>
      </c>
      <c r="E154">
        <v>259</v>
      </c>
    </row>
    <row r="155" spans="3:5" x14ac:dyDescent="0.25">
      <c r="C155" s="248">
        <v>44165</v>
      </c>
      <c r="D155" t="s">
        <v>311</v>
      </c>
      <c r="E155">
        <v>50</v>
      </c>
    </row>
    <row r="156" spans="3:5" x14ac:dyDescent="0.25">
      <c r="C156" s="248">
        <v>44190</v>
      </c>
      <c r="D156" t="s">
        <v>307</v>
      </c>
      <c r="E156">
        <v>92</v>
      </c>
    </row>
    <row r="157" spans="3:5" x14ac:dyDescent="0.25">
      <c r="C157" s="248">
        <v>44281</v>
      </c>
      <c r="D157" t="s">
        <v>307</v>
      </c>
      <c r="E157">
        <v>511</v>
      </c>
    </row>
    <row r="158" spans="3:5" x14ac:dyDescent="0.25">
      <c r="C158" s="248">
        <v>44282</v>
      </c>
      <c r="D158" t="s">
        <v>304</v>
      </c>
      <c r="E158">
        <v>521</v>
      </c>
    </row>
    <row r="159" spans="3:5" x14ac:dyDescent="0.25">
      <c r="C159" s="248">
        <v>44295</v>
      </c>
      <c r="D159" t="s">
        <v>311</v>
      </c>
      <c r="E159">
        <v>218</v>
      </c>
    </row>
    <row r="160" spans="3:5" x14ac:dyDescent="0.25">
      <c r="C160" s="248">
        <v>44279</v>
      </c>
      <c r="D160" t="s">
        <v>310</v>
      </c>
      <c r="E160">
        <v>262</v>
      </c>
    </row>
    <row r="161" spans="3:5" x14ac:dyDescent="0.25">
      <c r="C161" s="248">
        <v>44295</v>
      </c>
      <c r="D161" t="s">
        <v>307</v>
      </c>
      <c r="E161">
        <v>677</v>
      </c>
    </row>
    <row r="162" spans="3:5" x14ac:dyDescent="0.25">
      <c r="C162" s="248">
        <v>44290</v>
      </c>
      <c r="D162" t="s">
        <v>306</v>
      </c>
      <c r="E162">
        <v>674</v>
      </c>
    </row>
    <row r="163" spans="3:5" x14ac:dyDescent="0.25">
      <c r="C163" s="248">
        <v>44277</v>
      </c>
      <c r="D163" t="s">
        <v>305</v>
      </c>
      <c r="E163">
        <v>192</v>
      </c>
    </row>
    <row r="164" spans="3:5" x14ac:dyDescent="0.25">
      <c r="C164" s="248">
        <v>44295</v>
      </c>
      <c r="D164" t="s">
        <v>305</v>
      </c>
      <c r="E164">
        <v>426</v>
      </c>
    </row>
    <row r="165" spans="3:5" x14ac:dyDescent="0.25">
      <c r="C165" s="248">
        <v>44284</v>
      </c>
      <c r="D165" t="s">
        <v>310</v>
      </c>
      <c r="E165">
        <v>447</v>
      </c>
    </row>
    <row r="166" spans="3:5" x14ac:dyDescent="0.25">
      <c r="C166" s="248">
        <v>44282</v>
      </c>
      <c r="D166" t="s">
        <v>305</v>
      </c>
      <c r="E166">
        <v>202</v>
      </c>
    </row>
    <row r="167" spans="3:5" x14ac:dyDescent="0.25">
      <c r="C167" s="248">
        <v>44283</v>
      </c>
      <c r="D167" t="s">
        <v>311</v>
      </c>
      <c r="E167">
        <v>155</v>
      </c>
    </row>
    <row r="168" spans="3:5" x14ac:dyDescent="0.25">
      <c r="C168" s="248">
        <v>44280</v>
      </c>
      <c r="D168" t="s">
        <v>307</v>
      </c>
      <c r="E168">
        <v>470</v>
      </c>
    </row>
    <row r="169" spans="3:5" x14ac:dyDescent="0.25">
      <c r="C169" s="248">
        <v>44284</v>
      </c>
      <c r="D169" t="s">
        <v>307</v>
      </c>
      <c r="E169">
        <v>586</v>
      </c>
    </row>
    <row r="170" spans="3:5" x14ac:dyDescent="0.25">
      <c r="C170" s="248">
        <v>44290</v>
      </c>
      <c r="D170" t="s">
        <v>307</v>
      </c>
      <c r="E170">
        <v>584</v>
      </c>
    </row>
    <row r="171" spans="3:5" x14ac:dyDescent="0.25">
      <c r="C171" s="248">
        <v>44282</v>
      </c>
      <c r="D171" t="s">
        <v>311</v>
      </c>
      <c r="E171">
        <v>179</v>
      </c>
    </row>
    <row r="172" spans="3:5" x14ac:dyDescent="0.25">
      <c r="C172" s="248">
        <v>44294</v>
      </c>
      <c r="D172" t="s">
        <v>310</v>
      </c>
      <c r="E172">
        <v>543</v>
      </c>
    </row>
    <row r="173" spans="3:5" x14ac:dyDescent="0.25">
      <c r="C173" s="248">
        <v>44279</v>
      </c>
      <c r="D173" t="s">
        <v>305</v>
      </c>
      <c r="E173">
        <v>212</v>
      </c>
    </row>
    <row r="174" spans="3:5" x14ac:dyDescent="0.25">
      <c r="C174" s="248">
        <v>44280</v>
      </c>
      <c r="D174" t="s">
        <v>304</v>
      </c>
      <c r="E174">
        <v>597</v>
      </c>
    </row>
    <row r="175" spans="3:5" x14ac:dyDescent="0.25">
      <c r="C175" s="248">
        <v>44276</v>
      </c>
      <c r="D175" t="s">
        <v>304</v>
      </c>
      <c r="E175">
        <v>202</v>
      </c>
    </row>
    <row r="176" spans="3:5" x14ac:dyDescent="0.25">
      <c r="C176" s="248">
        <v>44282</v>
      </c>
      <c r="D176" t="s">
        <v>306</v>
      </c>
      <c r="E176">
        <v>522</v>
      </c>
    </row>
    <row r="177" spans="3:5" x14ac:dyDescent="0.25">
      <c r="C177" s="248">
        <v>44286</v>
      </c>
      <c r="D177" t="s">
        <v>312</v>
      </c>
      <c r="E177">
        <v>60</v>
      </c>
    </row>
    <row r="178" spans="3:5" x14ac:dyDescent="0.25">
      <c r="C178" s="248">
        <v>44294</v>
      </c>
      <c r="D178" t="s">
        <v>311</v>
      </c>
      <c r="E178">
        <v>240</v>
      </c>
    </row>
    <row r="179" spans="3:5" x14ac:dyDescent="0.25">
      <c r="C179" s="248">
        <v>44275</v>
      </c>
      <c r="D179" t="s">
        <v>309</v>
      </c>
      <c r="E179">
        <v>38</v>
      </c>
    </row>
    <row r="180" spans="3:5" x14ac:dyDescent="0.25">
      <c r="C180" s="248">
        <v>44263</v>
      </c>
      <c r="D180" t="s">
        <v>304</v>
      </c>
      <c r="E180">
        <v>265</v>
      </c>
    </row>
    <row r="181" spans="3:5" x14ac:dyDescent="0.25">
      <c r="C181" s="248">
        <v>44275</v>
      </c>
      <c r="D181" t="s">
        <v>305</v>
      </c>
      <c r="E181">
        <v>96</v>
      </c>
    </row>
    <row r="182" spans="3:5" x14ac:dyDescent="0.25">
      <c r="C182" s="248">
        <v>44275</v>
      </c>
      <c r="D182" t="s">
        <v>312</v>
      </c>
      <c r="E182">
        <v>17</v>
      </c>
    </row>
    <row r="183" spans="3:5" x14ac:dyDescent="0.25">
      <c r="C183" s="248">
        <v>44286</v>
      </c>
      <c r="D183" t="s">
        <v>310</v>
      </c>
      <c r="E183">
        <v>424</v>
      </c>
    </row>
    <row r="184" spans="3:5" x14ac:dyDescent="0.25">
      <c r="C184" s="248">
        <v>44275</v>
      </c>
      <c r="D184" t="s">
        <v>308</v>
      </c>
      <c r="E184">
        <v>41</v>
      </c>
    </row>
    <row r="185" spans="3:5" x14ac:dyDescent="0.25">
      <c r="C185" s="248">
        <v>44284</v>
      </c>
      <c r="D185" t="s">
        <v>312</v>
      </c>
      <c r="E185">
        <v>49</v>
      </c>
    </row>
    <row r="186" spans="3:5" x14ac:dyDescent="0.25">
      <c r="C186" s="248">
        <v>44276</v>
      </c>
      <c r="D186" t="s">
        <v>307</v>
      </c>
      <c r="E186">
        <v>211</v>
      </c>
    </row>
    <row r="187" spans="3:5" x14ac:dyDescent="0.25">
      <c r="C187" s="248">
        <v>44291</v>
      </c>
      <c r="D187" t="s">
        <v>312</v>
      </c>
      <c r="E187">
        <v>76</v>
      </c>
    </row>
    <row r="188" spans="3:5" x14ac:dyDescent="0.25">
      <c r="C188" s="248">
        <v>44277</v>
      </c>
      <c r="D188" t="s">
        <v>308</v>
      </c>
      <c r="E188">
        <v>82</v>
      </c>
    </row>
    <row r="189" spans="3:5" x14ac:dyDescent="0.25">
      <c r="C189" s="248">
        <v>44276</v>
      </c>
      <c r="D189" t="s">
        <v>306</v>
      </c>
      <c r="E189">
        <v>265</v>
      </c>
    </row>
    <row r="190" spans="3:5" x14ac:dyDescent="0.25">
      <c r="C190" s="248">
        <v>44276</v>
      </c>
      <c r="D190" t="s">
        <v>305</v>
      </c>
      <c r="E190">
        <v>110</v>
      </c>
    </row>
    <row r="191" spans="3:5" x14ac:dyDescent="0.25">
      <c r="C191" s="248">
        <v>44266</v>
      </c>
      <c r="D191" t="s">
        <v>310</v>
      </c>
      <c r="E191">
        <v>169</v>
      </c>
    </row>
    <row r="192" spans="3:5" x14ac:dyDescent="0.25">
      <c r="C192" s="248">
        <v>44276</v>
      </c>
      <c r="D192" t="s">
        <v>311</v>
      </c>
      <c r="E192">
        <v>110</v>
      </c>
    </row>
    <row r="193" spans="3:5" x14ac:dyDescent="0.25">
      <c r="C193" s="248">
        <v>44286</v>
      </c>
      <c r="D193" t="s">
        <v>307</v>
      </c>
      <c r="E193">
        <v>681</v>
      </c>
    </row>
    <row r="194" spans="3:5" x14ac:dyDescent="0.25">
      <c r="C194" s="248">
        <v>44289</v>
      </c>
      <c r="D194" t="s">
        <v>307</v>
      </c>
      <c r="E194">
        <v>678</v>
      </c>
    </row>
    <row r="195" spans="3:5" x14ac:dyDescent="0.25">
      <c r="C195" s="248">
        <v>44276</v>
      </c>
      <c r="D195" t="s">
        <v>308</v>
      </c>
      <c r="E195">
        <v>84</v>
      </c>
    </row>
    <row r="196" spans="3:5" x14ac:dyDescent="0.25">
      <c r="C196" s="248">
        <v>44285</v>
      </c>
      <c r="D196" t="s">
        <v>308</v>
      </c>
      <c r="E196">
        <v>129</v>
      </c>
    </row>
    <row r="197" spans="3:5" x14ac:dyDescent="0.25">
      <c r="C197" s="248">
        <v>44283</v>
      </c>
      <c r="D197" t="s">
        <v>307</v>
      </c>
      <c r="E197">
        <v>393</v>
      </c>
    </row>
    <row r="198" spans="3:5" x14ac:dyDescent="0.25">
      <c r="C198" s="248">
        <v>44096</v>
      </c>
      <c r="D198" t="s">
        <v>312</v>
      </c>
      <c r="E198">
        <v>88</v>
      </c>
    </row>
    <row r="199" spans="3:5" x14ac:dyDescent="0.25">
      <c r="C199" s="248">
        <v>44075</v>
      </c>
      <c r="D199" t="s">
        <v>308</v>
      </c>
      <c r="E199">
        <v>92</v>
      </c>
    </row>
    <row r="200" spans="3:5" x14ac:dyDescent="0.25">
      <c r="C200" s="248">
        <v>44098</v>
      </c>
      <c r="D200" t="s">
        <v>312</v>
      </c>
      <c r="E200">
        <v>71</v>
      </c>
    </row>
    <row r="201" spans="3:5" x14ac:dyDescent="0.25">
      <c r="C201" s="248">
        <v>44096</v>
      </c>
      <c r="D201" t="s">
        <v>308</v>
      </c>
      <c r="E201">
        <v>69</v>
      </c>
    </row>
    <row r="202" spans="3:5" x14ac:dyDescent="0.25">
      <c r="C202" s="248">
        <v>44099</v>
      </c>
      <c r="D202" t="s">
        <v>312</v>
      </c>
      <c r="E202">
        <v>79</v>
      </c>
    </row>
    <row r="203" spans="3:5" x14ac:dyDescent="0.25">
      <c r="C203" s="248">
        <v>44095</v>
      </c>
      <c r="D203" t="s">
        <v>312</v>
      </c>
      <c r="E203">
        <v>66</v>
      </c>
    </row>
    <row r="204" spans="3:5" x14ac:dyDescent="0.25">
      <c r="C204" s="248">
        <v>44096</v>
      </c>
      <c r="D204" t="s">
        <v>306</v>
      </c>
      <c r="E204">
        <v>469</v>
      </c>
    </row>
    <row r="205" spans="3:5" x14ac:dyDescent="0.25">
      <c r="C205" s="248">
        <v>44107</v>
      </c>
      <c r="D205" t="s">
        <v>312</v>
      </c>
      <c r="E205">
        <v>40</v>
      </c>
    </row>
    <row r="206" spans="3:5" x14ac:dyDescent="0.25">
      <c r="C206" s="248">
        <v>44104</v>
      </c>
      <c r="D206" t="s">
        <v>308</v>
      </c>
      <c r="E206">
        <v>68</v>
      </c>
    </row>
    <row r="207" spans="3:5" x14ac:dyDescent="0.25">
      <c r="C207" s="248">
        <v>44104</v>
      </c>
      <c r="D207" t="s">
        <v>312</v>
      </c>
      <c r="E207">
        <v>61</v>
      </c>
    </row>
    <row r="208" spans="3:5" x14ac:dyDescent="0.25">
      <c r="C208" s="248">
        <v>44097</v>
      </c>
      <c r="D208" t="s">
        <v>308</v>
      </c>
      <c r="E208">
        <v>79</v>
      </c>
    </row>
    <row r="209" spans="3:5" x14ac:dyDescent="0.25">
      <c r="C209" s="248">
        <v>44074</v>
      </c>
      <c r="D209" t="s">
        <v>308</v>
      </c>
      <c r="E209">
        <v>110</v>
      </c>
    </row>
    <row r="210" spans="3:5" x14ac:dyDescent="0.25">
      <c r="C210" s="248">
        <v>44095</v>
      </c>
      <c r="D210" t="s">
        <v>308</v>
      </c>
      <c r="E210">
        <v>74</v>
      </c>
    </row>
    <row r="211" spans="3:5" x14ac:dyDescent="0.25">
      <c r="C211" s="248">
        <v>44096</v>
      </c>
      <c r="D211" t="s">
        <v>310</v>
      </c>
      <c r="E211">
        <v>223</v>
      </c>
    </row>
    <row r="212" spans="3:5" x14ac:dyDescent="0.25">
      <c r="C212" s="248">
        <v>44097</v>
      </c>
      <c r="D212" t="s">
        <v>312</v>
      </c>
      <c r="E212">
        <v>51</v>
      </c>
    </row>
    <row r="213" spans="3:5" x14ac:dyDescent="0.25">
      <c r="C213" s="248">
        <v>44105</v>
      </c>
      <c r="D213" t="s">
        <v>312</v>
      </c>
      <c r="E213">
        <v>57</v>
      </c>
    </row>
    <row r="214" spans="3:5" x14ac:dyDescent="0.25">
      <c r="C214" s="248">
        <v>44107</v>
      </c>
      <c r="D214" t="s">
        <v>307</v>
      </c>
      <c r="E214">
        <v>243</v>
      </c>
    </row>
    <row r="215" spans="3:5" x14ac:dyDescent="0.25">
      <c r="C215" s="248">
        <v>44117</v>
      </c>
      <c r="D215" t="s">
        <v>311</v>
      </c>
      <c r="E215">
        <v>111</v>
      </c>
    </row>
    <row r="216" spans="3:5" x14ac:dyDescent="0.25">
      <c r="C216" s="248">
        <v>44213</v>
      </c>
      <c r="D216" t="s">
        <v>304</v>
      </c>
      <c r="E216">
        <v>407</v>
      </c>
    </row>
    <row r="217" spans="3:5" x14ac:dyDescent="0.25">
      <c r="C217" s="248">
        <v>44109</v>
      </c>
      <c r="D217" t="s">
        <v>312</v>
      </c>
      <c r="E217">
        <v>54</v>
      </c>
    </row>
    <row r="218" spans="3:5" x14ac:dyDescent="0.25">
      <c r="C218" s="248">
        <v>44110</v>
      </c>
      <c r="D218" t="s">
        <v>306</v>
      </c>
      <c r="E218">
        <v>435</v>
      </c>
    </row>
    <row r="219" spans="3:5" x14ac:dyDescent="0.25">
      <c r="C219" s="248">
        <v>44110</v>
      </c>
      <c r="D219" t="s">
        <v>312</v>
      </c>
      <c r="E219">
        <v>57</v>
      </c>
    </row>
    <row r="220" spans="3:5" x14ac:dyDescent="0.25">
      <c r="C220" s="248">
        <v>44110</v>
      </c>
      <c r="D220" t="s">
        <v>308</v>
      </c>
      <c r="E220">
        <v>52</v>
      </c>
    </row>
    <row r="221" spans="3:5" x14ac:dyDescent="0.25">
      <c r="C221" s="248">
        <v>44106</v>
      </c>
      <c r="D221" t="s">
        <v>311</v>
      </c>
      <c r="E221">
        <v>165</v>
      </c>
    </row>
    <row r="222" spans="3:5" x14ac:dyDescent="0.25">
      <c r="C222" s="248">
        <v>44101</v>
      </c>
      <c r="D222" t="s">
        <v>312</v>
      </c>
      <c r="E222">
        <v>35</v>
      </c>
    </row>
    <row r="223" spans="3:5" x14ac:dyDescent="0.25">
      <c r="C223" s="248">
        <v>44121</v>
      </c>
      <c r="D223" t="s">
        <v>312</v>
      </c>
      <c r="E223">
        <v>29</v>
      </c>
    </row>
    <row r="224" spans="3:5" x14ac:dyDescent="0.25">
      <c r="C224" s="248">
        <v>44110</v>
      </c>
      <c r="D224" t="s">
        <v>311</v>
      </c>
      <c r="E224">
        <v>141</v>
      </c>
    </row>
    <row r="225" spans="3:5" x14ac:dyDescent="0.25">
      <c r="C225" s="248">
        <v>44127</v>
      </c>
      <c r="D225" t="s">
        <v>310</v>
      </c>
      <c r="E225">
        <v>150</v>
      </c>
    </row>
    <row r="226" spans="3:5" x14ac:dyDescent="0.25">
      <c r="C226" s="248">
        <v>44117</v>
      </c>
      <c r="D226" t="s">
        <v>312</v>
      </c>
      <c r="E226">
        <v>61</v>
      </c>
    </row>
    <row r="227" spans="3:5" x14ac:dyDescent="0.25">
      <c r="C227" s="248">
        <v>44111</v>
      </c>
      <c r="D227" t="s">
        <v>312</v>
      </c>
      <c r="E227">
        <v>60</v>
      </c>
    </row>
    <row r="228" spans="3:5" x14ac:dyDescent="0.25">
      <c r="C228" s="248">
        <v>44110</v>
      </c>
      <c r="D228" t="s">
        <v>309</v>
      </c>
      <c r="E228">
        <v>55</v>
      </c>
    </row>
    <row r="229" spans="3:5" x14ac:dyDescent="0.25">
      <c r="C229" s="248">
        <v>44230</v>
      </c>
      <c r="D229" t="s">
        <v>304</v>
      </c>
      <c r="E229">
        <v>391</v>
      </c>
    </row>
    <row r="230" spans="3:5" x14ac:dyDescent="0.25">
      <c r="C230" s="248">
        <v>44113</v>
      </c>
      <c r="D230" t="s">
        <v>308</v>
      </c>
      <c r="E230">
        <v>60</v>
      </c>
    </row>
    <row r="231" spans="3:5" x14ac:dyDescent="0.25">
      <c r="C231" s="248">
        <v>44132</v>
      </c>
      <c r="D231" t="s">
        <v>308</v>
      </c>
      <c r="E231">
        <v>38</v>
      </c>
    </row>
    <row r="232" spans="3:5" x14ac:dyDescent="0.25">
      <c r="C232" s="248">
        <v>44120</v>
      </c>
      <c r="D232" t="s">
        <v>311</v>
      </c>
      <c r="E232">
        <v>107</v>
      </c>
    </row>
    <row r="233" spans="3:5" x14ac:dyDescent="0.25">
      <c r="C233" s="248">
        <v>44127</v>
      </c>
      <c r="D233" t="s">
        <v>308</v>
      </c>
      <c r="E233">
        <v>42</v>
      </c>
    </row>
    <row r="234" spans="3:5" x14ac:dyDescent="0.25">
      <c r="C234" s="248">
        <v>44129</v>
      </c>
      <c r="D234" t="s">
        <v>312</v>
      </c>
      <c r="E234">
        <v>16</v>
      </c>
    </row>
    <row r="235" spans="3:5" x14ac:dyDescent="0.25">
      <c r="C235" s="248">
        <v>44128</v>
      </c>
      <c r="D235" t="s">
        <v>312</v>
      </c>
      <c r="E235">
        <v>22</v>
      </c>
    </row>
    <row r="236" spans="3:5" x14ac:dyDescent="0.25">
      <c r="C236" s="248">
        <v>44128</v>
      </c>
      <c r="D236" t="s">
        <v>308</v>
      </c>
      <c r="E236">
        <v>36</v>
      </c>
    </row>
    <row r="237" spans="3:5" x14ac:dyDescent="0.25">
      <c r="C237" s="248">
        <v>44126</v>
      </c>
      <c r="D237" t="s">
        <v>308</v>
      </c>
      <c r="E237">
        <v>41</v>
      </c>
    </row>
    <row r="238" spans="3:5" x14ac:dyDescent="0.25">
      <c r="C238" s="248">
        <v>44128</v>
      </c>
      <c r="D238" t="s">
        <v>311</v>
      </c>
      <c r="E238">
        <v>60</v>
      </c>
    </row>
    <row r="239" spans="3:5" x14ac:dyDescent="0.25">
      <c r="C239" s="248">
        <v>44129</v>
      </c>
      <c r="D239" t="s">
        <v>308</v>
      </c>
      <c r="E239">
        <v>21</v>
      </c>
    </row>
    <row r="240" spans="3:5" x14ac:dyDescent="0.25">
      <c r="C240" s="248">
        <v>44128</v>
      </c>
      <c r="D240" t="s">
        <v>310</v>
      </c>
      <c r="E240">
        <v>111</v>
      </c>
    </row>
    <row r="241" spans="3:5" x14ac:dyDescent="0.25">
      <c r="C241" s="248">
        <v>44175</v>
      </c>
      <c r="D241" t="s">
        <v>308</v>
      </c>
      <c r="E241">
        <v>29</v>
      </c>
    </row>
    <row r="242" spans="3:5" x14ac:dyDescent="0.25">
      <c r="C242" s="248">
        <v>44130</v>
      </c>
      <c r="D242" t="s">
        <v>312</v>
      </c>
      <c r="E242">
        <v>42</v>
      </c>
    </row>
    <row r="243" spans="3:5" x14ac:dyDescent="0.25">
      <c r="C243" s="248">
        <v>44053</v>
      </c>
      <c r="D243" t="s">
        <v>307</v>
      </c>
      <c r="E243">
        <v>539</v>
      </c>
    </row>
    <row r="244" spans="3:5" x14ac:dyDescent="0.25">
      <c r="C244" s="248">
        <v>44129</v>
      </c>
      <c r="D244" t="s">
        <v>311</v>
      </c>
      <c r="E244">
        <v>38</v>
      </c>
    </row>
    <row r="245" spans="3:5" x14ac:dyDescent="0.25">
      <c r="C245" s="248">
        <v>44145</v>
      </c>
      <c r="D245" t="s">
        <v>312</v>
      </c>
      <c r="E245">
        <v>32</v>
      </c>
    </row>
    <row r="246" spans="3:5" x14ac:dyDescent="0.25">
      <c r="C246" s="248">
        <v>44259</v>
      </c>
      <c r="D246" t="s">
        <v>307</v>
      </c>
      <c r="E246">
        <v>222</v>
      </c>
    </row>
    <row r="247" spans="3:5" x14ac:dyDescent="0.25">
      <c r="C247" s="248">
        <v>44141</v>
      </c>
      <c r="D247" t="s">
        <v>311</v>
      </c>
      <c r="E247">
        <v>69</v>
      </c>
    </row>
    <row r="248" spans="3:5" x14ac:dyDescent="0.25">
      <c r="C248" s="248">
        <v>44130</v>
      </c>
      <c r="D248" t="s">
        <v>308</v>
      </c>
      <c r="E248">
        <v>29</v>
      </c>
    </row>
    <row r="249" spans="3:5" x14ac:dyDescent="0.25">
      <c r="C249" s="248">
        <v>44129</v>
      </c>
      <c r="D249" t="s">
        <v>306</v>
      </c>
      <c r="E249">
        <v>113</v>
      </c>
    </row>
    <row r="250" spans="3:5" x14ac:dyDescent="0.25">
      <c r="C250" s="248">
        <v>44130</v>
      </c>
      <c r="D250" t="s">
        <v>310</v>
      </c>
      <c r="E250">
        <v>154</v>
      </c>
    </row>
    <row r="251" spans="3:5" x14ac:dyDescent="0.25">
      <c r="C251" s="248">
        <v>44128</v>
      </c>
      <c r="D251" t="s">
        <v>307</v>
      </c>
      <c r="E251">
        <v>182</v>
      </c>
    </row>
    <row r="252" spans="3:5" x14ac:dyDescent="0.25">
      <c r="C252" s="248">
        <v>44236</v>
      </c>
      <c r="D252" t="s">
        <v>310</v>
      </c>
      <c r="E252">
        <v>166</v>
      </c>
    </row>
    <row r="253" spans="3:5" x14ac:dyDescent="0.25">
      <c r="C253" s="248">
        <v>44285</v>
      </c>
      <c r="D253" t="s">
        <v>305</v>
      </c>
      <c r="E253">
        <v>323</v>
      </c>
    </row>
    <row r="254" spans="3:5" x14ac:dyDescent="0.25">
      <c r="C254" s="248">
        <v>44236</v>
      </c>
      <c r="D254" t="s">
        <v>311</v>
      </c>
      <c r="E254">
        <v>110</v>
      </c>
    </row>
    <row r="255" spans="3:5" x14ac:dyDescent="0.25">
      <c r="C255" s="248">
        <v>44236</v>
      </c>
      <c r="D255" t="s">
        <v>306</v>
      </c>
      <c r="E255">
        <v>300</v>
      </c>
    </row>
    <row r="256" spans="3:5" x14ac:dyDescent="0.25">
      <c r="C256" s="248">
        <v>44236</v>
      </c>
      <c r="D256" t="s">
        <v>307</v>
      </c>
      <c r="E256">
        <v>251</v>
      </c>
    </row>
    <row r="257" spans="3:5" x14ac:dyDescent="0.25">
      <c r="C257" s="248">
        <v>44236</v>
      </c>
      <c r="D257" t="s">
        <v>312</v>
      </c>
      <c r="E257">
        <v>32</v>
      </c>
    </row>
    <row r="258" spans="3:5" x14ac:dyDescent="0.25">
      <c r="C258" s="248">
        <v>44236</v>
      </c>
      <c r="D258" t="s">
        <v>304</v>
      </c>
      <c r="E258">
        <v>258</v>
      </c>
    </row>
    <row r="259" spans="3:5" x14ac:dyDescent="0.25">
      <c r="C259" s="248">
        <v>44256</v>
      </c>
      <c r="D259" t="s">
        <v>311</v>
      </c>
      <c r="E259">
        <v>122</v>
      </c>
    </row>
    <row r="260" spans="3:5" x14ac:dyDescent="0.25">
      <c r="C260" s="248">
        <v>44235</v>
      </c>
      <c r="D260" t="s">
        <v>308</v>
      </c>
      <c r="E260">
        <v>86</v>
      </c>
    </row>
    <row r="261" spans="3:5" x14ac:dyDescent="0.25">
      <c r="C261" s="248">
        <v>44237</v>
      </c>
      <c r="D261" t="s">
        <v>306</v>
      </c>
      <c r="E261">
        <v>314</v>
      </c>
    </row>
    <row r="262" spans="3:5" x14ac:dyDescent="0.25">
      <c r="C262" s="248">
        <v>44237</v>
      </c>
      <c r="D262" t="s">
        <v>312</v>
      </c>
      <c r="E262">
        <v>34</v>
      </c>
    </row>
    <row r="263" spans="3:5" x14ac:dyDescent="0.25">
      <c r="C263" s="248">
        <v>44259</v>
      </c>
      <c r="D263" t="s">
        <v>308</v>
      </c>
      <c r="E263">
        <v>47</v>
      </c>
    </row>
    <row r="264" spans="3:5" x14ac:dyDescent="0.25">
      <c r="C264" s="248">
        <v>44280</v>
      </c>
      <c r="D264" t="s">
        <v>306</v>
      </c>
      <c r="E264">
        <v>551</v>
      </c>
    </row>
    <row r="265" spans="3:5" x14ac:dyDescent="0.25">
      <c r="C265" s="248">
        <v>44237</v>
      </c>
      <c r="D265" t="s">
        <v>307</v>
      </c>
      <c r="E265">
        <v>219</v>
      </c>
    </row>
    <row r="266" spans="3:5" x14ac:dyDescent="0.25">
      <c r="C266" s="248">
        <v>44237</v>
      </c>
      <c r="D266" t="s">
        <v>308</v>
      </c>
      <c r="E266">
        <v>54</v>
      </c>
    </row>
    <row r="267" spans="3:5" x14ac:dyDescent="0.25">
      <c r="C267" s="248">
        <v>44287</v>
      </c>
      <c r="D267" t="s">
        <v>305</v>
      </c>
      <c r="E267">
        <v>432</v>
      </c>
    </row>
    <row r="268" spans="3:5" x14ac:dyDescent="0.25">
      <c r="C268" s="248">
        <v>44262</v>
      </c>
      <c r="D268" t="s">
        <v>306</v>
      </c>
      <c r="E268">
        <v>176</v>
      </c>
    </row>
    <row r="269" spans="3:5" x14ac:dyDescent="0.25">
      <c r="C269" s="248">
        <v>44281</v>
      </c>
      <c r="D269" t="s">
        <v>310</v>
      </c>
      <c r="E269">
        <v>346</v>
      </c>
    </row>
    <row r="270" spans="3:5" x14ac:dyDescent="0.25">
      <c r="C270" s="248">
        <v>44235</v>
      </c>
      <c r="D270" t="s">
        <v>306</v>
      </c>
      <c r="E270">
        <v>315</v>
      </c>
    </row>
    <row r="271" spans="3:5" x14ac:dyDescent="0.25">
      <c r="C271" s="248">
        <v>44279</v>
      </c>
      <c r="D271" t="s">
        <v>312</v>
      </c>
      <c r="E271">
        <v>44</v>
      </c>
    </row>
    <row r="272" spans="3:5" x14ac:dyDescent="0.25">
      <c r="C272" s="248">
        <v>44247</v>
      </c>
      <c r="D272" t="s">
        <v>304</v>
      </c>
      <c r="E272">
        <v>221</v>
      </c>
    </row>
    <row r="273" spans="3:5" x14ac:dyDescent="0.25">
      <c r="C273" s="248">
        <v>44237</v>
      </c>
      <c r="D273" t="s">
        <v>304</v>
      </c>
      <c r="E273">
        <v>267</v>
      </c>
    </row>
    <row r="274" spans="3:5" x14ac:dyDescent="0.25">
      <c r="C274" s="248">
        <v>44244</v>
      </c>
      <c r="D274" t="s">
        <v>310</v>
      </c>
      <c r="E274">
        <v>194</v>
      </c>
    </row>
    <row r="275" spans="3:5" x14ac:dyDescent="0.25">
      <c r="C275" s="248">
        <v>44240</v>
      </c>
      <c r="D275" t="s">
        <v>307</v>
      </c>
      <c r="E275">
        <v>184</v>
      </c>
    </row>
    <row r="276" spans="3:5" x14ac:dyDescent="0.25">
      <c r="C276" s="248">
        <v>44244</v>
      </c>
      <c r="D276" t="s">
        <v>312</v>
      </c>
      <c r="E276">
        <v>39</v>
      </c>
    </row>
    <row r="277" spans="3:5" x14ac:dyDescent="0.25">
      <c r="C277" s="248">
        <v>44240</v>
      </c>
      <c r="D277" t="s">
        <v>304</v>
      </c>
      <c r="E277">
        <v>186</v>
      </c>
    </row>
    <row r="278" spans="3:5" x14ac:dyDescent="0.25">
      <c r="C278" s="248">
        <v>44244</v>
      </c>
      <c r="D278" t="s">
        <v>311</v>
      </c>
      <c r="E278">
        <v>134</v>
      </c>
    </row>
    <row r="279" spans="3:5" x14ac:dyDescent="0.25">
      <c r="C279" s="248">
        <v>44253</v>
      </c>
      <c r="D279" t="s">
        <v>305</v>
      </c>
      <c r="E279">
        <v>88</v>
      </c>
    </row>
    <row r="280" spans="3:5" x14ac:dyDescent="0.25">
      <c r="C280" s="248">
        <v>44244</v>
      </c>
      <c r="D280" t="s">
        <v>306</v>
      </c>
      <c r="E280">
        <v>307</v>
      </c>
    </row>
    <row r="281" spans="3:5" x14ac:dyDescent="0.25">
      <c r="C281" s="248">
        <v>44242</v>
      </c>
      <c r="D281" t="s">
        <v>306</v>
      </c>
      <c r="E281">
        <v>240</v>
      </c>
    </row>
    <row r="282" spans="3:5" x14ac:dyDescent="0.25">
      <c r="C282" s="248">
        <v>44240</v>
      </c>
      <c r="D282" t="s">
        <v>310</v>
      </c>
      <c r="E282">
        <v>147</v>
      </c>
    </row>
    <row r="283" spans="3:5" x14ac:dyDescent="0.25">
      <c r="C283" s="248">
        <v>44242</v>
      </c>
      <c r="D283" t="s">
        <v>307</v>
      </c>
      <c r="E283">
        <v>196</v>
      </c>
    </row>
    <row r="284" spans="3:5" x14ac:dyDescent="0.25">
      <c r="C284" s="248">
        <v>44242</v>
      </c>
      <c r="D284" t="s">
        <v>304</v>
      </c>
      <c r="E284">
        <v>185</v>
      </c>
    </row>
    <row r="285" spans="3:5" x14ac:dyDescent="0.25">
      <c r="C285" s="248">
        <v>44242</v>
      </c>
      <c r="D285" t="s">
        <v>310</v>
      </c>
      <c r="E285">
        <v>112</v>
      </c>
    </row>
    <row r="286" spans="3:5" x14ac:dyDescent="0.25">
      <c r="C286" s="248">
        <v>44243</v>
      </c>
      <c r="D286" t="s">
        <v>310</v>
      </c>
      <c r="E286">
        <v>113</v>
      </c>
    </row>
    <row r="287" spans="3:5" x14ac:dyDescent="0.25">
      <c r="C287" s="248">
        <v>44243</v>
      </c>
      <c r="D287" t="s">
        <v>312</v>
      </c>
      <c r="E287">
        <v>29</v>
      </c>
    </row>
    <row r="288" spans="3:5" x14ac:dyDescent="0.25">
      <c r="C288" s="248">
        <v>44244</v>
      </c>
      <c r="D288" t="s">
        <v>307</v>
      </c>
      <c r="E288">
        <v>256</v>
      </c>
    </row>
    <row r="289" spans="3:5" x14ac:dyDescent="0.25">
      <c r="C289" s="248">
        <v>44254</v>
      </c>
      <c r="D289" t="s">
        <v>307</v>
      </c>
      <c r="E289">
        <v>164</v>
      </c>
    </row>
    <row r="290" spans="3:5" x14ac:dyDescent="0.25">
      <c r="C290" s="248">
        <v>44257</v>
      </c>
      <c r="D290" t="s">
        <v>304</v>
      </c>
      <c r="E290">
        <v>247</v>
      </c>
    </row>
    <row r="291" spans="3:5" x14ac:dyDescent="0.25">
      <c r="C291" s="248">
        <v>44282</v>
      </c>
      <c r="D291" t="s">
        <v>307</v>
      </c>
      <c r="E291">
        <v>428</v>
      </c>
    </row>
    <row r="292" spans="3:5" x14ac:dyDescent="0.25">
      <c r="C292" s="248">
        <v>44256</v>
      </c>
      <c r="D292" t="s">
        <v>306</v>
      </c>
      <c r="E292">
        <v>308</v>
      </c>
    </row>
    <row r="293" spans="3:5" x14ac:dyDescent="0.25">
      <c r="C293" s="248">
        <v>44288</v>
      </c>
      <c r="D293" t="s">
        <v>310</v>
      </c>
      <c r="E293">
        <v>371</v>
      </c>
    </row>
    <row r="294" spans="3:5" x14ac:dyDescent="0.25">
      <c r="C294" s="248">
        <v>44290</v>
      </c>
      <c r="D294" t="s">
        <v>305</v>
      </c>
      <c r="E294">
        <v>279</v>
      </c>
    </row>
    <row r="295" spans="3:5" x14ac:dyDescent="0.25">
      <c r="C295" s="248">
        <v>44265</v>
      </c>
      <c r="D295" t="s">
        <v>310</v>
      </c>
      <c r="E295">
        <v>182</v>
      </c>
    </row>
    <row r="296" spans="3:5" x14ac:dyDescent="0.25">
      <c r="C296" s="248">
        <v>44254</v>
      </c>
      <c r="D296" t="s">
        <v>304</v>
      </c>
      <c r="E296">
        <v>193</v>
      </c>
    </row>
    <row r="297" spans="3:5" x14ac:dyDescent="0.25">
      <c r="C297" s="248">
        <v>44265</v>
      </c>
      <c r="D297" t="s">
        <v>307</v>
      </c>
      <c r="E297">
        <v>228</v>
      </c>
    </row>
    <row r="298" spans="3:5" x14ac:dyDescent="0.25">
      <c r="C298" s="248">
        <v>44253</v>
      </c>
      <c r="D298" t="s">
        <v>306</v>
      </c>
      <c r="E298">
        <v>232</v>
      </c>
    </row>
    <row r="299" spans="3:5" x14ac:dyDescent="0.25">
      <c r="C299" s="248">
        <v>44252</v>
      </c>
      <c r="D299" t="s">
        <v>304</v>
      </c>
      <c r="E299">
        <v>319</v>
      </c>
    </row>
    <row r="300" spans="3:5" x14ac:dyDescent="0.25">
      <c r="C300" s="248">
        <v>44255</v>
      </c>
      <c r="D300" t="s">
        <v>310</v>
      </c>
      <c r="E300">
        <v>90</v>
      </c>
    </row>
    <row r="301" spans="3:5" x14ac:dyDescent="0.25">
      <c r="C301" s="248">
        <v>44248</v>
      </c>
      <c r="D301" t="s">
        <v>306</v>
      </c>
      <c r="E301">
        <v>221</v>
      </c>
    </row>
    <row r="302" spans="3:5" x14ac:dyDescent="0.25">
      <c r="C302" s="248">
        <v>44247</v>
      </c>
      <c r="D302" t="s">
        <v>310</v>
      </c>
      <c r="E302">
        <v>146</v>
      </c>
    </row>
    <row r="303" spans="3:5" x14ac:dyDescent="0.25">
      <c r="C303" s="248">
        <v>44245</v>
      </c>
      <c r="D303" t="s">
        <v>306</v>
      </c>
      <c r="E303">
        <v>326</v>
      </c>
    </row>
    <row r="304" spans="3:5" x14ac:dyDescent="0.25">
      <c r="C304" s="248">
        <v>44191</v>
      </c>
      <c r="D304" t="s">
        <v>308</v>
      </c>
      <c r="E304">
        <v>58</v>
      </c>
    </row>
    <row r="305" spans="3:5" x14ac:dyDescent="0.25">
      <c r="C305" s="248">
        <v>44191</v>
      </c>
      <c r="D305" t="s">
        <v>311</v>
      </c>
      <c r="E305">
        <v>139</v>
      </c>
    </row>
    <row r="306" spans="3:5" x14ac:dyDescent="0.25">
      <c r="C306" s="248">
        <v>44191</v>
      </c>
      <c r="D306" t="s">
        <v>312</v>
      </c>
      <c r="E306">
        <v>21</v>
      </c>
    </row>
    <row r="307" spans="3:5" x14ac:dyDescent="0.25">
      <c r="C307" s="248">
        <v>44289</v>
      </c>
      <c r="D307" t="s">
        <v>310</v>
      </c>
      <c r="E307">
        <v>439</v>
      </c>
    </row>
    <row r="308" spans="3:5" x14ac:dyDescent="0.25">
      <c r="C308" s="248">
        <v>44191</v>
      </c>
      <c r="D308" t="s">
        <v>310</v>
      </c>
      <c r="E308">
        <v>220</v>
      </c>
    </row>
    <row r="309" spans="3:5" x14ac:dyDescent="0.25">
      <c r="C309" s="248">
        <v>44192</v>
      </c>
      <c r="D309" t="s">
        <v>308</v>
      </c>
      <c r="E309">
        <v>57</v>
      </c>
    </row>
    <row r="310" spans="3:5" x14ac:dyDescent="0.25">
      <c r="C310" s="248">
        <v>44192</v>
      </c>
      <c r="D310" t="s">
        <v>311</v>
      </c>
      <c r="E310">
        <v>91</v>
      </c>
    </row>
    <row r="311" spans="3:5" x14ac:dyDescent="0.25">
      <c r="C311" s="248">
        <v>44277</v>
      </c>
      <c r="D311" t="s">
        <v>311</v>
      </c>
      <c r="E311">
        <v>136</v>
      </c>
    </row>
    <row r="312" spans="3:5" x14ac:dyDescent="0.25">
      <c r="C312" s="248">
        <v>44260</v>
      </c>
      <c r="D312" t="s">
        <v>311</v>
      </c>
      <c r="E312">
        <v>100</v>
      </c>
    </row>
    <row r="313" spans="3:5" x14ac:dyDescent="0.25">
      <c r="C313" s="248">
        <v>44192</v>
      </c>
      <c r="D313" t="s">
        <v>306</v>
      </c>
      <c r="E313">
        <v>265</v>
      </c>
    </row>
    <row r="314" spans="3:5" x14ac:dyDescent="0.25">
      <c r="C314" s="248">
        <v>44192</v>
      </c>
      <c r="D314" t="s">
        <v>304</v>
      </c>
      <c r="E314">
        <v>268</v>
      </c>
    </row>
    <row r="315" spans="3:5" x14ac:dyDescent="0.25">
      <c r="C315" s="248">
        <v>44192</v>
      </c>
      <c r="D315" t="s">
        <v>305</v>
      </c>
      <c r="E315">
        <v>85</v>
      </c>
    </row>
    <row r="316" spans="3:5" x14ac:dyDescent="0.25">
      <c r="C316" s="248">
        <v>44192</v>
      </c>
      <c r="D316" t="s">
        <v>312</v>
      </c>
      <c r="E316">
        <v>16</v>
      </c>
    </row>
    <row r="317" spans="3:5" x14ac:dyDescent="0.25">
      <c r="C317" s="248">
        <v>44286</v>
      </c>
      <c r="D317" t="s">
        <v>309</v>
      </c>
      <c r="E317">
        <v>80</v>
      </c>
    </row>
    <row r="318" spans="3:5" x14ac:dyDescent="0.25">
      <c r="C318" s="248">
        <v>44193</v>
      </c>
      <c r="D318" t="s">
        <v>312</v>
      </c>
      <c r="E318">
        <v>52</v>
      </c>
    </row>
    <row r="319" spans="3:5" x14ac:dyDescent="0.25">
      <c r="C319" s="248">
        <v>44262</v>
      </c>
      <c r="D319" t="s">
        <v>304</v>
      </c>
      <c r="E319">
        <v>155</v>
      </c>
    </row>
    <row r="320" spans="3:5" x14ac:dyDescent="0.25">
      <c r="C320" s="248">
        <v>44192</v>
      </c>
      <c r="D320" t="s">
        <v>307</v>
      </c>
      <c r="E320">
        <v>204</v>
      </c>
    </row>
    <row r="321" spans="3:5" x14ac:dyDescent="0.25">
      <c r="C321" s="248">
        <v>44203</v>
      </c>
      <c r="D321" t="s">
        <v>312</v>
      </c>
      <c r="E321">
        <v>46</v>
      </c>
    </row>
    <row r="322" spans="3:5" x14ac:dyDescent="0.25">
      <c r="C322" s="248">
        <v>44189</v>
      </c>
      <c r="D322" t="s">
        <v>304</v>
      </c>
      <c r="E322">
        <v>202</v>
      </c>
    </row>
    <row r="323" spans="3:5" x14ac:dyDescent="0.25">
      <c r="C323" s="248">
        <v>44203</v>
      </c>
      <c r="D323" t="s">
        <v>306</v>
      </c>
      <c r="E323">
        <v>530</v>
      </c>
    </row>
    <row r="324" spans="3:5" x14ac:dyDescent="0.25">
      <c r="C324" s="248">
        <v>44199</v>
      </c>
      <c r="D324" t="s">
        <v>310</v>
      </c>
      <c r="E324">
        <v>205</v>
      </c>
    </row>
    <row r="325" spans="3:5" x14ac:dyDescent="0.25">
      <c r="C325" s="248">
        <v>44200</v>
      </c>
      <c r="D325" t="s">
        <v>312</v>
      </c>
      <c r="E325">
        <v>70</v>
      </c>
    </row>
    <row r="326" spans="3:5" x14ac:dyDescent="0.25">
      <c r="C326" s="248">
        <v>44200</v>
      </c>
      <c r="D326" t="s">
        <v>306</v>
      </c>
      <c r="E326">
        <v>550</v>
      </c>
    </row>
    <row r="327" spans="3:5" x14ac:dyDescent="0.25">
      <c r="C327" s="248">
        <v>44201</v>
      </c>
      <c r="D327" t="s">
        <v>304</v>
      </c>
      <c r="E327">
        <v>708</v>
      </c>
    </row>
    <row r="328" spans="3:5" x14ac:dyDescent="0.25">
      <c r="C328" s="248">
        <v>44203</v>
      </c>
      <c r="D328" t="s">
        <v>310</v>
      </c>
      <c r="E328">
        <v>312</v>
      </c>
    </row>
    <row r="329" spans="3:5" x14ac:dyDescent="0.25">
      <c r="C329" s="248">
        <v>44201</v>
      </c>
      <c r="D329" t="s">
        <v>310</v>
      </c>
      <c r="E329">
        <v>307</v>
      </c>
    </row>
    <row r="330" spans="3:5" x14ac:dyDescent="0.25">
      <c r="C330" s="248">
        <v>44201</v>
      </c>
      <c r="D330" t="s">
        <v>306</v>
      </c>
      <c r="E330">
        <v>569</v>
      </c>
    </row>
    <row r="331" spans="3:5" x14ac:dyDescent="0.25">
      <c r="C331" s="248">
        <v>44260</v>
      </c>
      <c r="D331" t="s">
        <v>306</v>
      </c>
      <c r="E331">
        <v>293</v>
      </c>
    </row>
    <row r="332" spans="3:5" x14ac:dyDescent="0.25">
      <c r="C332" s="248">
        <v>44202</v>
      </c>
      <c r="D332" t="s">
        <v>310</v>
      </c>
      <c r="E332">
        <v>295</v>
      </c>
    </row>
    <row r="333" spans="3:5" x14ac:dyDescent="0.25">
      <c r="C333" s="248">
        <v>44202</v>
      </c>
      <c r="D333" t="s">
        <v>312</v>
      </c>
      <c r="E333">
        <v>40</v>
      </c>
    </row>
    <row r="334" spans="3:5" x14ac:dyDescent="0.25">
      <c r="C334" s="248">
        <v>44202</v>
      </c>
      <c r="D334" t="s">
        <v>304</v>
      </c>
      <c r="E334">
        <v>710</v>
      </c>
    </row>
    <row r="335" spans="3:5" x14ac:dyDescent="0.25">
      <c r="C335" s="248">
        <v>44197</v>
      </c>
      <c r="D335" t="s">
        <v>307</v>
      </c>
      <c r="E335">
        <v>115</v>
      </c>
    </row>
    <row r="336" spans="3:5" x14ac:dyDescent="0.25">
      <c r="C336" s="248">
        <v>44224</v>
      </c>
      <c r="D336" t="s">
        <v>312</v>
      </c>
      <c r="E336">
        <v>38</v>
      </c>
    </row>
    <row r="337" spans="3:5" x14ac:dyDescent="0.25">
      <c r="C337" s="248">
        <v>44265</v>
      </c>
      <c r="D337" t="s">
        <v>305</v>
      </c>
      <c r="E337">
        <v>147</v>
      </c>
    </row>
    <row r="338" spans="3:5" x14ac:dyDescent="0.25">
      <c r="C338" s="248">
        <v>44203</v>
      </c>
      <c r="D338" t="s">
        <v>308</v>
      </c>
      <c r="E338">
        <v>83</v>
      </c>
    </row>
    <row r="339" spans="3:5" x14ac:dyDescent="0.25">
      <c r="C339" s="248">
        <v>44255</v>
      </c>
      <c r="D339" t="s">
        <v>307</v>
      </c>
      <c r="E339">
        <v>119</v>
      </c>
    </row>
    <row r="340" spans="3:5" x14ac:dyDescent="0.25">
      <c r="C340" s="248">
        <v>44259</v>
      </c>
      <c r="D340" t="s">
        <v>310</v>
      </c>
      <c r="E340">
        <v>177</v>
      </c>
    </row>
    <row r="341" spans="3:5" x14ac:dyDescent="0.25">
      <c r="C341" s="248">
        <v>44202</v>
      </c>
      <c r="D341" t="s">
        <v>308</v>
      </c>
      <c r="E341">
        <v>103</v>
      </c>
    </row>
    <row r="342" spans="3:5" x14ac:dyDescent="0.25">
      <c r="C342" s="248">
        <v>44203</v>
      </c>
      <c r="D342" t="s">
        <v>305</v>
      </c>
      <c r="E342">
        <v>157</v>
      </c>
    </row>
    <row r="343" spans="3:5" x14ac:dyDescent="0.25">
      <c r="C343" s="248">
        <v>44194</v>
      </c>
      <c r="D343" t="s">
        <v>304</v>
      </c>
      <c r="E343">
        <v>572</v>
      </c>
    </row>
    <row r="344" spans="3:5" x14ac:dyDescent="0.25">
      <c r="C344" s="248">
        <v>44212</v>
      </c>
      <c r="D344" t="s">
        <v>304</v>
      </c>
      <c r="E344">
        <v>420</v>
      </c>
    </row>
    <row r="345" spans="3:5" x14ac:dyDescent="0.25">
      <c r="C345" s="248">
        <v>44212</v>
      </c>
      <c r="D345" t="s">
        <v>308</v>
      </c>
      <c r="E345">
        <v>50</v>
      </c>
    </row>
    <row r="346" spans="3:5" x14ac:dyDescent="0.25">
      <c r="C346" s="248">
        <v>44214</v>
      </c>
      <c r="D346" t="s">
        <v>312</v>
      </c>
      <c r="E346">
        <v>45</v>
      </c>
    </row>
    <row r="347" spans="3:5" x14ac:dyDescent="0.25">
      <c r="C347" s="248">
        <v>44210</v>
      </c>
      <c r="D347" t="s">
        <v>308</v>
      </c>
      <c r="E347">
        <v>75</v>
      </c>
    </row>
    <row r="348" spans="3:5" x14ac:dyDescent="0.25">
      <c r="C348" s="248">
        <v>44210</v>
      </c>
      <c r="D348" t="s">
        <v>310</v>
      </c>
      <c r="E348">
        <v>242</v>
      </c>
    </row>
    <row r="349" spans="3:5" x14ac:dyDescent="0.25">
      <c r="C349" s="248">
        <v>44261</v>
      </c>
      <c r="D349" t="s">
        <v>304</v>
      </c>
      <c r="E349">
        <v>169</v>
      </c>
    </row>
    <row r="350" spans="3:5" x14ac:dyDescent="0.25">
      <c r="C350" s="248">
        <v>44264</v>
      </c>
      <c r="D350" t="s">
        <v>307</v>
      </c>
      <c r="E350">
        <v>277</v>
      </c>
    </row>
    <row r="351" spans="3:5" x14ac:dyDescent="0.25">
      <c r="C351" s="248">
        <v>44217</v>
      </c>
      <c r="D351" t="s">
        <v>311</v>
      </c>
      <c r="E351">
        <v>158</v>
      </c>
    </row>
    <row r="352" spans="3:5" x14ac:dyDescent="0.25">
      <c r="C352" s="248">
        <v>44213</v>
      </c>
      <c r="D352" t="s">
        <v>308</v>
      </c>
      <c r="E352">
        <v>36</v>
      </c>
    </row>
    <row r="353" spans="3:5" x14ac:dyDescent="0.25">
      <c r="C353" s="248">
        <v>44213</v>
      </c>
      <c r="D353" t="s">
        <v>312</v>
      </c>
      <c r="E353">
        <v>23</v>
      </c>
    </row>
    <row r="354" spans="3:5" x14ac:dyDescent="0.25">
      <c r="C354" s="248">
        <v>44210</v>
      </c>
      <c r="D354" t="s">
        <v>312</v>
      </c>
      <c r="E354">
        <v>44</v>
      </c>
    </row>
    <row r="355" spans="3:5" x14ac:dyDescent="0.25">
      <c r="C355" s="248">
        <v>44223</v>
      </c>
      <c r="D355" t="s">
        <v>312</v>
      </c>
      <c r="E355">
        <v>32</v>
      </c>
    </row>
    <row r="356" spans="3:5" x14ac:dyDescent="0.25">
      <c r="C356" s="248">
        <v>44209</v>
      </c>
      <c r="D356" t="s">
        <v>312</v>
      </c>
      <c r="E356">
        <v>38</v>
      </c>
    </row>
    <row r="357" spans="3:5" x14ac:dyDescent="0.25">
      <c r="C357" s="248">
        <v>44209</v>
      </c>
      <c r="D357" t="s">
        <v>310</v>
      </c>
      <c r="E357">
        <v>266</v>
      </c>
    </row>
    <row r="358" spans="3:5" x14ac:dyDescent="0.25">
      <c r="C358" s="248">
        <v>44214</v>
      </c>
      <c r="D358" t="s">
        <v>304</v>
      </c>
      <c r="E358">
        <v>667</v>
      </c>
    </row>
    <row r="359" spans="3:5" x14ac:dyDescent="0.25">
      <c r="C359" s="248">
        <v>44212</v>
      </c>
      <c r="D359" t="s">
        <v>312</v>
      </c>
      <c r="E359">
        <v>38</v>
      </c>
    </row>
    <row r="360" spans="3:5" x14ac:dyDescent="0.25">
      <c r="C360" s="248">
        <v>44211</v>
      </c>
      <c r="D360" t="s">
        <v>312</v>
      </c>
      <c r="E360">
        <v>46</v>
      </c>
    </row>
    <row r="361" spans="3:5" x14ac:dyDescent="0.25">
      <c r="C361" s="248">
        <v>44211</v>
      </c>
      <c r="D361" t="s">
        <v>307</v>
      </c>
      <c r="E361">
        <v>318</v>
      </c>
    </row>
    <row r="362" spans="3:5" x14ac:dyDescent="0.25">
      <c r="C362" s="248">
        <v>44222</v>
      </c>
      <c r="D362" t="s">
        <v>312</v>
      </c>
      <c r="E362">
        <v>60</v>
      </c>
    </row>
    <row r="363" spans="3:5" x14ac:dyDescent="0.25">
      <c r="C363" s="248">
        <v>44277</v>
      </c>
      <c r="D363" t="s">
        <v>310</v>
      </c>
      <c r="E363">
        <v>286</v>
      </c>
    </row>
    <row r="364" spans="3:5" x14ac:dyDescent="0.25">
      <c r="C364" s="248">
        <v>44224</v>
      </c>
      <c r="D364" t="s">
        <v>310</v>
      </c>
      <c r="E364">
        <v>221</v>
      </c>
    </row>
    <row r="365" spans="3:5" x14ac:dyDescent="0.25">
      <c r="C365" s="248">
        <v>44291</v>
      </c>
      <c r="D365" t="s">
        <v>310</v>
      </c>
      <c r="E365">
        <v>689</v>
      </c>
    </row>
    <row r="366" spans="3:5" x14ac:dyDescent="0.25">
      <c r="C366" s="248">
        <v>44218</v>
      </c>
      <c r="D366" t="s">
        <v>308</v>
      </c>
      <c r="E366">
        <v>69</v>
      </c>
    </row>
    <row r="367" spans="3:5" x14ac:dyDescent="0.25">
      <c r="C367" s="248">
        <v>44230</v>
      </c>
      <c r="D367" t="s">
        <v>306</v>
      </c>
      <c r="E367">
        <v>350</v>
      </c>
    </row>
    <row r="368" spans="3:5" x14ac:dyDescent="0.25">
      <c r="C368" s="248">
        <v>44217</v>
      </c>
      <c r="D368" t="s">
        <v>307</v>
      </c>
      <c r="E368">
        <v>322</v>
      </c>
    </row>
    <row r="369" spans="3:5" x14ac:dyDescent="0.25">
      <c r="C369" s="248">
        <v>44223</v>
      </c>
      <c r="D369" t="s">
        <v>311</v>
      </c>
      <c r="E369">
        <v>130</v>
      </c>
    </row>
    <row r="370" spans="3:5" x14ac:dyDescent="0.25">
      <c r="C370" s="248">
        <v>44223</v>
      </c>
      <c r="D370" t="s">
        <v>305</v>
      </c>
      <c r="E370">
        <v>247</v>
      </c>
    </row>
    <row r="371" spans="3:5" x14ac:dyDescent="0.25">
      <c r="C371" s="248">
        <v>44222</v>
      </c>
      <c r="D371" t="s">
        <v>308</v>
      </c>
      <c r="E371">
        <v>62</v>
      </c>
    </row>
    <row r="372" spans="3:5" x14ac:dyDescent="0.25">
      <c r="C372" s="248">
        <v>44222</v>
      </c>
      <c r="D372" t="s">
        <v>306</v>
      </c>
      <c r="E372">
        <v>351</v>
      </c>
    </row>
    <row r="373" spans="3:5" x14ac:dyDescent="0.25">
      <c r="C373" s="248">
        <v>44223</v>
      </c>
      <c r="D373" t="s">
        <v>307</v>
      </c>
      <c r="E373">
        <v>255</v>
      </c>
    </row>
    <row r="374" spans="3:5" x14ac:dyDescent="0.25">
      <c r="C374" s="248">
        <v>44230</v>
      </c>
      <c r="D374" t="s">
        <v>311</v>
      </c>
      <c r="E374">
        <v>134</v>
      </c>
    </row>
    <row r="375" spans="3:5" x14ac:dyDescent="0.25">
      <c r="C375" s="248">
        <v>44222</v>
      </c>
      <c r="D375" t="s">
        <v>310</v>
      </c>
      <c r="E375">
        <v>229</v>
      </c>
    </row>
    <row r="376" spans="3:5" x14ac:dyDescent="0.25">
      <c r="C376" s="248">
        <v>44258</v>
      </c>
      <c r="D376" t="s">
        <v>308</v>
      </c>
      <c r="E376">
        <v>68</v>
      </c>
    </row>
    <row r="377" spans="3:5" x14ac:dyDescent="0.25">
      <c r="C377" s="248">
        <v>44288</v>
      </c>
      <c r="D377" t="s">
        <v>307</v>
      </c>
      <c r="E377">
        <v>540</v>
      </c>
    </row>
    <row r="378" spans="3:5" x14ac:dyDescent="0.25">
      <c r="C378" s="248">
        <v>44223</v>
      </c>
      <c r="D378" t="s">
        <v>304</v>
      </c>
      <c r="E378">
        <v>493</v>
      </c>
    </row>
    <row r="379" spans="3:5" x14ac:dyDescent="0.25">
      <c r="C379" s="248">
        <v>44245</v>
      </c>
      <c r="D379" t="s">
        <v>311</v>
      </c>
      <c r="E379">
        <v>104</v>
      </c>
    </row>
    <row r="380" spans="3:5" x14ac:dyDescent="0.25">
      <c r="C380" s="248">
        <v>44258</v>
      </c>
      <c r="D380" t="s">
        <v>304</v>
      </c>
      <c r="E380">
        <v>282</v>
      </c>
    </row>
    <row r="381" spans="3:5" x14ac:dyDescent="0.25">
      <c r="C381" s="248">
        <v>44228</v>
      </c>
      <c r="D381" t="s">
        <v>305</v>
      </c>
      <c r="E381">
        <v>291</v>
      </c>
    </row>
    <row r="382" spans="3:5" x14ac:dyDescent="0.25">
      <c r="C382" s="248">
        <v>44239</v>
      </c>
      <c r="D382" t="s">
        <v>308</v>
      </c>
      <c r="E382">
        <v>55</v>
      </c>
    </row>
    <row r="383" spans="3:5" x14ac:dyDescent="0.25">
      <c r="C383" s="248">
        <v>44226</v>
      </c>
      <c r="D383" t="s">
        <v>308</v>
      </c>
      <c r="E383">
        <v>49</v>
      </c>
    </row>
    <row r="384" spans="3:5" x14ac:dyDescent="0.25">
      <c r="C384" s="248">
        <v>44229</v>
      </c>
      <c r="D384" t="s">
        <v>304</v>
      </c>
      <c r="E384">
        <v>407</v>
      </c>
    </row>
    <row r="385" spans="3:5" x14ac:dyDescent="0.25">
      <c r="C385" s="248">
        <v>44229</v>
      </c>
      <c r="D385" t="s">
        <v>311</v>
      </c>
      <c r="E385">
        <v>106</v>
      </c>
    </row>
    <row r="386" spans="3:5" x14ac:dyDescent="0.25">
      <c r="C386" s="248">
        <v>44231</v>
      </c>
      <c r="D386" t="s">
        <v>310</v>
      </c>
      <c r="E386">
        <v>218</v>
      </c>
    </row>
    <row r="387" spans="3:5" x14ac:dyDescent="0.25">
      <c r="C387" s="248">
        <v>44230</v>
      </c>
      <c r="D387" t="s">
        <v>312</v>
      </c>
      <c r="E387">
        <v>44</v>
      </c>
    </row>
    <row r="388" spans="3:5" x14ac:dyDescent="0.25">
      <c r="C388" s="248">
        <v>44229</v>
      </c>
      <c r="D388" t="s">
        <v>312</v>
      </c>
      <c r="E388">
        <v>44</v>
      </c>
    </row>
    <row r="389" spans="3:5" x14ac:dyDescent="0.25">
      <c r="C389" s="248">
        <v>44229</v>
      </c>
      <c r="D389" t="s">
        <v>306</v>
      </c>
      <c r="E389">
        <v>333</v>
      </c>
    </row>
    <row r="390" spans="3:5" x14ac:dyDescent="0.25">
      <c r="C390" s="248">
        <v>44229</v>
      </c>
      <c r="D390" t="s">
        <v>308</v>
      </c>
      <c r="E390">
        <v>60</v>
      </c>
    </row>
    <row r="391" spans="3:5" x14ac:dyDescent="0.25">
      <c r="C391" s="248">
        <v>44264</v>
      </c>
      <c r="D391" t="s">
        <v>304</v>
      </c>
      <c r="E391">
        <v>282</v>
      </c>
    </row>
    <row r="392" spans="3:5" x14ac:dyDescent="0.25">
      <c r="C392" s="248">
        <v>44231</v>
      </c>
      <c r="D392" t="s">
        <v>306</v>
      </c>
      <c r="E392">
        <v>316</v>
      </c>
    </row>
    <row r="393" spans="3:5" x14ac:dyDescent="0.25">
      <c r="C393" s="248">
        <v>44288</v>
      </c>
      <c r="D393" t="s">
        <v>306</v>
      </c>
      <c r="E393">
        <v>696</v>
      </c>
    </row>
    <row r="394" spans="3:5" x14ac:dyDescent="0.25">
      <c r="C394" s="248">
        <v>44231</v>
      </c>
      <c r="D394" t="s">
        <v>308</v>
      </c>
      <c r="E394">
        <v>68</v>
      </c>
    </row>
    <row r="395" spans="3:5" x14ac:dyDescent="0.25">
      <c r="C395" s="248">
        <v>44280</v>
      </c>
      <c r="D395" t="s">
        <v>311</v>
      </c>
      <c r="E395">
        <v>213</v>
      </c>
    </row>
    <row r="396" spans="3:5" x14ac:dyDescent="0.25">
      <c r="C396" s="248">
        <v>44231</v>
      </c>
      <c r="D396" t="s">
        <v>304</v>
      </c>
      <c r="E396">
        <v>346</v>
      </c>
    </row>
    <row r="397" spans="3:5" x14ac:dyDescent="0.25">
      <c r="C397" s="248">
        <v>44214</v>
      </c>
      <c r="D397" t="s">
        <v>307</v>
      </c>
      <c r="E397">
        <v>349</v>
      </c>
    </row>
    <row r="398" spans="3:5" x14ac:dyDescent="0.25">
      <c r="C398" s="248">
        <v>44261</v>
      </c>
      <c r="D398" t="s">
        <v>306</v>
      </c>
      <c r="E398">
        <v>207</v>
      </c>
    </row>
    <row r="399" spans="3:5" x14ac:dyDescent="0.25">
      <c r="C399" s="248">
        <v>44236</v>
      </c>
      <c r="D399" t="s">
        <v>305</v>
      </c>
      <c r="E399">
        <v>102</v>
      </c>
    </row>
    <row r="400" spans="3:5" x14ac:dyDescent="0.25">
      <c r="C400" s="248">
        <v>44255</v>
      </c>
      <c r="D400" t="s">
        <v>304</v>
      </c>
      <c r="E400">
        <v>136</v>
      </c>
    </row>
    <row r="401" spans="3:5" x14ac:dyDescent="0.25">
      <c r="C401" s="248">
        <v>44255</v>
      </c>
      <c r="D401" t="s">
        <v>312</v>
      </c>
      <c r="E401">
        <v>20</v>
      </c>
    </row>
    <row r="402" spans="3:5" x14ac:dyDescent="0.25">
      <c r="C402" s="248">
        <v>44254</v>
      </c>
      <c r="D402" t="s">
        <v>306</v>
      </c>
      <c r="E402">
        <v>211</v>
      </c>
    </row>
    <row r="403" spans="3:5" x14ac:dyDescent="0.25">
      <c r="C403" s="248">
        <v>44253</v>
      </c>
      <c r="D403" t="s">
        <v>304</v>
      </c>
      <c r="E403">
        <v>223</v>
      </c>
    </row>
    <row r="404" spans="3:5" x14ac:dyDescent="0.25">
      <c r="C404" s="248">
        <v>44253</v>
      </c>
      <c r="D404" t="s">
        <v>307</v>
      </c>
      <c r="E404">
        <v>199</v>
      </c>
    </row>
    <row r="405" spans="3:5" x14ac:dyDescent="0.25">
      <c r="C405" s="248">
        <v>44254</v>
      </c>
      <c r="D405" t="s">
        <v>305</v>
      </c>
      <c r="E405">
        <v>67</v>
      </c>
    </row>
    <row r="406" spans="3:5" x14ac:dyDescent="0.25">
      <c r="C406" s="248">
        <v>44256</v>
      </c>
      <c r="D406" t="s">
        <v>309</v>
      </c>
      <c r="E406">
        <v>45</v>
      </c>
    </row>
    <row r="407" spans="3:5" x14ac:dyDescent="0.25">
      <c r="C407" s="248">
        <v>44248</v>
      </c>
      <c r="D407" t="s">
        <v>308</v>
      </c>
      <c r="E407">
        <v>33</v>
      </c>
    </row>
    <row r="408" spans="3:5" x14ac:dyDescent="0.25">
      <c r="C408" s="248">
        <v>44256</v>
      </c>
      <c r="D408" t="s">
        <v>304</v>
      </c>
      <c r="E408">
        <v>255</v>
      </c>
    </row>
    <row r="409" spans="3:5" x14ac:dyDescent="0.25">
      <c r="C409" s="248">
        <v>44256</v>
      </c>
      <c r="D409" t="s">
        <v>310</v>
      </c>
      <c r="E409">
        <v>179</v>
      </c>
    </row>
    <row r="410" spans="3:5" x14ac:dyDescent="0.25">
      <c r="C410" s="248">
        <v>44256</v>
      </c>
      <c r="D410" t="s">
        <v>305</v>
      </c>
      <c r="E410">
        <v>99</v>
      </c>
    </row>
    <row r="411" spans="3:5" x14ac:dyDescent="0.25">
      <c r="C411" s="248">
        <v>44256</v>
      </c>
      <c r="D411" t="s">
        <v>308</v>
      </c>
      <c r="E411">
        <v>71</v>
      </c>
    </row>
    <row r="412" spans="3:5" x14ac:dyDescent="0.25">
      <c r="C412" s="248">
        <v>44257</v>
      </c>
      <c r="D412" t="s">
        <v>308</v>
      </c>
      <c r="E412">
        <v>54</v>
      </c>
    </row>
    <row r="413" spans="3:5" x14ac:dyDescent="0.25">
      <c r="C413" s="248">
        <v>44248</v>
      </c>
      <c r="D413" t="s">
        <v>307</v>
      </c>
      <c r="E413">
        <v>158</v>
      </c>
    </row>
    <row r="414" spans="3:5" x14ac:dyDescent="0.25">
      <c r="C414" s="248">
        <v>44260</v>
      </c>
      <c r="D414" t="s">
        <v>308</v>
      </c>
      <c r="E414">
        <v>50</v>
      </c>
    </row>
    <row r="415" spans="3:5" x14ac:dyDescent="0.25">
      <c r="C415" s="248">
        <v>44249</v>
      </c>
      <c r="D415" t="s">
        <v>307</v>
      </c>
      <c r="E415">
        <v>212</v>
      </c>
    </row>
    <row r="416" spans="3:5" x14ac:dyDescent="0.25">
      <c r="C416" s="248">
        <v>44249</v>
      </c>
      <c r="D416" t="s">
        <v>306</v>
      </c>
      <c r="E416">
        <v>270</v>
      </c>
    </row>
    <row r="417" spans="3:5" x14ac:dyDescent="0.25">
      <c r="C417" s="248">
        <v>44251</v>
      </c>
      <c r="D417" t="s">
        <v>312</v>
      </c>
      <c r="E417">
        <v>24</v>
      </c>
    </row>
    <row r="418" spans="3:5" x14ac:dyDescent="0.25">
      <c r="C418" s="248">
        <v>44248</v>
      </c>
      <c r="D418" t="s">
        <v>304</v>
      </c>
      <c r="E418">
        <v>206</v>
      </c>
    </row>
    <row r="419" spans="3:5" x14ac:dyDescent="0.25">
      <c r="C419" s="248">
        <v>44247</v>
      </c>
      <c r="D419" t="s">
        <v>306</v>
      </c>
      <c r="E419">
        <v>239</v>
      </c>
    </row>
    <row r="420" spans="3:5" x14ac:dyDescent="0.25">
      <c r="C420" s="248">
        <v>44247</v>
      </c>
      <c r="D420" t="s">
        <v>307</v>
      </c>
      <c r="E420">
        <v>170</v>
      </c>
    </row>
    <row r="421" spans="3:5" x14ac:dyDescent="0.25">
      <c r="C421" s="248">
        <v>44247</v>
      </c>
      <c r="D421" t="s">
        <v>308</v>
      </c>
      <c r="E421">
        <v>49</v>
      </c>
    </row>
    <row r="422" spans="3:5" x14ac:dyDescent="0.25">
      <c r="C422" s="248">
        <v>44248</v>
      </c>
      <c r="D422" t="s">
        <v>310</v>
      </c>
      <c r="E422">
        <v>119</v>
      </c>
    </row>
    <row r="423" spans="3:5" x14ac:dyDescent="0.25">
      <c r="C423" s="248">
        <v>44247</v>
      </c>
      <c r="D423" t="s">
        <v>311</v>
      </c>
      <c r="E423">
        <v>90</v>
      </c>
    </row>
    <row r="424" spans="3:5" x14ac:dyDescent="0.25">
      <c r="C424" s="248">
        <v>44246</v>
      </c>
      <c r="D424" t="s">
        <v>308</v>
      </c>
      <c r="E424">
        <v>51</v>
      </c>
    </row>
    <row r="425" spans="3:5" x14ac:dyDescent="0.25">
      <c r="C425" s="248">
        <v>44248</v>
      </c>
      <c r="D425" t="s">
        <v>312</v>
      </c>
      <c r="E425">
        <v>17</v>
      </c>
    </row>
    <row r="426" spans="3:5" x14ac:dyDescent="0.25">
      <c r="C426" s="248">
        <v>44248</v>
      </c>
      <c r="D426" t="s">
        <v>311</v>
      </c>
      <c r="E426">
        <v>78</v>
      </c>
    </row>
    <row r="427" spans="3:5" x14ac:dyDescent="0.25">
      <c r="C427" s="248">
        <v>44261</v>
      </c>
      <c r="D427" t="s">
        <v>311</v>
      </c>
      <c r="E427">
        <v>85</v>
      </c>
    </row>
    <row r="428" spans="3:5" x14ac:dyDescent="0.25">
      <c r="C428" s="248">
        <v>44250</v>
      </c>
      <c r="D428" t="s">
        <v>308</v>
      </c>
      <c r="E428">
        <v>51</v>
      </c>
    </row>
    <row r="429" spans="3:5" x14ac:dyDescent="0.25">
      <c r="C429" s="248">
        <v>44251</v>
      </c>
      <c r="D429" t="s">
        <v>308</v>
      </c>
      <c r="E429">
        <v>44</v>
      </c>
    </row>
    <row r="430" spans="3:5" x14ac:dyDescent="0.25">
      <c r="C430" s="248">
        <v>44250</v>
      </c>
      <c r="D430" t="s">
        <v>305</v>
      </c>
      <c r="E430">
        <v>94</v>
      </c>
    </row>
    <row r="431" spans="3:5" x14ac:dyDescent="0.25">
      <c r="C431" s="248">
        <v>44250</v>
      </c>
      <c r="D431" t="s">
        <v>306</v>
      </c>
      <c r="E431">
        <v>309</v>
      </c>
    </row>
    <row r="432" spans="3:5" x14ac:dyDescent="0.25">
      <c r="C432" s="248">
        <v>44253</v>
      </c>
      <c r="D432" t="s">
        <v>310</v>
      </c>
      <c r="E432">
        <v>177</v>
      </c>
    </row>
    <row r="433" spans="3:5" x14ac:dyDescent="0.25">
      <c r="C433" s="248">
        <v>44250</v>
      </c>
      <c r="D433" t="s">
        <v>310</v>
      </c>
      <c r="E433">
        <v>158</v>
      </c>
    </row>
    <row r="434" spans="3:5" x14ac:dyDescent="0.25">
      <c r="C434" s="248">
        <v>44235</v>
      </c>
      <c r="D434" t="s">
        <v>307</v>
      </c>
      <c r="E434">
        <v>303</v>
      </c>
    </row>
    <row r="435" spans="3:5" x14ac:dyDescent="0.25">
      <c r="C435" s="248">
        <v>44244</v>
      </c>
      <c r="D435" t="s">
        <v>304</v>
      </c>
      <c r="E435">
        <v>295</v>
      </c>
    </row>
    <row r="436" spans="3:5" x14ac:dyDescent="0.25">
      <c r="C436" s="248">
        <v>44250</v>
      </c>
      <c r="D436" t="s">
        <v>304</v>
      </c>
      <c r="E436">
        <v>280</v>
      </c>
    </row>
    <row r="437" spans="3:5" x14ac:dyDescent="0.25">
      <c r="C437" s="248">
        <v>44252</v>
      </c>
      <c r="D437" t="s">
        <v>310</v>
      </c>
      <c r="E437">
        <v>145</v>
      </c>
    </row>
    <row r="438" spans="3:5" x14ac:dyDescent="0.25">
      <c r="C438" s="248">
        <v>44235</v>
      </c>
      <c r="D438" t="s">
        <v>309</v>
      </c>
      <c r="E438">
        <v>40</v>
      </c>
    </row>
    <row r="439" spans="3:5" x14ac:dyDescent="0.25">
      <c r="C439" s="248">
        <v>44250</v>
      </c>
      <c r="D439" t="s">
        <v>312</v>
      </c>
      <c r="E439">
        <v>30</v>
      </c>
    </row>
    <row r="440" spans="3:5" x14ac:dyDescent="0.25">
      <c r="C440" s="248">
        <v>44250</v>
      </c>
      <c r="D440" t="s">
        <v>311</v>
      </c>
      <c r="E440">
        <v>112</v>
      </c>
    </row>
    <row r="441" spans="3:5" x14ac:dyDescent="0.25">
      <c r="C441" s="248">
        <v>44252</v>
      </c>
      <c r="D441" t="s">
        <v>311</v>
      </c>
      <c r="E441">
        <v>100</v>
      </c>
    </row>
    <row r="442" spans="3:5" x14ac:dyDescent="0.25">
      <c r="C442" s="248">
        <v>44252</v>
      </c>
      <c r="D442" t="s">
        <v>312</v>
      </c>
      <c r="E442">
        <v>38</v>
      </c>
    </row>
    <row r="443" spans="3:5" x14ac:dyDescent="0.25">
      <c r="C443" s="248">
        <v>44252</v>
      </c>
      <c r="D443" t="s">
        <v>306</v>
      </c>
      <c r="E443">
        <v>307</v>
      </c>
    </row>
    <row r="444" spans="3:5" x14ac:dyDescent="0.25">
      <c r="C444" s="248">
        <v>44252</v>
      </c>
      <c r="D444" t="s">
        <v>307</v>
      </c>
      <c r="E444">
        <v>245</v>
      </c>
    </row>
    <row r="445" spans="3:5" x14ac:dyDescent="0.25">
      <c r="C445" s="248">
        <v>44297</v>
      </c>
      <c r="D445" t="s">
        <v>306</v>
      </c>
      <c r="E445">
        <v>255</v>
      </c>
    </row>
    <row r="446" spans="3:5" x14ac:dyDescent="0.25">
      <c r="C446" s="248">
        <v>44280</v>
      </c>
      <c r="D446" t="s">
        <v>310</v>
      </c>
      <c r="E446">
        <v>348</v>
      </c>
    </row>
    <row r="447" spans="3:5" x14ac:dyDescent="0.25">
      <c r="C447" s="248">
        <v>44262</v>
      </c>
      <c r="D447" t="s">
        <v>307</v>
      </c>
      <c r="E447">
        <v>162</v>
      </c>
    </row>
    <row r="448" spans="3:5" x14ac:dyDescent="0.25">
      <c r="C448" s="248">
        <v>44251</v>
      </c>
      <c r="D448" t="s">
        <v>310</v>
      </c>
      <c r="E448">
        <v>158</v>
      </c>
    </row>
    <row r="449" spans="3:5" x14ac:dyDescent="0.25">
      <c r="C449" s="248">
        <v>44261</v>
      </c>
      <c r="D449" t="s">
        <v>307</v>
      </c>
      <c r="E449">
        <v>183</v>
      </c>
    </row>
    <row r="450" spans="3:5" x14ac:dyDescent="0.25">
      <c r="C450" s="248">
        <v>44251</v>
      </c>
      <c r="D450" t="s">
        <v>311</v>
      </c>
      <c r="E450">
        <v>82</v>
      </c>
    </row>
    <row r="451" spans="3:5" x14ac:dyDescent="0.25">
      <c r="C451" s="248">
        <v>44252</v>
      </c>
      <c r="D451" t="s">
        <v>309</v>
      </c>
      <c r="E451">
        <v>30</v>
      </c>
    </row>
    <row r="452" spans="3:5" x14ac:dyDescent="0.25">
      <c r="C452" s="248">
        <v>44253</v>
      </c>
      <c r="D452" t="s">
        <v>308</v>
      </c>
      <c r="E452">
        <v>60</v>
      </c>
    </row>
    <row r="453" spans="3:5" x14ac:dyDescent="0.25">
      <c r="C453" s="248">
        <v>44253</v>
      </c>
      <c r="D453" t="s">
        <v>309</v>
      </c>
      <c r="E453">
        <v>32</v>
      </c>
    </row>
    <row r="454" spans="3:5" x14ac:dyDescent="0.25">
      <c r="C454" s="248">
        <v>44254</v>
      </c>
      <c r="D454" t="s">
        <v>312</v>
      </c>
      <c r="E454">
        <v>20</v>
      </c>
    </row>
    <row r="455" spans="3:5" x14ac:dyDescent="0.25">
      <c r="C455" s="248">
        <v>44254</v>
      </c>
      <c r="D455" t="s">
        <v>310</v>
      </c>
      <c r="E455">
        <v>122</v>
      </c>
    </row>
    <row r="456" spans="3:5" x14ac:dyDescent="0.25">
      <c r="C456" s="248">
        <v>44254</v>
      </c>
      <c r="D456" t="s">
        <v>309</v>
      </c>
      <c r="E456">
        <v>21</v>
      </c>
    </row>
    <row r="457" spans="3:5" x14ac:dyDescent="0.25">
      <c r="C457" s="248">
        <v>44254</v>
      </c>
      <c r="D457" t="s">
        <v>311</v>
      </c>
      <c r="E457">
        <v>79</v>
      </c>
    </row>
    <row r="458" spans="3:5" x14ac:dyDescent="0.25">
      <c r="C458" s="248">
        <v>44264</v>
      </c>
      <c r="D458" t="s">
        <v>305</v>
      </c>
      <c r="E458">
        <v>157</v>
      </c>
    </row>
    <row r="459" spans="3:5" x14ac:dyDescent="0.25">
      <c r="C459" s="248">
        <v>44254</v>
      </c>
      <c r="D459" t="s">
        <v>308</v>
      </c>
      <c r="E459">
        <v>41</v>
      </c>
    </row>
    <row r="460" spans="3:5" x14ac:dyDescent="0.25">
      <c r="C460" s="248">
        <v>44259</v>
      </c>
      <c r="D460" t="s">
        <v>306</v>
      </c>
      <c r="E460">
        <v>256</v>
      </c>
    </row>
    <row r="461" spans="3:5" x14ac:dyDescent="0.25">
      <c r="C461" s="248">
        <v>44260</v>
      </c>
      <c r="D461" t="s">
        <v>310</v>
      </c>
      <c r="E461">
        <v>177</v>
      </c>
    </row>
    <row r="462" spans="3:5" x14ac:dyDescent="0.25">
      <c r="C462" s="248">
        <v>44260</v>
      </c>
      <c r="D462" t="s">
        <v>305</v>
      </c>
      <c r="E462">
        <v>143</v>
      </c>
    </row>
    <row r="463" spans="3:5" x14ac:dyDescent="0.25">
      <c r="C463" s="248">
        <v>44255</v>
      </c>
      <c r="D463" t="s">
        <v>306</v>
      </c>
      <c r="E463">
        <v>182</v>
      </c>
    </row>
    <row r="464" spans="3:5" x14ac:dyDescent="0.25">
      <c r="C464" s="248">
        <v>44255</v>
      </c>
      <c r="D464" t="s">
        <v>311</v>
      </c>
      <c r="E464">
        <v>74</v>
      </c>
    </row>
    <row r="465" spans="3:5" x14ac:dyDescent="0.25">
      <c r="C465" s="248">
        <v>44255</v>
      </c>
      <c r="D465" t="s">
        <v>305</v>
      </c>
      <c r="E465">
        <v>54</v>
      </c>
    </row>
    <row r="466" spans="3:5" x14ac:dyDescent="0.25">
      <c r="C466" s="248">
        <v>44256</v>
      </c>
      <c r="D466" t="s">
        <v>312</v>
      </c>
      <c r="E466">
        <v>32</v>
      </c>
    </row>
    <row r="467" spans="3:5" x14ac:dyDescent="0.25">
      <c r="C467" s="248">
        <v>44221</v>
      </c>
      <c r="D467" t="s">
        <v>310</v>
      </c>
      <c r="E467">
        <v>236</v>
      </c>
    </row>
    <row r="468" spans="3:5" x14ac:dyDescent="0.25">
      <c r="C468" s="248">
        <v>44255</v>
      </c>
      <c r="D468" t="s">
        <v>309</v>
      </c>
      <c r="E468">
        <v>15</v>
      </c>
    </row>
    <row r="469" spans="3:5" x14ac:dyDescent="0.25">
      <c r="C469" s="248">
        <v>44243</v>
      </c>
      <c r="D469" t="s">
        <v>311</v>
      </c>
      <c r="E469">
        <v>75</v>
      </c>
    </row>
    <row r="470" spans="3:5" x14ac:dyDescent="0.25">
      <c r="C470" s="248">
        <v>44259</v>
      </c>
      <c r="D470" t="s">
        <v>304</v>
      </c>
      <c r="E470">
        <v>258</v>
      </c>
    </row>
    <row r="471" spans="3:5" x14ac:dyDescent="0.25">
      <c r="C471" s="248">
        <v>44259</v>
      </c>
      <c r="D471" t="s">
        <v>311</v>
      </c>
      <c r="E471">
        <v>113</v>
      </c>
    </row>
    <row r="472" spans="3:5" x14ac:dyDescent="0.25">
      <c r="C472" s="248">
        <v>44259</v>
      </c>
      <c r="D472" t="s">
        <v>305</v>
      </c>
      <c r="E472">
        <v>115</v>
      </c>
    </row>
    <row r="473" spans="3:5" x14ac:dyDescent="0.25">
      <c r="C473" s="248">
        <v>44260</v>
      </c>
      <c r="D473" t="s">
        <v>312</v>
      </c>
      <c r="E473">
        <v>27</v>
      </c>
    </row>
    <row r="474" spans="3:5" x14ac:dyDescent="0.25">
      <c r="C474" s="248">
        <v>44260</v>
      </c>
      <c r="D474" t="s">
        <v>304</v>
      </c>
      <c r="E474">
        <v>290</v>
      </c>
    </row>
    <row r="475" spans="3:5" x14ac:dyDescent="0.25">
      <c r="C475" s="248">
        <v>44258</v>
      </c>
      <c r="D475" t="s">
        <v>306</v>
      </c>
      <c r="E475">
        <v>311</v>
      </c>
    </row>
    <row r="476" spans="3:5" x14ac:dyDescent="0.25">
      <c r="C476" s="248">
        <v>44260</v>
      </c>
      <c r="D476" t="s">
        <v>307</v>
      </c>
      <c r="E476">
        <v>260</v>
      </c>
    </row>
    <row r="477" spans="3:5" x14ac:dyDescent="0.25">
      <c r="C477" s="248">
        <v>44292</v>
      </c>
      <c r="D477" t="s">
        <v>306</v>
      </c>
      <c r="E477">
        <v>1113</v>
      </c>
    </row>
    <row r="478" spans="3:5" x14ac:dyDescent="0.25">
      <c r="C478" s="248">
        <v>44294</v>
      </c>
      <c r="D478" t="s">
        <v>305</v>
      </c>
      <c r="E478">
        <v>470</v>
      </c>
    </row>
    <row r="479" spans="3:5" x14ac:dyDescent="0.25">
      <c r="C479" s="248">
        <v>44246</v>
      </c>
      <c r="D479" t="s">
        <v>311</v>
      </c>
      <c r="E479">
        <v>87</v>
      </c>
    </row>
    <row r="480" spans="3:5" x14ac:dyDescent="0.25">
      <c r="C480" s="248">
        <v>44246</v>
      </c>
      <c r="D480" t="s">
        <v>306</v>
      </c>
      <c r="E480">
        <v>327</v>
      </c>
    </row>
    <row r="481" spans="3:5" x14ac:dyDescent="0.25">
      <c r="C481" s="248">
        <v>44246</v>
      </c>
      <c r="D481" t="s">
        <v>304</v>
      </c>
      <c r="E481">
        <v>262</v>
      </c>
    </row>
    <row r="482" spans="3:5" x14ac:dyDescent="0.25">
      <c r="C482" s="248">
        <v>44246</v>
      </c>
      <c r="D482" t="s">
        <v>310</v>
      </c>
      <c r="E482">
        <v>162</v>
      </c>
    </row>
    <row r="483" spans="3:5" x14ac:dyDescent="0.25">
      <c r="C483" s="248">
        <v>44257</v>
      </c>
      <c r="D483" t="s">
        <v>311</v>
      </c>
      <c r="E483">
        <v>94</v>
      </c>
    </row>
    <row r="484" spans="3:5" x14ac:dyDescent="0.25">
      <c r="C484" s="248">
        <v>44265</v>
      </c>
      <c r="D484" t="s">
        <v>304</v>
      </c>
      <c r="E484">
        <v>271</v>
      </c>
    </row>
    <row r="485" spans="3:5" x14ac:dyDescent="0.25">
      <c r="C485" s="248">
        <v>44258</v>
      </c>
      <c r="D485" t="s">
        <v>311</v>
      </c>
      <c r="E485">
        <v>109</v>
      </c>
    </row>
    <row r="486" spans="3:5" x14ac:dyDescent="0.25">
      <c r="C486" s="248">
        <v>44258</v>
      </c>
      <c r="D486" t="s">
        <v>305</v>
      </c>
      <c r="E486">
        <v>128</v>
      </c>
    </row>
    <row r="487" spans="3:5" x14ac:dyDescent="0.25">
      <c r="C487" s="248">
        <v>44263</v>
      </c>
      <c r="D487" t="s">
        <v>310</v>
      </c>
      <c r="E487">
        <v>221</v>
      </c>
    </row>
    <row r="488" spans="3:5" x14ac:dyDescent="0.25">
      <c r="C488" s="248">
        <v>44287</v>
      </c>
      <c r="D488" t="s">
        <v>307</v>
      </c>
      <c r="E488">
        <v>605</v>
      </c>
    </row>
    <row r="489" spans="3:5" x14ac:dyDescent="0.25">
      <c r="C489" s="248">
        <v>44293</v>
      </c>
      <c r="D489" t="s">
        <v>304</v>
      </c>
      <c r="E489">
        <v>1153</v>
      </c>
    </row>
    <row r="490" spans="3:5" x14ac:dyDescent="0.25">
      <c r="C490" s="248">
        <v>44241</v>
      </c>
      <c r="D490" t="s">
        <v>311</v>
      </c>
      <c r="E490">
        <v>77</v>
      </c>
    </row>
    <row r="491" spans="3:5" x14ac:dyDescent="0.25">
      <c r="C491" s="248">
        <v>44259</v>
      </c>
      <c r="D491" t="s">
        <v>312</v>
      </c>
      <c r="E491">
        <v>21</v>
      </c>
    </row>
    <row r="492" spans="3:5" x14ac:dyDescent="0.25">
      <c r="C492" s="248">
        <v>44258</v>
      </c>
      <c r="D492" t="s">
        <v>309</v>
      </c>
      <c r="E492">
        <v>33</v>
      </c>
    </row>
    <row r="493" spans="3:5" x14ac:dyDescent="0.25">
      <c r="C493" s="248">
        <v>44230</v>
      </c>
      <c r="D493" t="s">
        <v>307</v>
      </c>
      <c r="E493">
        <v>274</v>
      </c>
    </row>
    <row r="494" spans="3:5" x14ac:dyDescent="0.25">
      <c r="C494" s="248">
        <v>44251</v>
      </c>
      <c r="D494" t="s">
        <v>307</v>
      </c>
      <c r="E494">
        <v>212</v>
      </c>
    </row>
    <row r="495" spans="3:5" x14ac:dyDescent="0.25">
      <c r="C495" s="248">
        <v>44264</v>
      </c>
      <c r="D495" t="s">
        <v>306</v>
      </c>
      <c r="E495">
        <v>322</v>
      </c>
    </row>
    <row r="496" spans="3:5" x14ac:dyDescent="0.25">
      <c r="C496" s="248">
        <v>44265</v>
      </c>
      <c r="D496" t="s">
        <v>311</v>
      </c>
      <c r="E496">
        <v>109</v>
      </c>
    </row>
    <row r="497" spans="3:5" x14ac:dyDescent="0.25">
      <c r="C497" s="248">
        <v>44264</v>
      </c>
      <c r="D497" t="s">
        <v>308</v>
      </c>
      <c r="E497">
        <v>67</v>
      </c>
    </row>
    <row r="498" spans="3:5" x14ac:dyDescent="0.25">
      <c r="C498" s="248">
        <v>44263</v>
      </c>
      <c r="D498" t="s">
        <v>307</v>
      </c>
      <c r="E498">
        <v>270</v>
      </c>
    </row>
    <row r="499" spans="3:5" x14ac:dyDescent="0.25">
      <c r="C499" s="248">
        <v>44264</v>
      </c>
      <c r="D499" t="s">
        <v>311</v>
      </c>
      <c r="E499">
        <v>121</v>
      </c>
    </row>
    <row r="500" spans="3:5" x14ac:dyDescent="0.25">
      <c r="C500" s="248">
        <v>44261</v>
      </c>
      <c r="D500" t="s">
        <v>305</v>
      </c>
      <c r="E500">
        <v>117</v>
      </c>
    </row>
    <row r="501" spans="3:5" x14ac:dyDescent="0.25">
      <c r="C501" s="248">
        <v>44261</v>
      </c>
      <c r="D501" t="s">
        <v>310</v>
      </c>
      <c r="E501">
        <v>128</v>
      </c>
    </row>
    <row r="502" spans="3:5" x14ac:dyDescent="0.25">
      <c r="C502" s="248">
        <v>44261</v>
      </c>
      <c r="D502" t="s">
        <v>312</v>
      </c>
      <c r="E502">
        <v>26</v>
      </c>
    </row>
    <row r="503" spans="3:5" x14ac:dyDescent="0.25">
      <c r="C503" s="248">
        <v>44214</v>
      </c>
      <c r="D503" t="s">
        <v>310</v>
      </c>
      <c r="E503">
        <v>277</v>
      </c>
    </row>
    <row r="504" spans="3:5" x14ac:dyDescent="0.25">
      <c r="C504" s="248">
        <v>44293</v>
      </c>
      <c r="D504" t="s">
        <v>305</v>
      </c>
      <c r="E504">
        <v>497</v>
      </c>
    </row>
    <row r="505" spans="3:5" x14ac:dyDescent="0.25">
      <c r="C505" s="248">
        <v>44262</v>
      </c>
      <c r="D505" t="s">
        <v>310</v>
      </c>
      <c r="E505">
        <v>120</v>
      </c>
    </row>
    <row r="506" spans="3:5" x14ac:dyDescent="0.25">
      <c r="C506" s="248">
        <v>44261</v>
      </c>
      <c r="D506" t="s">
        <v>309</v>
      </c>
      <c r="E506">
        <v>19</v>
      </c>
    </row>
    <row r="507" spans="3:5" x14ac:dyDescent="0.25">
      <c r="C507" s="248">
        <v>44262</v>
      </c>
      <c r="D507" t="s">
        <v>305</v>
      </c>
      <c r="E507">
        <v>89</v>
      </c>
    </row>
    <row r="508" spans="3:5" x14ac:dyDescent="0.25">
      <c r="C508" s="248">
        <v>44260</v>
      </c>
      <c r="D508" t="s">
        <v>309</v>
      </c>
      <c r="E508">
        <v>37</v>
      </c>
    </row>
    <row r="509" spans="3:5" x14ac:dyDescent="0.25">
      <c r="C509" s="248">
        <v>44262</v>
      </c>
      <c r="D509" t="s">
        <v>312</v>
      </c>
      <c r="E509">
        <v>17</v>
      </c>
    </row>
    <row r="510" spans="3:5" x14ac:dyDescent="0.25">
      <c r="C510" s="248">
        <v>44262</v>
      </c>
      <c r="D510" t="s">
        <v>311</v>
      </c>
      <c r="E510">
        <v>89</v>
      </c>
    </row>
    <row r="511" spans="3:5" x14ac:dyDescent="0.25">
      <c r="C511" s="248">
        <v>44215</v>
      </c>
      <c r="D511" t="s">
        <v>311</v>
      </c>
      <c r="E511">
        <v>153</v>
      </c>
    </row>
    <row r="512" spans="3:5" x14ac:dyDescent="0.25">
      <c r="C512" s="248">
        <v>44263</v>
      </c>
      <c r="D512" t="s">
        <v>305</v>
      </c>
      <c r="E512">
        <v>113</v>
      </c>
    </row>
    <row r="513" spans="3:5" x14ac:dyDescent="0.25">
      <c r="C513" s="248">
        <v>44263</v>
      </c>
      <c r="D513" t="s">
        <v>308</v>
      </c>
      <c r="E513">
        <v>61</v>
      </c>
    </row>
    <row r="514" spans="3:5" x14ac:dyDescent="0.25">
      <c r="C514" s="248">
        <v>44263</v>
      </c>
      <c r="D514" t="s">
        <v>312</v>
      </c>
      <c r="E514">
        <v>45</v>
      </c>
    </row>
    <row r="515" spans="3:5" x14ac:dyDescent="0.25">
      <c r="C515" s="248">
        <v>44263</v>
      </c>
      <c r="D515" t="s">
        <v>309</v>
      </c>
      <c r="E515">
        <v>49</v>
      </c>
    </row>
    <row r="516" spans="3:5" x14ac:dyDescent="0.25">
      <c r="C516" s="248">
        <v>44264</v>
      </c>
      <c r="D516" t="s">
        <v>309</v>
      </c>
      <c r="E516">
        <v>39</v>
      </c>
    </row>
    <row r="517" spans="3:5" x14ac:dyDescent="0.25">
      <c r="C517" s="248">
        <v>44252</v>
      </c>
      <c r="D517" t="s">
        <v>305</v>
      </c>
      <c r="E517">
        <v>87</v>
      </c>
    </row>
    <row r="518" spans="3:5" x14ac:dyDescent="0.25">
      <c r="C518" s="248">
        <v>44258</v>
      </c>
      <c r="D518" t="s">
        <v>312</v>
      </c>
      <c r="E518">
        <v>33</v>
      </c>
    </row>
    <row r="519" spans="3:5" x14ac:dyDescent="0.25">
      <c r="C519" s="248">
        <v>44264</v>
      </c>
      <c r="D519" t="s">
        <v>312</v>
      </c>
      <c r="E519">
        <v>33</v>
      </c>
    </row>
    <row r="520" spans="3:5" x14ac:dyDescent="0.25">
      <c r="C520" s="248">
        <v>44265</v>
      </c>
      <c r="D520" t="s">
        <v>309</v>
      </c>
      <c r="E520">
        <v>49</v>
      </c>
    </row>
    <row r="521" spans="3:5" x14ac:dyDescent="0.25">
      <c r="C521" s="248">
        <v>44265</v>
      </c>
      <c r="D521" t="s">
        <v>308</v>
      </c>
      <c r="E521">
        <v>66</v>
      </c>
    </row>
    <row r="522" spans="3:5" x14ac:dyDescent="0.25">
      <c r="C522" s="248">
        <v>44294</v>
      </c>
      <c r="D522" t="s">
        <v>306</v>
      </c>
      <c r="E522">
        <v>932</v>
      </c>
    </row>
    <row r="523" spans="3:5" x14ac:dyDescent="0.25">
      <c r="C523" s="248">
        <v>44269</v>
      </c>
      <c r="D523" t="s">
        <v>308</v>
      </c>
      <c r="E523">
        <v>60</v>
      </c>
    </row>
    <row r="524" spans="3:5" x14ac:dyDescent="0.25">
      <c r="C524" s="248">
        <v>44269</v>
      </c>
      <c r="D524" t="s">
        <v>312</v>
      </c>
      <c r="E524">
        <v>15</v>
      </c>
    </row>
    <row r="525" spans="3:5" x14ac:dyDescent="0.25">
      <c r="C525" s="248">
        <v>44277</v>
      </c>
      <c r="D525" t="s">
        <v>306</v>
      </c>
      <c r="E525">
        <v>462</v>
      </c>
    </row>
    <row r="526" spans="3:5" x14ac:dyDescent="0.25">
      <c r="C526" s="248">
        <v>44265</v>
      </c>
      <c r="D526" t="s">
        <v>312</v>
      </c>
      <c r="E526">
        <v>31</v>
      </c>
    </row>
    <row r="527" spans="3:5" x14ac:dyDescent="0.25">
      <c r="C527" s="248">
        <v>44283</v>
      </c>
      <c r="D527" t="s">
        <v>304</v>
      </c>
      <c r="E527">
        <v>410</v>
      </c>
    </row>
    <row r="528" spans="3:5" x14ac:dyDescent="0.25">
      <c r="C528" s="248">
        <v>44297</v>
      </c>
      <c r="D528" t="s">
        <v>310</v>
      </c>
      <c r="E528">
        <v>172</v>
      </c>
    </row>
    <row r="529" spans="3:5" x14ac:dyDescent="0.25">
      <c r="C529" s="248">
        <v>44282</v>
      </c>
      <c r="D529" t="s">
        <v>310</v>
      </c>
      <c r="E529">
        <v>275</v>
      </c>
    </row>
    <row r="530" spans="3:5" x14ac:dyDescent="0.25">
      <c r="C530" s="248">
        <v>44267</v>
      </c>
      <c r="D530" t="s">
        <v>311</v>
      </c>
      <c r="E530">
        <v>116</v>
      </c>
    </row>
    <row r="531" spans="3:5" x14ac:dyDescent="0.25">
      <c r="C531" s="248">
        <v>44266</v>
      </c>
      <c r="D531" t="s">
        <v>309</v>
      </c>
      <c r="E531">
        <v>35</v>
      </c>
    </row>
    <row r="532" spans="3:5" x14ac:dyDescent="0.25">
      <c r="C532" s="248">
        <v>44296</v>
      </c>
      <c r="D532" t="s">
        <v>304</v>
      </c>
      <c r="E532">
        <v>529</v>
      </c>
    </row>
    <row r="533" spans="3:5" x14ac:dyDescent="0.25">
      <c r="C533" s="248">
        <v>44284</v>
      </c>
      <c r="D533" t="s">
        <v>305</v>
      </c>
      <c r="E533">
        <v>312</v>
      </c>
    </row>
    <row r="534" spans="3:5" x14ac:dyDescent="0.25">
      <c r="C534" s="248">
        <v>44219</v>
      </c>
      <c r="D534" t="s">
        <v>311</v>
      </c>
      <c r="E534">
        <v>94</v>
      </c>
    </row>
    <row r="535" spans="3:5" x14ac:dyDescent="0.25">
      <c r="C535" s="248">
        <v>44219</v>
      </c>
      <c r="D535" t="s">
        <v>310</v>
      </c>
      <c r="E535">
        <v>200</v>
      </c>
    </row>
    <row r="536" spans="3:5" x14ac:dyDescent="0.25">
      <c r="C536" s="248">
        <v>44219</v>
      </c>
      <c r="D536" t="s">
        <v>304</v>
      </c>
      <c r="E536">
        <v>397</v>
      </c>
    </row>
    <row r="537" spans="3:5" x14ac:dyDescent="0.25">
      <c r="C537" s="248">
        <v>44280</v>
      </c>
      <c r="D537" t="s">
        <v>312</v>
      </c>
      <c r="E537">
        <v>52</v>
      </c>
    </row>
    <row r="538" spans="3:5" x14ac:dyDescent="0.25">
      <c r="C538" s="248">
        <v>44285</v>
      </c>
      <c r="D538" t="s">
        <v>312</v>
      </c>
      <c r="E538">
        <v>60</v>
      </c>
    </row>
    <row r="539" spans="3:5" x14ac:dyDescent="0.25">
      <c r="C539" s="248">
        <v>44291</v>
      </c>
      <c r="D539" t="s">
        <v>307</v>
      </c>
      <c r="E539">
        <v>876</v>
      </c>
    </row>
    <row r="540" spans="3:5" x14ac:dyDescent="0.25">
      <c r="C540" s="248">
        <v>44292</v>
      </c>
      <c r="D540" t="s">
        <v>305</v>
      </c>
      <c r="E540">
        <v>470</v>
      </c>
    </row>
    <row r="541" spans="3:5" x14ac:dyDescent="0.25">
      <c r="C541" s="248">
        <v>44271</v>
      </c>
      <c r="D541" t="s">
        <v>309</v>
      </c>
      <c r="E541">
        <v>37</v>
      </c>
    </row>
    <row r="542" spans="3:5" x14ac:dyDescent="0.25">
      <c r="C542" s="248">
        <v>44281</v>
      </c>
      <c r="D542" t="s">
        <v>308</v>
      </c>
      <c r="E542">
        <v>98</v>
      </c>
    </row>
    <row r="543" spans="3:5" x14ac:dyDescent="0.25">
      <c r="C543" s="248">
        <v>44288</v>
      </c>
      <c r="D543" t="s">
        <v>305</v>
      </c>
      <c r="E543">
        <v>391</v>
      </c>
    </row>
    <row r="544" spans="3:5" x14ac:dyDescent="0.25">
      <c r="C544" s="248">
        <v>44292</v>
      </c>
      <c r="D544" t="s">
        <v>312</v>
      </c>
      <c r="E544">
        <v>64</v>
      </c>
    </row>
    <row r="545" spans="3:5" x14ac:dyDescent="0.25">
      <c r="C545" s="248">
        <v>44281</v>
      </c>
      <c r="D545" t="s">
        <v>309</v>
      </c>
      <c r="E545">
        <v>70</v>
      </c>
    </row>
    <row r="546" spans="3:5" x14ac:dyDescent="0.25">
      <c r="C546" s="248">
        <v>44277</v>
      </c>
      <c r="D546" t="s">
        <v>312</v>
      </c>
      <c r="E546">
        <v>51</v>
      </c>
    </row>
    <row r="547" spans="3:5" x14ac:dyDescent="0.25">
      <c r="C547" s="248">
        <v>44297</v>
      </c>
      <c r="D547" t="s">
        <v>304</v>
      </c>
      <c r="E547">
        <v>229</v>
      </c>
    </row>
    <row r="548" spans="3:5" x14ac:dyDescent="0.25">
      <c r="C548" s="248">
        <v>44274</v>
      </c>
      <c r="D548" t="s">
        <v>312</v>
      </c>
      <c r="E548">
        <v>35</v>
      </c>
    </row>
    <row r="549" spans="3:5" x14ac:dyDescent="0.25">
      <c r="C549" s="248">
        <v>44276</v>
      </c>
      <c r="D549" t="s">
        <v>309</v>
      </c>
      <c r="E549">
        <v>35</v>
      </c>
    </row>
    <row r="550" spans="3:5" x14ac:dyDescent="0.25">
      <c r="C550" s="248">
        <v>44278</v>
      </c>
      <c r="D550" t="s">
        <v>308</v>
      </c>
      <c r="E550">
        <v>92</v>
      </c>
    </row>
    <row r="551" spans="3:5" x14ac:dyDescent="0.25">
      <c r="C551" s="248">
        <v>44202</v>
      </c>
      <c r="D551" t="s">
        <v>306</v>
      </c>
      <c r="E551">
        <v>571</v>
      </c>
    </row>
    <row r="552" spans="3:5" x14ac:dyDescent="0.25">
      <c r="C552" s="248">
        <v>44201</v>
      </c>
      <c r="D552" t="s">
        <v>312</v>
      </c>
      <c r="E552">
        <v>48</v>
      </c>
    </row>
    <row r="553" spans="3:5" x14ac:dyDescent="0.25">
      <c r="C553" s="248">
        <v>44207</v>
      </c>
      <c r="D553" t="s">
        <v>306</v>
      </c>
      <c r="E553">
        <v>456</v>
      </c>
    </row>
    <row r="554" spans="3:5" x14ac:dyDescent="0.25">
      <c r="C554" s="248">
        <v>44204</v>
      </c>
      <c r="D554" t="s">
        <v>304</v>
      </c>
      <c r="E554">
        <v>590</v>
      </c>
    </row>
    <row r="555" spans="3:5" x14ac:dyDescent="0.25">
      <c r="C555" s="248">
        <v>44210</v>
      </c>
      <c r="D555" t="s">
        <v>307</v>
      </c>
      <c r="E555">
        <v>309</v>
      </c>
    </row>
    <row r="556" spans="3:5" x14ac:dyDescent="0.25">
      <c r="C556" s="248">
        <v>44201</v>
      </c>
      <c r="D556" t="s">
        <v>305</v>
      </c>
      <c r="E556">
        <v>161</v>
      </c>
    </row>
    <row r="557" spans="3:5" x14ac:dyDescent="0.25">
      <c r="C557" s="248">
        <v>44216</v>
      </c>
      <c r="D557" t="s">
        <v>312</v>
      </c>
      <c r="E557">
        <v>55</v>
      </c>
    </row>
    <row r="558" spans="3:5" x14ac:dyDescent="0.25">
      <c r="C558" s="248">
        <v>44203</v>
      </c>
      <c r="D558" t="s">
        <v>304</v>
      </c>
      <c r="E558">
        <v>616</v>
      </c>
    </row>
    <row r="559" spans="3:5" x14ac:dyDescent="0.25">
      <c r="C559" s="248">
        <v>44200</v>
      </c>
      <c r="D559" t="s">
        <v>308</v>
      </c>
      <c r="E559">
        <v>102</v>
      </c>
    </row>
    <row r="560" spans="3:5" x14ac:dyDescent="0.25">
      <c r="C560" s="248">
        <v>44204</v>
      </c>
      <c r="D560" t="s">
        <v>311</v>
      </c>
      <c r="E560">
        <v>185</v>
      </c>
    </row>
    <row r="561" spans="3:5" x14ac:dyDescent="0.25">
      <c r="C561" s="248">
        <v>44194</v>
      </c>
      <c r="D561" t="s">
        <v>312</v>
      </c>
      <c r="E561">
        <v>44</v>
      </c>
    </row>
    <row r="562" spans="3:5" x14ac:dyDescent="0.25">
      <c r="C562" s="248">
        <v>44204</v>
      </c>
      <c r="D562" t="s">
        <v>312</v>
      </c>
      <c r="E562">
        <v>48</v>
      </c>
    </row>
    <row r="563" spans="3:5" x14ac:dyDescent="0.25">
      <c r="C563" s="248">
        <v>44211</v>
      </c>
      <c r="D563" t="s">
        <v>304</v>
      </c>
      <c r="E563">
        <v>562</v>
      </c>
    </row>
    <row r="564" spans="3:5" x14ac:dyDescent="0.25">
      <c r="C564" s="248">
        <v>44211</v>
      </c>
      <c r="D564" t="s">
        <v>305</v>
      </c>
      <c r="E564">
        <v>162</v>
      </c>
    </row>
    <row r="565" spans="3:5" x14ac:dyDescent="0.25">
      <c r="C565" s="248">
        <v>44213</v>
      </c>
      <c r="D565" t="s">
        <v>305</v>
      </c>
      <c r="E565">
        <v>109</v>
      </c>
    </row>
    <row r="566" spans="3:5" x14ac:dyDescent="0.25">
      <c r="C566" s="248">
        <v>44210</v>
      </c>
      <c r="D566" t="s">
        <v>311</v>
      </c>
      <c r="E566">
        <v>141</v>
      </c>
    </row>
    <row r="567" spans="3:5" x14ac:dyDescent="0.25">
      <c r="C567" s="248">
        <v>44214</v>
      </c>
      <c r="D567" t="s">
        <v>311</v>
      </c>
      <c r="E567">
        <v>142</v>
      </c>
    </row>
    <row r="568" spans="3:5" x14ac:dyDescent="0.25">
      <c r="C568" s="248">
        <v>44217</v>
      </c>
      <c r="D568" t="s">
        <v>304</v>
      </c>
      <c r="E568">
        <v>487</v>
      </c>
    </row>
    <row r="569" spans="3:5" x14ac:dyDescent="0.25">
      <c r="C569" s="248">
        <v>44289</v>
      </c>
      <c r="D569" t="s">
        <v>308</v>
      </c>
      <c r="E569">
        <v>116</v>
      </c>
    </row>
    <row r="570" spans="3:5" x14ac:dyDescent="0.25">
      <c r="C570" s="248">
        <v>44228</v>
      </c>
      <c r="D570" t="s">
        <v>310</v>
      </c>
      <c r="E570">
        <v>245</v>
      </c>
    </row>
    <row r="571" spans="3:5" x14ac:dyDescent="0.25">
      <c r="C571" s="248">
        <v>44209</v>
      </c>
      <c r="D571" t="s">
        <v>306</v>
      </c>
      <c r="E571">
        <v>482</v>
      </c>
    </row>
    <row r="572" spans="3:5" x14ac:dyDescent="0.25">
      <c r="C572" s="248">
        <v>44214</v>
      </c>
      <c r="D572" t="s">
        <v>308</v>
      </c>
      <c r="E572">
        <v>95</v>
      </c>
    </row>
    <row r="573" spans="3:5" x14ac:dyDescent="0.25">
      <c r="C573" s="248">
        <v>44186</v>
      </c>
      <c r="D573" t="s">
        <v>304</v>
      </c>
      <c r="E573">
        <v>291</v>
      </c>
    </row>
    <row r="574" spans="3:5" x14ac:dyDescent="0.25">
      <c r="C574" s="248">
        <v>44096</v>
      </c>
      <c r="D574" t="s">
        <v>311</v>
      </c>
      <c r="E574">
        <v>162</v>
      </c>
    </row>
    <row r="575" spans="3:5" x14ac:dyDescent="0.25">
      <c r="C575" s="248">
        <v>44081</v>
      </c>
      <c r="D575" t="s">
        <v>312</v>
      </c>
      <c r="E575">
        <v>120</v>
      </c>
    </row>
    <row r="576" spans="3:5" x14ac:dyDescent="0.25">
      <c r="C576" s="248">
        <v>44080</v>
      </c>
      <c r="D576" t="s">
        <v>312</v>
      </c>
      <c r="E576">
        <v>58</v>
      </c>
    </row>
    <row r="577" spans="3:5" x14ac:dyDescent="0.25">
      <c r="C577" s="248">
        <v>44093</v>
      </c>
      <c r="D577" t="s">
        <v>308</v>
      </c>
      <c r="E577">
        <v>59</v>
      </c>
    </row>
    <row r="578" spans="3:5" x14ac:dyDescent="0.25">
      <c r="C578" s="248">
        <v>44097</v>
      </c>
      <c r="D578" t="s">
        <v>310</v>
      </c>
      <c r="E578">
        <v>243</v>
      </c>
    </row>
    <row r="579" spans="3:5" x14ac:dyDescent="0.25">
      <c r="C579" s="248">
        <v>44081</v>
      </c>
      <c r="D579" t="s">
        <v>310</v>
      </c>
      <c r="E579">
        <v>353</v>
      </c>
    </row>
    <row r="580" spans="3:5" x14ac:dyDescent="0.25">
      <c r="C580" s="248">
        <v>44102</v>
      </c>
      <c r="D580" t="s">
        <v>312</v>
      </c>
      <c r="E580">
        <v>86</v>
      </c>
    </row>
    <row r="581" spans="3:5" x14ac:dyDescent="0.25">
      <c r="C581" s="248">
        <v>44098</v>
      </c>
      <c r="D581" t="s">
        <v>308</v>
      </c>
      <c r="E581">
        <v>81</v>
      </c>
    </row>
    <row r="582" spans="3:5" x14ac:dyDescent="0.25">
      <c r="C582" s="248">
        <v>44097</v>
      </c>
      <c r="D582" t="s">
        <v>307</v>
      </c>
      <c r="E582">
        <v>392</v>
      </c>
    </row>
    <row r="583" spans="3:5" x14ac:dyDescent="0.25">
      <c r="C583" s="248">
        <v>44235</v>
      </c>
      <c r="D583" t="s">
        <v>311</v>
      </c>
      <c r="E583">
        <v>144</v>
      </c>
    </row>
    <row r="584" spans="3:5" x14ac:dyDescent="0.25">
      <c r="C584" s="248">
        <v>44085</v>
      </c>
      <c r="D584" t="s">
        <v>308</v>
      </c>
      <c r="E584">
        <v>107</v>
      </c>
    </row>
    <row r="585" spans="3:5" x14ac:dyDescent="0.25">
      <c r="C585" s="248">
        <v>44098</v>
      </c>
      <c r="D585" t="s">
        <v>310</v>
      </c>
      <c r="E585">
        <v>244</v>
      </c>
    </row>
    <row r="586" spans="3:5" x14ac:dyDescent="0.25">
      <c r="C586" s="248">
        <v>44132</v>
      </c>
      <c r="D586" t="s">
        <v>311</v>
      </c>
      <c r="E586">
        <v>69</v>
      </c>
    </row>
    <row r="587" spans="3:5" x14ac:dyDescent="0.25">
      <c r="C587" s="248">
        <v>44139</v>
      </c>
      <c r="D587" t="s">
        <v>312</v>
      </c>
      <c r="E587">
        <v>17</v>
      </c>
    </row>
    <row r="588" spans="3:5" x14ac:dyDescent="0.25">
      <c r="C588" s="248">
        <v>44120</v>
      </c>
      <c r="D588" t="s">
        <v>312</v>
      </c>
      <c r="E588">
        <v>81</v>
      </c>
    </row>
    <row r="589" spans="3:5" x14ac:dyDescent="0.25">
      <c r="C589" s="248">
        <v>44113</v>
      </c>
      <c r="D589" t="s">
        <v>311</v>
      </c>
      <c r="E589">
        <v>116</v>
      </c>
    </row>
    <row r="590" spans="3:5" x14ac:dyDescent="0.25">
      <c r="C590" s="248">
        <v>44111</v>
      </c>
      <c r="D590" t="s">
        <v>311</v>
      </c>
      <c r="E590">
        <v>118</v>
      </c>
    </row>
    <row r="591" spans="3:5" x14ac:dyDescent="0.25">
      <c r="C591" s="248">
        <v>44113</v>
      </c>
      <c r="D591" t="s">
        <v>312</v>
      </c>
      <c r="E591">
        <v>83</v>
      </c>
    </row>
    <row r="592" spans="3:5" x14ac:dyDescent="0.25">
      <c r="C592" s="248">
        <v>44119</v>
      </c>
      <c r="D592" t="s">
        <v>311</v>
      </c>
      <c r="E592">
        <v>113</v>
      </c>
    </row>
    <row r="593" spans="3:5" x14ac:dyDescent="0.25">
      <c r="C593" s="248">
        <v>44124</v>
      </c>
      <c r="D593" t="s">
        <v>306</v>
      </c>
      <c r="E593">
        <v>296</v>
      </c>
    </row>
    <row r="594" spans="3:5" x14ac:dyDescent="0.25">
      <c r="C594" s="248">
        <v>44124</v>
      </c>
      <c r="D594" t="s">
        <v>312</v>
      </c>
      <c r="E594">
        <v>46</v>
      </c>
    </row>
    <row r="595" spans="3:5" x14ac:dyDescent="0.25">
      <c r="C595" s="248">
        <v>44122</v>
      </c>
      <c r="D595" t="s">
        <v>312</v>
      </c>
      <c r="E595">
        <v>21</v>
      </c>
    </row>
    <row r="596" spans="3:5" x14ac:dyDescent="0.25">
      <c r="C596" s="248">
        <v>44111</v>
      </c>
      <c r="D596" t="s">
        <v>308</v>
      </c>
      <c r="E596">
        <v>59</v>
      </c>
    </row>
    <row r="597" spans="3:5" x14ac:dyDescent="0.25">
      <c r="C597" s="248">
        <v>44112</v>
      </c>
      <c r="D597" t="s">
        <v>311</v>
      </c>
      <c r="E597">
        <v>112</v>
      </c>
    </row>
    <row r="598" spans="3:5" x14ac:dyDescent="0.25">
      <c r="C598" s="248">
        <v>44109</v>
      </c>
      <c r="D598" t="s">
        <v>311</v>
      </c>
      <c r="E598">
        <v>138</v>
      </c>
    </row>
    <row r="599" spans="3:5" x14ac:dyDescent="0.25">
      <c r="C599" s="248">
        <v>44106</v>
      </c>
      <c r="D599" t="s">
        <v>307</v>
      </c>
      <c r="E599">
        <v>330</v>
      </c>
    </row>
    <row r="600" spans="3:5" x14ac:dyDescent="0.25">
      <c r="C600" s="248">
        <v>44112</v>
      </c>
      <c r="D600" t="s">
        <v>312</v>
      </c>
      <c r="E600">
        <v>106</v>
      </c>
    </row>
    <row r="601" spans="3:5" x14ac:dyDescent="0.25">
      <c r="C601" s="248">
        <v>44111</v>
      </c>
      <c r="D601" t="s">
        <v>307</v>
      </c>
      <c r="E601">
        <v>319</v>
      </c>
    </row>
    <row r="602" spans="3:5" x14ac:dyDescent="0.25">
      <c r="C602" s="248">
        <v>44130</v>
      </c>
      <c r="D602" t="s">
        <v>311</v>
      </c>
      <c r="E602">
        <v>91</v>
      </c>
    </row>
    <row r="603" spans="3:5" x14ac:dyDescent="0.25">
      <c r="C603" s="248">
        <v>44131</v>
      </c>
      <c r="D603" t="s">
        <v>312</v>
      </c>
      <c r="E603">
        <v>36</v>
      </c>
    </row>
    <row r="604" spans="3:5" x14ac:dyDescent="0.25">
      <c r="C604" s="248">
        <v>44140</v>
      </c>
      <c r="D604" t="s">
        <v>312</v>
      </c>
      <c r="E604">
        <v>30</v>
      </c>
    </row>
    <row r="605" spans="3:5" x14ac:dyDescent="0.25">
      <c r="C605" s="248">
        <v>44131</v>
      </c>
      <c r="D605" t="s">
        <v>308</v>
      </c>
      <c r="E605">
        <v>51</v>
      </c>
    </row>
    <row r="606" spans="3:5" x14ac:dyDescent="0.25">
      <c r="C606" s="248">
        <v>44131</v>
      </c>
      <c r="D606" t="s">
        <v>311</v>
      </c>
      <c r="E606">
        <v>87</v>
      </c>
    </row>
    <row r="607" spans="3:5" x14ac:dyDescent="0.25">
      <c r="C607" s="248">
        <v>44131</v>
      </c>
      <c r="D607" t="s">
        <v>307</v>
      </c>
      <c r="E607">
        <v>212</v>
      </c>
    </row>
    <row r="608" spans="3:5" x14ac:dyDescent="0.25">
      <c r="C608" s="248">
        <v>44157</v>
      </c>
      <c r="D608" t="s">
        <v>312</v>
      </c>
      <c r="E608">
        <v>10</v>
      </c>
    </row>
    <row r="609" spans="3:5" x14ac:dyDescent="0.25">
      <c r="C609" s="248">
        <v>44131</v>
      </c>
      <c r="D609" t="s">
        <v>310</v>
      </c>
      <c r="E609">
        <v>152</v>
      </c>
    </row>
    <row r="610" spans="3:5" x14ac:dyDescent="0.25">
      <c r="C610" s="248">
        <v>44143</v>
      </c>
      <c r="D610" t="s">
        <v>312</v>
      </c>
      <c r="E610">
        <v>16</v>
      </c>
    </row>
    <row r="611" spans="3:5" x14ac:dyDescent="0.25">
      <c r="C611" s="248">
        <v>44166</v>
      </c>
      <c r="D611" t="s">
        <v>310</v>
      </c>
      <c r="E611">
        <v>76</v>
      </c>
    </row>
    <row r="612" spans="3:5" x14ac:dyDescent="0.25">
      <c r="C612" s="248">
        <v>44165</v>
      </c>
      <c r="D612" t="s">
        <v>306</v>
      </c>
      <c r="E612">
        <v>151</v>
      </c>
    </row>
    <row r="613" spans="3:5" x14ac:dyDescent="0.25">
      <c r="C613" s="248">
        <v>44164</v>
      </c>
      <c r="D613" t="s">
        <v>312</v>
      </c>
      <c r="E613">
        <v>14</v>
      </c>
    </row>
    <row r="614" spans="3:5" x14ac:dyDescent="0.25">
      <c r="C614" s="248">
        <v>44180</v>
      </c>
      <c r="D614" t="s">
        <v>308</v>
      </c>
      <c r="E614">
        <v>32</v>
      </c>
    </row>
    <row r="615" spans="3:5" x14ac:dyDescent="0.25">
      <c r="C615" s="248">
        <v>44159</v>
      </c>
      <c r="D615" t="s">
        <v>308</v>
      </c>
      <c r="E615">
        <v>25</v>
      </c>
    </row>
    <row r="616" spans="3:5" x14ac:dyDescent="0.25">
      <c r="C616" s="248">
        <v>44163</v>
      </c>
      <c r="D616" t="s">
        <v>312</v>
      </c>
      <c r="E616">
        <v>6</v>
      </c>
    </row>
    <row r="617" spans="3:5" x14ac:dyDescent="0.25">
      <c r="C617" s="248">
        <v>44166</v>
      </c>
      <c r="D617" t="s">
        <v>311</v>
      </c>
      <c r="E617">
        <v>39</v>
      </c>
    </row>
    <row r="618" spans="3:5" x14ac:dyDescent="0.25">
      <c r="C618" s="248">
        <v>44199</v>
      </c>
      <c r="D618" t="s">
        <v>312</v>
      </c>
      <c r="E618">
        <v>29</v>
      </c>
    </row>
    <row r="619" spans="3:5" x14ac:dyDescent="0.25">
      <c r="C619" s="248">
        <v>44166</v>
      </c>
      <c r="D619" t="s">
        <v>308</v>
      </c>
      <c r="E619">
        <v>21</v>
      </c>
    </row>
    <row r="620" spans="3:5" x14ac:dyDescent="0.25">
      <c r="C620" s="248">
        <v>44162</v>
      </c>
      <c r="D620" t="s">
        <v>311</v>
      </c>
      <c r="E620">
        <v>49</v>
      </c>
    </row>
    <row r="621" spans="3:5" x14ac:dyDescent="0.25">
      <c r="C621" s="248">
        <v>44162</v>
      </c>
      <c r="D621" t="s">
        <v>304</v>
      </c>
      <c r="E621">
        <v>137</v>
      </c>
    </row>
    <row r="622" spans="3:5" x14ac:dyDescent="0.25">
      <c r="C622" s="248">
        <v>44167</v>
      </c>
      <c r="D622" t="s">
        <v>311</v>
      </c>
      <c r="E622">
        <v>35</v>
      </c>
    </row>
    <row r="623" spans="3:5" x14ac:dyDescent="0.25">
      <c r="C623" s="248">
        <v>44167</v>
      </c>
      <c r="D623" t="s">
        <v>312</v>
      </c>
      <c r="E623">
        <v>24</v>
      </c>
    </row>
    <row r="624" spans="3:5" x14ac:dyDescent="0.25">
      <c r="C624" s="248">
        <v>44167</v>
      </c>
      <c r="D624" t="s">
        <v>308</v>
      </c>
      <c r="E624">
        <v>25</v>
      </c>
    </row>
    <row r="625" spans="3:5" x14ac:dyDescent="0.25">
      <c r="C625" s="248">
        <v>44173</v>
      </c>
      <c r="D625" t="s">
        <v>308</v>
      </c>
      <c r="E625">
        <v>29</v>
      </c>
    </row>
    <row r="626" spans="3:5" x14ac:dyDescent="0.25">
      <c r="C626" s="248">
        <v>44137</v>
      </c>
      <c r="D626" t="s">
        <v>312</v>
      </c>
      <c r="E626">
        <v>27</v>
      </c>
    </row>
    <row r="627" spans="3:5" x14ac:dyDescent="0.25">
      <c r="C627" s="248">
        <v>44189</v>
      </c>
      <c r="D627" t="s">
        <v>312</v>
      </c>
      <c r="E627">
        <v>18</v>
      </c>
    </row>
    <row r="628" spans="3:5" x14ac:dyDescent="0.25">
      <c r="C628" s="248">
        <v>44193</v>
      </c>
      <c r="D628" t="s">
        <v>308</v>
      </c>
      <c r="E628">
        <v>98</v>
      </c>
    </row>
    <row r="629" spans="3:5" x14ac:dyDescent="0.25">
      <c r="C629" s="248">
        <v>44193</v>
      </c>
      <c r="D629" t="s">
        <v>307</v>
      </c>
      <c r="E629">
        <v>371</v>
      </c>
    </row>
    <row r="630" spans="3:5" x14ac:dyDescent="0.25">
      <c r="C630" s="248">
        <v>44189</v>
      </c>
      <c r="D630" t="s">
        <v>306</v>
      </c>
      <c r="E630">
        <v>179</v>
      </c>
    </row>
    <row r="631" spans="3:5" x14ac:dyDescent="0.25">
      <c r="C631" s="248">
        <v>44190</v>
      </c>
      <c r="D631" t="s">
        <v>308</v>
      </c>
      <c r="E631">
        <v>21</v>
      </c>
    </row>
    <row r="632" spans="3:5" x14ac:dyDescent="0.25">
      <c r="C632" s="248">
        <v>44213</v>
      </c>
      <c r="D632" t="s">
        <v>306</v>
      </c>
      <c r="E632">
        <v>282</v>
      </c>
    </row>
    <row r="633" spans="3:5" x14ac:dyDescent="0.25">
      <c r="C633" s="248">
        <v>44194</v>
      </c>
      <c r="D633" t="s">
        <v>311</v>
      </c>
      <c r="E633">
        <v>159</v>
      </c>
    </row>
    <row r="634" spans="3:5" x14ac:dyDescent="0.25">
      <c r="C634" s="248">
        <v>44193</v>
      </c>
      <c r="D634" t="s">
        <v>306</v>
      </c>
      <c r="E634">
        <v>408</v>
      </c>
    </row>
    <row r="635" spans="3:5" x14ac:dyDescent="0.25">
      <c r="C635" s="248">
        <v>44193</v>
      </c>
      <c r="D635" t="s">
        <v>304</v>
      </c>
      <c r="E635">
        <v>429</v>
      </c>
    </row>
    <row r="636" spans="3:5" x14ac:dyDescent="0.25">
      <c r="C636" s="248">
        <v>44253</v>
      </c>
      <c r="D636" t="s">
        <v>312</v>
      </c>
      <c r="E636">
        <v>41</v>
      </c>
    </row>
    <row r="637" spans="3:5" x14ac:dyDescent="0.25">
      <c r="C637" s="248">
        <v>44261</v>
      </c>
      <c r="D637" t="s">
        <v>308</v>
      </c>
      <c r="E637">
        <v>45</v>
      </c>
    </row>
    <row r="638" spans="3:5" x14ac:dyDescent="0.25">
      <c r="C638" s="248">
        <v>44231</v>
      </c>
      <c r="D638" t="s">
        <v>307</v>
      </c>
      <c r="E638">
        <v>258</v>
      </c>
    </row>
    <row r="639" spans="3:5" x14ac:dyDescent="0.25">
      <c r="C639" s="248">
        <v>44222</v>
      </c>
      <c r="D639" t="s">
        <v>311</v>
      </c>
      <c r="E639">
        <v>115</v>
      </c>
    </row>
    <row r="640" spans="3:5" x14ac:dyDescent="0.25">
      <c r="C640" s="248">
        <v>44245</v>
      </c>
      <c r="D640" t="s">
        <v>304</v>
      </c>
      <c r="E640">
        <v>310</v>
      </c>
    </row>
    <row r="641" spans="3:5" x14ac:dyDescent="0.25">
      <c r="C641" s="248">
        <v>44223</v>
      </c>
      <c r="D641" t="s">
        <v>308</v>
      </c>
      <c r="E641">
        <v>55</v>
      </c>
    </row>
    <row r="642" spans="3:5" x14ac:dyDescent="0.25">
      <c r="C642" s="248">
        <v>44228</v>
      </c>
      <c r="D642" t="s">
        <v>312</v>
      </c>
      <c r="E642">
        <v>47</v>
      </c>
    </row>
    <row r="643" spans="3:5" x14ac:dyDescent="0.25">
      <c r="C643" s="248">
        <v>44234</v>
      </c>
      <c r="D643" t="s">
        <v>312</v>
      </c>
      <c r="E643">
        <v>21</v>
      </c>
    </row>
    <row r="644" spans="3:5" x14ac:dyDescent="0.25">
      <c r="C644" s="248">
        <v>44228</v>
      </c>
      <c r="D644" t="s">
        <v>304</v>
      </c>
      <c r="E644">
        <v>435</v>
      </c>
    </row>
    <row r="645" spans="3:5" x14ac:dyDescent="0.25">
      <c r="C645" s="248">
        <v>44225</v>
      </c>
      <c r="D645" t="s">
        <v>307</v>
      </c>
      <c r="E645">
        <v>282</v>
      </c>
    </row>
    <row r="646" spans="3:5" x14ac:dyDescent="0.25">
      <c r="C646" s="248">
        <v>44225</v>
      </c>
      <c r="D646" t="s">
        <v>312</v>
      </c>
      <c r="E646">
        <v>43</v>
      </c>
    </row>
    <row r="647" spans="3:5" x14ac:dyDescent="0.25">
      <c r="C647" s="248">
        <v>44224</v>
      </c>
      <c r="D647" t="s">
        <v>311</v>
      </c>
      <c r="E647">
        <v>129</v>
      </c>
    </row>
    <row r="648" spans="3:5" x14ac:dyDescent="0.25">
      <c r="C648" s="248">
        <v>44224</v>
      </c>
      <c r="D648" t="s">
        <v>308</v>
      </c>
      <c r="E648">
        <v>57</v>
      </c>
    </row>
    <row r="649" spans="3:5" x14ac:dyDescent="0.25">
      <c r="C649" s="248">
        <v>44252</v>
      </c>
      <c r="D649" t="s">
        <v>308</v>
      </c>
      <c r="E649">
        <v>54</v>
      </c>
    </row>
    <row r="650" spans="3:5" x14ac:dyDescent="0.25">
      <c r="C650" s="248">
        <v>44224</v>
      </c>
      <c r="D650" t="s">
        <v>307</v>
      </c>
      <c r="E650">
        <v>302</v>
      </c>
    </row>
    <row r="651" spans="3:5" x14ac:dyDescent="0.25">
      <c r="C651" s="248">
        <v>44220</v>
      </c>
      <c r="D651" t="s">
        <v>311</v>
      </c>
      <c r="E651">
        <v>89</v>
      </c>
    </row>
    <row r="652" spans="3:5" x14ac:dyDescent="0.25">
      <c r="C652" s="248">
        <v>44223</v>
      </c>
      <c r="D652" t="s">
        <v>306</v>
      </c>
      <c r="E652">
        <v>352</v>
      </c>
    </row>
    <row r="653" spans="3:5" x14ac:dyDescent="0.25">
      <c r="C653" s="248">
        <v>44230</v>
      </c>
      <c r="D653" t="s">
        <v>310</v>
      </c>
      <c r="E653">
        <v>207</v>
      </c>
    </row>
    <row r="654" spans="3:5" x14ac:dyDescent="0.25">
      <c r="C654" s="248">
        <v>44234</v>
      </c>
      <c r="D654" t="s">
        <v>305</v>
      </c>
      <c r="E654">
        <v>84</v>
      </c>
    </row>
    <row r="655" spans="3:5" x14ac:dyDescent="0.25">
      <c r="C655" s="248">
        <v>44228</v>
      </c>
      <c r="D655" t="s">
        <v>306</v>
      </c>
      <c r="E655">
        <v>368</v>
      </c>
    </row>
    <row r="656" spans="3:5" x14ac:dyDescent="0.25">
      <c r="C656" s="248">
        <v>44230</v>
      </c>
      <c r="D656" t="s">
        <v>305</v>
      </c>
      <c r="E656">
        <v>164</v>
      </c>
    </row>
    <row r="657" spans="3:5" x14ac:dyDescent="0.25">
      <c r="C657" s="248">
        <v>44245</v>
      </c>
      <c r="D657" t="s">
        <v>308</v>
      </c>
      <c r="E657">
        <v>72</v>
      </c>
    </row>
    <row r="658" spans="3:5" x14ac:dyDescent="0.25">
      <c r="C658" s="248">
        <v>44288</v>
      </c>
      <c r="D658" t="s">
        <v>312</v>
      </c>
      <c r="E658">
        <v>33</v>
      </c>
    </row>
    <row r="659" spans="3:5" x14ac:dyDescent="0.25">
      <c r="C659" s="248">
        <v>44240</v>
      </c>
      <c r="D659" t="s">
        <v>312</v>
      </c>
      <c r="E659">
        <v>32</v>
      </c>
    </row>
    <row r="660" spans="3:5" x14ac:dyDescent="0.25">
      <c r="C660" s="248">
        <v>44237</v>
      </c>
      <c r="D660" t="s">
        <v>311</v>
      </c>
      <c r="E660">
        <v>97</v>
      </c>
    </row>
    <row r="661" spans="3:5" x14ac:dyDescent="0.25">
      <c r="C661" s="248">
        <v>44235</v>
      </c>
      <c r="D661" t="s">
        <v>304</v>
      </c>
      <c r="E661">
        <v>263</v>
      </c>
    </row>
    <row r="662" spans="3:5" x14ac:dyDescent="0.25">
      <c r="C662" s="248">
        <v>44290</v>
      </c>
      <c r="D662" t="s">
        <v>310</v>
      </c>
      <c r="E662">
        <v>426</v>
      </c>
    </row>
    <row r="663" spans="3:5" x14ac:dyDescent="0.25">
      <c r="C663" s="248">
        <v>44237</v>
      </c>
      <c r="D663" t="s">
        <v>310</v>
      </c>
      <c r="E663">
        <v>177</v>
      </c>
    </row>
    <row r="664" spans="3:5" x14ac:dyDescent="0.25">
      <c r="C664" s="248">
        <v>44251</v>
      </c>
      <c r="D664" t="s">
        <v>305</v>
      </c>
      <c r="E664">
        <v>85</v>
      </c>
    </row>
    <row r="665" spans="3:5" x14ac:dyDescent="0.25">
      <c r="C665" s="248">
        <v>44243</v>
      </c>
      <c r="D665" t="s">
        <v>307</v>
      </c>
      <c r="E665">
        <v>172</v>
      </c>
    </row>
    <row r="666" spans="3:5" x14ac:dyDescent="0.25">
      <c r="C666" s="248">
        <v>44243</v>
      </c>
      <c r="D666" t="s">
        <v>304</v>
      </c>
      <c r="E666">
        <v>167</v>
      </c>
    </row>
    <row r="667" spans="3:5" x14ac:dyDescent="0.25">
      <c r="C667" s="248">
        <v>44245</v>
      </c>
      <c r="D667" t="s">
        <v>312</v>
      </c>
      <c r="E667">
        <v>31</v>
      </c>
    </row>
    <row r="668" spans="3:5" x14ac:dyDescent="0.25">
      <c r="C668" s="248">
        <v>44244</v>
      </c>
      <c r="D668" t="s">
        <v>308</v>
      </c>
      <c r="E668">
        <v>65</v>
      </c>
    </row>
    <row r="669" spans="3:5" x14ac:dyDescent="0.25">
      <c r="C669" s="248">
        <v>44244</v>
      </c>
      <c r="D669" t="s">
        <v>305</v>
      </c>
      <c r="E669">
        <v>83</v>
      </c>
    </row>
    <row r="670" spans="3:5" x14ac:dyDescent="0.25">
      <c r="C670" s="248">
        <v>44292</v>
      </c>
      <c r="D670" t="s">
        <v>310</v>
      </c>
      <c r="E670">
        <v>581</v>
      </c>
    </row>
    <row r="671" spans="3:5" x14ac:dyDescent="0.25">
      <c r="C671" s="248">
        <v>44295</v>
      </c>
      <c r="D671" t="s">
        <v>304</v>
      </c>
      <c r="E671">
        <v>873</v>
      </c>
    </row>
    <row r="672" spans="3:5" x14ac:dyDescent="0.25">
      <c r="C672" s="248">
        <v>44285</v>
      </c>
      <c r="D672" t="s">
        <v>311</v>
      </c>
      <c r="E672">
        <v>231</v>
      </c>
    </row>
    <row r="673" spans="3:5" x14ac:dyDescent="0.25">
      <c r="C673" s="248">
        <v>44251</v>
      </c>
      <c r="D673" t="s">
        <v>304</v>
      </c>
      <c r="E673">
        <v>261</v>
      </c>
    </row>
    <row r="674" spans="3:5" x14ac:dyDescent="0.25">
      <c r="C674" s="248">
        <v>44250</v>
      </c>
      <c r="D674" t="s">
        <v>309</v>
      </c>
      <c r="E674">
        <v>24</v>
      </c>
    </row>
    <row r="675" spans="3:5" x14ac:dyDescent="0.25">
      <c r="C675" s="248">
        <v>44249</v>
      </c>
      <c r="D675" t="s">
        <v>311</v>
      </c>
      <c r="E675">
        <v>86</v>
      </c>
    </row>
    <row r="676" spans="3:5" x14ac:dyDescent="0.25">
      <c r="C676" s="248">
        <v>44249</v>
      </c>
      <c r="D676" t="s">
        <v>310</v>
      </c>
      <c r="E676">
        <v>154</v>
      </c>
    </row>
    <row r="677" spans="3:5" x14ac:dyDescent="0.25">
      <c r="C677" s="248">
        <v>44245</v>
      </c>
      <c r="D677" t="s">
        <v>307</v>
      </c>
      <c r="E677">
        <v>256</v>
      </c>
    </row>
    <row r="678" spans="3:5" x14ac:dyDescent="0.25">
      <c r="C678" s="248">
        <v>44245</v>
      </c>
      <c r="D678" t="s">
        <v>310</v>
      </c>
      <c r="E678">
        <v>167</v>
      </c>
    </row>
    <row r="679" spans="3:5" x14ac:dyDescent="0.25">
      <c r="C679" s="248">
        <v>44251</v>
      </c>
      <c r="D679" t="s">
        <v>306</v>
      </c>
      <c r="E679">
        <v>239</v>
      </c>
    </row>
    <row r="680" spans="3:5" x14ac:dyDescent="0.25">
      <c r="C680" s="248">
        <v>44291</v>
      </c>
      <c r="D680" t="s">
        <v>311</v>
      </c>
      <c r="E680">
        <v>349</v>
      </c>
    </row>
    <row r="681" spans="3:5" x14ac:dyDescent="0.25">
      <c r="C681" s="248">
        <v>44243</v>
      </c>
      <c r="D681" t="s">
        <v>309</v>
      </c>
      <c r="E681">
        <v>27</v>
      </c>
    </row>
    <row r="682" spans="3:5" x14ac:dyDescent="0.25">
      <c r="C682" s="248">
        <v>44255</v>
      </c>
      <c r="D682" t="s">
        <v>308</v>
      </c>
      <c r="E682">
        <v>29</v>
      </c>
    </row>
    <row r="683" spans="3:5" x14ac:dyDescent="0.25">
      <c r="C683" s="248">
        <v>44207</v>
      </c>
      <c r="D683" t="s">
        <v>312</v>
      </c>
      <c r="E683">
        <v>43</v>
      </c>
    </row>
    <row r="684" spans="3:5" x14ac:dyDescent="0.25">
      <c r="C684" s="248">
        <v>44215</v>
      </c>
      <c r="D684" t="s">
        <v>305</v>
      </c>
      <c r="E684">
        <v>182</v>
      </c>
    </row>
    <row r="685" spans="3:5" x14ac:dyDescent="0.25">
      <c r="C685" s="248">
        <v>44215</v>
      </c>
      <c r="D685" t="s">
        <v>304</v>
      </c>
      <c r="E685">
        <v>594</v>
      </c>
    </row>
    <row r="686" spans="3:5" x14ac:dyDescent="0.25">
      <c r="C686" s="248">
        <v>44259</v>
      </c>
      <c r="D686" t="s">
        <v>309</v>
      </c>
      <c r="E686">
        <v>37</v>
      </c>
    </row>
    <row r="687" spans="3:5" x14ac:dyDescent="0.25">
      <c r="C687" s="248">
        <v>44293</v>
      </c>
      <c r="D687" t="s">
        <v>306</v>
      </c>
      <c r="E687">
        <v>1033</v>
      </c>
    </row>
    <row r="688" spans="3:5" x14ac:dyDescent="0.25">
      <c r="C688" s="248">
        <v>44262</v>
      </c>
      <c r="D688" t="s">
        <v>309</v>
      </c>
      <c r="E688">
        <v>30</v>
      </c>
    </row>
    <row r="689" spans="3:5" x14ac:dyDescent="0.25">
      <c r="C689" s="248">
        <v>44290</v>
      </c>
      <c r="D689" t="s">
        <v>311</v>
      </c>
      <c r="E689">
        <v>262</v>
      </c>
    </row>
    <row r="690" spans="3:5" x14ac:dyDescent="0.25">
      <c r="C690" s="248">
        <v>44262</v>
      </c>
      <c r="D690" t="s">
        <v>308</v>
      </c>
      <c r="E690">
        <v>38</v>
      </c>
    </row>
    <row r="691" spans="3:5" x14ac:dyDescent="0.25">
      <c r="C691" s="248">
        <v>44294</v>
      </c>
      <c r="D691" t="s">
        <v>307</v>
      </c>
      <c r="E691">
        <v>747</v>
      </c>
    </row>
    <row r="692" spans="3:5" x14ac:dyDescent="0.25">
      <c r="C692" s="248">
        <v>44289</v>
      </c>
      <c r="D692" t="s">
        <v>306</v>
      </c>
      <c r="E692">
        <v>703</v>
      </c>
    </row>
    <row r="693" spans="3:5" x14ac:dyDescent="0.25">
      <c r="C693" s="248">
        <v>44085</v>
      </c>
      <c r="D693" t="s">
        <v>312</v>
      </c>
      <c r="E693">
        <v>65</v>
      </c>
    </row>
    <row r="694" spans="3:5" x14ac:dyDescent="0.25">
      <c r="C694" s="248">
        <v>44084</v>
      </c>
      <c r="D694" t="s">
        <v>312</v>
      </c>
      <c r="E694">
        <v>122</v>
      </c>
    </row>
    <row r="695" spans="3:5" x14ac:dyDescent="0.25">
      <c r="C695" s="248">
        <v>44090</v>
      </c>
      <c r="D695" t="s">
        <v>308</v>
      </c>
      <c r="E695">
        <v>94</v>
      </c>
    </row>
    <row r="696" spans="3:5" x14ac:dyDescent="0.25">
      <c r="C696" s="248">
        <v>44084</v>
      </c>
      <c r="D696" t="s">
        <v>311</v>
      </c>
      <c r="E696">
        <v>163</v>
      </c>
    </row>
    <row r="697" spans="3:5" x14ac:dyDescent="0.25">
      <c r="C697" s="248">
        <v>44084</v>
      </c>
      <c r="D697" t="s">
        <v>308</v>
      </c>
      <c r="E697">
        <v>96</v>
      </c>
    </row>
    <row r="698" spans="3:5" x14ac:dyDescent="0.25">
      <c r="C698" s="248">
        <v>44084</v>
      </c>
      <c r="D698" t="s">
        <v>306</v>
      </c>
      <c r="E698">
        <v>576</v>
      </c>
    </row>
    <row r="699" spans="3:5" x14ac:dyDescent="0.25">
      <c r="C699" s="248">
        <v>44082</v>
      </c>
      <c r="D699" t="s">
        <v>307</v>
      </c>
      <c r="E699">
        <v>545</v>
      </c>
    </row>
    <row r="700" spans="3:5" x14ac:dyDescent="0.25">
      <c r="C700" s="248">
        <v>44085</v>
      </c>
      <c r="D700" t="s">
        <v>311</v>
      </c>
      <c r="E700">
        <v>156</v>
      </c>
    </row>
    <row r="701" spans="3:5" x14ac:dyDescent="0.25">
      <c r="C701" s="248">
        <v>44083</v>
      </c>
      <c r="D701" t="s">
        <v>312</v>
      </c>
      <c r="E701">
        <v>76</v>
      </c>
    </row>
    <row r="702" spans="3:5" x14ac:dyDescent="0.25">
      <c r="C702" s="248">
        <v>44099</v>
      </c>
      <c r="D702" t="s">
        <v>308</v>
      </c>
      <c r="E702">
        <v>89</v>
      </c>
    </row>
    <row r="703" spans="3:5" x14ac:dyDescent="0.25">
      <c r="C703" s="248">
        <v>44085</v>
      </c>
      <c r="D703" t="s">
        <v>310</v>
      </c>
      <c r="E703">
        <v>330</v>
      </c>
    </row>
    <row r="704" spans="3:5" x14ac:dyDescent="0.25">
      <c r="C704" s="248">
        <v>44084</v>
      </c>
      <c r="D704" t="s">
        <v>307</v>
      </c>
      <c r="E704">
        <v>455</v>
      </c>
    </row>
    <row r="705" spans="3:5" x14ac:dyDescent="0.25">
      <c r="C705" s="248">
        <v>44100</v>
      </c>
      <c r="D705" t="s">
        <v>308</v>
      </c>
      <c r="E705">
        <v>54</v>
      </c>
    </row>
    <row r="706" spans="3:5" x14ac:dyDescent="0.25">
      <c r="C706" s="248">
        <v>44099</v>
      </c>
      <c r="D706" t="s">
        <v>311</v>
      </c>
      <c r="E706">
        <v>145</v>
      </c>
    </row>
    <row r="707" spans="3:5" x14ac:dyDescent="0.25">
      <c r="C707" s="248">
        <v>44098</v>
      </c>
      <c r="D707" t="s">
        <v>307</v>
      </c>
      <c r="E707">
        <v>374</v>
      </c>
    </row>
    <row r="708" spans="3:5" x14ac:dyDescent="0.25">
      <c r="C708" s="248">
        <v>44105</v>
      </c>
      <c r="D708" t="s">
        <v>308</v>
      </c>
      <c r="E708">
        <v>74</v>
      </c>
    </row>
    <row r="709" spans="3:5" x14ac:dyDescent="0.25">
      <c r="C709" s="248">
        <v>44099</v>
      </c>
      <c r="D709" t="s">
        <v>310</v>
      </c>
      <c r="E709">
        <v>287</v>
      </c>
    </row>
    <row r="710" spans="3:5" x14ac:dyDescent="0.25">
      <c r="C710" s="248">
        <v>44099</v>
      </c>
      <c r="D710" t="s">
        <v>307</v>
      </c>
      <c r="E710">
        <v>375</v>
      </c>
    </row>
    <row r="711" spans="3:5" x14ac:dyDescent="0.25">
      <c r="C711" s="248">
        <v>44099</v>
      </c>
      <c r="D711" t="s">
        <v>305</v>
      </c>
      <c r="E711">
        <v>112</v>
      </c>
    </row>
    <row r="712" spans="3:5" x14ac:dyDescent="0.25">
      <c r="C712" s="248">
        <v>44099</v>
      </c>
      <c r="D712" t="s">
        <v>306</v>
      </c>
      <c r="E712">
        <v>442</v>
      </c>
    </row>
    <row r="713" spans="3:5" x14ac:dyDescent="0.25">
      <c r="C713" s="248">
        <v>44286</v>
      </c>
      <c r="D713" t="s">
        <v>305</v>
      </c>
      <c r="E713">
        <v>344</v>
      </c>
    </row>
    <row r="714" spans="3:5" x14ac:dyDescent="0.25">
      <c r="C714" s="248">
        <v>44293</v>
      </c>
      <c r="D714" t="s">
        <v>311</v>
      </c>
      <c r="E714">
        <v>296</v>
      </c>
    </row>
    <row r="715" spans="3:5" x14ac:dyDescent="0.25">
      <c r="C715" s="248">
        <v>44294</v>
      </c>
      <c r="D715" t="s">
        <v>308</v>
      </c>
      <c r="E715">
        <v>143</v>
      </c>
    </row>
    <row r="716" spans="3:5" x14ac:dyDescent="0.25">
      <c r="C716" s="248">
        <v>44296</v>
      </c>
      <c r="D716" t="s">
        <v>310</v>
      </c>
      <c r="E716">
        <v>279</v>
      </c>
    </row>
    <row r="717" spans="3:5" x14ac:dyDescent="0.25">
      <c r="C717" s="248">
        <v>44286</v>
      </c>
      <c r="D717" t="s">
        <v>311</v>
      </c>
      <c r="E717">
        <v>243</v>
      </c>
    </row>
    <row r="718" spans="3:5" x14ac:dyDescent="0.25">
      <c r="C718" s="248">
        <v>44116</v>
      </c>
      <c r="D718" t="s">
        <v>312</v>
      </c>
      <c r="E718">
        <v>41</v>
      </c>
    </row>
    <row r="719" spans="3:5" x14ac:dyDescent="0.25">
      <c r="C719" s="248">
        <v>44113</v>
      </c>
      <c r="D719" t="s">
        <v>310</v>
      </c>
      <c r="E719">
        <v>260</v>
      </c>
    </row>
    <row r="720" spans="3:5" x14ac:dyDescent="0.25">
      <c r="C720" s="248">
        <v>44226</v>
      </c>
      <c r="D720" t="s">
        <v>306</v>
      </c>
      <c r="E720">
        <v>278</v>
      </c>
    </row>
    <row r="721" spans="3:5" x14ac:dyDescent="0.25">
      <c r="C721" s="248">
        <v>44133</v>
      </c>
      <c r="D721" t="s">
        <v>311</v>
      </c>
      <c r="E721">
        <v>57</v>
      </c>
    </row>
    <row r="722" spans="3:5" x14ac:dyDescent="0.25">
      <c r="C722" s="248">
        <v>44145</v>
      </c>
      <c r="D722" t="s">
        <v>304</v>
      </c>
      <c r="E722">
        <v>171</v>
      </c>
    </row>
    <row r="723" spans="3:5" x14ac:dyDescent="0.25">
      <c r="C723" s="248">
        <v>44141</v>
      </c>
      <c r="D723" t="s">
        <v>308</v>
      </c>
      <c r="E723">
        <v>45</v>
      </c>
    </row>
    <row r="724" spans="3:5" x14ac:dyDescent="0.25">
      <c r="C724" s="248">
        <v>44144</v>
      </c>
      <c r="D724" t="s">
        <v>312</v>
      </c>
      <c r="E724">
        <v>25</v>
      </c>
    </row>
    <row r="725" spans="3:5" x14ac:dyDescent="0.25">
      <c r="C725" s="248">
        <v>44134</v>
      </c>
      <c r="D725" t="s">
        <v>312</v>
      </c>
      <c r="E725">
        <v>18</v>
      </c>
    </row>
    <row r="726" spans="3:5" x14ac:dyDescent="0.25">
      <c r="C726" s="248">
        <v>44141</v>
      </c>
      <c r="D726" t="s">
        <v>312</v>
      </c>
      <c r="E726">
        <v>27</v>
      </c>
    </row>
    <row r="727" spans="3:5" x14ac:dyDescent="0.25">
      <c r="C727" s="248">
        <v>44133</v>
      </c>
      <c r="D727" t="s">
        <v>312</v>
      </c>
      <c r="E727">
        <v>35</v>
      </c>
    </row>
    <row r="728" spans="3:5" x14ac:dyDescent="0.25">
      <c r="C728" s="248">
        <v>44135</v>
      </c>
      <c r="D728" t="s">
        <v>310</v>
      </c>
      <c r="E728">
        <v>70</v>
      </c>
    </row>
    <row r="729" spans="3:5" x14ac:dyDescent="0.25">
      <c r="C729" s="248">
        <v>44135</v>
      </c>
      <c r="D729" t="s">
        <v>308</v>
      </c>
      <c r="E729">
        <v>17</v>
      </c>
    </row>
    <row r="730" spans="3:5" x14ac:dyDescent="0.25">
      <c r="C730" s="248">
        <v>44134</v>
      </c>
      <c r="D730" t="s">
        <v>311</v>
      </c>
      <c r="E730">
        <v>62</v>
      </c>
    </row>
    <row r="731" spans="3:5" x14ac:dyDescent="0.25">
      <c r="C731" s="248">
        <v>44134</v>
      </c>
      <c r="D731" t="s">
        <v>307</v>
      </c>
      <c r="E731">
        <v>151</v>
      </c>
    </row>
    <row r="732" spans="3:5" x14ac:dyDescent="0.25">
      <c r="C732" s="248">
        <v>44136</v>
      </c>
      <c r="D732" t="s">
        <v>308</v>
      </c>
      <c r="E732">
        <v>27</v>
      </c>
    </row>
    <row r="733" spans="3:5" x14ac:dyDescent="0.25">
      <c r="C733" s="248">
        <v>44134</v>
      </c>
      <c r="D733" t="s">
        <v>310</v>
      </c>
      <c r="E733">
        <v>104</v>
      </c>
    </row>
    <row r="734" spans="3:5" x14ac:dyDescent="0.25">
      <c r="C734" s="248">
        <v>44136</v>
      </c>
      <c r="D734" t="s">
        <v>312</v>
      </c>
      <c r="E734">
        <v>11</v>
      </c>
    </row>
    <row r="735" spans="3:5" x14ac:dyDescent="0.25">
      <c r="C735" s="248">
        <v>44137</v>
      </c>
      <c r="D735" t="s">
        <v>308</v>
      </c>
      <c r="E735">
        <v>29</v>
      </c>
    </row>
    <row r="736" spans="3:5" x14ac:dyDescent="0.25">
      <c r="C736" s="248">
        <v>44153</v>
      </c>
      <c r="D736" t="s">
        <v>312</v>
      </c>
      <c r="E736">
        <v>31</v>
      </c>
    </row>
    <row r="737" spans="3:5" x14ac:dyDescent="0.25">
      <c r="C737" s="248">
        <v>44289</v>
      </c>
      <c r="D737" t="s">
        <v>305</v>
      </c>
      <c r="E737">
        <v>315</v>
      </c>
    </row>
    <row r="738" spans="3:5" x14ac:dyDescent="0.25">
      <c r="C738" s="248">
        <v>44218</v>
      </c>
      <c r="D738" t="s">
        <v>306</v>
      </c>
      <c r="E738">
        <v>378</v>
      </c>
    </row>
    <row r="739" spans="3:5" x14ac:dyDescent="0.25">
      <c r="C739" s="248">
        <v>44218</v>
      </c>
      <c r="D739" t="s">
        <v>305</v>
      </c>
      <c r="E739">
        <v>146</v>
      </c>
    </row>
    <row r="740" spans="3:5" x14ac:dyDescent="0.25">
      <c r="C740" s="248">
        <v>44181</v>
      </c>
      <c r="D740" t="s">
        <v>312</v>
      </c>
      <c r="E740">
        <v>26</v>
      </c>
    </row>
    <row r="741" spans="3:5" x14ac:dyDescent="0.25">
      <c r="C741" s="248">
        <v>44169</v>
      </c>
      <c r="D741" t="s">
        <v>311</v>
      </c>
      <c r="E741">
        <v>46</v>
      </c>
    </row>
    <row r="742" spans="3:5" x14ac:dyDescent="0.25">
      <c r="C742" s="248">
        <v>44174</v>
      </c>
      <c r="D742" t="s">
        <v>311</v>
      </c>
      <c r="E742">
        <v>62</v>
      </c>
    </row>
    <row r="743" spans="3:5" x14ac:dyDescent="0.25">
      <c r="C743" s="248">
        <v>44146</v>
      </c>
      <c r="D743" t="s">
        <v>311</v>
      </c>
      <c r="E743">
        <v>62</v>
      </c>
    </row>
    <row r="744" spans="3:5" x14ac:dyDescent="0.25">
      <c r="C744" s="248">
        <v>44169</v>
      </c>
      <c r="D744" t="s">
        <v>308</v>
      </c>
      <c r="E744">
        <v>23</v>
      </c>
    </row>
    <row r="745" spans="3:5" x14ac:dyDescent="0.25">
      <c r="C745" s="248">
        <v>44169</v>
      </c>
      <c r="D745" t="s">
        <v>312</v>
      </c>
      <c r="E745">
        <v>15</v>
      </c>
    </row>
    <row r="746" spans="3:5" x14ac:dyDescent="0.25">
      <c r="C746" s="248">
        <v>44287</v>
      </c>
      <c r="D746" t="s">
        <v>309</v>
      </c>
      <c r="E746">
        <v>69</v>
      </c>
    </row>
    <row r="747" spans="3:5" x14ac:dyDescent="0.25">
      <c r="C747" s="248">
        <v>44170</v>
      </c>
      <c r="D747" t="s">
        <v>308</v>
      </c>
      <c r="E747">
        <v>26</v>
      </c>
    </row>
    <row r="748" spans="3:5" x14ac:dyDescent="0.25">
      <c r="C748" s="248">
        <v>44169</v>
      </c>
      <c r="D748" t="s">
        <v>306</v>
      </c>
      <c r="E748">
        <v>126</v>
      </c>
    </row>
    <row r="749" spans="3:5" x14ac:dyDescent="0.25">
      <c r="C749" s="248">
        <v>44171</v>
      </c>
      <c r="D749" t="s">
        <v>312</v>
      </c>
      <c r="E749">
        <v>10</v>
      </c>
    </row>
    <row r="750" spans="3:5" x14ac:dyDescent="0.25">
      <c r="C750" s="248">
        <v>44171</v>
      </c>
      <c r="D750" t="s">
        <v>311</v>
      </c>
      <c r="E750">
        <v>38</v>
      </c>
    </row>
    <row r="751" spans="3:5" x14ac:dyDescent="0.25">
      <c r="C751" s="248">
        <v>44170</v>
      </c>
      <c r="D751" t="s">
        <v>305</v>
      </c>
      <c r="E751">
        <v>27</v>
      </c>
    </row>
    <row r="752" spans="3:5" x14ac:dyDescent="0.25">
      <c r="C752" s="248">
        <v>44171</v>
      </c>
      <c r="D752" t="s">
        <v>308</v>
      </c>
      <c r="E752">
        <v>16</v>
      </c>
    </row>
    <row r="753" spans="3:5" x14ac:dyDescent="0.25">
      <c r="C753" s="248">
        <v>44171</v>
      </c>
      <c r="D753" t="s">
        <v>310</v>
      </c>
      <c r="E753">
        <v>58</v>
      </c>
    </row>
    <row r="754" spans="3:5" x14ac:dyDescent="0.25">
      <c r="C754" s="248">
        <v>44172</v>
      </c>
      <c r="D754" t="s">
        <v>306</v>
      </c>
      <c r="E754">
        <v>92</v>
      </c>
    </row>
    <row r="755" spans="3:5" x14ac:dyDescent="0.25">
      <c r="C755" s="248">
        <v>44257</v>
      </c>
      <c r="D755" t="s">
        <v>309</v>
      </c>
      <c r="E755">
        <v>31</v>
      </c>
    </row>
    <row r="756" spans="3:5" x14ac:dyDescent="0.25">
      <c r="C756" s="248">
        <v>44297</v>
      </c>
      <c r="D756" t="s">
        <v>307</v>
      </c>
      <c r="E756">
        <v>237</v>
      </c>
    </row>
    <row r="757" spans="3:5" x14ac:dyDescent="0.25">
      <c r="C757" s="248">
        <v>44177</v>
      </c>
      <c r="D757" t="s">
        <v>308</v>
      </c>
      <c r="E757">
        <v>34</v>
      </c>
    </row>
    <row r="758" spans="3:5" x14ac:dyDescent="0.25">
      <c r="C758" s="248">
        <v>44199</v>
      </c>
      <c r="D758" t="s">
        <v>306</v>
      </c>
      <c r="E758">
        <v>351</v>
      </c>
    </row>
    <row r="759" spans="3:5" x14ac:dyDescent="0.25">
      <c r="C759" s="248">
        <v>44228</v>
      </c>
      <c r="D759" t="s">
        <v>311</v>
      </c>
      <c r="E759">
        <v>148</v>
      </c>
    </row>
    <row r="760" spans="3:5" x14ac:dyDescent="0.25">
      <c r="C760" s="248">
        <v>44281</v>
      </c>
      <c r="D760" t="s">
        <v>305</v>
      </c>
      <c r="E760">
        <v>260</v>
      </c>
    </row>
    <row r="761" spans="3:5" x14ac:dyDescent="0.25">
      <c r="C761" s="248">
        <v>44203</v>
      </c>
      <c r="D761" t="s">
        <v>311</v>
      </c>
      <c r="E761">
        <v>158</v>
      </c>
    </row>
    <row r="762" spans="3:5" x14ac:dyDescent="0.25">
      <c r="C762" s="248">
        <v>44193</v>
      </c>
      <c r="D762" t="s">
        <v>311</v>
      </c>
      <c r="E762">
        <v>172</v>
      </c>
    </row>
    <row r="763" spans="3:5" x14ac:dyDescent="0.25">
      <c r="C763" s="248">
        <v>44189</v>
      </c>
      <c r="D763" t="s">
        <v>311</v>
      </c>
      <c r="E763">
        <v>52</v>
      </c>
    </row>
    <row r="764" spans="3:5" x14ac:dyDescent="0.25">
      <c r="C764" s="248">
        <v>44192</v>
      </c>
      <c r="D764" t="s">
        <v>310</v>
      </c>
      <c r="E764">
        <v>152</v>
      </c>
    </row>
    <row r="765" spans="3:5" x14ac:dyDescent="0.25">
      <c r="C765" s="248">
        <v>44194</v>
      </c>
      <c r="D765" t="s">
        <v>308</v>
      </c>
      <c r="E765">
        <v>103</v>
      </c>
    </row>
    <row r="766" spans="3:5" x14ac:dyDescent="0.25">
      <c r="C766" s="248">
        <v>44194</v>
      </c>
      <c r="D766" t="s">
        <v>306</v>
      </c>
      <c r="E766">
        <v>496</v>
      </c>
    </row>
    <row r="767" spans="3:5" x14ac:dyDescent="0.25">
      <c r="C767" s="248">
        <v>44194</v>
      </c>
      <c r="D767" t="s">
        <v>307</v>
      </c>
      <c r="E767">
        <v>358</v>
      </c>
    </row>
    <row r="768" spans="3:5" x14ac:dyDescent="0.25">
      <c r="C768" s="248">
        <v>44194</v>
      </c>
      <c r="D768" t="s">
        <v>305</v>
      </c>
      <c r="E768">
        <v>141</v>
      </c>
    </row>
    <row r="769" spans="3:5" x14ac:dyDescent="0.25">
      <c r="C769" s="248">
        <v>44194</v>
      </c>
      <c r="D769" t="s">
        <v>310</v>
      </c>
      <c r="E769">
        <v>284</v>
      </c>
    </row>
    <row r="770" spans="3:5" x14ac:dyDescent="0.25">
      <c r="C770" s="248">
        <v>44204</v>
      </c>
      <c r="D770" t="s">
        <v>308</v>
      </c>
      <c r="E770">
        <v>90</v>
      </c>
    </row>
    <row r="771" spans="3:5" x14ac:dyDescent="0.25">
      <c r="C771" s="248">
        <v>44284</v>
      </c>
      <c r="D771" t="s">
        <v>309</v>
      </c>
      <c r="E771">
        <v>89</v>
      </c>
    </row>
    <row r="772" spans="3:5" x14ac:dyDescent="0.25">
      <c r="C772" s="248">
        <v>44204</v>
      </c>
      <c r="D772" t="s">
        <v>306</v>
      </c>
      <c r="E772">
        <v>482</v>
      </c>
    </row>
    <row r="773" spans="3:5" x14ac:dyDescent="0.25">
      <c r="C773" s="248">
        <v>44204</v>
      </c>
      <c r="D773" t="s">
        <v>310</v>
      </c>
      <c r="E773">
        <v>298</v>
      </c>
    </row>
    <row r="774" spans="3:5" x14ac:dyDescent="0.25">
      <c r="C774" s="248">
        <v>44195</v>
      </c>
      <c r="D774" t="s">
        <v>311</v>
      </c>
      <c r="E774">
        <v>169</v>
      </c>
    </row>
    <row r="775" spans="3:5" x14ac:dyDescent="0.25">
      <c r="C775" s="248">
        <v>44201</v>
      </c>
      <c r="D775" t="s">
        <v>307</v>
      </c>
      <c r="E775">
        <v>400</v>
      </c>
    </row>
    <row r="776" spans="3:5" x14ac:dyDescent="0.25">
      <c r="C776" s="248">
        <v>44204</v>
      </c>
      <c r="D776" t="s">
        <v>305</v>
      </c>
      <c r="E776">
        <v>138</v>
      </c>
    </row>
    <row r="777" spans="3:5" x14ac:dyDescent="0.25">
      <c r="C777" s="248">
        <v>44278</v>
      </c>
      <c r="D777" t="s">
        <v>311</v>
      </c>
      <c r="E777">
        <v>171</v>
      </c>
    </row>
    <row r="778" spans="3:5" x14ac:dyDescent="0.25">
      <c r="C778" s="248">
        <v>44211</v>
      </c>
      <c r="D778" t="s">
        <v>306</v>
      </c>
      <c r="E778">
        <v>464</v>
      </c>
    </row>
    <row r="779" spans="3:5" x14ac:dyDescent="0.25">
      <c r="C779" s="248">
        <v>44205</v>
      </c>
      <c r="D779" t="s">
        <v>304</v>
      </c>
      <c r="E779">
        <v>509</v>
      </c>
    </row>
    <row r="780" spans="3:5" x14ac:dyDescent="0.25">
      <c r="C780" s="248">
        <v>44205</v>
      </c>
      <c r="D780" t="s">
        <v>308</v>
      </c>
      <c r="E780">
        <v>65</v>
      </c>
    </row>
    <row r="781" spans="3:5" x14ac:dyDescent="0.25">
      <c r="C781" s="248">
        <v>44270</v>
      </c>
      <c r="D781" t="s">
        <v>312</v>
      </c>
      <c r="E781">
        <v>44</v>
      </c>
    </row>
    <row r="782" spans="3:5" x14ac:dyDescent="0.25">
      <c r="C782" s="248">
        <v>44212</v>
      </c>
      <c r="D782" t="s">
        <v>310</v>
      </c>
      <c r="E782">
        <v>169</v>
      </c>
    </row>
    <row r="783" spans="3:5" x14ac:dyDescent="0.25">
      <c r="C783" s="248">
        <v>44218</v>
      </c>
      <c r="D783" t="s">
        <v>311</v>
      </c>
      <c r="E783">
        <v>114</v>
      </c>
    </row>
    <row r="784" spans="3:5" x14ac:dyDescent="0.25">
      <c r="C784" s="248">
        <v>44214</v>
      </c>
      <c r="D784" t="s">
        <v>306</v>
      </c>
      <c r="E784">
        <v>476</v>
      </c>
    </row>
    <row r="785" spans="3:5" x14ac:dyDescent="0.25">
      <c r="C785" s="248">
        <v>44211</v>
      </c>
      <c r="D785" t="s">
        <v>310</v>
      </c>
      <c r="E785">
        <v>267</v>
      </c>
    </row>
    <row r="786" spans="3:5" x14ac:dyDescent="0.25">
      <c r="C786" s="248">
        <v>44215</v>
      </c>
      <c r="D786" t="s">
        <v>308</v>
      </c>
      <c r="E786">
        <v>71</v>
      </c>
    </row>
    <row r="787" spans="3:5" x14ac:dyDescent="0.25">
      <c r="C787" s="248">
        <v>44215</v>
      </c>
      <c r="D787" t="s">
        <v>307</v>
      </c>
      <c r="E787">
        <v>341</v>
      </c>
    </row>
    <row r="788" spans="3:5" x14ac:dyDescent="0.25">
      <c r="C788" s="248">
        <v>44218</v>
      </c>
      <c r="D788" t="s">
        <v>312</v>
      </c>
      <c r="E788">
        <v>43</v>
      </c>
    </row>
    <row r="789" spans="3:5" x14ac:dyDescent="0.25">
      <c r="C789" s="248">
        <v>44222</v>
      </c>
      <c r="D789" t="s">
        <v>304</v>
      </c>
      <c r="E789">
        <v>519</v>
      </c>
    </row>
    <row r="790" spans="3:5" x14ac:dyDescent="0.25">
      <c r="C790" s="248">
        <v>44215</v>
      </c>
      <c r="D790" t="s">
        <v>312</v>
      </c>
      <c r="E790">
        <v>52</v>
      </c>
    </row>
    <row r="791" spans="3:5" x14ac:dyDescent="0.25">
      <c r="C791" s="248">
        <v>44215</v>
      </c>
      <c r="D791" t="s">
        <v>310</v>
      </c>
      <c r="E791">
        <v>234</v>
      </c>
    </row>
    <row r="792" spans="3:5" x14ac:dyDescent="0.25">
      <c r="C792" s="248">
        <v>44221</v>
      </c>
      <c r="D792" t="s">
        <v>306</v>
      </c>
      <c r="E792">
        <v>405</v>
      </c>
    </row>
    <row r="793" spans="3:5" x14ac:dyDescent="0.25">
      <c r="C793" s="248">
        <v>44278</v>
      </c>
      <c r="D793" t="s">
        <v>312</v>
      </c>
      <c r="E793">
        <v>46</v>
      </c>
    </row>
    <row r="794" spans="3:5" x14ac:dyDescent="0.25">
      <c r="C794" s="248">
        <v>44288</v>
      </c>
      <c r="D794" t="s">
        <v>311</v>
      </c>
      <c r="E794">
        <v>252</v>
      </c>
    </row>
    <row r="795" spans="3:5" x14ac:dyDescent="0.25">
      <c r="C795" s="248">
        <v>44224</v>
      </c>
      <c r="D795" t="s">
        <v>304</v>
      </c>
      <c r="E795">
        <v>497</v>
      </c>
    </row>
    <row r="796" spans="3:5" x14ac:dyDescent="0.25">
      <c r="C796" s="248">
        <v>44207</v>
      </c>
      <c r="D796" t="s">
        <v>311</v>
      </c>
      <c r="E796">
        <v>160</v>
      </c>
    </row>
    <row r="797" spans="3:5" x14ac:dyDescent="0.25">
      <c r="C797" s="248">
        <v>44226</v>
      </c>
      <c r="D797" t="s">
        <v>312</v>
      </c>
      <c r="E797">
        <v>28</v>
      </c>
    </row>
    <row r="798" spans="3:5" x14ac:dyDescent="0.25">
      <c r="C798" s="248">
        <v>44225</v>
      </c>
      <c r="D798" t="s">
        <v>304</v>
      </c>
      <c r="E798">
        <v>424</v>
      </c>
    </row>
    <row r="799" spans="3:5" x14ac:dyDescent="0.25">
      <c r="C799" s="248">
        <v>44206</v>
      </c>
      <c r="D799" t="s">
        <v>312</v>
      </c>
      <c r="E799">
        <v>28</v>
      </c>
    </row>
    <row r="800" spans="3:5" x14ac:dyDescent="0.25">
      <c r="C800" s="248">
        <v>44239</v>
      </c>
      <c r="D800" t="s">
        <v>312</v>
      </c>
      <c r="E800">
        <v>48</v>
      </c>
    </row>
    <row r="801" spans="3:5" x14ac:dyDescent="0.25">
      <c r="C801" s="248">
        <v>44208</v>
      </c>
      <c r="D801" t="s">
        <v>312</v>
      </c>
      <c r="E801">
        <v>48</v>
      </c>
    </row>
    <row r="802" spans="3:5" x14ac:dyDescent="0.25">
      <c r="C802" s="248">
        <v>44195</v>
      </c>
      <c r="D802" t="s">
        <v>304</v>
      </c>
      <c r="E802">
        <v>579</v>
      </c>
    </row>
    <row r="803" spans="3:5" x14ac:dyDescent="0.25">
      <c r="C803" s="248">
        <v>44221</v>
      </c>
      <c r="D803" t="s">
        <v>304</v>
      </c>
      <c r="E803">
        <v>547</v>
      </c>
    </row>
    <row r="804" spans="3:5" x14ac:dyDescent="0.25">
      <c r="C804" s="248">
        <v>44232</v>
      </c>
      <c r="D804" t="s">
        <v>306</v>
      </c>
      <c r="E804">
        <v>325</v>
      </c>
    </row>
    <row r="805" spans="3:5" x14ac:dyDescent="0.25">
      <c r="C805" s="248">
        <v>44231</v>
      </c>
      <c r="D805" t="s">
        <v>312</v>
      </c>
      <c r="E805">
        <v>40</v>
      </c>
    </row>
    <row r="806" spans="3:5" x14ac:dyDescent="0.25">
      <c r="C806" s="248">
        <v>44225</v>
      </c>
      <c r="D806" t="s">
        <v>311</v>
      </c>
      <c r="E806">
        <v>119</v>
      </c>
    </row>
    <row r="807" spans="3:5" x14ac:dyDescent="0.25">
      <c r="C807" s="248">
        <v>44225</v>
      </c>
      <c r="D807" t="s">
        <v>309</v>
      </c>
      <c r="E807">
        <v>42</v>
      </c>
    </row>
    <row r="808" spans="3:5" x14ac:dyDescent="0.25">
      <c r="C808" s="248">
        <v>44282</v>
      </c>
      <c r="D808" t="s">
        <v>312</v>
      </c>
      <c r="E808">
        <v>41</v>
      </c>
    </row>
    <row r="809" spans="3:5" x14ac:dyDescent="0.25">
      <c r="C809" s="248">
        <v>44230</v>
      </c>
      <c r="D809" t="s">
        <v>308</v>
      </c>
      <c r="E809">
        <v>71</v>
      </c>
    </row>
    <row r="810" spans="3:5" x14ac:dyDescent="0.25">
      <c r="C810" s="248">
        <v>44228</v>
      </c>
      <c r="D810" t="s">
        <v>309</v>
      </c>
      <c r="E810">
        <v>40</v>
      </c>
    </row>
    <row r="811" spans="3:5" x14ac:dyDescent="0.25">
      <c r="C811" s="248">
        <v>44231</v>
      </c>
      <c r="D811" t="s">
        <v>311</v>
      </c>
      <c r="E811">
        <v>136</v>
      </c>
    </row>
    <row r="812" spans="3:5" x14ac:dyDescent="0.25">
      <c r="C812" s="248">
        <v>44231</v>
      </c>
      <c r="D812" t="s">
        <v>305</v>
      </c>
      <c r="E812">
        <v>153</v>
      </c>
    </row>
    <row r="813" spans="3:5" x14ac:dyDescent="0.25">
      <c r="C813" s="248">
        <v>44231</v>
      </c>
      <c r="D813" t="s">
        <v>309</v>
      </c>
      <c r="E813">
        <v>24</v>
      </c>
    </row>
    <row r="814" spans="3:5" x14ac:dyDescent="0.25">
      <c r="C814" s="248">
        <v>44238</v>
      </c>
      <c r="D814" t="s">
        <v>311</v>
      </c>
      <c r="E814">
        <v>125</v>
      </c>
    </row>
    <row r="815" spans="3:5" x14ac:dyDescent="0.25">
      <c r="C815" s="248">
        <v>44246</v>
      </c>
      <c r="D815" t="s">
        <v>307</v>
      </c>
      <c r="E815">
        <v>247</v>
      </c>
    </row>
    <row r="816" spans="3:5" x14ac:dyDescent="0.25">
      <c r="C816" s="248">
        <v>44278</v>
      </c>
      <c r="D816" t="s">
        <v>309</v>
      </c>
      <c r="E816">
        <v>44</v>
      </c>
    </row>
    <row r="817" spans="3:5" x14ac:dyDescent="0.25">
      <c r="C817" s="248">
        <v>44241</v>
      </c>
      <c r="D817" t="s">
        <v>308</v>
      </c>
      <c r="E817">
        <v>51</v>
      </c>
    </row>
    <row r="818" spans="3:5" x14ac:dyDescent="0.25">
      <c r="C818" s="248">
        <v>44238</v>
      </c>
      <c r="D818" t="s">
        <v>310</v>
      </c>
      <c r="E818">
        <v>170</v>
      </c>
    </row>
    <row r="819" spans="3:5" x14ac:dyDescent="0.25">
      <c r="C819" s="248">
        <v>44238</v>
      </c>
      <c r="D819" t="s">
        <v>308</v>
      </c>
      <c r="E819">
        <v>76</v>
      </c>
    </row>
    <row r="820" spans="3:5" x14ac:dyDescent="0.25">
      <c r="C820" s="248">
        <v>44291</v>
      </c>
      <c r="D820" t="s">
        <v>308</v>
      </c>
      <c r="E820">
        <v>159</v>
      </c>
    </row>
    <row r="821" spans="3:5" x14ac:dyDescent="0.25">
      <c r="C821" s="248">
        <v>44172</v>
      </c>
      <c r="D821" t="s">
        <v>305</v>
      </c>
      <c r="E821">
        <v>29</v>
      </c>
    </row>
    <row r="822" spans="3:5" x14ac:dyDescent="0.25">
      <c r="C822" s="248">
        <v>44238</v>
      </c>
      <c r="D822" t="s">
        <v>306</v>
      </c>
      <c r="E822">
        <v>258</v>
      </c>
    </row>
    <row r="823" spans="3:5" x14ac:dyDescent="0.25">
      <c r="C823" s="248">
        <v>44245</v>
      </c>
      <c r="D823" t="s">
        <v>309</v>
      </c>
      <c r="E823">
        <v>21</v>
      </c>
    </row>
    <row r="824" spans="3:5" x14ac:dyDescent="0.25">
      <c r="C824" s="248">
        <v>44243</v>
      </c>
      <c r="D824" t="s">
        <v>306</v>
      </c>
      <c r="E824">
        <v>218</v>
      </c>
    </row>
    <row r="825" spans="3:5" x14ac:dyDescent="0.25">
      <c r="C825" s="248">
        <v>44245</v>
      </c>
      <c r="D825" t="s">
        <v>305</v>
      </c>
      <c r="E825">
        <v>83</v>
      </c>
    </row>
    <row r="826" spans="3:5" x14ac:dyDescent="0.25">
      <c r="C826" s="248">
        <v>44248</v>
      </c>
      <c r="D826" t="s">
        <v>305</v>
      </c>
      <c r="E826">
        <v>56</v>
      </c>
    </row>
    <row r="827" spans="3:5" x14ac:dyDescent="0.25">
      <c r="C827" s="248">
        <v>44229</v>
      </c>
      <c r="D827" t="s">
        <v>307</v>
      </c>
      <c r="E827">
        <v>269</v>
      </c>
    </row>
    <row r="828" spans="3:5" x14ac:dyDescent="0.25">
      <c r="C828" s="248">
        <v>44294</v>
      </c>
      <c r="D828" t="s">
        <v>309</v>
      </c>
      <c r="E828">
        <v>113</v>
      </c>
    </row>
    <row r="829" spans="3:5" x14ac:dyDescent="0.25">
      <c r="C829" s="248">
        <v>44247</v>
      </c>
      <c r="D829" t="s">
        <v>305</v>
      </c>
      <c r="E829">
        <v>68</v>
      </c>
    </row>
    <row r="830" spans="3:5" x14ac:dyDescent="0.25">
      <c r="C830" s="248">
        <v>44293</v>
      </c>
      <c r="D830" t="s">
        <v>307</v>
      </c>
      <c r="E830">
        <v>827</v>
      </c>
    </row>
    <row r="831" spans="3:5" x14ac:dyDescent="0.25">
      <c r="C831" s="248">
        <v>44237</v>
      </c>
      <c r="D831" t="s">
        <v>305</v>
      </c>
      <c r="E831">
        <v>109</v>
      </c>
    </row>
    <row r="832" spans="3:5" x14ac:dyDescent="0.25">
      <c r="C832" s="248">
        <v>44249</v>
      </c>
      <c r="D832" t="s">
        <v>304</v>
      </c>
      <c r="E832">
        <v>256</v>
      </c>
    </row>
    <row r="833" spans="3:5" x14ac:dyDescent="0.25">
      <c r="C833" s="248">
        <v>44221</v>
      </c>
      <c r="D833" t="s">
        <v>307</v>
      </c>
      <c r="E833">
        <v>327</v>
      </c>
    </row>
    <row r="834" spans="3:5" x14ac:dyDescent="0.25">
      <c r="C834" s="248">
        <v>44098</v>
      </c>
      <c r="D834" t="s">
        <v>311</v>
      </c>
      <c r="E834">
        <v>149</v>
      </c>
    </row>
    <row r="835" spans="3:5" x14ac:dyDescent="0.25">
      <c r="C835" s="248">
        <v>44082</v>
      </c>
      <c r="D835" t="s">
        <v>312</v>
      </c>
      <c r="E835">
        <v>102</v>
      </c>
    </row>
    <row r="836" spans="3:5" x14ac:dyDescent="0.25">
      <c r="C836" s="248">
        <v>44126</v>
      </c>
      <c r="D836" t="s">
        <v>311</v>
      </c>
      <c r="E836">
        <v>73</v>
      </c>
    </row>
    <row r="837" spans="3:5" x14ac:dyDescent="0.25">
      <c r="C837" s="248">
        <v>44097</v>
      </c>
      <c r="D837" t="s">
        <v>311</v>
      </c>
      <c r="E837">
        <v>141</v>
      </c>
    </row>
    <row r="838" spans="3:5" x14ac:dyDescent="0.25">
      <c r="C838" s="248">
        <v>44112</v>
      </c>
      <c r="D838" t="s">
        <v>308</v>
      </c>
      <c r="E838">
        <v>63</v>
      </c>
    </row>
    <row r="839" spans="3:5" x14ac:dyDescent="0.25">
      <c r="C839" s="248">
        <v>44119</v>
      </c>
      <c r="D839" t="s">
        <v>308</v>
      </c>
      <c r="E839">
        <v>61</v>
      </c>
    </row>
    <row r="840" spans="3:5" x14ac:dyDescent="0.25">
      <c r="C840" s="248">
        <v>44112</v>
      </c>
      <c r="D840" t="s">
        <v>306</v>
      </c>
      <c r="E840">
        <v>380</v>
      </c>
    </row>
    <row r="841" spans="3:5" x14ac:dyDescent="0.25">
      <c r="C841" s="248">
        <v>44125</v>
      </c>
      <c r="D841" t="s">
        <v>312</v>
      </c>
      <c r="E841">
        <v>33</v>
      </c>
    </row>
    <row r="842" spans="3:5" x14ac:dyDescent="0.25">
      <c r="C842" s="248">
        <v>44058</v>
      </c>
      <c r="D842" t="s">
        <v>312</v>
      </c>
      <c r="E842">
        <v>145</v>
      </c>
    </row>
    <row r="843" spans="3:5" x14ac:dyDescent="0.25">
      <c r="C843" s="248">
        <v>44121</v>
      </c>
      <c r="D843" t="s">
        <v>308</v>
      </c>
      <c r="E843">
        <v>41</v>
      </c>
    </row>
    <row r="844" spans="3:5" x14ac:dyDescent="0.25">
      <c r="C844" s="248">
        <v>44226</v>
      </c>
      <c r="D844" t="s">
        <v>307</v>
      </c>
      <c r="E844">
        <v>212</v>
      </c>
    </row>
    <row r="845" spans="3:5" x14ac:dyDescent="0.25">
      <c r="C845" s="248">
        <v>44132</v>
      </c>
      <c r="D845" t="s">
        <v>312</v>
      </c>
      <c r="E845">
        <v>26</v>
      </c>
    </row>
    <row r="846" spans="3:5" x14ac:dyDescent="0.25">
      <c r="C846" s="248">
        <v>44086</v>
      </c>
      <c r="D846" t="s">
        <v>308</v>
      </c>
      <c r="E846">
        <v>53</v>
      </c>
    </row>
    <row r="847" spans="3:5" x14ac:dyDescent="0.25">
      <c r="C847" s="248">
        <v>44160</v>
      </c>
      <c r="D847" t="s">
        <v>312</v>
      </c>
      <c r="E847">
        <v>23</v>
      </c>
    </row>
    <row r="848" spans="3:5" x14ac:dyDescent="0.25">
      <c r="C848" s="248">
        <v>44144</v>
      </c>
      <c r="D848" t="s">
        <v>311</v>
      </c>
      <c r="E848">
        <v>83</v>
      </c>
    </row>
    <row r="849" spans="3:5" x14ac:dyDescent="0.25">
      <c r="C849" s="248">
        <v>44145</v>
      </c>
      <c r="D849" t="s">
        <v>308</v>
      </c>
      <c r="E849">
        <v>48</v>
      </c>
    </row>
    <row r="850" spans="3:5" x14ac:dyDescent="0.25">
      <c r="C850" s="248">
        <v>44137</v>
      </c>
      <c r="D850" t="s">
        <v>310</v>
      </c>
      <c r="E850">
        <v>105</v>
      </c>
    </row>
    <row r="851" spans="3:5" x14ac:dyDescent="0.25">
      <c r="C851" s="248">
        <v>44036</v>
      </c>
      <c r="D851" t="s">
        <v>312</v>
      </c>
      <c r="E851">
        <v>107</v>
      </c>
    </row>
    <row r="852" spans="3:5" x14ac:dyDescent="0.25">
      <c r="C852" s="248">
        <v>44176</v>
      </c>
      <c r="D852" t="s">
        <v>312</v>
      </c>
      <c r="E852">
        <v>19</v>
      </c>
    </row>
    <row r="853" spans="3:5" x14ac:dyDescent="0.25">
      <c r="C853" s="248">
        <v>44166</v>
      </c>
      <c r="D853" t="s">
        <v>312</v>
      </c>
      <c r="E853">
        <v>11</v>
      </c>
    </row>
    <row r="854" spans="3:5" x14ac:dyDescent="0.25">
      <c r="C854" s="248">
        <v>44167</v>
      </c>
      <c r="D854" t="s">
        <v>310</v>
      </c>
      <c r="E854">
        <v>50</v>
      </c>
    </row>
    <row r="855" spans="3:5" x14ac:dyDescent="0.25">
      <c r="C855" s="248">
        <v>44182</v>
      </c>
      <c r="D855" t="s">
        <v>308</v>
      </c>
      <c r="E855">
        <v>41</v>
      </c>
    </row>
    <row r="856" spans="3:5" x14ac:dyDescent="0.25">
      <c r="C856" s="248">
        <v>44157</v>
      </c>
      <c r="D856" t="s">
        <v>311</v>
      </c>
      <c r="E856">
        <v>34</v>
      </c>
    </row>
    <row r="857" spans="3:5" x14ac:dyDescent="0.25">
      <c r="C857" s="248">
        <v>44163</v>
      </c>
      <c r="D857" t="s">
        <v>307</v>
      </c>
      <c r="E857">
        <v>88</v>
      </c>
    </row>
    <row r="858" spans="3:5" x14ac:dyDescent="0.25">
      <c r="C858" s="248">
        <v>44168</v>
      </c>
      <c r="D858" t="s">
        <v>312</v>
      </c>
      <c r="E858">
        <v>16</v>
      </c>
    </row>
    <row r="859" spans="3:5" x14ac:dyDescent="0.25">
      <c r="C859" s="248">
        <v>44168</v>
      </c>
      <c r="D859" t="s">
        <v>308</v>
      </c>
      <c r="E859">
        <v>24</v>
      </c>
    </row>
    <row r="860" spans="3:5" x14ac:dyDescent="0.25">
      <c r="C860" s="248">
        <v>44168</v>
      </c>
      <c r="D860" t="s">
        <v>310</v>
      </c>
      <c r="E860">
        <v>67</v>
      </c>
    </row>
    <row r="861" spans="3:5" x14ac:dyDescent="0.25">
      <c r="C861" s="248">
        <v>44241</v>
      </c>
      <c r="D861" t="s">
        <v>306</v>
      </c>
      <c r="E861">
        <v>151</v>
      </c>
    </row>
    <row r="862" spans="3:5" x14ac:dyDescent="0.25">
      <c r="C862" s="248">
        <v>44168</v>
      </c>
      <c r="D862" t="s">
        <v>307</v>
      </c>
      <c r="E862">
        <v>97</v>
      </c>
    </row>
    <row r="863" spans="3:5" x14ac:dyDescent="0.25">
      <c r="C863" s="248">
        <v>44182</v>
      </c>
      <c r="D863" t="s">
        <v>305</v>
      </c>
      <c r="E863">
        <v>77</v>
      </c>
    </row>
    <row r="864" spans="3:5" x14ac:dyDescent="0.25">
      <c r="C864" s="248">
        <v>44210</v>
      </c>
      <c r="D864" t="s">
        <v>305</v>
      </c>
      <c r="E864">
        <v>151</v>
      </c>
    </row>
    <row r="865" spans="3:5" x14ac:dyDescent="0.25">
      <c r="C865" s="248">
        <v>44193</v>
      </c>
      <c r="D865" t="s">
        <v>310</v>
      </c>
      <c r="E865">
        <v>294</v>
      </c>
    </row>
    <row r="866" spans="3:5" x14ac:dyDescent="0.25">
      <c r="C866" s="248">
        <v>44193</v>
      </c>
      <c r="D866" t="s">
        <v>305</v>
      </c>
      <c r="E866">
        <v>147</v>
      </c>
    </row>
    <row r="867" spans="3:5" x14ac:dyDescent="0.25">
      <c r="C867" s="248">
        <v>44200</v>
      </c>
      <c r="D867" t="s">
        <v>304</v>
      </c>
      <c r="E867">
        <v>626</v>
      </c>
    </row>
    <row r="868" spans="3:5" x14ac:dyDescent="0.25">
      <c r="C868" s="248">
        <v>44207</v>
      </c>
      <c r="D868" t="s">
        <v>310</v>
      </c>
      <c r="E868">
        <v>249</v>
      </c>
    </row>
    <row r="869" spans="3:5" x14ac:dyDescent="0.25">
      <c r="C869" s="248">
        <v>44193</v>
      </c>
      <c r="D869" t="s">
        <v>309</v>
      </c>
      <c r="E869">
        <v>44</v>
      </c>
    </row>
    <row r="870" spans="3:5" x14ac:dyDescent="0.25">
      <c r="C870" s="248">
        <v>44208</v>
      </c>
      <c r="D870" t="s">
        <v>304</v>
      </c>
      <c r="E870">
        <v>584</v>
      </c>
    </row>
    <row r="871" spans="3:5" x14ac:dyDescent="0.25">
      <c r="C871" s="248">
        <v>44204</v>
      </c>
      <c r="D871" t="s">
        <v>307</v>
      </c>
      <c r="E871">
        <v>388</v>
      </c>
    </row>
    <row r="872" spans="3:5" x14ac:dyDescent="0.25">
      <c r="C872" s="248">
        <v>44233</v>
      </c>
      <c r="D872" t="s">
        <v>310</v>
      </c>
      <c r="E872">
        <v>140</v>
      </c>
    </row>
    <row r="873" spans="3:5" x14ac:dyDescent="0.25">
      <c r="C873" s="248">
        <v>44205</v>
      </c>
      <c r="D873" t="s">
        <v>311</v>
      </c>
      <c r="E873">
        <v>146</v>
      </c>
    </row>
    <row r="874" spans="3:5" x14ac:dyDescent="0.25">
      <c r="C874" s="248">
        <v>44201</v>
      </c>
      <c r="D874" t="s">
        <v>308</v>
      </c>
      <c r="E874">
        <v>92</v>
      </c>
    </row>
    <row r="875" spans="3:5" x14ac:dyDescent="0.25">
      <c r="C875" s="248">
        <v>44205</v>
      </c>
      <c r="D875" t="s">
        <v>310</v>
      </c>
      <c r="E875">
        <v>227</v>
      </c>
    </row>
    <row r="876" spans="3:5" x14ac:dyDescent="0.25">
      <c r="C876" s="248">
        <v>44291</v>
      </c>
      <c r="D876" t="s">
        <v>305</v>
      </c>
      <c r="E876">
        <v>493</v>
      </c>
    </row>
    <row r="877" spans="3:5" x14ac:dyDescent="0.25">
      <c r="C877" s="248">
        <v>44212</v>
      </c>
      <c r="D877" t="s">
        <v>305</v>
      </c>
      <c r="E877">
        <v>139</v>
      </c>
    </row>
    <row r="878" spans="3:5" x14ac:dyDescent="0.25">
      <c r="C878" s="248">
        <v>44216</v>
      </c>
      <c r="D878" t="s">
        <v>308</v>
      </c>
      <c r="E878">
        <v>74</v>
      </c>
    </row>
    <row r="879" spans="3:5" x14ac:dyDescent="0.25">
      <c r="C879" s="248">
        <v>44211</v>
      </c>
      <c r="D879" t="s">
        <v>308</v>
      </c>
      <c r="E879">
        <v>80</v>
      </c>
    </row>
    <row r="880" spans="3:5" x14ac:dyDescent="0.25">
      <c r="C880" s="248">
        <v>44235</v>
      </c>
      <c r="D880" t="s">
        <v>312</v>
      </c>
      <c r="E880">
        <v>42</v>
      </c>
    </row>
    <row r="881" spans="3:5" x14ac:dyDescent="0.25">
      <c r="C881" s="248">
        <v>44233</v>
      </c>
      <c r="D881" t="s">
        <v>308</v>
      </c>
      <c r="E881">
        <v>43</v>
      </c>
    </row>
    <row r="882" spans="3:5" x14ac:dyDescent="0.25">
      <c r="C882" s="248">
        <v>44232</v>
      </c>
      <c r="D882" t="s">
        <v>308</v>
      </c>
      <c r="E882">
        <v>54</v>
      </c>
    </row>
    <row r="883" spans="3:5" x14ac:dyDescent="0.25">
      <c r="C883" s="248">
        <v>44296</v>
      </c>
      <c r="D883" t="s">
        <v>305</v>
      </c>
      <c r="E883">
        <v>328</v>
      </c>
    </row>
    <row r="884" spans="3:5" x14ac:dyDescent="0.25">
      <c r="C884" s="248">
        <v>44224</v>
      </c>
      <c r="D884" t="s">
        <v>309</v>
      </c>
      <c r="E884">
        <v>36</v>
      </c>
    </row>
    <row r="885" spans="3:5" x14ac:dyDescent="0.25">
      <c r="C885" s="248">
        <v>44221</v>
      </c>
      <c r="D885" t="s">
        <v>308</v>
      </c>
      <c r="E885">
        <v>81</v>
      </c>
    </row>
    <row r="886" spans="3:5" x14ac:dyDescent="0.25">
      <c r="C886" s="248">
        <v>44227</v>
      </c>
      <c r="D886" t="s">
        <v>306</v>
      </c>
      <c r="E886">
        <v>217</v>
      </c>
    </row>
    <row r="887" spans="3:5" x14ac:dyDescent="0.25">
      <c r="C887" s="248">
        <v>44225</v>
      </c>
      <c r="D887" t="s">
        <v>306</v>
      </c>
      <c r="E887">
        <v>338</v>
      </c>
    </row>
    <row r="888" spans="3:5" x14ac:dyDescent="0.25">
      <c r="C888" s="248">
        <v>44226</v>
      </c>
      <c r="D888" t="s">
        <v>304</v>
      </c>
      <c r="E888">
        <v>348</v>
      </c>
    </row>
    <row r="889" spans="3:5" x14ac:dyDescent="0.25">
      <c r="C889" s="248">
        <v>44229</v>
      </c>
      <c r="D889" t="s">
        <v>310</v>
      </c>
      <c r="E889">
        <v>223</v>
      </c>
    </row>
    <row r="890" spans="3:5" x14ac:dyDescent="0.25">
      <c r="C890" s="248">
        <v>44241</v>
      </c>
      <c r="D890" t="s">
        <v>312</v>
      </c>
      <c r="E890">
        <v>21</v>
      </c>
    </row>
    <row r="891" spans="3:5" x14ac:dyDescent="0.25">
      <c r="C891" s="248">
        <v>44234</v>
      </c>
      <c r="D891" t="s">
        <v>311</v>
      </c>
      <c r="E891">
        <v>95</v>
      </c>
    </row>
    <row r="892" spans="3:5" x14ac:dyDescent="0.25">
      <c r="C892" s="248">
        <v>44283</v>
      </c>
      <c r="D892" t="s">
        <v>305</v>
      </c>
      <c r="E892">
        <v>181</v>
      </c>
    </row>
    <row r="893" spans="3:5" x14ac:dyDescent="0.25">
      <c r="C893" s="248">
        <v>44295</v>
      </c>
      <c r="D893" t="s">
        <v>310</v>
      </c>
      <c r="E893">
        <v>441</v>
      </c>
    </row>
    <row r="894" spans="3:5" x14ac:dyDescent="0.25">
      <c r="C894" s="248">
        <v>44238</v>
      </c>
      <c r="D894" t="s">
        <v>312</v>
      </c>
      <c r="E894">
        <v>25</v>
      </c>
    </row>
    <row r="895" spans="3:5" x14ac:dyDescent="0.25">
      <c r="C895" s="248">
        <v>44238</v>
      </c>
      <c r="D895" t="s">
        <v>304</v>
      </c>
      <c r="E895">
        <v>252</v>
      </c>
    </row>
    <row r="896" spans="3:5" x14ac:dyDescent="0.25">
      <c r="C896" s="248">
        <v>44233</v>
      </c>
      <c r="D896" t="s">
        <v>311</v>
      </c>
      <c r="E896">
        <v>93</v>
      </c>
    </row>
    <row r="897" spans="3:5" x14ac:dyDescent="0.25">
      <c r="C897" s="248">
        <v>44289</v>
      </c>
      <c r="D897" t="s">
        <v>311</v>
      </c>
      <c r="E897">
        <v>278</v>
      </c>
    </row>
    <row r="898" spans="3:5" x14ac:dyDescent="0.25">
      <c r="C898" s="248">
        <v>44215</v>
      </c>
      <c r="D898" t="s">
        <v>306</v>
      </c>
      <c r="E898">
        <v>408</v>
      </c>
    </row>
    <row r="899" spans="3:5" x14ac:dyDescent="0.25">
      <c r="C899" s="248">
        <v>44216</v>
      </c>
      <c r="D899" t="s">
        <v>306</v>
      </c>
      <c r="E899">
        <v>428</v>
      </c>
    </row>
    <row r="900" spans="3:5" x14ac:dyDescent="0.25">
      <c r="C900" s="248">
        <v>44292</v>
      </c>
      <c r="D900" t="s">
        <v>311</v>
      </c>
      <c r="E900">
        <v>312</v>
      </c>
    </row>
    <row r="901" spans="3:5" x14ac:dyDescent="0.25">
      <c r="C901" s="248">
        <v>44185</v>
      </c>
      <c r="D901" t="s">
        <v>306</v>
      </c>
      <c r="E901">
        <v>145</v>
      </c>
    </row>
    <row r="902" spans="3:5" x14ac:dyDescent="0.25">
      <c r="C902" s="248">
        <v>44297</v>
      </c>
      <c r="D902" t="s">
        <v>311</v>
      </c>
      <c r="E902">
        <v>62</v>
      </c>
    </row>
    <row r="903" spans="3:5" x14ac:dyDescent="0.25">
      <c r="C903" s="248">
        <v>44277</v>
      </c>
      <c r="D903" t="s">
        <v>309</v>
      </c>
      <c r="E903">
        <v>60</v>
      </c>
    </row>
    <row r="904" spans="3:5" x14ac:dyDescent="0.25">
      <c r="C904" s="248">
        <v>44083</v>
      </c>
      <c r="D904" t="s">
        <v>308</v>
      </c>
      <c r="E904">
        <v>104</v>
      </c>
    </row>
    <row r="905" spans="3:5" x14ac:dyDescent="0.25">
      <c r="C905" s="248">
        <v>44076</v>
      </c>
      <c r="D905" t="s">
        <v>310</v>
      </c>
      <c r="E905">
        <v>271</v>
      </c>
    </row>
    <row r="906" spans="3:5" x14ac:dyDescent="0.25">
      <c r="C906" s="248">
        <v>44083</v>
      </c>
      <c r="D906" t="s">
        <v>310</v>
      </c>
      <c r="E906">
        <v>322</v>
      </c>
    </row>
    <row r="907" spans="3:5" x14ac:dyDescent="0.25">
      <c r="C907" s="248">
        <v>44083</v>
      </c>
      <c r="D907" t="s">
        <v>311</v>
      </c>
      <c r="E907">
        <v>204</v>
      </c>
    </row>
    <row r="908" spans="3:5" x14ac:dyDescent="0.25">
      <c r="C908" s="248">
        <v>44075</v>
      </c>
      <c r="D908" t="s">
        <v>311</v>
      </c>
      <c r="E908">
        <v>187</v>
      </c>
    </row>
    <row r="909" spans="3:5" x14ac:dyDescent="0.25">
      <c r="C909" s="248">
        <v>44079</v>
      </c>
      <c r="D909" t="s">
        <v>312</v>
      </c>
      <c r="E909">
        <v>79</v>
      </c>
    </row>
    <row r="910" spans="3:5" x14ac:dyDescent="0.25">
      <c r="C910" s="248">
        <v>44093</v>
      </c>
      <c r="D910" t="s">
        <v>310</v>
      </c>
      <c r="E910">
        <v>177</v>
      </c>
    </row>
    <row r="911" spans="3:5" x14ac:dyDescent="0.25">
      <c r="C911" s="248">
        <v>44084</v>
      </c>
      <c r="D911" t="s">
        <v>310</v>
      </c>
      <c r="E911">
        <v>332</v>
      </c>
    </row>
    <row r="912" spans="3:5" x14ac:dyDescent="0.25">
      <c r="C912" s="248">
        <v>44091</v>
      </c>
      <c r="D912" t="s">
        <v>312</v>
      </c>
      <c r="E912">
        <v>48</v>
      </c>
    </row>
    <row r="913" spans="3:5" x14ac:dyDescent="0.25">
      <c r="C913" s="248">
        <v>44247</v>
      </c>
      <c r="D913" t="s">
        <v>312</v>
      </c>
      <c r="E913">
        <v>24</v>
      </c>
    </row>
    <row r="914" spans="3:5" x14ac:dyDescent="0.25">
      <c r="C914" s="248">
        <v>44247</v>
      </c>
      <c r="D914" t="s">
        <v>309</v>
      </c>
      <c r="E914">
        <v>16</v>
      </c>
    </row>
    <row r="915" spans="3:5" x14ac:dyDescent="0.25">
      <c r="C915" s="248">
        <v>44249</v>
      </c>
      <c r="D915" t="s">
        <v>309</v>
      </c>
      <c r="E915">
        <v>24</v>
      </c>
    </row>
    <row r="916" spans="3:5" x14ac:dyDescent="0.25">
      <c r="C916" s="248">
        <v>44249</v>
      </c>
      <c r="D916" t="s">
        <v>305</v>
      </c>
      <c r="E916">
        <v>90</v>
      </c>
    </row>
    <row r="917" spans="3:5" x14ac:dyDescent="0.25">
      <c r="C917" s="248">
        <v>44249</v>
      </c>
      <c r="D917" t="s">
        <v>312</v>
      </c>
      <c r="E917">
        <v>27</v>
      </c>
    </row>
    <row r="918" spans="3:5" x14ac:dyDescent="0.25">
      <c r="C918" s="248">
        <v>44187</v>
      </c>
      <c r="D918" t="s">
        <v>304</v>
      </c>
      <c r="E918">
        <v>288</v>
      </c>
    </row>
    <row r="919" spans="3:5" x14ac:dyDescent="0.25">
      <c r="C919" s="248">
        <v>44185</v>
      </c>
      <c r="D919" t="s">
        <v>312</v>
      </c>
      <c r="E919">
        <v>20</v>
      </c>
    </row>
    <row r="920" spans="3:5" x14ac:dyDescent="0.25">
      <c r="C920" s="248">
        <v>44086</v>
      </c>
      <c r="D920" t="s">
        <v>310</v>
      </c>
      <c r="E920">
        <v>218</v>
      </c>
    </row>
    <row r="921" spans="3:5" x14ac:dyDescent="0.25">
      <c r="C921" s="248">
        <v>44086</v>
      </c>
      <c r="D921" t="s">
        <v>312</v>
      </c>
      <c r="E921">
        <v>71</v>
      </c>
    </row>
    <row r="922" spans="3:5" x14ac:dyDescent="0.25">
      <c r="C922" s="248">
        <v>44088</v>
      </c>
      <c r="D922" t="s">
        <v>308</v>
      </c>
      <c r="E922">
        <v>86</v>
      </c>
    </row>
    <row r="923" spans="3:5" x14ac:dyDescent="0.25">
      <c r="C923" s="248">
        <v>44087</v>
      </c>
      <c r="D923" t="s">
        <v>311</v>
      </c>
      <c r="E923">
        <v>128</v>
      </c>
    </row>
    <row r="924" spans="3:5" x14ac:dyDescent="0.25">
      <c r="C924" s="248">
        <v>44087</v>
      </c>
      <c r="D924" t="s">
        <v>312</v>
      </c>
      <c r="E924">
        <v>56</v>
      </c>
    </row>
    <row r="925" spans="3:5" x14ac:dyDescent="0.25">
      <c r="C925" s="248">
        <v>44086</v>
      </c>
      <c r="D925" t="s">
        <v>311</v>
      </c>
      <c r="E925">
        <v>145</v>
      </c>
    </row>
    <row r="926" spans="3:5" x14ac:dyDescent="0.25">
      <c r="C926" s="248">
        <v>44156</v>
      </c>
      <c r="D926" t="s">
        <v>312</v>
      </c>
      <c r="E926">
        <v>14</v>
      </c>
    </row>
    <row r="927" spans="3:5" x14ac:dyDescent="0.25">
      <c r="C927" s="248">
        <v>44087</v>
      </c>
      <c r="D927" t="s">
        <v>308</v>
      </c>
      <c r="E927">
        <v>73</v>
      </c>
    </row>
    <row r="928" spans="3:5" x14ac:dyDescent="0.25">
      <c r="C928" s="248">
        <v>44087</v>
      </c>
      <c r="D928" t="s">
        <v>307</v>
      </c>
      <c r="E928">
        <v>262</v>
      </c>
    </row>
    <row r="929" spans="3:5" x14ac:dyDescent="0.25">
      <c r="C929" s="248">
        <v>44104</v>
      </c>
      <c r="D929" t="s">
        <v>311</v>
      </c>
      <c r="E929">
        <v>156</v>
      </c>
    </row>
    <row r="930" spans="3:5" x14ac:dyDescent="0.25">
      <c r="C930" s="248">
        <v>44286</v>
      </c>
      <c r="D930" t="s">
        <v>308</v>
      </c>
      <c r="E930">
        <v>120</v>
      </c>
    </row>
    <row r="931" spans="3:5" x14ac:dyDescent="0.25">
      <c r="C931" s="248">
        <v>44100</v>
      </c>
      <c r="D931" t="s">
        <v>312</v>
      </c>
      <c r="E931">
        <v>56</v>
      </c>
    </row>
    <row r="932" spans="3:5" x14ac:dyDescent="0.25">
      <c r="C932" s="248">
        <v>44100</v>
      </c>
      <c r="D932" t="s">
        <v>306</v>
      </c>
      <c r="E932">
        <v>277</v>
      </c>
    </row>
    <row r="933" spans="3:5" x14ac:dyDescent="0.25">
      <c r="C933" s="248">
        <v>44100</v>
      </c>
      <c r="D933" t="s">
        <v>304</v>
      </c>
      <c r="E933">
        <v>226</v>
      </c>
    </row>
    <row r="934" spans="3:5" x14ac:dyDescent="0.25">
      <c r="C934" s="248">
        <v>44100</v>
      </c>
      <c r="D934" t="s">
        <v>307</v>
      </c>
      <c r="E934">
        <v>260</v>
      </c>
    </row>
    <row r="935" spans="3:5" x14ac:dyDescent="0.25">
      <c r="C935" s="248">
        <v>44100</v>
      </c>
      <c r="D935" t="s">
        <v>305</v>
      </c>
      <c r="E935">
        <v>90</v>
      </c>
    </row>
    <row r="936" spans="3:5" x14ac:dyDescent="0.25">
      <c r="C936" s="248">
        <v>44103</v>
      </c>
      <c r="D936" t="s">
        <v>312</v>
      </c>
      <c r="E936">
        <v>69</v>
      </c>
    </row>
    <row r="937" spans="3:5" x14ac:dyDescent="0.25">
      <c r="C937" s="248">
        <v>44101</v>
      </c>
      <c r="D937" t="s">
        <v>308</v>
      </c>
      <c r="E937">
        <v>47</v>
      </c>
    </row>
    <row r="938" spans="3:5" x14ac:dyDescent="0.25">
      <c r="C938" s="248">
        <v>44100</v>
      </c>
      <c r="D938" t="s">
        <v>311</v>
      </c>
      <c r="E938">
        <v>108</v>
      </c>
    </row>
    <row r="939" spans="3:5" x14ac:dyDescent="0.25">
      <c r="C939" s="248">
        <v>44103</v>
      </c>
      <c r="D939" t="s">
        <v>310</v>
      </c>
      <c r="E939">
        <v>271</v>
      </c>
    </row>
    <row r="940" spans="3:5" x14ac:dyDescent="0.25">
      <c r="C940" s="248">
        <v>44101</v>
      </c>
      <c r="D940" t="s">
        <v>311</v>
      </c>
      <c r="E940">
        <v>76</v>
      </c>
    </row>
    <row r="941" spans="3:5" x14ac:dyDescent="0.25">
      <c r="C941" s="248">
        <v>44088</v>
      </c>
      <c r="D941" t="s">
        <v>312</v>
      </c>
      <c r="E941">
        <v>67</v>
      </c>
    </row>
    <row r="942" spans="3:5" x14ac:dyDescent="0.25">
      <c r="C942" s="248">
        <v>44101</v>
      </c>
      <c r="D942" t="s">
        <v>304</v>
      </c>
      <c r="E942">
        <v>226</v>
      </c>
    </row>
    <row r="943" spans="3:5" x14ac:dyDescent="0.25">
      <c r="C943" s="248">
        <v>44101</v>
      </c>
      <c r="D943" t="s">
        <v>306</v>
      </c>
      <c r="E943">
        <v>267</v>
      </c>
    </row>
    <row r="944" spans="3:5" x14ac:dyDescent="0.25">
      <c r="C944" s="248">
        <v>44101</v>
      </c>
      <c r="D944" t="s">
        <v>307</v>
      </c>
      <c r="E944">
        <v>233</v>
      </c>
    </row>
    <row r="945" spans="3:5" x14ac:dyDescent="0.25">
      <c r="C945" s="248">
        <v>44114</v>
      </c>
      <c r="D945" t="s">
        <v>308</v>
      </c>
      <c r="E945">
        <v>48</v>
      </c>
    </row>
    <row r="946" spans="3:5" x14ac:dyDescent="0.25">
      <c r="C946" s="248">
        <v>44123</v>
      </c>
      <c r="D946" t="s">
        <v>308</v>
      </c>
      <c r="E946">
        <v>71</v>
      </c>
    </row>
    <row r="947" spans="3:5" x14ac:dyDescent="0.25">
      <c r="C947" s="248">
        <v>44115</v>
      </c>
      <c r="D947" t="s">
        <v>306</v>
      </c>
      <c r="E947">
        <v>233</v>
      </c>
    </row>
    <row r="948" spans="3:5" x14ac:dyDescent="0.25">
      <c r="C948" s="248">
        <v>44115</v>
      </c>
      <c r="D948" t="s">
        <v>308</v>
      </c>
      <c r="E948">
        <v>40</v>
      </c>
    </row>
    <row r="949" spans="3:5" x14ac:dyDescent="0.25">
      <c r="C949" s="248">
        <v>44138</v>
      </c>
      <c r="D949" t="s">
        <v>308</v>
      </c>
      <c r="E949">
        <v>34</v>
      </c>
    </row>
    <row r="950" spans="3:5" x14ac:dyDescent="0.25">
      <c r="C950" s="248">
        <v>44114</v>
      </c>
      <c r="D950" t="s">
        <v>312</v>
      </c>
      <c r="E950">
        <v>33</v>
      </c>
    </row>
    <row r="951" spans="3:5" x14ac:dyDescent="0.25">
      <c r="C951" s="248">
        <v>44115</v>
      </c>
      <c r="D951" t="s">
        <v>312</v>
      </c>
      <c r="E951">
        <v>54</v>
      </c>
    </row>
    <row r="952" spans="3:5" x14ac:dyDescent="0.25">
      <c r="C952" s="248">
        <v>44115</v>
      </c>
      <c r="D952" t="s">
        <v>307</v>
      </c>
      <c r="E952">
        <v>203</v>
      </c>
    </row>
    <row r="953" spans="3:5" x14ac:dyDescent="0.25">
      <c r="C953" s="248">
        <v>44123</v>
      </c>
      <c r="D953" t="s">
        <v>312</v>
      </c>
      <c r="E953">
        <v>34</v>
      </c>
    </row>
    <row r="954" spans="3:5" x14ac:dyDescent="0.25">
      <c r="C954" s="248">
        <v>44115</v>
      </c>
      <c r="D954" t="s">
        <v>311</v>
      </c>
      <c r="E954">
        <v>73</v>
      </c>
    </row>
    <row r="955" spans="3:5" x14ac:dyDescent="0.25">
      <c r="C955" s="248">
        <v>44116</v>
      </c>
      <c r="D955" t="s">
        <v>311</v>
      </c>
      <c r="E955">
        <v>92</v>
      </c>
    </row>
    <row r="956" spans="3:5" x14ac:dyDescent="0.25">
      <c r="C956" s="248">
        <v>44116</v>
      </c>
      <c r="D956" t="s">
        <v>310</v>
      </c>
      <c r="E956">
        <v>187</v>
      </c>
    </row>
    <row r="957" spans="3:5" x14ac:dyDescent="0.25">
      <c r="C957" s="248">
        <v>44116</v>
      </c>
      <c r="D957" t="s">
        <v>308</v>
      </c>
      <c r="E957">
        <v>56</v>
      </c>
    </row>
    <row r="958" spans="3:5" x14ac:dyDescent="0.25">
      <c r="C958" s="248">
        <v>44137</v>
      </c>
      <c r="D958" t="s">
        <v>309</v>
      </c>
      <c r="E958">
        <v>23</v>
      </c>
    </row>
    <row r="959" spans="3:5" x14ac:dyDescent="0.25">
      <c r="C959" s="248">
        <v>44139</v>
      </c>
      <c r="D959" t="s">
        <v>304</v>
      </c>
      <c r="E959">
        <v>182</v>
      </c>
    </row>
    <row r="960" spans="3:5" x14ac:dyDescent="0.25">
      <c r="C960" s="248">
        <v>44137</v>
      </c>
      <c r="D960" t="s">
        <v>311</v>
      </c>
      <c r="E960">
        <v>65</v>
      </c>
    </row>
    <row r="961" spans="3:5" x14ac:dyDescent="0.25">
      <c r="C961" s="248">
        <v>44139</v>
      </c>
      <c r="D961" t="s">
        <v>310</v>
      </c>
      <c r="E961">
        <v>118</v>
      </c>
    </row>
    <row r="962" spans="3:5" x14ac:dyDescent="0.25">
      <c r="C962" s="248">
        <v>44125</v>
      </c>
      <c r="D962" t="s">
        <v>310</v>
      </c>
      <c r="E962">
        <v>174</v>
      </c>
    </row>
    <row r="963" spans="3:5" x14ac:dyDescent="0.25">
      <c r="C963" s="248">
        <v>44160</v>
      </c>
      <c r="D963" t="s">
        <v>310</v>
      </c>
      <c r="E963">
        <v>96</v>
      </c>
    </row>
    <row r="964" spans="3:5" x14ac:dyDescent="0.25">
      <c r="C964" s="248">
        <v>44144</v>
      </c>
      <c r="D964" t="s">
        <v>308</v>
      </c>
      <c r="E964">
        <v>43</v>
      </c>
    </row>
    <row r="965" spans="3:5" x14ac:dyDescent="0.25">
      <c r="C965" s="248">
        <v>44186</v>
      </c>
      <c r="D965" t="s">
        <v>308</v>
      </c>
      <c r="E965">
        <v>55</v>
      </c>
    </row>
    <row r="966" spans="3:5" x14ac:dyDescent="0.25">
      <c r="C966" s="248">
        <v>44146</v>
      </c>
      <c r="D966" t="s">
        <v>312</v>
      </c>
      <c r="E966">
        <v>28</v>
      </c>
    </row>
    <row r="967" spans="3:5" x14ac:dyDescent="0.25">
      <c r="C967" s="248">
        <v>44220</v>
      </c>
      <c r="D967" t="s">
        <v>305</v>
      </c>
      <c r="E967">
        <v>121</v>
      </c>
    </row>
    <row r="968" spans="3:5" x14ac:dyDescent="0.25">
      <c r="C968" s="248">
        <v>44139</v>
      </c>
      <c r="D968" t="s">
        <v>311</v>
      </c>
      <c r="E968">
        <v>60</v>
      </c>
    </row>
    <row r="969" spans="3:5" x14ac:dyDescent="0.25">
      <c r="C969" s="248">
        <v>44139</v>
      </c>
      <c r="D969" t="s">
        <v>308</v>
      </c>
      <c r="E969">
        <v>34</v>
      </c>
    </row>
    <row r="970" spans="3:5" x14ac:dyDescent="0.25">
      <c r="C970" s="248">
        <v>44143</v>
      </c>
      <c r="D970" t="s">
        <v>307</v>
      </c>
      <c r="E970">
        <v>99</v>
      </c>
    </row>
    <row r="971" spans="3:5" x14ac:dyDescent="0.25">
      <c r="C971" s="248">
        <v>44140</v>
      </c>
      <c r="D971" t="s">
        <v>308</v>
      </c>
      <c r="E971">
        <v>39</v>
      </c>
    </row>
    <row r="972" spans="3:5" x14ac:dyDescent="0.25">
      <c r="C972" s="248">
        <v>44176</v>
      </c>
      <c r="D972" t="s">
        <v>310</v>
      </c>
      <c r="E972">
        <v>88</v>
      </c>
    </row>
    <row r="973" spans="3:5" x14ac:dyDescent="0.25">
      <c r="C973" s="248">
        <v>44146</v>
      </c>
      <c r="D973" t="s">
        <v>308</v>
      </c>
      <c r="E973">
        <v>38</v>
      </c>
    </row>
    <row r="974" spans="3:5" x14ac:dyDescent="0.25">
      <c r="C974" s="248">
        <v>44140</v>
      </c>
      <c r="D974" t="s">
        <v>307</v>
      </c>
      <c r="E974">
        <v>181</v>
      </c>
    </row>
    <row r="975" spans="3:5" x14ac:dyDescent="0.25">
      <c r="C975" s="248">
        <v>44179</v>
      </c>
      <c r="D975" t="s">
        <v>311</v>
      </c>
      <c r="E975">
        <v>57</v>
      </c>
    </row>
    <row r="976" spans="3:5" x14ac:dyDescent="0.25">
      <c r="C976" s="248">
        <v>44140</v>
      </c>
      <c r="D976" t="s">
        <v>311</v>
      </c>
      <c r="E976">
        <v>76</v>
      </c>
    </row>
    <row r="977" spans="3:5" x14ac:dyDescent="0.25">
      <c r="C977" s="248">
        <v>44225</v>
      </c>
      <c r="D977" t="s">
        <v>310</v>
      </c>
      <c r="E977">
        <v>231</v>
      </c>
    </row>
    <row r="978" spans="3:5" x14ac:dyDescent="0.25">
      <c r="C978" s="248">
        <v>44178</v>
      </c>
      <c r="D978" t="s">
        <v>312</v>
      </c>
      <c r="E978">
        <v>12</v>
      </c>
    </row>
    <row r="979" spans="3:5" x14ac:dyDescent="0.25">
      <c r="C979" s="248">
        <v>44173</v>
      </c>
      <c r="D979" t="s">
        <v>311</v>
      </c>
      <c r="E979">
        <v>39</v>
      </c>
    </row>
    <row r="980" spans="3:5" x14ac:dyDescent="0.25">
      <c r="C980" s="248">
        <v>44174</v>
      </c>
      <c r="D980" t="s">
        <v>312</v>
      </c>
      <c r="E980">
        <v>20</v>
      </c>
    </row>
    <row r="981" spans="3:5" x14ac:dyDescent="0.25">
      <c r="C981" s="248">
        <v>44174</v>
      </c>
      <c r="D981" t="s">
        <v>309</v>
      </c>
      <c r="E981">
        <v>20</v>
      </c>
    </row>
    <row r="982" spans="3:5" x14ac:dyDescent="0.25">
      <c r="C982" s="248">
        <v>44164</v>
      </c>
      <c r="D982" t="s">
        <v>311</v>
      </c>
      <c r="E982">
        <v>34</v>
      </c>
    </row>
    <row r="983" spans="3:5" x14ac:dyDescent="0.25">
      <c r="C983" s="248">
        <v>44174</v>
      </c>
      <c r="D983" t="s">
        <v>306</v>
      </c>
      <c r="E983">
        <v>140</v>
      </c>
    </row>
    <row r="984" spans="3:5" x14ac:dyDescent="0.25">
      <c r="C984" s="248">
        <v>44173</v>
      </c>
      <c r="D984" t="s">
        <v>304</v>
      </c>
      <c r="E984">
        <v>86</v>
      </c>
    </row>
    <row r="985" spans="3:5" x14ac:dyDescent="0.25">
      <c r="C985" s="248">
        <v>44174</v>
      </c>
      <c r="D985" t="s">
        <v>310</v>
      </c>
      <c r="E985">
        <v>99</v>
      </c>
    </row>
    <row r="986" spans="3:5" x14ac:dyDescent="0.25">
      <c r="C986" s="248">
        <v>44175</v>
      </c>
      <c r="D986" t="s">
        <v>310</v>
      </c>
      <c r="E986">
        <v>85</v>
      </c>
    </row>
    <row r="987" spans="3:5" x14ac:dyDescent="0.25">
      <c r="C987" s="248">
        <v>44179</v>
      </c>
      <c r="D987" t="s">
        <v>308</v>
      </c>
      <c r="E987">
        <v>30</v>
      </c>
    </row>
    <row r="988" spans="3:5" x14ac:dyDescent="0.25">
      <c r="C988" s="248">
        <v>44175</v>
      </c>
      <c r="D988" t="s">
        <v>304</v>
      </c>
      <c r="E988">
        <v>156</v>
      </c>
    </row>
    <row r="989" spans="3:5" x14ac:dyDescent="0.25">
      <c r="C989" s="248">
        <v>44176</v>
      </c>
      <c r="D989" t="s">
        <v>311</v>
      </c>
      <c r="E989">
        <v>54</v>
      </c>
    </row>
    <row r="990" spans="3:5" x14ac:dyDescent="0.25">
      <c r="C990" s="248">
        <v>44197</v>
      </c>
      <c r="D990" t="s">
        <v>304</v>
      </c>
      <c r="E990">
        <v>122</v>
      </c>
    </row>
    <row r="991" spans="3:5" x14ac:dyDescent="0.25">
      <c r="C991" s="248">
        <v>44195</v>
      </c>
      <c r="D991" t="s">
        <v>308</v>
      </c>
      <c r="E991">
        <v>102</v>
      </c>
    </row>
    <row r="992" spans="3:5" x14ac:dyDescent="0.25">
      <c r="C992" s="248">
        <v>44195</v>
      </c>
      <c r="D992" t="s">
        <v>307</v>
      </c>
      <c r="E992">
        <v>395</v>
      </c>
    </row>
    <row r="993" spans="3:5" x14ac:dyDescent="0.25">
      <c r="C993" s="248">
        <v>44295</v>
      </c>
      <c r="D993" t="s">
        <v>309</v>
      </c>
      <c r="E993">
        <v>95</v>
      </c>
    </row>
    <row r="994" spans="3:5" x14ac:dyDescent="0.25">
      <c r="C994" s="248">
        <v>44206</v>
      </c>
      <c r="D994" t="s">
        <v>311</v>
      </c>
      <c r="E994">
        <v>98</v>
      </c>
    </row>
    <row r="995" spans="3:5" x14ac:dyDescent="0.25">
      <c r="C995" s="248">
        <v>44211</v>
      </c>
      <c r="D995" t="s">
        <v>311</v>
      </c>
      <c r="E995">
        <v>149</v>
      </c>
    </row>
    <row r="996" spans="3:5" x14ac:dyDescent="0.25">
      <c r="C996" s="248">
        <v>44207</v>
      </c>
      <c r="D996" t="s">
        <v>308</v>
      </c>
      <c r="E996">
        <v>95</v>
      </c>
    </row>
    <row r="997" spans="3:5" x14ac:dyDescent="0.25">
      <c r="C997" s="248">
        <v>44221</v>
      </c>
      <c r="D997" t="s">
        <v>312</v>
      </c>
      <c r="E997">
        <v>44</v>
      </c>
    </row>
    <row r="998" spans="3:5" x14ac:dyDescent="0.25">
      <c r="C998" s="248">
        <v>44206</v>
      </c>
      <c r="D998" t="s">
        <v>308</v>
      </c>
      <c r="E998">
        <v>47</v>
      </c>
    </row>
    <row r="999" spans="3:5" x14ac:dyDescent="0.25">
      <c r="C999" s="248">
        <v>44205</v>
      </c>
      <c r="D999" t="s">
        <v>306</v>
      </c>
      <c r="E999">
        <v>405</v>
      </c>
    </row>
    <row r="1000" spans="3:5" x14ac:dyDescent="0.25">
      <c r="C1000" s="248">
        <v>44205</v>
      </c>
      <c r="D1000" t="s">
        <v>307</v>
      </c>
      <c r="E1000">
        <v>354</v>
      </c>
    </row>
    <row r="1001" spans="3:5" x14ac:dyDescent="0.25">
      <c r="C1001" s="248">
        <v>44206</v>
      </c>
      <c r="D1001" t="s">
        <v>310</v>
      </c>
      <c r="E1001">
        <v>169</v>
      </c>
    </row>
    <row r="1002" spans="3:5" x14ac:dyDescent="0.25">
      <c r="C1002" s="248">
        <v>44276</v>
      </c>
      <c r="D1002" t="s">
        <v>312</v>
      </c>
      <c r="E1002">
        <v>23</v>
      </c>
    </row>
    <row r="1003" spans="3:5" x14ac:dyDescent="0.25">
      <c r="C1003" s="248">
        <v>44216</v>
      </c>
      <c r="D1003" t="s">
        <v>310</v>
      </c>
      <c r="E1003">
        <v>250</v>
      </c>
    </row>
    <row r="1004" spans="3:5" x14ac:dyDescent="0.25">
      <c r="C1004" s="248">
        <v>44216</v>
      </c>
      <c r="D1004" t="s">
        <v>304</v>
      </c>
      <c r="E1004">
        <v>555</v>
      </c>
    </row>
    <row r="1005" spans="3:5" x14ac:dyDescent="0.25">
      <c r="C1005" s="248">
        <v>44216</v>
      </c>
      <c r="D1005" t="s">
        <v>307</v>
      </c>
      <c r="E1005">
        <v>353</v>
      </c>
    </row>
    <row r="1006" spans="3:5" x14ac:dyDescent="0.25">
      <c r="C1006" s="248">
        <v>44216</v>
      </c>
      <c r="D1006" t="s">
        <v>309</v>
      </c>
      <c r="E1006">
        <v>16</v>
      </c>
    </row>
    <row r="1007" spans="3:5" x14ac:dyDescent="0.25">
      <c r="C1007" s="248">
        <v>44216</v>
      </c>
      <c r="D1007" t="s">
        <v>311</v>
      </c>
      <c r="E1007">
        <v>133</v>
      </c>
    </row>
    <row r="1008" spans="3:5" x14ac:dyDescent="0.25">
      <c r="C1008" s="248">
        <v>44285</v>
      </c>
      <c r="D1008" t="s">
        <v>309</v>
      </c>
      <c r="E1008">
        <v>61</v>
      </c>
    </row>
    <row r="1009" spans="3:5" x14ac:dyDescent="0.25">
      <c r="C1009" s="248">
        <v>44296</v>
      </c>
      <c r="D1009" t="s">
        <v>307</v>
      </c>
      <c r="E1009">
        <v>406</v>
      </c>
    </row>
    <row r="1010" spans="3:5" x14ac:dyDescent="0.25">
      <c r="C1010" s="248">
        <v>44226</v>
      </c>
      <c r="D1010" t="s">
        <v>311</v>
      </c>
      <c r="E1010">
        <v>100</v>
      </c>
    </row>
    <row r="1011" spans="3:5" x14ac:dyDescent="0.25">
      <c r="C1011" s="248">
        <v>44225</v>
      </c>
      <c r="D1011" t="s">
        <v>308</v>
      </c>
      <c r="E1011">
        <v>64</v>
      </c>
    </row>
    <row r="1012" spans="3:5" x14ac:dyDescent="0.25">
      <c r="C1012" s="248">
        <v>44225</v>
      </c>
      <c r="D1012" t="s">
        <v>305</v>
      </c>
      <c r="E1012">
        <v>235</v>
      </c>
    </row>
    <row r="1013" spans="3:5" x14ac:dyDescent="0.25">
      <c r="C1013" s="248">
        <v>44206</v>
      </c>
      <c r="D1013" t="s">
        <v>307</v>
      </c>
      <c r="E1013">
        <v>217</v>
      </c>
    </row>
    <row r="1014" spans="3:5" x14ac:dyDescent="0.25">
      <c r="C1014" s="248">
        <v>44227</v>
      </c>
      <c r="D1014" t="s">
        <v>308</v>
      </c>
      <c r="E1014">
        <v>49</v>
      </c>
    </row>
    <row r="1015" spans="3:5" x14ac:dyDescent="0.25">
      <c r="C1015" s="248">
        <v>44232</v>
      </c>
      <c r="D1015" t="s">
        <v>312</v>
      </c>
      <c r="E1015">
        <v>29</v>
      </c>
    </row>
    <row r="1016" spans="3:5" x14ac:dyDescent="0.25">
      <c r="C1016" s="248">
        <v>44232</v>
      </c>
      <c r="D1016" t="s">
        <v>305</v>
      </c>
      <c r="E1016">
        <v>149</v>
      </c>
    </row>
    <row r="1017" spans="3:5" x14ac:dyDescent="0.25">
      <c r="C1017" s="248">
        <v>44232</v>
      </c>
      <c r="D1017" t="s">
        <v>310</v>
      </c>
      <c r="E1017">
        <v>182</v>
      </c>
    </row>
    <row r="1018" spans="3:5" x14ac:dyDescent="0.25">
      <c r="C1018" s="248">
        <v>44232</v>
      </c>
      <c r="D1018" t="s">
        <v>311</v>
      </c>
      <c r="E1018">
        <v>118</v>
      </c>
    </row>
    <row r="1019" spans="3:5" x14ac:dyDescent="0.25">
      <c r="C1019" s="248">
        <v>44238</v>
      </c>
      <c r="D1019" t="s">
        <v>307</v>
      </c>
      <c r="E1019">
        <v>229</v>
      </c>
    </row>
    <row r="1020" spans="3:5" x14ac:dyDescent="0.25">
      <c r="C1020" s="248">
        <v>44239</v>
      </c>
      <c r="D1020" t="s">
        <v>311</v>
      </c>
      <c r="E1020">
        <v>99</v>
      </c>
    </row>
    <row r="1021" spans="3:5" x14ac:dyDescent="0.25">
      <c r="C1021" s="248">
        <v>44239</v>
      </c>
      <c r="D1021" t="s">
        <v>307</v>
      </c>
      <c r="E1021">
        <v>239</v>
      </c>
    </row>
    <row r="1022" spans="3:5" x14ac:dyDescent="0.25">
      <c r="C1022" s="248">
        <v>44240</v>
      </c>
      <c r="D1022" t="s">
        <v>308</v>
      </c>
      <c r="E1022">
        <v>57</v>
      </c>
    </row>
    <row r="1023" spans="3:5" x14ac:dyDescent="0.25">
      <c r="C1023" s="248">
        <v>44239</v>
      </c>
      <c r="D1023" t="s">
        <v>310</v>
      </c>
      <c r="E1023">
        <v>171</v>
      </c>
    </row>
    <row r="1024" spans="3:5" x14ac:dyDescent="0.25">
      <c r="C1024" s="248">
        <v>44239</v>
      </c>
      <c r="D1024" t="s">
        <v>304</v>
      </c>
      <c r="E1024">
        <v>251</v>
      </c>
    </row>
    <row r="1025" spans="3:5" x14ac:dyDescent="0.25">
      <c r="C1025" s="248">
        <v>44287</v>
      </c>
      <c r="D1025" t="s">
        <v>311</v>
      </c>
      <c r="E1025">
        <v>272</v>
      </c>
    </row>
    <row r="1026" spans="3:5" x14ac:dyDescent="0.25">
      <c r="C1026" s="248">
        <v>44228</v>
      </c>
      <c r="D1026" t="s">
        <v>307</v>
      </c>
      <c r="E1026">
        <v>335</v>
      </c>
    </row>
    <row r="1027" spans="3:5" x14ac:dyDescent="0.25">
      <c r="C1027" s="248">
        <v>44233</v>
      </c>
      <c r="D1027" t="s">
        <v>312</v>
      </c>
      <c r="E1027">
        <v>27</v>
      </c>
    </row>
    <row r="1028" spans="3:5" x14ac:dyDescent="0.25">
      <c r="C1028" s="248">
        <v>44243</v>
      </c>
      <c r="D1028" t="s">
        <v>308</v>
      </c>
      <c r="E1028">
        <v>54</v>
      </c>
    </row>
    <row r="1029" spans="3:5" x14ac:dyDescent="0.25">
      <c r="C1029" s="248">
        <v>44279</v>
      </c>
      <c r="D1029" t="s">
        <v>308</v>
      </c>
      <c r="E1029">
        <v>76</v>
      </c>
    </row>
    <row r="1030" spans="3:5" x14ac:dyDescent="0.25">
      <c r="C1030" s="248">
        <v>44279</v>
      </c>
      <c r="D1030" t="s">
        <v>309</v>
      </c>
      <c r="E1030">
        <v>48</v>
      </c>
    </row>
    <row r="1031" spans="3:5" x14ac:dyDescent="0.25">
      <c r="C1031" s="248">
        <v>44296</v>
      </c>
      <c r="D1031" t="s">
        <v>306</v>
      </c>
      <c r="E1031">
        <v>493</v>
      </c>
    </row>
    <row r="1032" spans="3:5" x14ac:dyDescent="0.25">
      <c r="C1032" s="248">
        <v>44103</v>
      </c>
      <c r="D1032" t="s">
        <v>307</v>
      </c>
      <c r="E1032">
        <v>398</v>
      </c>
    </row>
    <row r="1033" spans="3:5" x14ac:dyDescent="0.25">
      <c r="C1033" s="248">
        <v>44118</v>
      </c>
      <c r="D1033" t="s">
        <v>311</v>
      </c>
      <c r="E1033">
        <v>117</v>
      </c>
    </row>
    <row r="1034" spans="3:5" x14ac:dyDescent="0.25">
      <c r="C1034" s="248">
        <v>44102</v>
      </c>
      <c r="D1034" t="s">
        <v>308</v>
      </c>
      <c r="E1034">
        <v>77</v>
      </c>
    </row>
    <row r="1035" spans="3:5" x14ac:dyDescent="0.25">
      <c r="C1035" s="248">
        <v>44284</v>
      </c>
      <c r="D1035" t="s">
        <v>308</v>
      </c>
      <c r="E1035">
        <v>114</v>
      </c>
    </row>
    <row r="1036" spans="3:5" x14ac:dyDescent="0.25">
      <c r="C1036" s="248">
        <v>44112</v>
      </c>
      <c r="D1036" t="s">
        <v>307</v>
      </c>
      <c r="E1036">
        <v>309</v>
      </c>
    </row>
    <row r="1037" spans="3:5" x14ac:dyDescent="0.25">
      <c r="C1037" s="248">
        <v>44118</v>
      </c>
      <c r="D1037" t="s">
        <v>310</v>
      </c>
      <c r="E1037">
        <v>252</v>
      </c>
    </row>
    <row r="1038" spans="3:5" x14ac:dyDescent="0.25">
      <c r="C1038" s="248">
        <v>44114</v>
      </c>
      <c r="D1038" t="s">
        <v>304</v>
      </c>
      <c r="E1038">
        <v>253</v>
      </c>
    </row>
    <row r="1039" spans="3:5" x14ac:dyDescent="0.25">
      <c r="C1039" s="248">
        <v>44114</v>
      </c>
      <c r="D1039" t="s">
        <v>310</v>
      </c>
      <c r="E1039">
        <v>191</v>
      </c>
    </row>
    <row r="1040" spans="3:5" x14ac:dyDescent="0.25">
      <c r="C1040" s="248">
        <v>44114</v>
      </c>
      <c r="D1040" t="s">
        <v>307</v>
      </c>
      <c r="E1040">
        <v>253</v>
      </c>
    </row>
    <row r="1041" spans="3:5" x14ac:dyDescent="0.25">
      <c r="C1041" s="248">
        <v>44114</v>
      </c>
      <c r="D1041" t="s">
        <v>311</v>
      </c>
      <c r="E1041">
        <v>110</v>
      </c>
    </row>
    <row r="1042" spans="3:5" x14ac:dyDescent="0.25">
      <c r="C1042" s="248">
        <v>44114</v>
      </c>
      <c r="D1042" t="s">
        <v>306</v>
      </c>
      <c r="E1042">
        <v>315</v>
      </c>
    </row>
    <row r="1043" spans="3:5" x14ac:dyDescent="0.25">
      <c r="C1043" s="248">
        <v>44109</v>
      </c>
      <c r="D1043" t="s">
        <v>308</v>
      </c>
      <c r="E1043">
        <v>75</v>
      </c>
    </row>
    <row r="1044" spans="3:5" x14ac:dyDescent="0.25">
      <c r="C1044" s="248">
        <v>43917</v>
      </c>
      <c r="D1044" t="s">
        <v>306</v>
      </c>
      <c r="E1044">
        <v>6</v>
      </c>
    </row>
    <row r="1045" spans="3:5" x14ac:dyDescent="0.25">
      <c r="C1045" s="248">
        <v>44136</v>
      </c>
      <c r="D1045" t="s">
        <v>304</v>
      </c>
      <c r="E1045">
        <v>123</v>
      </c>
    </row>
    <row r="1046" spans="3:5" x14ac:dyDescent="0.25">
      <c r="C1046" s="248">
        <v>44138</v>
      </c>
      <c r="D1046" t="s">
        <v>311</v>
      </c>
      <c r="E1046">
        <v>60</v>
      </c>
    </row>
    <row r="1047" spans="3:5" x14ac:dyDescent="0.25">
      <c r="C1047" s="248">
        <v>44227</v>
      </c>
      <c r="D1047" t="s">
        <v>304</v>
      </c>
      <c r="E1047">
        <v>306</v>
      </c>
    </row>
    <row r="1048" spans="3:5" x14ac:dyDescent="0.25">
      <c r="C1048" s="248">
        <v>44138</v>
      </c>
      <c r="D1048" t="s">
        <v>307</v>
      </c>
      <c r="E1048">
        <v>136</v>
      </c>
    </row>
    <row r="1049" spans="3:5" x14ac:dyDescent="0.25">
      <c r="C1049" s="248">
        <v>44138</v>
      </c>
      <c r="D1049" t="s">
        <v>312</v>
      </c>
      <c r="E1049">
        <v>20</v>
      </c>
    </row>
    <row r="1050" spans="3:5" x14ac:dyDescent="0.25">
      <c r="C1050" s="248">
        <v>44136</v>
      </c>
      <c r="D1050" t="s">
        <v>306</v>
      </c>
      <c r="E1050">
        <v>115</v>
      </c>
    </row>
    <row r="1051" spans="3:5" x14ac:dyDescent="0.25">
      <c r="C1051" s="248">
        <v>44160</v>
      </c>
      <c r="D1051" t="s">
        <v>311</v>
      </c>
      <c r="E1051">
        <v>61</v>
      </c>
    </row>
    <row r="1052" spans="3:5" x14ac:dyDescent="0.25">
      <c r="C1052" s="248">
        <v>44281</v>
      </c>
      <c r="D1052" t="s">
        <v>312</v>
      </c>
      <c r="E1052">
        <v>49</v>
      </c>
    </row>
    <row r="1053" spans="3:5" x14ac:dyDescent="0.25">
      <c r="C1053" s="248">
        <v>44206</v>
      </c>
      <c r="D1053" t="s">
        <v>304</v>
      </c>
      <c r="E1053">
        <v>355</v>
      </c>
    </row>
    <row r="1054" spans="3:5" x14ac:dyDescent="0.25">
      <c r="C1054" s="248">
        <v>44172</v>
      </c>
      <c r="D1054" t="s">
        <v>308</v>
      </c>
      <c r="E1054">
        <v>19</v>
      </c>
    </row>
    <row r="1055" spans="3:5" x14ac:dyDescent="0.25">
      <c r="C1055" s="248">
        <v>44172</v>
      </c>
      <c r="D1055" t="s">
        <v>312</v>
      </c>
      <c r="E1055">
        <v>11</v>
      </c>
    </row>
    <row r="1056" spans="3:5" x14ac:dyDescent="0.25">
      <c r="C1056" s="248">
        <v>44184</v>
      </c>
      <c r="D1056" t="s">
        <v>311</v>
      </c>
      <c r="E1056">
        <v>68</v>
      </c>
    </row>
    <row r="1057" spans="3:5" x14ac:dyDescent="0.25">
      <c r="C1057" s="248">
        <v>44172</v>
      </c>
      <c r="D1057" t="s">
        <v>311</v>
      </c>
      <c r="E1057">
        <v>47</v>
      </c>
    </row>
    <row r="1058" spans="3:5" x14ac:dyDescent="0.25">
      <c r="C1058" s="248">
        <v>44169</v>
      </c>
      <c r="D1058" t="s">
        <v>310</v>
      </c>
      <c r="E1058">
        <v>76</v>
      </c>
    </row>
    <row r="1059" spans="3:5" x14ac:dyDescent="0.25">
      <c r="C1059" s="248">
        <v>44196</v>
      </c>
      <c r="D1059" t="s">
        <v>308</v>
      </c>
      <c r="E1059">
        <v>50</v>
      </c>
    </row>
    <row r="1060" spans="3:5" x14ac:dyDescent="0.25">
      <c r="C1060" s="248">
        <v>44195</v>
      </c>
      <c r="D1060" t="s">
        <v>312</v>
      </c>
      <c r="E1060">
        <v>49</v>
      </c>
    </row>
    <row r="1061" spans="3:5" x14ac:dyDescent="0.25">
      <c r="C1061" s="248">
        <v>44163</v>
      </c>
      <c r="D1061" t="s">
        <v>310</v>
      </c>
      <c r="E1061">
        <v>63</v>
      </c>
    </row>
    <row r="1062" spans="3:5" x14ac:dyDescent="0.25">
      <c r="C1062" s="248">
        <v>44287</v>
      </c>
      <c r="D1062" t="s">
        <v>308</v>
      </c>
      <c r="E1062">
        <v>119</v>
      </c>
    </row>
    <row r="1063" spans="3:5" x14ac:dyDescent="0.25">
      <c r="C1063" s="248">
        <v>44218</v>
      </c>
      <c r="D1063" t="s">
        <v>310</v>
      </c>
      <c r="E1063">
        <v>223</v>
      </c>
    </row>
    <row r="1064" spans="3:5" x14ac:dyDescent="0.25">
      <c r="C1064" s="248">
        <v>44205</v>
      </c>
      <c r="D1064" t="s">
        <v>312</v>
      </c>
      <c r="E1064">
        <v>29</v>
      </c>
    </row>
    <row r="1065" spans="3:5" x14ac:dyDescent="0.25">
      <c r="C1065" s="248">
        <v>44209</v>
      </c>
      <c r="D1065" t="s">
        <v>304</v>
      </c>
      <c r="E1065">
        <v>605</v>
      </c>
    </row>
    <row r="1066" spans="3:5" x14ac:dyDescent="0.25">
      <c r="C1066" s="248">
        <v>44207</v>
      </c>
      <c r="D1066" t="s">
        <v>305</v>
      </c>
      <c r="E1066">
        <v>137</v>
      </c>
    </row>
    <row r="1067" spans="3:5" x14ac:dyDescent="0.25">
      <c r="C1067" s="248">
        <v>44208</v>
      </c>
      <c r="D1067" t="s">
        <v>308</v>
      </c>
      <c r="E1067">
        <v>93</v>
      </c>
    </row>
    <row r="1068" spans="3:5" x14ac:dyDescent="0.25">
      <c r="C1068" s="248">
        <v>44218</v>
      </c>
      <c r="D1068" t="s">
        <v>304</v>
      </c>
      <c r="E1068">
        <v>494</v>
      </c>
    </row>
    <row r="1069" spans="3:5" x14ac:dyDescent="0.25">
      <c r="C1069" s="248">
        <v>44224</v>
      </c>
      <c r="D1069" t="s">
        <v>306</v>
      </c>
      <c r="E1069">
        <v>321</v>
      </c>
    </row>
    <row r="1070" spans="3:5" x14ac:dyDescent="0.25">
      <c r="C1070" s="248">
        <v>44230</v>
      </c>
      <c r="D1070" t="s">
        <v>309</v>
      </c>
      <c r="E1070">
        <v>31</v>
      </c>
    </row>
    <row r="1071" spans="3:5" x14ac:dyDescent="0.25">
      <c r="C1071" s="248">
        <v>44232</v>
      </c>
      <c r="D1071" t="s">
        <v>307</v>
      </c>
      <c r="E1071">
        <v>239</v>
      </c>
    </row>
    <row r="1072" spans="3:5" x14ac:dyDescent="0.25">
      <c r="C1072" s="248">
        <v>44232</v>
      </c>
      <c r="D1072" t="s">
        <v>304</v>
      </c>
      <c r="E1072">
        <v>311</v>
      </c>
    </row>
    <row r="1073" spans="3:5" x14ac:dyDescent="0.25">
      <c r="C1073" s="248">
        <v>44229</v>
      </c>
      <c r="D1073" t="s">
        <v>305</v>
      </c>
      <c r="E1073">
        <v>211</v>
      </c>
    </row>
    <row r="1074" spans="3:5" x14ac:dyDescent="0.25">
      <c r="C1074" s="248">
        <v>44249</v>
      </c>
      <c r="D1074" t="s">
        <v>308</v>
      </c>
      <c r="E1074">
        <v>43</v>
      </c>
    </row>
    <row r="1075" spans="3:5" x14ac:dyDescent="0.25">
      <c r="C1075" s="248">
        <v>44290</v>
      </c>
      <c r="D1075" t="s">
        <v>308</v>
      </c>
      <c r="E1075">
        <v>107</v>
      </c>
    </row>
    <row r="1076" spans="3:5" x14ac:dyDescent="0.25">
      <c r="C1076" s="248">
        <v>44240</v>
      </c>
      <c r="D1076" t="s">
        <v>306</v>
      </c>
      <c r="E1076">
        <v>194</v>
      </c>
    </row>
    <row r="1077" spans="3:5" x14ac:dyDescent="0.25">
      <c r="C1077" s="248">
        <v>44243</v>
      </c>
      <c r="D1077" t="s">
        <v>305</v>
      </c>
      <c r="E1077">
        <v>93</v>
      </c>
    </row>
    <row r="1078" spans="3:5" x14ac:dyDescent="0.25">
      <c r="C1078" s="248">
        <v>44240</v>
      </c>
      <c r="D1078" t="s">
        <v>311</v>
      </c>
      <c r="E1078">
        <v>87</v>
      </c>
    </row>
    <row r="1079" spans="3:5" x14ac:dyDescent="0.25">
      <c r="C1079" s="248">
        <v>44239</v>
      </c>
      <c r="D1079" t="s">
        <v>305</v>
      </c>
      <c r="E1079">
        <v>92</v>
      </c>
    </row>
    <row r="1080" spans="3:5" x14ac:dyDescent="0.25">
      <c r="C1080" s="248">
        <v>44239</v>
      </c>
      <c r="D1080" t="s">
        <v>306</v>
      </c>
      <c r="E1080">
        <v>284</v>
      </c>
    </row>
    <row r="1081" spans="3:5" x14ac:dyDescent="0.25">
      <c r="C1081" s="248">
        <v>44090</v>
      </c>
      <c r="D1081" t="s">
        <v>306</v>
      </c>
      <c r="E1081">
        <v>494</v>
      </c>
    </row>
    <row r="1082" spans="3:5" x14ac:dyDescent="0.25">
      <c r="C1082" s="248">
        <v>44070</v>
      </c>
      <c r="D1082" t="s">
        <v>308</v>
      </c>
      <c r="E1082">
        <v>103</v>
      </c>
    </row>
    <row r="1083" spans="3:5" x14ac:dyDescent="0.25">
      <c r="C1083" s="248">
        <v>44088</v>
      </c>
      <c r="D1083" t="s">
        <v>304</v>
      </c>
      <c r="E1083">
        <v>390</v>
      </c>
    </row>
    <row r="1084" spans="3:5" x14ac:dyDescent="0.25">
      <c r="C1084" s="248">
        <v>44088</v>
      </c>
      <c r="D1084" t="s">
        <v>311</v>
      </c>
      <c r="E1084">
        <v>170</v>
      </c>
    </row>
    <row r="1085" spans="3:5" x14ac:dyDescent="0.25">
      <c r="C1085" s="248">
        <v>44088</v>
      </c>
      <c r="D1085" t="s">
        <v>310</v>
      </c>
      <c r="E1085">
        <v>283</v>
      </c>
    </row>
    <row r="1086" spans="3:5" x14ac:dyDescent="0.25">
      <c r="C1086" s="248">
        <v>44089</v>
      </c>
      <c r="D1086" t="s">
        <v>312</v>
      </c>
      <c r="E1086">
        <v>75</v>
      </c>
    </row>
    <row r="1087" spans="3:5" x14ac:dyDescent="0.25">
      <c r="C1087" s="248">
        <v>44089</v>
      </c>
      <c r="D1087" t="s">
        <v>311</v>
      </c>
      <c r="E1087">
        <v>158</v>
      </c>
    </row>
    <row r="1088" spans="3:5" x14ac:dyDescent="0.25">
      <c r="C1088" s="248">
        <v>44089</v>
      </c>
      <c r="D1088" t="s">
        <v>308</v>
      </c>
      <c r="E1088">
        <v>79</v>
      </c>
    </row>
    <row r="1089" spans="3:5" x14ac:dyDescent="0.25">
      <c r="C1089" s="248">
        <v>44089</v>
      </c>
      <c r="D1089" t="s">
        <v>307</v>
      </c>
      <c r="E1089">
        <v>418</v>
      </c>
    </row>
    <row r="1090" spans="3:5" x14ac:dyDescent="0.25">
      <c r="C1090" s="248">
        <v>44089</v>
      </c>
      <c r="D1090" t="s">
        <v>310</v>
      </c>
      <c r="E1090">
        <v>303</v>
      </c>
    </row>
    <row r="1091" spans="3:5" x14ac:dyDescent="0.25">
      <c r="C1091" s="248">
        <v>44186</v>
      </c>
      <c r="D1091" t="s">
        <v>310</v>
      </c>
      <c r="E1091">
        <v>170</v>
      </c>
    </row>
    <row r="1092" spans="3:5" x14ac:dyDescent="0.25">
      <c r="C1092" s="248">
        <v>44102</v>
      </c>
      <c r="D1092" t="s">
        <v>304</v>
      </c>
      <c r="E1092">
        <v>361</v>
      </c>
    </row>
    <row r="1093" spans="3:5" x14ac:dyDescent="0.25">
      <c r="C1093" s="248">
        <v>44102</v>
      </c>
      <c r="D1093" t="s">
        <v>310</v>
      </c>
      <c r="E1093">
        <v>262</v>
      </c>
    </row>
    <row r="1094" spans="3:5" x14ac:dyDescent="0.25">
      <c r="C1094" s="248">
        <v>44103</v>
      </c>
      <c r="D1094" t="s">
        <v>308</v>
      </c>
      <c r="E1094">
        <v>97</v>
      </c>
    </row>
    <row r="1095" spans="3:5" x14ac:dyDescent="0.25">
      <c r="C1095" s="248">
        <v>44117</v>
      </c>
      <c r="D1095" t="s">
        <v>308</v>
      </c>
      <c r="E1095">
        <v>57</v>
      </c>
    </row>
    <row r="1096" spans="3:5" x14ac:dyDescent="0.25">
      <c r="C1096" s="248">
        <v>44102</v>
      </c>
      <c r="D1096" t="s">
        <v>311</v>
      </c>
      <c r="E1096">
        <v>162</v>
      </c>
    </row>
    <row r="1097" spans="3:5" x14ac:dyDescent="0.25">
      <c r="C1097" s="248">
        <v>44090</v>
      </c>
      <c r="D1097" t="s">
        <v>311</v>
      </c>
      <c r="E1097">
        <v>144</v>
      </c>
    </row>
    <row r="1098" spans="3:5" x14ac:dyDescent="0.25">
      <c r="C1098" s="248">
        <v>44103</v>
      </c>
      <c r="D1098" t="s">
        <v>311</v>
      </c>
      <c r="E1098">
        <v>152</v>
      </c>
    </row>
    <row r="1099" spans="3:5" x14ac:dyDescent="0.25">
      <c r="C1099" s="248">
        <v>44103</v>
      </c>
      <c r="D1099" t="s">
        <v>306</v>
      </c>
      <c r="E1099">
        <v>463</v>
      </c>
    </row>
    <row r="1100" spans="3:5" x14ac:dyDescent="0.25">
      <c r="C1100" s="248">
        <v>44091</v>
      </c>
      <c r="D1100" t="s">
        <v>306</v>
      </c>
      <c r="E1100">
        <v>445</v>
      </c>
    </row>
    <row r="1101" spans="3:5" x14ac:dyDescent="0.25">
      <c r="C1101" s="248">
        <v>44180</v>
      </c>
      <c r="D1101" t="s">
        <v>311</v>
      </c>
      <c r="E1101">
        <v>61</v>
      </c>
    </row>
    <row r="1102" spans="3:5" x14ac:dyDescent="0.25">
      <c r="C1102" s="248">
        <v>44180</v>
      </c>
      <c r="D1102" t="s">
        <v>307</v>
      </c>
      <c r="E1102">
        <v>155</v>
      </c>
    </row>
    <row r="1103" spans="3:5" x14ac:dyDescent="0.25">
      <c r="C1103" s="248">
        <v>44180</v>
      </c>
      <c r="D1103" t="s">
        <v>305</v>
      </c>
      <c r="E1103">
        <v>56</v>
      </c>
    </row>
    <row r="1104" spans="3:5" x14ac:dyDescent="0.25">
      <c r="C1104" s="248">
        <v>44117</v>
      </c>
      <c r="D1104" t="s">
        <v>310</v>
      </c>
      <c r="E1104">
        <v>229</v>
      </c>
    </row>
    <row r="1105" spans="3:5" x14ac:dyDescent="0.25">
      <c r="C1105" s="248">
        <v>44118</v>
      </c>
      <c r="D1105" t="s">
        <v>312</v>
      </c>
      <c r="E1105">
        <v>43</v>
      </c>
    </row>
    <row r="1106" spans="3:5" x14ac:dyDescent="0.25">
      <c r="C1106" s="248">
        <v>44118</v>
      </c>
      <c r="D1106" t="s">
        <v>307</v>
      </c>
      <c r="E1106">
        <v>342</v>
      </c>
    </row>
    <row r="1107" spans="3:5" x14ac:dyDescent="0.25">
      <c r="C1107" s="248">
        <v>44106</v>
      </c>
      <c r="D1107" t="s">
        <v>312</v>
      </c>
      <c r="E1107">
        <v>71</v>
      </c>
    </row>
    <row r="1108" spans="3:5" x14ac:dyDescent="0.25">
      <c r="C1108" s="248">
        <v>44118</v>
      </c>
      <c r="D1108" t="s">
        <v>308</v>
      </c>
      <c r="E1108">
        <v>63</v>
      </c>
    </row>
    <row r="1109" spans="3:5" x14ac:dyDescent="0.25">
      <c r="C1109" s="248">
        <v>44151</v>
      </c>
      <c r="D1109" t="s">
        <v>312</v>
      </c>
      <c r="E1109">
        <v>28</v>
      </c>
    </row>
    <row r="1110" spans="3:5" x14ac:dyDescent="0.25">
      <c r="C1110" s="248">
        <v>44142</v>
      </c>
      <c r="D1110" t="s">
        <v>305</v>
      </c>
      <c r="E1110">
        <v>34</v>
      </c>
    </row>
    <row r="1111" spans="3:5" x14ac:dyDescent="0.25">
      <c r="C1111" s="248">
        <v>44199</v>
      </c>
      <c r="D1111" t="s">
        <v>304</v>
      </c>
      <c r="E1111">
        <v>374</v>
      </c>
    </row>
    <row r="1112" spans="3:5" x14ac:dyDescent="0.25">
      <c r="C1112" s="248">
        <v>44218</v>
      </c>
      <c r="D1112" t="s">
        <v>307</v>
      </c>
      <c r="E1112">
        <v>254</v>
      </c>
    </row>
    <row r="1113" spans="3:5" x14ac:dyDescent="0.25">
      <c r="C1113" s="248">
        <v>44144</v>
      </c>
      <c r="D1113" t="s">
        <v>304</v>
      </c>
      <c r="E1113">
        <v>152</v>
      </c>
    </row>
    <row r="1114" spans="3:5" x14ac:dyDescent="0.25">
      <c r="C1114" s="248">
        <v>44140</v>
      </c>
      <c r="D1114" t="s">
        <v>306</v>
      </c>
      <c r="E1114">
        <v>253</v>
      </c>
    </row>
    <row r="1115" spans="3:5" x14ac:dyDescent="0.25">
      <c r="C1115" s="248">
        <v>44143</v>
      </c>
      <c r="D1115" t="s">
        <v>311</v>
      </c>
      <c r="E1115">
        <v>43</v>
      </c>
    </row>
    <row r="1116" spans="3:5" x14ac:dyDescent="0.25">
      <c r="C1116" s="248">
        <v>44152</v>
      </c>
      <c r="D1116" t="s">
        <v>311</v>
      </c>
      <c r="E1116">
        <v>79</v>
      </c>
    </row>
    <row r="1117" spans="3:5" x14ac:dyDescent="0.25">
      <c r="C1117" s="248">
        <v>44145</v>
      </c>
      <c r="D1117" t="s">
        <v>311</v>
      </c>
      <c r="E1117">
        <v>71</v>
      </c>
    </row>
    <row r="1118" spans="3:5" x14ac:dyDescent="0.25">
      <c r="C1118" s="248">
        <v>44133</v>
      </c>
      <c r="D1118" t="s">
        <v>308</v>
      </c>
      <c r="E1118">
        <v>34</v>
      </c>
    </row>
    <row r="1119" spans="3:5" x14ac:dyDescent="0.25">
      <c r="C1119" s="248">
        <v>44177</v>
      </c>
      <c r="D1119" t="s">
        <v>312</v>
      </c>
      <c r="E1119">
        <v>8</v>
      </c>
    </row>
    <row r="1120" spans="3:5" x14ac:dyDescent="0.25">
      <c r="C1120" s="248">
        <v>44178</v>
      </c>
      <c r="D1120" t="s">
        <v>310</v>
      </c>
      <c r="E1120">
        <v>60</v>
      </c>
    </row>
    <row r="1121" spans="3:5" x14ac:dyDescent="0.25">
      <c r="C1121" s="248">
        <v>44186</v>
      </c>
      <c r="D1121" t="s">
        <v>312</v>
      </c>
      <c r="E1121">
        <v>24</v>
      </c>
    </row>
    <row r="1122" spans="3:5" x14ac:dyDescent="0.25">
      <c r="C1122" s="248">
        <v>44179</v>
      </c>
      <c r="D1122" t="s">
        <v>310</v>
      </c>
      <c r="E1122">
        <v>120</v>
      </c>
    </row>
    <row r="1123" spans="3:5" x14ac:dyDescent="0.25">
      <c r="C1123" s="248">
        <v>44179</v>
      </c>
      <c r="D1123" t="s">
        <v>312</v>
      </c>
      <c r="E1123">
        <v>25</v>
      </c>
    </row>
    <row r="1124" spans="3:5" x14ac:dyDescent="0.25">
      <c r="C1124" s="248">
        <v>44178</v>
      </c>
      <c r="D1124" t="s">
        <v>308</v>
      </c>
      <c r="E1124">
        <v>28</v>
      </c>
    </row>
    <row r="1125" spans="3:5" x14ac:dyDescent="0.25">
      <c r="C1125" s="248">
        <v>44179</v>
      </c>
      <c r="D1125" t="s">
        <v>304</v>
      </c>
      <c r="E1125">
        <v>204</v>
      </c>
    </row>
    <row r="1126" spans="3:5" x14ac:dyDescent="0.25">
      <c r="C1126" s="248">
        <v>44195</v>
      </c>
      <c r="D1126" t="s">
        <v>306</v>
      </c>
      <c r="E1126">
        <v>462</v>
      </c>
    </row>
    <row r="1127" spans="3:5" x14ac:dyDescent="0.25">
      <c r="C1127" s="248">
        <v>44195</v>
      </c>
      <c r="D1127" t="s">
        <v>310</v>
      </c>
      <c r="E1127">
        <v>266</v>
      </c>
    </row>
    <row r="1128" spans="3:5" x14ac:dyDescent="0.25">
      <c r="C1128" s="248">
        <v>44196</v>
      </c>
      <c r="D1128" t="s">
        <v>305</v>
      </c>
      <c r="E1128">
        <v>110</v>
      </c>
    </row>
    <row r="1129" spans="3:5" x14ac:dyDescent="0.25">
      <c r="C1129" s="248">
        <v>44210</v>
      </c>
      <c r="D1129" t="s">
        <v>304</v>
      </c>
      <c r="E1129">
        <v>559</v>
      </c>
    </row>
    <row r="1130" spans="3:5" x14ac:dyDescent="0.25">
      <c r="C1130" s="248">
        <v>44196</v>
      </c>
      <c r="D1130" t="s">
        <v>304</v>
      </c>
      <c r="E1130">
        <v>370</v>
      </c>
    </row>
    <row r="1131" spans="3:5" x14ac:dyDescent="0.25">
      <c r="C1131" s="248">
        <v>44196</v>
      </c>
      <c r="D1131" t="s">
        <v>311</v>
      </c>
      <c r="E1131">
        <v>96</v>
      </c>
    </row>
    <row r="1132" spans="3:5" x14ac:dyDescent="0.25">
      <c r="C1132" s="248">
        <v>44196</v>
      </c>
      <c r="D1132" t="s">
        <v>307</v>
      </c>
      <c r="E1132">
        <v>223</v>
      </c>
    </row>
    <row r="1133" spans="3:5" x14ac:dyDescent="0.25">
      <c r="C1133" s="248">
        <v>44196</v>
      </c>
      <c r="D1133" t="s">
        <v>312</v>
      </c>
      <c r="E1133">
        <v>21</v>
      </c>
    </row>
    <row r="1134" spans="3:5" x14ac:dyDescent="0.25">
      <c r="C1134" s="248">
        <v>44197</v>
      </c>
      <c r="D1134" t="s">
        <v>311</v>
      </c>
      <c r="E1134">
        <v>61</v>
      </c>
    </row>
    <row r="1135" spans="3:5" x14ac:dyDescent="0.25">
      <c r="C1135" s="248">
        <v>44196</v>
      </c>
      <c r="D1135" t="s">
        <v>310</v>
      </c>
      <c r="E1135">
        <v>147</v>
      </c>
    </row>
    <row r="1136" spans="3:5" x14ac:dyDescent="0.25">
      <c r="C1136" s="248">
        <v>44198</v>
      </c>
      <c r="D1136" t="s">
        <v>312</v>
      </c>
      <c r="E1136">
        <v>26</v>
      </c>
    </row>
    <row r="1137" spans="3:5" x14ac:dyDescent="0.25">
      <c r="C1137" s="248">
        <v>44217</v>
      </c>
      <c r="D1137" t="s">
        <v>308</v>
      </c>
      <c r="E1137">
        <v>78</v>
      </c>
    </row>
    <row r="1138" spans="3:5" x14ac:dyDescent="0.25">
      <c r="C1138" s="248">
        <v>44292</v>
      </c>
      <c r="D1138" t="s">
        <v>309</v>
      </c>
      <c r="E1138">
        <v>119</v>
      </c>
    </row>
    <row r="1139" spans="3:5" x14ac:dyDescent="0.25">
      <c r="C1139" s="248">
        <v>44207</v>
      </c>
      <c r="D1139" t="s">
        <v>304</v>
      </c>
      <c r="E1139">
        <v>596</v>
      </c>
    </row>
    <row r="1140" spans="3:5" x14ac:dyDescent="0.25">
      <c r="C1140" s="248">
        <v>44207</v>
      </c>
      <c r="D1140" t="s">
        <v>307</v>
      </c>
      <c r="E1140">
        <v>304</v>
      </c>
    </row>
    <row r="1141" spans="3:5" x14ac:dyDescent="0.25">
      <c r="C1141" s="248">
        <v>44208</v>
      </c>
      <c r="D1141" t="s">
        <v>307</v>
      </c>
      <c r="E1141">
        <v>350</v>
      </c>
    </row>
    <row r="1142" spans="3:5" x14ac:dyDescent="0.25">
      <c r="C1142" s="248">
        <v>44208</v>
      </c>
      <c r="D1142" t="s">
        <v>311</v>
      </c>
      <c r="E1142">
        <v>159</v>
      </c>
    </row>
    <row r="1143" spans="3:5" x14ac:dyDescent="0.25">
      <c r="C1143" s="248">
        <v>44210</v>
      </c>
      <c r="D1143" t="s">
        <v>306</v>
      </c>
      <c r="E1143">
        <v>455</v>
      </c>
    </row>
    <row r="1144" spans="3:5" x14ac:dyDescent="0.25">
      <c r="C1144" s="248">
        <v>44217</v>
      </c>
      <c r="D1144" t="s">
        <v>312</v>
      </c>
      <c r="E1144">
        <v>60</v>
      </c>
    </row>
    <row r="1145" spans="3:5" x14ac:dyDescent="0.25">
      <c r="C1145" s="248">
        <v>44217</v>
      </c>
      <c r="D1145" t="s">
        <v>305</v>
      </c>
      <c r="E1145">
        <v>150</v>
      </c>
    </row>
    <row r="1146" spans="3:5" x14ac:dyDescent="0.25">
      <c r="C1146" s="248">
        <v>44217</v>
      </c>
      <c r="D1146" t="s">
        <v>310</v>
      </c>
      <c r="E1146">
        <v>247</v>
      </c>
    </row>
    <row r="1147" spans="3:5" x14ac:dyDescent="0.25">
      <c r="C1147" s="248">
        <v>44216</v>
      </c>
      <c r="D1147" t="s">
        <v>305</v>
      </c>
      <c r="E1147">
        <v>165</v>
      </c>
    </row>
    <row r="1148" spans="3:5" x14ac:dyDescent="0.25">
      <c r="C1148" s="248">
        <v>44217</v>
      </c>
      <c r="D1148" t="s">
        <v>306</v>
      </c>
      <c r="E1148">
        <v>405</v>
      </c>
    </row>
    <row r="1149" spans="3:5" x14ac:dyDescent="0.25">
      <c r="C1149" s="248">
        <v>44290</v>
      </c>
      <c r="D1149" t="s">
        <v>312</v>
      </c>
      <c r="E1149">
        <v>43</v>
      </c>
    </row>
    <row r="1150" spans="3:5" x14ac:dyDescent="0.25">
      <c r="C1150" s="248">
        <v>44234</v>
      </c>
      <c r="D1150" t="s">
        <v>310</v>
      </c>
      <c r="E1150">
        <v>131</v>
      </c>
    </row>
    <row r="1151" spans="3:5" x14ac:dyDescent="0.25">
      <c r="C1151" s="248">
        <v>44227</v>
      </c>
      <c r="D1151" t="s">
        <v>312</v>
      </c>
      <c r="E1151">
        <v>17</v>
      </c>
    </row>
    <row r="1152" spans="3:5" x14ac:dyDescent="0.25">
      <c r="C1152" s="248">
        <v>44222</v>
      </c>
      <c r="D1152" t="s">
        <v>307</v>
      </c>
      <c r="E1152">
        <v>281</v>
      </c>
    </row>
    <row r="1153" spans="3:5" x14ac:dyDescent="0.25">
      <c r="C1153" s="248">
        <v>44222</v>
      </c>
      <c r="D1153" t="s">
        <v>309</v>
      </c>
      <c r="E1153">
        <v>42</v>
      </c>
    </row>
    <row r="1154" spans="3:5" x14ac:dyDescent="0.25">
      <c r="C1154" s="248">
        <v>44289</v>
      </c>
      <c r="D1154" t="s">
        <v>312</v>
      </c>
      <c r="E1154">
        <v>58</v>
      </c>
    </row>
    <row r="1155" spans="3:5" x14ac:dyDescent="0.25">
      <c r="C1155" s="248">
        <v>44233</v>
      </c>
      <c r="D1155" t="s">
        <v>307</v>
      </c>
      <c r="E1155">
        <v>187</v>
      </c>
    </row>
    <row r="1156" spans="3:5" x14ac:dyDescent="0.25">
      <c r="C1156" s="248">
        <v>44234</v>
      </c>
      <c r="D1156" t="s">
        <v>308</v>
      </c>
      <c r="E1156">
        <v>47</v>
      </c>
    </row>
    <row r="1157" spans="3:5" x14ac:dyDescent="0.25">
      <c r="C1157" s="248">
        <v>44293</v>
      </c>
      <c r="D1157" t="s">
        <v>308</v>
      </c>
      <c r="E1157">
        <v>138</v>
      </c>
    </row>
    <row r="1158" spans="3:5" x14ac:dyDescent="0.25">
      <c r="C1158" s="248">
        <v>44090</v>
      </c>
      <c r="D1158" t="s">
        <v>312</v>
      </c>
      <c r="E1158">
        <v>95</v>
      </c>
    </row>
    <row r="1159" spans="3:5" x14ac:dyDescent="0.25">
      <c r="C1159" s="248">
        <v>44242</v>
      </c>
      <c r="D1159" t="s">
        <v>312</v>
      </c>
      <c r="E1159">
        <v>23</v>
      </c>
    </row>
    <row r="1160" spans="3:5" x14ac:dyDescent="0.25">
      <c r="C1160" s="248">
        <v>44085</v>
      </c>
      <c r="D1160" t="s">
        <v>306</v>
      </c>
      <c r="E1160">
        <v>583</v>
      </c>
    </row>
    <row r="1161" spans="3:5" x14ac:dyDescent="0.25">
      <c r="C1161" s="248">
        <v>44063</v>
      </c>
      <c r="D1161" t="s">
        <v>312</v>
      </c>
      <c r="E1161">
        <v>104</v>
      </c>
    </row>
    <row r="1162" spans="3:5" x14ac:dyDescent="0.25">
      <c r="C1162" s="248">
        <v>44065</v>
      </c>
      <c r="D1162" t="s">
        <v>311</v>
      </c>
      <c r="E1162">
        <v>125</v>
      </c>
    </row>
    <row r="1163" spans="3:5" x14ac:dyDescent="0.25">
      <c r="C1163" s="248">
        <v>44088</v>
      </c>
      <c r="D1163" t="s">
        <v>307</v>
      </c>
      <c r="E1163">
        <v>389</v>
      </c>
    </row>
    <row r="1164" spans="3:5" x14ac:dyDescent="0.25">
      <c r="C1164" s="248">
        <v>44101</v>
      </c>
      <c r="D1164" t="s">
        <v>305</v>
      </c>
      <c r="E1164">
        <v>84</v>
      </c>
    </row>
    <row r="1165" spans="3:5" x14ac:dyDescent="0.25">
      <c r="C1165" s="248">
        <v>44081</v>
      </c>
      <c r="D1165" t="s">
        <v>311</v>
      </c>
      <c r="E1165">
        <v>202</v>
      </c>
    </row>
    <row r="1166" spans="3:5" x14ac:dyDescent="0.25">
      <c r="C1166" s="248">
        <v>44102</v>
      </c>
      <c r="D1166" t="s">
        <v>307</v>
      </c>
      <c r="E1166">
        <v>363</v>
      </c>
    </row>
    <row r="1167" spans="3:5" x14ac:dyDescent="0.25">
      <c r="C1167" s="248">
        <v>44133</v>
      </c>
      <c r="D1167" t="s">
        <v>307</v>
      </c>
      <c r="E1167">
        <v>178</v>
      </c>
    </row>
    <row r="1168" spans="3:5" x14ac:dyDescent="0.25">
      <c r="C1168" s="248">
        <v>44134</v>
      </c>
      <c r="D1168" t="s">
        <v>308</v>
      </c>
      <c r="E1168">
        <v>34</v>
      </c>
    </row>
    <row r="1169" spans="3:5" x14ac:dyDescent="0.25">
      <c r="C1169" s="248">
        <v>44102</v>
      </c>
      <c r="D1169" t="s">
        <v>306</v>
      </c>
      <c r="E1169">
        <v>435</v>
      </c>
    </row>
    <row r="1170" spans="3:5" x14ac:dyDescent="0.25">
      <c r="C1170" s="248">
        <v>44114</v>
      </c>
      <c r="D1170" t="s">
        <v>305</v>
      </c>
      <c r="E1170">
        <v>100</v>
      </c>
    </row>
    <row r="1171" spans="3:5" x14ac:dyDescent="0.25">
      <c r="C1171" s="248">
        <v>44125</v>
      </c>
      <c r="D1171" t="s">
        <v>308</v>
      </c>
      <c r="E1171">
        <v>49</v>
      </c>
    </row>
    <row r="1172" spans="3:5" x14ac:dyDescent="0.25">
      <c r="C1172" s="248">
        <v>44115</v>
      </c>
      <c r="D1172" t="s">
        <v>310</v>
      </c>
      <c r="E1172">
        <v>129</v>
      </c>
    </row>
    <row r="1173" spans="3:5" x14ac:dyDescent="0.25">
      <c r="C1173" s="248">
        <v>44149</v>
      </c>
      <c r="D1173" t="s">
        <v>311</v>
      </c>
      <c r="E1173">
        <v>42</v>
      </c>
    </row>
    <row r="1174" spans="3:5" x14ac:dyDescent="0.25">
      <c r="C1174" s="248">
        <v>44147</v>
      </c>
      <c r="D1174" t="s">
        <v>308</v>
      </c>
      <c r="E1174">
        <v>25</v>
      </c>
    </row>
    <row r="1175" spans="3:5" x14ac:dyDescent="0.25">
      <c r="C1175" s="248">
        <v>44142</v>
      </c>
      <c r="D1175" t="s">
        <v>311</v>
      </c>
      <c r="E1175">
        <v>55</v>
      </c>
    </row>
    <row r="1176" spans="3:5" x14ac:dyDescent="0.25">
      <c r="C1176" s="248">
        <v>44140</v>
      </c>
      <c r="D1176" t="s">
        <v>305</v>
      </c>
      <c r="E1176">
        <v>82</v>
      </c>
    </row>
    <row r="1177" spans="3:5" x14ac:dyDescent="0.25">
      <c r="C1177" s="248">
        <v>44141</v>
      </c>
      <c r="D1177" t="s">
        <v>307</v>
      </c>
      <c r="E1177">
        <v>154</v>
      </c>
    </row>
    <row r="1178" spans="3:5" x14ac:dyDescent="0.25">
      <c r="C1178" s="248">
        <v>44152</v>
      </c>
      <c r="D1178" t="s">
        <v>312</v>
      </c>
      <c r="E1178">
        <v>33</v>
      </c>
    </row>
    <row r="1179" spans="3:5" x14ac:dyDescent="0.25">
      <c r="C1179" s="248">
        <v>44150</v>
      </c>
      <c r="D1179" t="s">
        <v>311</v>
      </c>
      <c r="E1179">
        <v>44</v>
      </c>
    </row>
    <row r="1180" spans="3:5" x14ac:dyDescent="0.25">
      <c r="C1180" s="248">
        <v>44002</v>
      </c>
      <c r="D1180" t="s">
        <v>312</v>
      </c>
      <c r="E1180">
        <v>42</v>
      </c>
    </row>
    <row r="1181" spans="3:5" x14ac:dyDescent="0.25">
      <c r="C1181" s="248">
        <v>44142</v>
      </c>
      <c r="D1181" t="s">
        <v>312</v>
      </c>
      <c r="E1181">
        <v>18</v>
      </c>
    </row>
    <row r="1182" spans="3:5" x14ac:dyDescent="0.25">
      <c r="C1182" s="248">
        <v>44143</v>
      </c>
      <c r="D1182" t="s">
        <v>308</v>
      </c>
      <c r="E1182">
        <v>17</v>
      </c>
    </row>
    <row r="1183" spans="3:5" x14ac:dyDescent="0.25">
      <c r="C1183" s="248">
        <v>44142</v>
      </c>
      <c r="D1183" t="s">
        <v>308</v>
      </c>
      <c r="E1183">
        <v>27</v>
      </c>
    </row>
    <row r="1184" spans="3:5" x14ac:dyDescent="0.25">
      <c r="C1184" s="248">
        <v>44174</v>
      </c>
      <c r="D1184" t="s">
        <v>308</v>
      </c>
      <c r="E1184">
        <v>24</v>
      </c>
    </row>
    <row r="1185" spans="3:5" x14ac:dyDescent="0.25">
      <c r="C1185" s="248">
        <v>44175</v>
      </c>
      <c r="D1185" t="s">
        <v>311</v>
      </c>
      <c r="E1185">
        <v>55</v>
      </c>
    </row>
    <row r="1186" spans="3:5" x14ac:dyDescent="0.25">
      <c r="C1186" s="248">
        <v>44183</v>
      </c>
      <c r="D1186" t="s">
        <v>312</v>
      </c>
      <c r="E1186">
        <v>37</v>
      </c>
    </row>
    <row r="1187" spans="3:5" x14ac:dyDescent="0.25">
      <c r="C1187" s="248">
        <v>44177</v>
      </c>
      <c r="D1187" t="s">
        <v>310</v>
      </c>
      <c r="E1187">
        <v>68</v>
      </c>
    </row>
    <row r="1188" spans="3:5" x14ac:dyDescent="0.25">
      <c r="C1188" s="248">
        <v>44184</v>
      </c>
      <c r="D1188" t="s">
        <v>312</v>
      </c>
      <c r="E1188">
        <v>19</v>
      </c>
    </row>
    <row r="1189" spans="3:5" x14ac:dyDescent="0.25">
      <c r="C1189" s="248">
        <v>44199</v>
      </c>
      <c r="D1189" t="s">
        <v>305</v>
      </c>
      <c r="E1189">
        <v>86</v>
      </c>
    </row>
    <row r="1190" spans="3:5" x14ac:dyDescent="0.25">
      <c r="C1190" s="248">
        <v>44195</v>
      </c>
      <c r="D1190" t="s">
        <v>309</v>
      </c>
      <c r="E1190">
        <v>56</v>
      </c>
    </row>
    <row r="1191" spans="3:5" x14ac:dyDescent="0.25">
      <c r="C1191" s="248">
        <v>44188</v>
      </c>
      <c r="D1191" t="s">
        <v>308</v>
      </c>
      <c r="E1191">
        <v>62</v>
      </c>
    </row>
    <row r="1192" spans="3:5" x14ac:dyDescent="0.25">
      <c r="C1192" s="248">
        <v>44198</v>
      </c>
      <c r="D1192" t="s">
        <v>311</v>
      </c>
      <c r="E1192">
        <v>147</v>
      </c>
    </row>
    <row r="1193" spans="3:5" x14ac:dyDescent="0.25">
      <c r="C1193" s="248">
        <v>44197</v>
      </c>
      <c r="D1193" t="s">
        <v>305</v>
      </c>
      <c r="E1193">
        <v>47</v>
      </c>
    </row>
    <row r="1194" spans="3:5" x14ac:dyDescent="0.25">
      <c r="C1194" s="248">
        <v>44197</v>
      </c>
      <c r="D1194" t="s">
        <v>308</v>
      </c>
      <c r="E1194">
        <v>30</v>
      </c>
    </row>
    <row r="1195" spans="3:5" x14ac:dyDescent="0.25">
      <c r="C1195" s="248">
        <v>44215</v>
      </c>
      <c r="D1195" t="s">
        <v>309</v>
      </c>
      <c r="E1195">
        <v>32</v>
      </c>
    </row>
    <row r="1196" spans="3:5" x14ac:dyDescent="0.25">
      <c r="C1196" s="248">
        <v>44224</v>
      </c>
      <c r="D1196" t="s">
        <v>305</v>
      </c>
      <c r="E1196">
        <v>211</v>
      </c>
    </row>
    <row r="1197" spans="3:5" x14ac:dyDescent="0.25">
      <c r="C1197" s="248">
        <v>44226</v>
      </c>
      <c r="D1197" t="s">
        <v>310</v>
      </c>
      <c r="E1197">
        <v>165</v>
      </c>
    </row>
    <row r="1198" spans="3:5" x14ac:dyDescent="0.25">
      <c r="C1198" s="248">
        <v>44219</v>
      </c>
      <c r="D1198" t="s">
        <v>312</v>
      </c>
      <c r="E1198">
        <v>25</v>
      </c>
    </row>
    <row r="1199" spans="3:5" x14ac:dyDescent="0.25">
      <c r="C1199" s="248">
        <v>44232</v>
      </c>
      <c r="D1199" t="s">
        <v>309</v>
      </c>
      <c r="E1199">
        <v>41</v>
      </c>
    </row>
    <row r="1200" spans="3:5" x14ac:dyDescent="0.25">
      <c r="C1200" s="248">
        <v>44233</v>
      </c>
      <c r="D1200" t="s">
        <v>304</v>
      </c>
      <c r="E1200">
        <v>226</v>
      </c>
    </row>
    <row r="1201" spans="3:5" x14ac:dyDescent="0.25">
      <c r="C1201" s="248">
        <v>44238</v>
      </c>
      <c r="D1201" t="s">
        <v>305</v>
      </c>
      <c r="E1201">
        <v>82</v>
      </c>
    </row>
    <row r="1202" spans="3:5" x14ac:dyDescent="0.25">
      <c r="C1202" s="248">
        <v>44251</v>
      </c>
      <c r="D1202" t="s">
        <v>309</v>
      </c>
      <c r="E1202">
        <v>27</v>
      </c>
    </row>
    <row r="1203" spans="3:5" x14ac:dyDescent="0.25">
      <c r="C1203" s="248">
        <v>44227</v>
      </c>
      <c r="D1203" t="s">
        <v>311</v>
      </c>
      <c r="E1203">
        <v>101</v>
      </c>
    </row>
    <row r="1204" spans="3:5" x14ac:dyDescent="0.25">
      <c r="C1204" s="248">
        <v>44227</v>
      </c>
      <c r="D1204" t="s">
        <v>310</v>
      </c>
      <c r="E1204">
        <v>133</v>
      </c>
    </row>
    <row r="1205" spans="3:5" x14ac:dyDescent="0.25">
      <c r="C1205" s="248">
        <v>44227</v>
      </c>
      <c r="D1205" t="s">
        <v>307</v>
      </c>
      <c r="E1205">
        <v>208</v>
      </c>
    </row>
    <row r="1206" spans="3:5" x14ac:dyDescent="0.25">
      <c r="C1206" s="248">
        <v>44233</v>
      </c>
      <c r="D1206" t="s">
        <v>305</v>
      </c>
      <c r="E1206">
        <v>93</v>
      </c>
    </row>
    <row r="1207" spans="3:5" x14ac:dyDescent="0.25">
      <c r="C1207" s="248">
        <v>44227</v>
      </c>
      <c r="D1207" t="s">
        <v>305</v>
      </c>
      <c r="E1207">
        <v>268</v>
      </c>
    </row>
    <row r="1208" spans="3:5" x14ac:dyDescent="0.25">
      <c r="C1208" s="248">
        <v>44234</v>
      </c>
      <c r="D1208" t="s">
        <v>307</v>
      </c>
      <c r="E1208">
        <v>134</v>
      </c>
    </row>
    <row r="1209" spans="3:5" x14ac:dyDescent="0.25">
      <c r="C1209" s="248">
        <v>44234</v>
      </c>
      <c r="D1209" t="s">
        <v>304</v>
      </c>
      <c r="E1209">
        <v>165</v>
      </c>
    </row>
    <row r="1210" spans="3:5" x14ac:dyDescent="0.25">
      <c r="C1210" s="248">
        <v>44234</v>
      </c>
      <c r="D1210" t="s">
        <v>306</v>
      </c>
      <c r="E1210">
        <v>182</v>
      </c>
    </row>
    <row r="1211" spans="3:5" x14ac:dyDescent="0.25">
      <c r="C1211" s="248">
        <v>44233</v>
      </c>
      <c r="D1211" t="s">
        <v>306</v>
      </c>
      <c r="E1211">
        <v>248</v>
      </c>
    </row>
    <row r="1212" spans="3:5" x14ac:dyDescent="0.25">
      <c r="C1212" s="248">
        <v>44198</v>
      </c>
      <c r="D1212" t="s">
        <v>306</v>
      </c>
      <c r="E1212">
        <v>347</v>
      </c>
    </row>
    <row r="1213" spans="3:5" x14ac:dyDescent="0.25">
      <c r="C1213" s="248">
        <v>44241</v>
      </c>
      <c r="D1213" t="s">
        <v>307</v>
      </c>
      <c r="E1213">
        <v>154</v>
      </c>
    </row>
    <row r="1214" spans="3:5" x14ac:dyDescent="0.25">
      <c r="C1214" s="248">
        <v>44241</v>
      </c>
      <c r="D1214" t="s">
        <v>304</v>
      </c>
      <c r="E1214">
        <v>120</v>
      </c>
    </row>
    <row r="1215" spans="3:5" x14ac:dyDescent="0.25">
      <c r="C1215" s="248">
        <v>44297</v>
      </c>
      <c r="D1215" t="s">
        <v>308</v>
      </c>
      <c r="E1215">
        <v>31</v>
      </c>
    </row>
    <row r="1216" spans="3:5" x14ac:dyDescent="0.25">
      <c r="C1216" s="248">
        <v>44246</v>
      </c>
      <c r="D1216" t="s">
        <v>305</v>
      </c>
      <c r="E1216">
        <v>105</v>
      </c>
    </row>
    <row r="1217" spans="3:5" x14ac:dyDescent="0.25">
      <c r="C1217" s="248">
        <v>44246</v>
      </c>
      <c r="D1217" t="s">
        <v>312</v>
      </c>
      <c r="E1217">
        <v>21</v>
      </c>
    </row>
    <row r="1218" spans="3:5" x14ac:dyDescent="0.25">
      <c r="C1218" s="248">
        <v>44090</v>
      </c>
      <c r="D1218" t="s">
        <v>310</v>
      </c>
      <c r="E1218">
        <v>292</v>
      </c>
    </row>
    <row r="1219" spans="3:5" x14ac:dyDescent="0.25">
      <c r="C1219" s="248">
        <v>44241</v>
      </c>
      <c r="D1219" t="s">
        <v>305</v>
      </c>
      <c r="E1219">
        <v>67</v>
      </c>
    </row>
    <row r="1220" spans="3:5" x14ac:dyDescent="0.25">
      <c r="C1220" s="248">
        <v>44090</v>
      </c>
      <c r="D1220" t="s">
        <v>305</v>
      </c>
      <c r="E1220">
        <v>122</v>
      </c>
    </row>
    <row r="1221" spans="3:5" x14ac:dyDescent="0.25">
      <c r="C1221" s="248">
        <v>44104</v>
      </c>
      <c r="D1221" t="s">
        <v>307</v>
      </c>
      <c r="E1221">
        <v>397</v>
      </c>
    </row>
    <row r="1222" spans="3:5" x14ac:dyDescent="0.25">
      <c r="C1222" s="248">
        <v>44078</v>
      </c>
      <c r="D1222" t="s">
        <v>308</v>
      </c>
      <c r="E1222">
        <v>86</v>
      </c>
    </row>
    <row r="1223" spans="3:5" x14ac:dyDescent="0.25">
      <c r="C1223" s="248">
        <v>44124</v>
      </c>
      <c r="D1223" t="s">
        <v>310</v>
      </c>
      <c r="E1223">
        <v>167</v>
      </c>
    </row>
    <row r="1224" spans="3:5" x14ac:dyDescent="0.25">
      <c r="C1224" s="248">
        <v>44105</v>
      </c>
      <c r="D1224" t="s">
        <v>311</v>
      </c>
      <c r="E1224">
        <v>133</v>
      </c>
    </row>
    <row r="1225" spans="3:5" x14ac:dyDescent="0.25">
      <c r="C1225" s="248">
        <v>44127</v>
      </c>
      <c r="D1225" t="s">
        <v>312</v>
      </c>
      <c r="E1225">
        <v>30</v>
      </c>
    </row>
    <row r="1226" spans="3:5" x14ac:dyDescent="0.25">
      <c r="C1226" s="248">
        <v>44119</v>
      </c>
      <c r="D1226" t="s">
        <v>312</v>
      </c>
      <c r="E1226">
        <v>48</v>
      </c>
    </row>
    <row r="1227" spans="3:5" x14ac:dyDescent="0.25">
      <c r="C1227" s="248">
        <v>44118</v>
      </c>
      <c r="D1227" t="s">
        <v>306</v>
      </c>
      <c r="E1227">
        <v>382</v>
      </c>
    </row>
    <row r="1228" spans="3:5" x14ac:dyDescent="0.25">
      <c r="C1228" s="248">
        <v>44219</v>
      </c>
      <c r="D1228" t="s">
        <v>307</v>
      </c>
      <c r="E1228">
        <v>207</v>
      </c>
    </row>
    <row r="1229" spans="3:5" x14ac:dyDescent="0.25">
      <c r="C1229" s="248">
        <v>44119</v>
      </c>
      <c r="D1229" t="s">
        <v>307</v>
      </c>
      <c r="E1229">
        <v>298</v>
      </c>
    </row>
    <row r="1230" spans="3:5" x14ac:dyDescent="0.25">
      <c r="C1230" s="248">
        <v>44119</v>
      </c>
      <c r="D1230" t="s">
        <v>306</v>
      </c>
      <c r="E1230">
        <v>348</v>
      </c>
    </row>
    <row r="1231" spans="3:5" x14ac:dyDescent="0.25">
      <c r="C1231" s="248">
        <v>44120</v>
      </c>
      <c r="D1231" t="s">
        <v>308</v>
      </c>
      <c r="E1231">
        <v>57</v>
      </c>
    </row>
    <row r="1232" spans="3:5" x14ac:dyDescent="0.25">
      <c r="C1232" s="248">
        <v>44120</v>
      </c>
      <c r="D1232" t="s">
        <v>307</v>
      </c>
      <c r="E1232">
        <v>303</v>
      </c>
    </row>
    <row r="1233" spans="3:5" x14ac:dyDescent="0.25">
      <c r="C1233" s="248">
        <v>44146</v>
      </c>
      <c r="D1233" t="s">
        <v>306</v>
      </c>
      <c r="E1233">
        <v>189</v>
      </c>
    </row>
    <row r="1234" spans="3:5" x14ac:dyDescent="0.25">
      <c r="C1234" s="248">
        <v>44147</v>
      </c>
      <c r="D1234" t="s">
        <v>311</v>
      </c>
      <c r="E1234">
        <v>50</v>
      </c>
    </row>
    <row r="1235" spans="3:5" x14ac:dyDescent="0.25">
      <c r="C1235" s="248">
        <v>44223</v>
      </c>
      <c r="D1235" t="s">
        <v>309</v>
      </c>
      <c r="E1235">
        <v>37</v>
      </c>
    </row>
    <row r="1236" spans="3:5" x14ac:dyDescent="0.25">
      <c r="C1236" s="248">
        <v>44147</v>
      </c>
      <c r="D1236" t="s">
        <v>312</v>
      </c>
      <c r="E1236">
        <v>15</v>
      </c>
    </row>
    <row r="1237" spans="3:5" x14ac:dyDescent="0.25">
      <c r="C1237" s="248">
        <v>44148</v>
      </c>
      <c r="D1237" t="s">
        <v>312</v>
      </c>
      <c r="E1237">
        <v>27</v>
      </c>
    </row>
    <row r="1238" spans="3:5" x14ac:dyDescent="0.25">
      <c r="C1238" s="248">
        <v>44148</v>
      </c>
      <c r="D1238" t="s">
        <v>307</v>
      </c>
      <c r="E1238">
        <v>165</v>
      </c>
    </row>
    <row r="1239" spans="3:5" x14ac:dyDescent="0.25">
      <c r="C1239" s="248">
        <v>44148</v>
      </c>
      <c r="D1239" t="s">
        <v>304</v>
      </c>
      <c r="E1239">
        <v>150</v>
      </c>
    </row>
    <row r="1240" spans="3:5" x14ac:dyDescent="0.25">
      <c r="C1240" s="248">
        <v>44148</v>
      </c>
      <c r="D1240" t="s">
        <v>310</v>
      </c>
      <c r="E1240">
        <v>100</v>
      </c>
    </row>
    <row r="1241" spans="3:5" x14ac:dyDescent="0.25">
      <c r="C1241" s="248">
        <v>44148</v>
      </c>
      <c r="D1241" t="s">
        <v>308</v>
      </c>
      <c r="E1241">
        <v>40</v>
      </c>
    </row>
    <row r="1242" spans="3:5" x14ac:dyDescent="0.25">
      <c r="C1242" s="248">
        <v>44149</v>
      </c>
      <c r="D1242" t="s">
        <v>312</v>
      </c>
      <c r="E1242">
        <v>23</v>
      </c>
    </row>
    <row r="1243" spans="3:5" x14ac:dyDescent="0.25">
      <c r="C1243" s="248">
        <v>44149</v>
      </c>
      <c r="D1243" t="s">
        <v>307</v>
      </c>
      <c r="E1243">
        <v>118</v>
      </c>
    </row>
    <row r="1244" spans="3:5" x14ac:dyDescent="0.25">
      <c r="C1244" s="248">
        <v>44179</v>
      </c>
      <c r="D1244" t="s">
        <v>307</v>
      </c>
      <c r="E1244">
        <v>147</v>
      </c>
    </row>
    <row r="1245" spans="3:5" x14ac:dyDescent="0.25">
      <c r="C1245" s="248">
        <v>44181</v>
      </c>
      <c r="D1245" t="s">
        <v>306</v>
      </c>
      <c r="E1245">
        <v>170</v>
      </c>
    </row>
    <row r="1246" spans="3:5" x14ac:dyDescent="0.25">
      <c r="C1246" s="248">
        <v>44181</v>
      </c>
      <c r="D1246" t="s">
        <v>308</v>
      </c>
      <c r="E1246">
        <v>37</v>
      </c>
    </row>
    <row r="1247" spans="3:5" x14ac:dyDescent="0.25">
      <c r="C1247" s="248">
        <v>44190</v>
      </c>
      <c r="D1247" t="s">
        <v>311</v>
      </c>
      <c r="E1247">
        <v>50</v>
      </c>
    </row>
    <row r="1248" spans="3:5" x14ac:dyDescent="0.25">
      <c r="C1248" s="248">
        <v>44288</v>
      </c>
      <c r="D1248" t="s">
        <v>309</v>
      </c>
      <c r="E1248">
        <v>79</v>
      </c>
    </row>
    <row r="1249" spans="3:5" x14ac:dyDescent="0.25">
      <c r="C1249" s="248">
        <v>44181</v>
      </c>
      <c r="D1249" t="s">
        <v>311</v>
      </c>
      <c r="E1249">
        <v>53</v>
      </c>
    </row>
    <row r="1250" spans="3:5" x14ac:dyDescent="0.25">
      <c r="C1250" s="248">
        <v>44178</v>
      </c>
      <c r="D1250" t="s">
        <v>306</v>
      </c>
      <c r="E1250">
        <v>119</v>
      </c>
    </row>
    <row r="1251" spans="3:5" x14ac:dyDescent="0.25">
      <c r="C1251" s="248">
        <v>44182</v>
      </c>
      <c r="D1251" t="s">
        <v>310</v>
      </c>
      <c r="E1251">
        <v>114</v>
      </c>
    </row>
    <row r="1252" spans="3:5" x14ac:dyDescent="0.25">
      <c r="C1252" s="248">
        <v>44183</v>
      </c>
      <c r="D1252" t="s">
        <v>311</v>
      </c>
      <c r="E1252">
        <v>86</v>
      </c>
    </row>
    <row r="1253" spans="3:5" x14ac:dyDescent="0.25">
      <c r="C1253" s="248">
        <v>44198</v>
      </c>
      <c r="D1253" t="s">
        <v>305</v>
      </c>
      <c r="E1253">
        <v>108</v>
      </c>
    </row>
    <row r="1254" spans="3:5" x14ac:dyDescent="0.25">
      <c r="C1254" s="248">
        <v>44198</v>
      </c>
      <c r="D1254" t="s">
        <v>310</v>
      </c>
      <c r="E1254">
        <v>217</v>
      </c>
    </row>
    <row r="1255" spans="3:5" x14ac:dyDescent="0.25">
      <c r="C1255" s="248">
        <v>44198</v>
      </c>
      <c r="D1255" t="s">
        <v>307</v>
      </c>
      <c r="E1255">
        <v>286</v>
      </c>
    </row>
    <row r="1256" spans="3:5" x14ac:dyDescent="0.25">
      <c r="C1256" s="248">
        <v>44196</v>
      </c>
      <c r="D1256" t="s">
        <v>306</v>
      </c>
      <c r="E1256">
        <v>287</v>
      </c>
    </row>
    <row r="1257" spans="3:5" x14ac:dyDescent="0.25">
      <c r="C1257" s="248">
        <v>44198</v>
      </c>
      <c r="D1257" t="s">
        <v>308</v>
      </c>
      <c r="E1257">
        <v>72</v>
      </c>
    </row>
    <row r="1258" spans="3:5" x14ac:dyDescent="0.25">
      <c r="C1258" s="248">
        <v>44290</v>
      </c>
      <c r="D1258" t="s">
        <v>309</v>
      </c>
      <c r="E1258">
        <v>73</v>
      </c>
    </row>
    <row r="1259" spans="3:5" x14ac:dyDescent="0.25">
      <c r="C1259" s="248">
        <v>44208</v>
      </c>
      <c r="D1259" t="s">
        <v>310</v>
      </c>
      <c r="E1259">
        <v>247</v>
      </c>
    </row>
    <row r="1260" spans="3:5" x14ac:dyDescent="0.25">
      <c r="C1260" s="248">
        <v>44209</v>
      </c>
      <c r="D1260" t="s">
        <v>308</v>
      </c>
      <c r="E1260">
        <v>83</v>
      </c>
    </row>
    <row r="1261" spans="3:5" x14ac:dyDescent="0.25">
      <c r="C1261" s="248">
        <v>44208</v>
      </c>
      <c r="D1261" t="s">
        <v>306</v>
      </c>
      <c r="E1261">
        <v>481</v>
      </c>
    </row>
    <row r="1262" spans="3:5" x14ac:dyDescent="0.25">
      <c r="C1262" s="248">
        <v>44188</v>
      </c>
      <c r="D1262" t="s">
        <v>307</v>
      </c>
      <c r="E1262">
        <v>264</v>
      </c>
    </row>
    <row r="1263" spans="3:5" x14ac:dyDescent="0.25">
      <c r="C1263" s="248">
        <v>44209</v>
      </c>
      <c r="D1263" t="s">
        <v>307</v>
      </c>
      <c r="E1263">
        <v>348</v>
      </c>
    </row>
    <row r="1264" spans="3:5" x14ac:dyDescent="0.25">
      <c r="C1264" s="248">
        <v>44209</v>
      </c>
      <c r="D1264" t="s">
        <v>311</v>
      </c>
      <c r="E1264">
        <v>165</v>
      </c>
    </row>
    <row r="1265" spans="3:5" x14ac:dyDescent="0.25">
      <c r="C1265" s="248">
        <v>44221</v>
      </c>
      <c r="D1265" t="s">
        <v>305</v>
      </c>
      <c r="E1265">
        <v>224</v>
      </c>
    </row>
    <row r="1266" spans="3:5" x14ac:dyDescent="0.25">
      <c r="C1266" s="248">
        <v>44220</v>
      </c>
      <c r="D1266" t="s">
        <v>312</v>
      </c>
      <c r="E1266">
        <v>15</v>
      </c>
    </row>
    <row r="1267" spans="3:5" x14ac:dyDescent="0.25">
      <c r="C1267" s="248">
        <v>44219</v>
      </c>
      <c r="D1267" t="s">
        <v>305</v>
      </c>
      <c r="E1267">
        <v>144</v>
      </c>
    </row>
    <row r="1268" spans="3:5" x14ac:dyDescent="0.25">
      <c r="C1268" s="248">
        <v>44219</v>
      </c>
      <c r="D1268" t="s">
        <v>308</v>
      </c>
      <c r="E1268">
        <v>66</v>
      </c>
    </row>
    <row r="1269" spans="3:5" x14ac:dyDescent="0.25">
      <c r="C1269" s="248">
        <v>44248</v>
      </c>
      <c r="D1269" t="s">
        <v>309</v>
      </c>
      <c r="E1269">
        <v>11</v>
      </c>
    </row>
    <row r="1270" spans="3:5" x14ac:dyDescent="0.25">
      <c r="C1270" s="248">
        <v>44292</v>
      </c>
      <c r="D1270" t="s">
        <v>308</v>
      </c>
      <c r="E1270">
        <v>124</v>
      </c>
    </row>
    <row r="1271" spans="3:5" x14ac:dyDescent="0.25">
      <c r="C1271" s="248">
        <v>44088</v>
      </c>
      <c r="D1271" t="s">
        <v>306</v>
      </c>
      <c r="E1271">
        <v>546</v>
      </c>
    </row>
    <row r="1272" spans="3:5" x14ac:dyDescent="0.25">
      <c r="C1272" s="248">
        <v>44220</v>
      </c>
      <c r="D1272" t="s">
        <v>306</v>
      </c>
      <c r="E1272">
        <v>250</v>
      </c>
    </row>
    <row r="1273" spans="3:5" x14ac:dyDescent="0.25">
      <c r="C1273" s="248">
        <v>44061</v>
      </c>
      <c r="D1273" t="s">
        <v>312</v>
      </c>
      <c r="E1273">
        <v>126</v>
      </c>
    </row>
    <row r="1274" spans="3:5" x14ac:dyDescent="0.25">
      <c r="C1274" s="248">
        <v>44094</v>
      </c>
      <c r="D1274" t="s">
        <v>312</v>
      </c>
      <c r="E1274">
        <v>40</v>
      </c>
    </row>
    <row r="1275" spans="3:5" x14ac:dyDescent="0.25">
      <c r="C1275" s="248">
        <v>44179</v>
      </c>
      <c r="D1275" t="s">
        <v>306</v>
      </c>
      <c r="E1275">
        <v>216</v>
      </c>
    </row>
    <row r="1276" spans="3:5" x14ac:dyDescent="0.25">
      <c r="C1276" s="248">
        <v>44070</v>
      </c>
      <c r="D1276" t="s">
        <v>312</v>
      </c>
      <c r="E1276">
        <v>134</v>
      </c>
    </row>
    <row r="1277" spans="3:5" x14ac:dyDescent="0.25">
      <c r="C1277" s="248">
        <v>44104</v>
      </c>
      <c r="D1277" t="s">
        <v>304</v>
      </c>
      <c r="E1277">
        <v>422</v>
      </c>
    </row>
    <row r="1278" spans="3:5" x14ac:dyDescent="0.25">
      <c r="C1278" s="248">
        <v>44103</v>
      </c>
      <c r="D1278" t="s">
        <v>304</v>
      </c>
      <c r="E1278">
        <v>385</v>
      </c>
    </row>
    <row r="1279" spans="3:5" x14ac:dyDescent="0.25">
      <c r="C1279" s="248">
        <v>44206</v>
      </c>
      <c r="D1279" t="s">
        <v>305</v>
      </c>
      <c r="E1279">
        <v>88</v>
      </c>
    </row>
    <row r="1280" spans="3:5" x14ac:dyDescent="0.25">
      <c r="C1280" s="248">
        <v>44117</v>
      </c>
      <c r="D1280" t="s">
        <v>306</v>
      </c>
      <c r="E1280">
        <v>381</v>
      </c>
    </row>
    <row r="1281" spans="3:5" x14ac:dyDescent="0.25">
      <c r="C1281" s="248">
        <v>44121</v>
      </c>
      <c r="D1281" t="s">
        <v>304</v>
      </c>
      <c r="E1281">
        <v>200</v>
      </c>
    </row>
    <row r="1282" spans="3:5" x14ac:dyDescent="0.25">
      <c r="C1282" s="248">
        <v>44145</v>
      </c>
      <c r="D1282" t="s">
        <v>310</v>
      </c>
      <c r="E1282">
        <v>91</v>
      </c>
    </row>
    <row r="1283" spans="3:5" x14ac:dyDescent="0.25">
      <c r="C1283" s="248">
        <v>44145</v>
      </c>
      <c r="D1283" t="s">
        <v>307</v>
      </c>
      <c r="E1283">
        <v>187</v>
      </c>
    </row>
    <row r="1284" spans="3:5" x14ac:dyDescent="0.25">
      <c r="C1284" s="248">
        <v>44146</v>
      </c>
      <c r="D1284" t="s">
        <v>310</v>
      </c>
      <c r="E1284">
        <v>106</v>
      </c>
    </row>
    <row r="1285" spans="3:5" x14ac:dyDescent="0.25">
      <c r="C1285" s="248">
        <v>44161</v>
      </c>
      <c r="D1285" t="s">
        <v>310</v>
      </c>
      <c r="E1285">
        <v>81</v>
      </c>
    </row>
    <row r="1286" spans="3:5" x14ac:dyDescent="0.25">
      <c r="C1286" s="248">
        <v>44188</v>
      </c>
      <c r="D1286" t="s">
        <v>312</v>
      </c>
      <c r="E1286">
        <v>34</v>
      </c>
    </row>
    <row r="1287" spans="3:5" x14ac:dyDescent="0.25">
      <c r="C1287" s="248">
        <v>44178</v>
      </c>
      <c r="D1287" t="s">
        <v>307</v>
      </c>
      <c r="E1287">
        <v>80</v>
      </c>
    </row>
    <row r="1288" spans="3:5" x14ac:dyDescent="0.25">
      <c r="C1288" s="248">
        <v>44180</v>
      </c>
      <c r="D1288" t="s">
        <v>309</v>
      </c>
      <c r="E1288">
        <v>13</v>
      </c>
    </row>
    <row r="1289" spans="3:5" x14ac:dyDescent="0.25">
      <c r="C1289" s="248">
        <v>44186</v>
      </c>
      <c r="D1289" t="s">
        <v>307</v>
      </c>
      <c r="E1289">
        <v>237</v>
      </c>
    </row>
    <row r="1290" spans="3:5" x14ac:dyDescent="0.25">
      <c r="C1290" s="248">
        <v>44191</v>
      </c>
      <c r="D1290" t="s">
        <v>306</v>
      </c>
      <c r="E1290">
        <v>322</v>
      </c>
    </row>
    <row r="1291" spans="3:5" x14ac:dyDescent="0.25">
      <c r="C1291" s="248">
        <v>44195</v>
      </c>
      <c r="D1291" t="s">
        <v>305</v>
      </c>
      <c r="E1291">
        <v>173</v>
      </c>
    </row>
    <row r="1292" spans="3:5" x14ac:dyDescent="0.25">
      <c r="C1292" s="248">
        <v>44200</v>
      </c>
      <c r="D1292" t="s">
        <v>311</v>
      </c>
      <c r="E1292">
        <v>181</v>
      </c>
    </row>
    <row r="1293" spans="3:5" x14ac:dyDescent="0.25">
      <c r="C1293" s="248">
        <v>44198</v>
      </c>
      <c r="D1293" t="s">
        <v>304</v>
      </c>
      <c r="E1293">
        <v>333</v>
      </c>
    </row>
    <row r="1294" spans="3:5" x14ac:dyDescent="0.25">
      <c r="C1294" s="248">
        <v>44187</v>
      </c>
      <c r="D1294" t="s">
        <v>311</v>
      </c>
      <c r="E1294">
        <v>83</v>
      </c>
    </row>
    <row r="1295" spans="3:5" x14ac:dyDescent="0.25">
      <c r="C1295" s="248">
        <v>44287</v>
      </c>
      <c r="D1295" t="s">
        <v>312</v>
      </c>
      <c r="E1295">
        <v>37</v>
      </c>
    </row>
    <row r="1296" spans="3:5" x14ac:dyDescent="0.25">
      <c r="C1296" s="248">
        <v>44228</v>
      </c>
      <c r="D1296" t="s">
        <v>308</v>
      </c>
      <c r="E1296">
        <v>91</v>
      </c>
    </row>
    <row r="1297" spans="3:5" x14ac:dyDescent="0.25">
      <c r="C1297" s="248">
        <v>44222</v>
      </c>
      <c r="D1297" t="s">
        <v>305</v>
      </c>
      <c r="E1297">
        <v>262</v>
      </c>
    </row>
    <row r="1298" spans="3:5" x14ac:dyDescent="0.25">
      <c r="C1298" s="248">
        <v>44227</v>
      </c>
      <c r="D1298" t="s">
        <v>309</v>
      </c>
      <c r="E1298">
        <v>25</v>
      </c>
    </row>
    <row r="1299" spans="3:5" x14ac:dyDescent="0.25">
      <c r="C1299" s="248">
        <v>44297</v>
      </c>
      <c r="D1299" t="s">
        <v>305</v>
      </c>
      <c r="E1299">
        <v>204</v>
      </c>
    </row>
    <row r="1300" spans="3:5" x14ac:dyDescent="0.25">
      <c r="C1300" s="248">
        <v>44296</v>
      </c>
      <c r="D1300" t="s">
        <v>309</v>
      </c>
      <c r="E1300">
        <v>76</v>
      </c>
    </row>
    <row r="1301" spans="3:5" x14ac:dyDescent="0.25">
      <c r="C1301" s="248">
        <v>44213</v>
      </c>
      <c r="D1301" t="s">
        <v>307</v>
      </c>
      <c r="E1301">
        <v>205</v>
      </c>
    </row>
    <row r="1302" spans="3:5" x14ac:dyDescent="0.25">
      <c r="C1302" s="248">
        <v>44220</v>
      </c>
      <c r="D1302" t="s">
        <v>308</v>
      </c>
      <c r="E1302">
        <v>45</v>
      </c>
    </row>
    <row r="1303" spans="3:5" x14ac:dyDescent="0.25">
      <c r="C1303" s="248">
        <v>44220</v>
      </c>
      <c r="D1303" t="s">
        <v>304</v>
      </c>
      <c r="E1303">
        <v>356</v>
      </c>
    </row>
    <row r="1304" spans="3:5" x14ac:dyDescent="0.25">
      <c r="C1304" s="248">
        <v>44220</v>
      </c>
      <c r="D1304" t="s">
        <v>310</v>
      </c>
      <c r="E1304">
        <v>129</v>
      </c>
    </row>
    <row r="1305" spans="3:5" x14ac:dyDescent="0.25">
      <c r="C1305" s="248">
        <v>44241</v>
      </c>
      <c r="D1305" t="s">
        <v>310</v>
      </c>
      <c r="E1305">
        <v>97</v>
      </c>
    </row>
    <row r="1306" spans="3:5" x14ac:dyDescent="0.25">
      <c r="C1306" s="248">
        <v>44235</v>
      </c>
      <c r="D1306" t="s">
        <v>305</v>
      </c>
      <c r="E1306">
        <v>136</v>
      </c>
    </row>
    <row r="1307" spans="3:5" x14ac:dyDescent="0.25">
      <c r="C1307" s="248">
        <v>44242</v>
      </c>
      <c r="D1307" t="s">
        <v>311</v>
      </c>
      <c r="E1307">
        <v>83</v>
      </c>
    </row>
    <row r="1308" spans="3:5" x14ac:dyDescent="0.25">
      <c r="C1308" s="248">
        <v>44242</v>
      </c>
      <c r="D1308" t="s">
        <v>308</v>
      </c>
      <c r="E1308">
        <v>32</v>
      </c>
    </row>
    <row r="1309" spans="3:5" x14ac:dyDescent="0.25">
      <c r="C1309" s="248">
        <v>43900</v>
      </c>
      <c r="D1309" t="s">
        <v>307</v>
      </c>
      <c r="E1309">
        <v>2</v>
      </c>
    </row>
    <row r="1310" spans="3:5" x14ac:dyDescent="0.25">
      <c r="C1310" s="248">
        <v>44091</v>
      </c>
      <c r="D1310" t="s">
        <v>311</v>
      </c>
      <c r="E1310">
        <v>140</v>
      </c>
    </row>
    <row r="1311" spans="3:5" x14ac:dyDescent="0.25">
      <c r="C1311" s="248">
        <v>44092</v>
      </c>
      <c r="D1311" t="s">
        <v>312</v>
      </c>
      <c r="E1311">
        <v>63</v>
      </c>
    </row>
    <row r="1312" spans="3:5" x14ac:dyDescent="0.25">
      <c r="C1312" s="248">
        <v>44092</v>
      </c>
      <c r="D1312" t="s">
        <v>307</v>
      </c>
      <c r="E1312">
        <v>355</v>
      </c>
    </row>
    <row r="1313" spans="3:5" x14ac:dyDescent="0.25">
      <c r="C1313" s="248">
        <v>44108</v>
      </c>
      <c r="D1313" t="s">
        <v>312</v>
      </c>
      <c r="E1313">
        <v>38</v>
      </c>
    </row>
    <row r="1314" spans="3:5" x14ac:dyDescent="0.25">
      <c r="C1314" s="248">
        <v>44091</v>
      </c>
      <c r="D1314" t="s">
        <v>308</v>
      </c>
      <c r="E1314">
        <v>57</v>
      </c>
    </row>
    <row r="1315" spans="3:5" x14ac:dyDescent="0.25">
      <c r="C1315" s="248">
        <v>44092</v>
      </c>
      <c r="D1315" t="s">
        <v>311</v>
      </c>
      <c r="E1315">
        <v>138</v>
      </c>
    </row>
    <row r="1316" spans="3:5" x14ac:dyDescent="0.25">
      <c r="C1316" s="248">
        <v>44066</v>
      </c>
      <c r="D1316" t="s">
        <v>312</v>
      </c>
      <c r="E1316">
        <v>81</v>
      </c>
    </row>
    <row r="1317" spans="3:5" x14ac:dyDescent="0.25">
      <c r="C1317" s="248">
        <v>44293</v>
      </c>
      <c r="D1317" t="s">
        <v>312</v>
      </c>
      <c r="E1317">
        <v>58</v>
      </c>
    </row>
    <row r="1318" spans="3:5" x14ac:dyDescent="0.25">
      <c r="C1318" s="248">
        <v>44105</v>
      </c>
      <c r="D1318" t="s">
        <v>310</v>
      </c>
      <c r="E1318">
        <v>246</v>
      </c>
    </row>
    <row r="1319" spans="3:5" x14ac:dyDescent="0.25">
      <c r="C1319" s="248">
        <v>44106</v>
      </c>
      <c r="D1319" t="s">
        <v>308</v>
      </c>
      <c r="E1319">
        <v>62</v>
      </c>
    </row>
    <row r="1320" spans="3:5" x14ac:dyDescent="0.25">
      <c r="C1320" s="248">
        <v>44106</v>
      </c>
      <c r="D1320" t="s">
        <v>310</v>
      </c>
      <c r="E1320">
        <v>250</v>
      </c>
    </row>
    <row r="1321" spans="3:5" x14ac:dyDescent="0.25">
      <c r="C1321" s="248">
        <v>44105</v>
      </c>
      <c r="D1321" t="s">
        <v>309</v>
      </c>
      <c r="E1321">
        <v>48</v>
      </c>
    </row>
    <row r="1322" spans="3:5" x14ac:dyDescent="0.25">
      <c r="C1322" s="248">
        <v>44104</v>
      </c>
      <c r="D1322" t="s">
        <v>310</v>
      </c>
      <c r="E1322">
        <v>293</v>
      </c>
    </row>
    <row r="1323" spans="3:5" x14ac:dyDescent="0.25">
      <c r="C1323" s="248">
        <v>44104</v>
      </c>
      <c r="D1323" t="s">
        <v>306</v>
      </c>
      <c r="E1323">
        <v>481</v>
      </c>
    </row>
    <row r="1324" spans="3:5" x14ac:dyDescent="0.25">
      <c r="C1324" s="248">
        <v>44121</v>
      </c>
      <c r="D1324" t="s">
        <v>311</v>
      </c>
      <c r="E1324">
        <v>70</v>
      </c>
    </row>
    <row r="1325" spans="3:5" x14ac:dyDescent="0.25">
      <c r="C1325" s="248">
        <v>44122</v>
      </c>
      <c r="D1325" t="s">
        <v>310</v>
      </c>
      <c r="E1325">
        <v>102</v>
      </c>
    </row>
    <row r="1326" spans="3:5" x14ac:dyDescent="0.25">
      <c r="C1326" s="248">
        <v>44121</v>
      </c>
      <c r="D1326" t="s">
        <v>310</v>
      </c>
      <c r="E1326">
        <v>132</v>
      </c>
    </row>
    <row r="1327" spans="3:5" x14ac:dyDescent="0.25">
      <c r="C1327" s="248">
        <v>44213</v>
      </c>
      <c r="D1327" t="s">
        <v>311</v>
      </c>
      <c r="E1327">
        <v>102</v>
      </c>
    </row>
    <row r="1328" spans="3:5" x14ac:dyDescent="0.25">
      <c r="C1328" s="248">
        <v>44282</v>
      </c>
      <c r="D1328" t="s">
        <v>308</v>
      </c>
      <c r="E1328">
        <v>97</v>
      </c>
    </row>
    <row r="1329" spans="3:5" x14ac:dyDescent="0.25">
      <c r="C1329" s="248">
        <v>44122</v>
      </c>
      <c r="D1329" t="s">
        <v>308</v>
      </c>
      <c r="E1329">
        <v>48</v>
      </c>
    </row>
    <row r="1330" spans="3:5" x14ac:dyDescent="0.25">
      <c r="C1330" s="248">
        <v>44122</v>
      </c>
      <c r="D1330" t="s">
        <v>304</v>
      </c>
      <c r="E1330">
        <v>138</v>
      </c>
    </row>
    <row r="1331" spans="3:5" x14ac:dyDescent="0.25">
      <c r="C1331" s="248">
        <v>44121</v>
      </c>
      <c r="D1331" t="s">
        <v>306</v>
      </c>
      <c r="E1331">
        <v>263</v>
      </c>
    </row>
    <row r="1332" spans="3:5" x14ac:dyDescent="0.25">
      <c r="C1332" s="248">
        <v>44122</v>
      </c>
      <c r="D1332" t="s">
        <v>306</v>
      </c>
      <c r="E1332">
        <v>148</v>
      </c>
    </row>
    <row r="1333" spans="3:5" x14ac:dyDescent="0.25">
      <c r="C1333" s="248">
        <v>44137</v>
      </c>
      <c r="D1333" t="s">
        <v>306</v>
      </c>
      <c r="E1333">
        <v>190</v>
      </c>
    </row>
    <row r="1334" spans="3:5" x14ac:dyDescent="0.25">
      <c r="C1334" s="248">
        <v>44152</v>
      </c>
      <c r="D1334" t="s">
        <v>310</v>
      </c>
      <c r="E1334">
        <v>102</v>
      </c>
    </row>
    <row r="1335" spans="3:5" x14ac:dyDescent="0.25">
      <c r="C1335" s="248">
        <v>44150</v>
      </c>
      <c r="D1335" t="s">
        <v>312</v>
      </c>
      <c r="E1335">
        <v>17</v>
      </c>
    </row>
    <row r="1336" spans="3:5" x14ac:dyDescent="0.25">
      <c r="C1336" s="248">
        <v>44110</v>
      </c>
      <c r="D1336" t="s">
        <v>310</v>
      </c>
      <c r="E1336">
        <v>269</v>
      </c>
    </row>
    <row r="1337" spans="3:5" x14ac:dyDescent="0.25">
      <c r="C1337" s="248">
        <v>44147</v>
      </c>
      <c r="D1337" t="s">
        <v>306</v>
      </c>
      <c r="E1337">
        <v>176</v>
      </c>
    </row>
    <row r="1338" spans="3:5" x14ac:dyDescent="0.25">
      <c r="C1338" s="248">
        <v>44152</v>
      </c>
      <c r="D1338" t="s">
        <v>308</v>
      </c>
      <c r="E1338">
        <v>28</v>
      </c>
    </row>
    <row r="1339" spans="3:5" x14ac:dyDescent="0.25">
      <c r="C1339" s="248">
        <v>44151</v>
      </c>
      <c r="D1339" t="s">
        <v>308</v>
      </c>
      <c r="E1339">
        <v>28</v>
      </c>
    </row>
    <row r="1340" spans="3:5" x14ac:dyDescent="0.25">
      <c r="C1340" s="248">
        <v>44153</v>
      </c>
      <c r="D1340" t="s">
        <v>308</v>
      </c>
      <c r="E1340">
        <v>31</v>
      </c>
    </row>
    <row r="1341" spans="3:5" x14ac:dyDescent="0.25">
      <c r="C1341" s="248">
        <v>44158</v>
      </c>
      <c r="D1341" t="s">
        <v>308</v>
      </c>
      <c r="E1341">
        <v>16</v>
      </c>
    </row>
    <row r="1342" spans="3:5" x14ac:dyDescent="0.25">
      <c r="C1342" s="248">
        <v>44184</v>
      </c>
      <c r="D1342" t="s">
        <v>310</v>
      </c>
      <c r="E1342">
        <v>107</v>
      </c>
    </row>
    <row r="1343" spans="3:5" x14ac:dyDescent="0.25">
      <c r="C1343" s="248">
        <v>44185</v>
      </c>
      <c r="D1343" t="s">
        <v>308</v>
      </c>
      <c r="E1343">
        <v>28</v>
      </c>
    </row>
    <row r="1344" spans="3:5" x14ac:dyDescent="0.25">
      <c r="C1344" s="248">
        <v>44184</v>
      </c>
      <c r="D1344" t="s">
        <v>304</v>
      </c>
      <c r="E1344">
        <v>189</v>
      </c>
    </row>
    <row r="1345" spans="3:5" x14ac:dyDescent="0.25">
      <c r="C1345" s="248">
        <v>44199</v>
      </c>
      <c r="D1345" t="s">
        <v>308</v>
      </c>
      <c r="E1345">
        <v>61</v>
      </c>
    </row>
    <row r="1346" spans="3:5" x14ac:dyDescent="0.25">
      <c r="C1346" s="248">
        <v>44185</v>
      </c>
      <c r="D1346" t="s">
        <v>311</v>
      </c>
      <c r="E1346">
        <v>63</v>
      </c>
    </row>
    <row r="1347" spans="3:5" x14ac:dyDescent="0.25">
      <c r="C1347" s="248">
        <v>44185</v>
      </c>
      <c r="D1347" t="s">
        <v>304</v>
      </c>
      <c r="E1347">
        <v>169</v>
      </c>
    </row>
    <row r="1348" spans="3:5" x14ac:dyDescent="0.25">
      <c r="C1348" s="248">
        <v>44189</v>
      </c>
      <c r="D1348" t="s">
        <v>307</v>
      </c>
      <c r="E1348">
        <v>142</v>
      </c>
    </row>
    <row r="1349" spans="3:5" x14ac:dyDescent="0.25">
      <c r="C1349" s="248">
        <v>44199</v>
      </c>
      <c r="D1349" t="s">
        <v>307</v>
      </c>
      <c r="E1349">
        <v>252</v>
      </c>
    </row>
    <row r="1350" spans="3:5" x14ac:dyDescent="0.25">
      <c r="C1350" s="248">
        <v>44200</v>
      </c>
      <c r="D1350" t="s">
        <v>305</v>
      </c>
      <c r="E1350">
        <v>157</v>
      </c>
    </row>
    <row r="1351" spans="3:5" x14ac:dyDescent="0.25">
      <c r="C1351" s="248">
        <v>44246</v>
      </c>
      <c r="D1351" t="s">
        <v>309</v>
      </c>
      <c r="E1351">
        <v>18</v>
      </c>
    </row>
    <row r="1352" spans="3:5" x14ac:dyDescent="0.25">
      <c r="C1352" s="248">
        <v>44180</v>
      </c>
      <c r="D1352" t="s">
        <v>312</v>
      </c>
      <c r="E1352">
        <v>23</v>
      </c>
    </row>
    <row r="1353" spans="3:5" x14ac:dyDescent="0.25">
      <c r="C1353" s="248">
        <v>44188</v>
      </c>
      <c r="D1353" t="s">
        <v>306</v>
      </c>
      <c r="E1353">
        <v>344</v>
      </c>
    </row>
    <row r="1354" spans="3:5" x14ac:dyDescent="0.25">
      <c r="C1354" s="248">
        <v>44212</v>
      </c>
      <c r="D1354" t="s">
        <v>306</v>
      </c>
      <c r="E1354">
        <v>349</v>
      </c>
    </row>
    <row r="1355" spans="3:5" x14ac:dyDescent="0.25">
      <c r="C1355" s="248">
        <v>44200</v>
      </c>
      <c r="D1355" t="s">
        <v>309</v>
      </c>
      <c r="E1355">
        <v>48</v>
      </c>
    </row>
    <row r="1356" spans="3:5" x14ac:dyDescent="0.25">
      <c r="C1356" s="248">
        <v>44242</v>
      </c>
      <c r="D1356" t="s">
        <v>305</v>
      </c>
      <c r="E1356">
        <v>75</v>
      </c>
    </row>
    <row r="1357" spans="3:5" x14ac:dyDescent="0.25">
      <c r="C1357" s="248">
        <v>44077</v>
      </c>
      <c r="D1357" t="s">
        <v>307</v>
      </c>
      <c r="E1357">
        <v>494</v>
      </c>
    </row>
    <row r="1358" spans="3:5" x14ac:dyDescent="0.25">
      <c r="C1358" s="248">
        <v>44108</v>
      </c>
      <c r="D1358" t="s">
        <v>308</v>
      </c>
      <c r="E1358">
        <v>37</v>
      </c>
    </row>
    <row r="1359" spans="3:5" x14ac:dyDescent="0.25">
      <c r="C1359" s="248">
        <v>44051</v>
      </c>
      <c r="D1359" t="s">
        <v>307</v>
      </c>
      <c r="E1359">
        <v>335</v>
      </c>
    </row>
    <row r="1360" spans="3:5" x14ac:dyDescent="0.25">
      <c r="C1360" s="248">
        <v>44093</v>
      </c>
      <c r="D1360" t="s">
        <v>312</v>
      </c>
      <c r="E1360">
        <v>39</v>
      </c>
    </row>
    <row r="1361" spans="3:5" x14ac:dyDescent="0.25">
      <c r="C1361" s="248">
        <v>44091</v>
      </c>
      <c r="D1361" t="s">
        <v>310</v>
      </c>
      <c r="E1361">
        <v>234</v>
      </c>
    </row>
    <row r="1362" spans="3:5" x14ac:dyDescent="0.25">
      <c r="C1362" s="248">
        <v>44092</v>
      </c>
      <c r="D1362" t="s">
        <v>304</v>
      </c>
      <c r="E1362">
        <v>352</v>
      </c>
    </row>
    <row r="1363" spans="3:5" x14ac:dyDescent="0.25">
      <c r="C1363" s="248">
        <v>44105</v>
      </c>
      <c r="D1363" t="s">
        <v>307</v>
      </c>
      <c r="E1363">
        <v>328</v>
      </c>
    </row>
    <row r="1364" spans="3:5" x14ac:dyDescent="0.25">
      <c r="C1364" s="248">
        <v>44130</v>
      </c>
      <c r="D1364" t="s">
        <v>306</v>
      </c>
      <c r="E1364">
        <v>263</v>
      </c>
    </row>
    <row r="1365" spans="3:5" x14ac:dyDescent="0.25">
      <c r="C1365" s="248">
        <v>44125</v>
      </c>
      <c r="D1365" t="s">
        <v>304</v>
      </c>
      <c r="E1365">
        <v>245</v>
      </c>
    </row>
    <row r="1366" spans="3:5" x14ac:dyDescent="0.25">
      <c r="C1366" s="248">
        <v>44093</v>
      </c>
      <c r="D1366" t="s">
        <v>307</v>
      </c>
      <c r="E1366">
        <v>271</v>
      </c>
    </row>
    <row r="1367" spans="3:5" x14ac:dyDescent="0.25">
      <c r="C1367" s="248">
        <v>44121</v>
      </c>
      <c r="D1367" t="s">
        <v>307</v>
      </c>
      <c r="E1367">
        <v>186</v>
      </c>
    </row>
    <row r="1368" spans="3:5" x14ac:dyDescent="0.25">
      <c r="C1368" s="248">
        <v>44148</v>
      </c>
      <c r="D1368" t="s">
        <v>311</v>
      </c>
      <c r="E1368">
        <v>58</v>
      </c>
    </row>
    <row r="1369" spans="3:5" x14ac:dyDescent="0.25">
      <c r="C1369" s="248">
        <v>44150</v>
      </c>
      <c r="D1369" t="s">
        <v>308</v>
      </c>
      <c r="E1369">
        <v>19</v>
      </c>
    </row>
    <row r="1370" spans="3:5" x14ac:dyDescent="0.25">
      <c r="C1370" s="248">
        <v>44221</v>
      </c>
      <c r="D1370" t="s">
        <v>309</v>
      </c>
      <c r="E1370">
        <v>38</v>
      </c>
    </row>
    <row r="1371" spans="3:5" x14ac:dyDescent="0.25">
      <c r="C1371" s="248">
        <v>44149</v>
      </c>
      <c r="D1371" t="s">
        <v>308</v>
      </c>
      <c r="E1371">
        <v>24</v>
      </c>
    </row>
    <row r="1372" spans="3:5" x14ac:dyDescent="0.25">
      <c r="C1372" s="248">
        <v>44151</v>
      </c>
      <c r="D1372" t="s">
        <v>310</v>
      </c>
      <c r="E1372">
        <v>90</v>
      </c>
    </row>
    <row r="1373" spans="3:5" x14ac:dyDescent="0.25">
      <c r="C1373" s="248">
        <v>44151</v>
      </c>
      <c r="D1373" t="s">
        <v>311</v>
      </c>
      <c r="E1373">
        <v>58</v>
      </c>
    </row>
    <row r="1374" spans="3:5" x14ac:dyDescent="0.25">
      <c r="C1374" s="248">
        <v>44187</v>
      </c>
      <c r="D1374" t="s">
        <v>312</v>
      </c>
      <c r="E1374">
        <v>32</v>
      </c>
    </row>
    <row r="1375" spans="3:5" x14ac:dyDescent="0.25">
      <c r="C1375" s="248">
        <v>44187</v>
      </c>
      <c r="D1375" t="s">
        <v>308</v>
      </c>
      <c r="E1375">
        <v>50</v>
      </c>
    </row>
    <row r="1376" spans="3:5" x14ac:dyDescent="0.25">
      <c r="C1376" s="248">
        <v>44126</v>
      </c>
      <c r="D1376" t="s">
        <v>304</v>
      </c>
      <c r="E1376">
        <v>230</v>
      </c>
    </row>
    <row r="1377" spans="3:5" x14ac:dyDescent="0.25">
      <c r="C1377" s="248">
        <v>44123</v>
      </c>
      <c r="D1377" t="s">
        <v>304</v>
      </c>
      <c r="E1377">
        <v>224</v>
      </c>
    </row>
    <row r="1378" spans="3:5" x14ac:dyDescent="0.25">
      <c r="C1378" s="248">
        <v>44183</v>
      </c>
      <c r="D1378" t="s">
        <v>306</v>
      </c>
      <c r="E1378">
        <v>247</v>
      </c>
    </row>
    <row r="1379" spans="3:5" x14ac:dyDescent="0.25">
      <c r="C1379" s="248">
        <v>44182</v>
      </c>
      <c r="D1379" t="s">
        <v>311</v>
      </c>
      <c r="E1379">
        <v>67</v>
      </c>
    </row>
    <row r="1380" spans="3:5" x14ac:dyDescent="0.25">
      <c r="C1380" s="248">
        <v>44184</v>
      </c>
      <c r="D1380" t="s">
        <v>308</v>
      </c>
      <c r="E1380">
        <v>33</v>
      </c>
    </row>
    <row r="1381" spans="3:5" x14ac:dyDescent="0.25">
      <c r="C1381" s="248">
        <v>44295</v>
      </c>
      <c r="D1381" t="s">
        <v>308</v>
      </c>
      <c r="E1381">
        <v>110</v>
      </c>
    </row>
    <row r="1382" spans="3:5" x14ac:dyDescent="0.25">
      <c r="C1382" s="248">
        <v>44209</v>
      </c>
      <c r="D1382" t="s">
        <v>305</v>
      </c>
      <c r="E1382">
        <v>154</v>
      </c>
    </row>
    <row r="1383" spans="3:5" x14ac:dyDescent="0.25">
      <c r="C1383" s="248">
        <v>44218</v>
      </c>
      <c r="D1383" t="s">
        <v>309</v>
      </c>
      <c r="E1383">
        <v>33</v>
      </c>
    </row>
    <row r="1384" spans="3:5" x14ac:dyDescent="0.25">
      <c r="C1384" s="248">
        <v>44186</v>
      </c>
      <c r="D1384" t="s">
        <v>311</v>
      </c>
      <c r="E1384">
        <v>109</v>
      </c>
    </row>
    <row r="1385" spans="3:5" x14ac:dyDescent="0.25">
      <c r="C1385" s="248">
        <v>44187</v>
      </c>
      <c r="D1385" t="s">
        <v>306</v>
      </c>
      <c r="E1385">
        <v>309</v>
      </c>
    </row>
    <row r="1386" spans="3:5" x14ac:dyDescent="0.25">
      <c r="C1386" s="248">
        <v>44282</v>
      </c>
      <c r="D1386" t="s">
        <v>309</v>
      </c>
      <c r="E1386">
        <v>45</v>
      </c>
    </row>
    <row r="1387" spans="3:5" x14ac:dyDescent="0.25">
      <c r="C1387" s="248">
        <v>44200</v>
      </c>
      <c r="D1387" t="s">
        <v>310</v>
      </c>
      <c r="E1387">
        <v>311</v>
      </c>
    </row>
    <row r="1388" spans="3:5" x14ac:dyDescent="0.25">
      <c r="C1388" s="248">
        <v>44221</v>
      </c>
      <c r="D1388" t="s">
        <v>311</v>
      </c>
      <c r="E1388">
        <v>141</v>
      </c>
    </row>
    <row r="1389" spans="3:5" x14ac:dyDescent="0.25">
      <c r="C1389" s="248">
        <v>44220</v>
      </c>
      <c r="D1389" t="s">
        <v>307</v>
      </c>
      <c r="E1389">
        <v>185</v>
      </c>
    </row>
    <row r="1390" spans="3:5" x14ac:dyDescent="0.25">
      <c r="C1390" s="248">
        <v>44283</v>
      </c>
      <c r="D1390" t="s">
        <v>308</v>
      </c>
      <c r="E1390">
        <v>76</v>
      </c>
    </row>
    <row r="1391" spans="3:5" x14ac:dyDescent="0.25">
      <c r="C1391" s="248">
        <v>44161</v>
      </c>
      <c r="D1391" t="s">
        <v>307</v>
      </c>
      <c r="E1391">
        <v>96</v>
      </c>
    </row>
    <row r="1392" spans="3:5" x14ac:dyDescent="0.25">
      <c r="C1392" s="248">
        <v>44093</v>
      </c>
      <c r="D1392" t="s">
        <v>311</v>
      </c>
      <c r="E1392">
        <v>120</v>
      </c>
    </row>
    <row r="1393" spans="3:5" x14ac:dyDescent="0.25">
      <c r="C1393" s="248">
        <v>44055</v>
      </c>
      <c r="D1393" t="s">
        <v>312</v>
      </c>
      <c r="E1393">
        <v>68</v>
      </c>
    </row>
    <row r="1394" spans="3:5" x14ac:dyDescent="0.25">
      <c r="C1394" s="248">
        <v>44094</v>
      </c>
      <c r="D1394" t="s">
        <v>307</v>
      </c>
      <c r="E1394">
        <v>176</v>
      </c>
    </row>
    <row r="1395" spans="3:5" x14ac:dyDescent="0.25">
      <c r="C1395" s="248">
        <v>44094</v>
      </c>
      <c r="D1395" t="s">
        <v>308</v>
      </c>
      <c r="E1395">
        <v>67</v>
      </c>
    </row>
    <row r="1396" spans="3:5" x14ac:dyDescent="0.25">
      <c r="C1396" s="248">
        <v>44108</v>
      </c>
      <c r="D1396" t="s">
        <v>311</v>
      </c>
      <c r="E1396">
        <v>69</v>
      </c>
    </row>
    <row r="1397" spans="3:5" x14ac:dyDescent="0.25">
      <c r="C1397" s="248">
        <v>44064</v>
      </c>
      <c r="D1397" t="s">
        <v>308</v>
      </c>
      <c r="E1397">
        <v>81</v>
      </c>
    </row>
    <row r="1398" spans="3:5" x14ac:dyDescent="0.25">
      <c r="C1398" s="248">
        <v>44106</v>
      </c>
      <c r="D1398" t="s">
        <v>306</v>
      </c>
      <c r="E1398">
        <v>431</v>
      </c>
    </row>
    <row r="1399" spans="3:5" x14ac:dyDescent="0.25">
      <c r="C1399" s="248">
        <v>44107</v>
      </c>
      <c r="D1399" t="s">
        <v>308</v>
      </c>
      <c r="E1399">
        <v>36</v>
      </c>
    </row>
    <row r="1400" spans="3:5" x14ac:dyDescent="0.25">
      <c r="C1400" s="248">
        <v>44107</v>
      </c>
      <c r="D1400" t="s">
        <v>306</v>
      </c>
      <c r="E1400">
        <v>249</v>
      </c>
    </row>
    <row r="1401" spans="3:5" x14ac:dyDescent="0.25">
      <c r="C1401" s="248">
        <v>44108</v>
      </c>
      <c r="D1401" t="s">
        <v>310</v>
      </c>
      <c r="E1401">
        <v>116</v>
      </c>
    </row>
    <row r="1402" spans="3:5" x14ac:dyDescent="0.25">
      <c r="C1402" s="248">
        <v>44108</v>
      </c>
      <c r="D1402" t="s">
        <v>307</v>
      </c>
      <c r="E1402">
        <v>175</v>
      </c>
    </row>
    <row r="1403" spans="3:5" x14ac:dyDescent="0.25">
      <c r="C1403" s="248">
        <v>44158</v>
      </c>
      <c r="D1403" t="s">
        <v>312</v>
      </c>
      <c r="E1403">
        <v>9</v>
      </c>
    </row>
    <row r="1404" spans="3:5" x14ac:dyDescent="0.25">
      <c r="C1404" s="248">
        <v>44124</v>
      </c>
      <c r="D1404" t="s">
        <v>311</v>
      </c>
      <c r="E1404">
        <v>99</v>
      </c>
    </row>
    <row r="1405" spans="3:5" x14ac:dyDescent="0.25">
      <c r="C1405" s="248">
        <v>44296</v>
      </c>
      <c r="D1405" t="s">
        <v>311</v>
      </c>
      <c r="E1405">
        <v>190</v>
      </c>
    </row>
    <row r="1406" spans="3:5" x14ac:dyDescent="0.25">
      <c r="C1406" s="248">
        <v>44123</v>
      </c>
      <c r="D1406" t="s">
        <v>311</v>
      </c>
      <c r="E1406">
        <v>101</v>
      </c>
    </row>
    <row r="1407" spans="3:5" x14ac:dyDescent="0.25">
      <c r="C1407" s="248">
        <v>44124</v>
      </c>
      <c r="D1407" t="s">
        <v>308</v>
      </c>
      <c r="E1407">
        <v>49</v>
      </c>
    </row>
    <row r="1408" spans="3:5" x14ac:dyDescent="0.25">
      <c r="C1408" s="248">
        <v>44125</v>
      </c>
      <c r="D1408" t="s">
        <v>311</v>
      </c>
      <c r="E1408">
        <v>80</v>
      </c>
    </row>
    <row r="1409" spans="3:5" x14ac:dyDescent="0.25">
      <c r="C1409" s="248">
        <v>44154</v>
      </c>
      <c r="D1409" t="s">
        <v>312</v>
      </c>
      <c r="E1409">
        <v>12</v>
      </c>
    </row>
    <row r="1410" spans="3:5" x14ac:dyDescent="0.25">
      <c r="C1410" s="248">
        <v>44154</v>
      </c>
      <c r="D1410" t="s">
        <v>311</v>
      </c>
      <c r="E1410">
        <v>61</v>
      </c>
    </row>
    <row r="1411" spans="3:5" x14ac:dyDescent="0.25">
      <c r="C1411" s="248">
        <v>44157</v>
      </c>
      <c r="D1411" t="s">
        <v>308</v>
      </c>
      <c r="E1411">
        <v>22</v>
      </c>
    </row>
    <row r="1412" spans="3:5" x14ac:dyDescent="0.25">
      <c r="C1412" s="248">
        <v>44173</v>
      </c>
      <c r="D1412" t="s">
        <v>307</v>
      </c>
      <c r="E1412">
        <v>97</v>
      </c>
    </row>
    <row r="1413" spans="3:5" x14ac:dyDescent="0.25">
      <c r="C1413" s="248">
        <v>44235</v>
      </c>
      <c r="D1413" t="s">
        <v>310</v>
      </c>
      <c r="E1413">
        <v>196</v>
      </c>
    </row>
    <row r="1414" spans="3:5" x14ac:dyDescent="0.25">
      <c r="C1414" s="248">
        <v>44156</v>
      </c>
      <c r="D1414" t="s">
        <v>308</v>
      </c>
      <c r="E1414">
        <v>28</v>
      </c>
    </row>
    <row r="1415" spans="3:5" x14ac:dyDescent="0.25">
      <c r="C1415" s="248">
        <v>44155</v>
      </c>
      <c r="D1415" t="s">
        <v>308</v>
      </c>
      <c r="E1415">
        <v>17</v>
      </c>
    </row>
    <row r="1416" spans="3:5" x14ac:dyDescent="0.25">
      <c r="C1416" s="248">
        <v>44220</v>
      </c>
      <c r="D1416" t="s">
        <v>309</v>
      </c>
      <c r="E1416">
        <v>26</v>
      </c>
    </row>
    <row r="1417" spans="3:5" x14ac:dyDescent="0.25">
      <c r="C1417" s="248">
        <v>44138</v>
      </c>
      <c r="D1417" t="s">
        <v>305</v>
      </c>
      <c r="E1417">
        <v>46</v>
      </c>
    </row>
    <row r="1418" spans="3:5" x14ac:dyDescent="0.25">
      <c r="C1418" s="248">
        <v>44092</v>
      </c>
      <c r="D1418" t="s">
        <v>308</v>
      </c>
      <c r="E1418">
        <v>80</v>
      </c>
    </row>
    <row r="1419" spans="3:5" x14ac:dyDescent="0.25">
      <c r="C1419" s="248">
        <v>44092</v>
      </c>
      <c r="D1419" t="s">
        <v>306</v>
      </c>
      <c r="E1419">
        <v>481</v>
      </c>
    </row>
    <row r="1420" spans="3:5" x14ac:dyDescent="0.25">
      <c r="C1420" s="248">
        <v>44095</v>
      </c>
      <c r="D1420" t="s">
        <v>311</v>
      </c>
      <c r="E1420">
        <v>123</v>
      </c>
    </row>
    <row r="1421" spans="3:5" x14ac:dyDescent="0.25">
      <c r="C1421" s="248">
        <v>44092</v>
      </c>
      <c r="D1421" t="s">
        <v>310</v>
      </c>
      <c r="E1421">
        <v>239</v>
      </c>
    </row>
    <row r="1422" spans="3:5" x14ac:dyDescent="0.25">
      <c r="C1422" s="248">
        <v>44077</v>
      </c>
      <c r="D1422" t="s">
        <v>312</v>
      </c>
      <c r="E1422">
        <v>76</v>
      </c>
    </row>
    <row r="1423" spans="3:5" x14ac:dyDescent="0.25">
      <c r="C1423" s="248">
        <v>44047</v>
      </c>
      <c r="D1423" t="s">
        <v>305</v>
      </c>
      <c r="E1423">
        <v>150</v>
      </c>
    </row>
    <row r="1424" spans="3:5" x14ac:dyDescent="0.25">
      <c r="C1424" s="248">
        <v>44123</v>
      </c>
      <c r="D1424" t="s">
        <v>306</v>
      </c>
      <c r="E1424">
        <v>274</v>
      </c>
    </row>
    <row r="1425" spans="3:5" x14ac:dyDescent="0.25">
      <c r="C1425" s="248">
        <v>44123</v>
      </c>
      <c r="D1425" t="s">
        <v>305</v>
      </c>
      <c r="E1425">
        <v>84</v>
      </c>
    </row>
    <row r="1426" spans="3:5" x14ac:dyDescent="0.25">
      <c r="C1426" s="248">
        <v>44123</v>
      </c>
      <c r="D1426" t="s">
        <v>310</v>
      </c>
      <c r="E1426">
        <v>193</v>
      </c>
    </row>
    <row r="1427" spans="3:5" x14ac:dyDescent="0.25">
      <c r="C1427" s="248">
        <v>44123</v>
      </c>
      <c r="D1427" t="s">
        <v>307</v>
      </c>
      <c r="E1427">
        <v>227</v>
      </c>
    </row>
    <row r="1428" spans="3:5" x14ac:dyDescent="0.25">
      <c r="C1428" s="248">
        <v>44123</v>
      </c>
      <c r="D1428" t="s">
        <v>309</v>
      </c>
      <c r="E1428">
        <v>44</v>
      </c>
    </row>
    <row r="1429" spans="3:5" x14ac:dyDescent="0.25">
      <c r="C1429" s="248">
        <v>44161</v>
      </c>
      <c r="D1429" t="s">
        <v>306</v>
      </c>
      <c r="E1429">
        <v>155</v>
      </c>
    </row>
    <row r="1430" spans="3:5" x14ac:dyDescent="0.25">
      <c r="C1430" s="248">
        <v>44153</v>
      </c>
      <c r="D1430" t="s">
        <v>306</v>
      </c>
      <c r="E1430">
        <v>200</v>
      </c>
    </row>
    <row r="1431" spans="3:5" x14ac:dyDescent="0.25">
      <c r="C1431" s="248">
        <v>44154</v>
      </c>
      <c r="D1431" t="s">
        <v>306</v>
      </c>
      <c r="E1431">
        <v>163</v>
      </c>
    </row>
    <row r="1432" spans="3:5" x14ac:dyDescent="0.25">
      <c r="C1432" s="248">
        <v>44160</v>
      </c>
      <c r="D1432" t="s">
        <v>308</v>
      </c>
      <c r="E1432">
        <v>29</v>
      </c>
    </row>
    <row r="1433" spans="3:5" x14ac:dyDescent="0.25">
      <c r="C1433" s="248">
        <v>44154</v>
      </c>
      <c r="D1433" t="s">
        <v>308</v>
      </c>
      <c r="E1433">
        <v>31</v>
      </c>
    </row>
    <row r="1434" spans="3:5" x14ac:dyDescent="0.25">
      <c r="C1434" s="248">
        <v>44154</v>
      </c>
      <c r="D1434" t="s">
        <v>307</v>
      </c>
      <c r="E1434">
        <v>110</v>
      </c>
    </row>
    <row r="1435" spans="3:5" x14ac:dyDescent="0.25">
      <c r="C1435" s="248">
        <v>44153</v>
      </c>
      <c r="D1435" t="s">
        <v>311</v>
      </c>
      <c r="E1435">
        <v>60</v>
      </c>
    </row>
    <row r="1436" spans="3:5" x14ac:dyDescent="0.25">
      <c r="C1436" s="248">
        <v>44153</v>
      </c>
      <c r="D1436" t="s">
        <v>304</v>
      </c>
      <c r="E1436">
        <v>154</v>
      </c>
    </row>
    <row r="1437" spans="3:5" x14ac:dyDescent="0.25">
      <c r="C1437" s="248">
        <v>44153</v>
      </c>
      <c r="D1437" t="s">
        <v>310</v>
      </c>
      <c r="E1437">
        <v>94</v>
      </c>
    </row>
    <row r="1438" spans="3:5" x14ac:dyDescent="0.25">
      <c r="C1438" s="248">
        <v>44155</v>
      </c>
      <c r="D1438" t="s">
        <v>311</v>
      </c>
      <c r="E1438">
        <v>55</v>
      </c>
    </row>
    <row r="1439" spans="3:5" x14ac:dyDescent="0.25">
      <c r="C1439" s="248">
        <v>44184</v>
      </c>
      <c r="D1439" t="s">
        <v>306</v>
      </c>
      <c r="E1439">
        <v>167</v>
      </c>
    </row>
    <row r="1440" spans="3:5" x14ac:dyDescent="0.25">
      <c r="C1440" s="248">
        <v>44186</v>
      </c>
      <c r="D1440" t="s">
        <v>306</v>
      </c>
      <c r="E1440">
        <v>307</v>
      </c>
    </row>
    <row r="1441" spans="3:5" x14ac:dyDescent="0.25">
      <c r="C1441" s="248">
        <v>44127</v>
      </c>
      <c r="D1441" t="s">
        <v>311</v>
      </c>
      <c r="E1441">
        <v>84</v>
      </c>
    </row>
    <row r="1442" spans="3:5" x14ac:dyDescent="0.25">
      <c r="C1442" s="248">
        <v>44126</v>
      </c>
      <c r="D1442" t="s">
        <v>312</v>
      </c>
      <c r="E1442">
        <v>23</v>
      </c>
    </row>
    <row r="1443" spans="3:5" x14ac:dyDescent="0.25">
      <c r="C1443" s="248">
        <v>44124</v>
      </c>
      <c r="D1443" t="s">
        <v>307</v>
      </c>
      <c r="E1443">
        <v>242</v>
      </c>
    </row>
    <row r="1444" spans="3:5" x14ac:dyDescent="0.25">
      <c r="C1444" s="248">
        <v>44158</v>
      </c>
      <c r="D1444" t="s">
        <v>311</v>
      </c>
      <c r="E1444">
        <v>33</v>
      </c>
    </row>
    <row r="1445" spans="3:5" x14ac:dyDescent="0.25">
      <c r="C1445" s="248">
        <v>44159</v>
      </c>
      <c r="D1445" t="s">
        <v>311</v>
      </c>
      <c r="E1445">
        <v>57</v>
      </c>
    </row>
    <row r="1446" spans="3:5" x14ac:dyDescent="0.25">
      <c r="C1446" s="248">
        <v>44161</v>
      </c>
      <c r="D1446" t="s">
        <v>311</v>
      </c>
      <c r="E1446">
        <v>49</v>
      </c>
    </row>
    <row r="1447" spans="3:5" x14ac:dyDescent="0.25">
      <c r="C1447" s="248">
        <v>44159</v>
      </c>
      <c r="D1447" t="s">
        <v>312</v>
      </c>
      <c r="E1447">
        <v>17</v>
      </c>
    </row>
    <row r="1448" spans="3:5" x14ac:dyDescent="0.25">
      <c r="C1448" s="248">
        <v>44161</v>
      </c>
      <c r="D1448" t="s">
        <v>308</v>
      </c>
      <c r="E1448">
        <v>18</v>
      </c>
    </row>
    <row r="1449" spans="3:5" x14ac:dyDescent="0.25">
      <c r="C1449" s="248">
        <v>44162</v>
      </c>
      <c r="D1449" t="s">
        <v>307</v>
      </c>
      <c r="E1449">
        <v>119</v>
      </c>
    </row>
    <row r="1450" spans="3:5" x14ac:dyDescent="0.25">
      <c r="C1450" s="248">
        <v>44162</v>
      </c>
      <c r="D1450" t="s">
        <v>306</v>
      </c>
      <c r="E1450">
        <v>113</v>
      </c>
    </row>
    <row r="1451" spans="3:5" x14ac:dyDescent="0.25">
      <c r="C1451" s="248">
        <v>44176</v>
      </c>
      <c r="D1451" t="s">
        <v>308</v>
      </c>
      <c r="E1451">
        <v>25</v>
      </c>
    </row>
    <row r="1452" spans="3:5" x14ac:dyDescent="0.25">
      <c r="C1452" s="248">
        <v>44191</v>
      </c>
      <c r="D1452" t="s">
        <v>304</v>
      </c>
      <c r="E1452">
        <v>357</v>
      </c>
    </row>
    <row r="1453" spans="3:5" x14ac:dyDescent="0.25">
      <c r="C1453" s="248">
        <v>44190</v>
      </c>
      <c r="D1453" t="s">
        <v>312</v>
      </c>
      <c r="E1453">
        <v>8</v>
      </c>
    </row>
    <row r="1454" spans="3:5" x14ac:dyDescent="0.25">
      <c r="C1454" s="248">
        <v>44188</v>
      </c>
      <c r="D1454" t="s">
        <v>310</v>
      </c>
      <c r="E1454">
        <v>196</v>
      </c>
    </row>
    <row r="1455" spans="3:5" x14ac:dyDescent="0.25">
      <c r="C1455" s="248">
        <v>44201</v>
      </c>
      <c r="D1455" t="s">
        <v>311</v>
      </c>
      <c r="E1455">
        <v>171</v>
      </c>
    </row>
    <row r="1456" spans="3:5" x14ac:dyDescent="0.25">
      <c r="C1456" s="248">
        <v>44212</v>
      </c>
      <c r="D1456" t="s">
        <v>307</v>
      </c>
      <c r="E1456">
        <v>263</v>
      </c>
    </row>
    <row r="1457" spans="3:5" x14ac:dyDescent="0.25">
      <c r="C1457" s="248">
        <v>44283</v>
      </c>
      <c r="D1457" t="s">
        <v>309</v>
      </c>
      <c r="E1457">
        <v>36</v>
      </c>
    </row>
    <row r="1458" spans="3:5" x14ac:dyDescent="0.25">
      <c r="C1458" s="248">
        <v>44236</v>
      </c>
      <c r="D1458" t="s">
        <v>308</v>
      </c>
      <c r="E1458">
        <v>50</v>
      </c>
    </row>
    <row r="1459" spans="3:5" x14ac:dyDescent="0.25">
      <c r="C1459" s="248">
        <v>44226</v>
      </c>
      <c r="D1459" t="s">
        <v>305</v>
      </c>
      <c r="E1459">
        <v>246</v>
      </c>
    </row>
    <row r="1460" spans="3:5" x14ac:dyDescent="0.25">
      <c r="C1460" s="248">
        <v>44288</v>
      </c>
      <c r="D1460" t="s">
        <v>308</v>
      </c>
      <c r="E1460">
        <v>94</v>
      </c>
    </row>
    <row r="1461" spans="3:5" x14ac:dyDescent="0.25">
      <c r="C1461" s="248">
        <v>44093</v>
      </c>
      <c r="D1461" t="s">
        <v>304</v>
      </c>
      <c r="E1461">
        <v>248</v>
      </c>
    </row>
    <row r="1462" spans="3:5" x14ac:dyDescent="0.25">
      <c r="C1462" s="248">
        <v>44079</v>
      </c>
      <c r="D1462" t="s">
        <v>311</v>
      </c>
      <c r="E1462">
        <v>129</v>
      </c>
    </row>
    <row r="1463" spans="3:5" x14ac:dyDescent="0.25">
      <c r="C1463" s="248">
        <v>44094</v>
      </c>
      <c r="D1463" t="s">
        <v>311</v>
      </c>
      <c r="E1463">
        <v>83</v>
      </c>
    </row>
    <row r="1464" spans="3:5" x14ac:dyDescent="0.25">
      <c r="C1464" s="248">
        <v>44095</v>
      </c>
      <c r="D1464" t="s">
        <v>310</v>
      </c>
      <c r="E1464">
        <v>219</v>
      </c>
    </row>
    <row r="1465" spans="3:5" x14ac:dyDescent="0.25">
      <c r="C1465" s="248">
        <v>44054</v>
      </c>
      <c r="D1465" t="s">
        <v>306</v>
      </c>
      <c r="E1465">
        <v>588</v>
      </c>
    </row>
    <row r="1466" spans="3:5" x14ac:dyDescent="0.25">
      <c r="C1466" s="248">
        <v>44110</v>
      </c>
      <c r="D1466" t="s">
        <v>307</v>
      </c>
      <c r="E1466">
        <v>315</v>
      </c>
    </row>
    <row r="1467" spans="3:5" x14ac:dyDescent="0.25">
      <c r="C1467" s="248">
        <v>44109</v>
      </c>
      <c r="D1467" t="s">
        <v>310</v>
      </c>
      <c r="E1467">
        <v>237</v>
      </c>
    </row>
    <row r="1468" spans="3:5" x14ac:dyDescent="0.25">
      <c r="C1468" s="248">
        <v>44109</v>
      </c>
      <c r="D1468" t="s">
        <v>307</v>
      </c>
      <c r="E1468">
        <v>291</v>
      </c>
    </row>
    <row r="1469" spans="3:5" x14ac:dyDescent="0.25">
      <c r="C1469" s="248">
        <v>44129</v>
      </c>
      <c r="D1469" t="s">
        <v>310</v>
      </c>
      <c r="E1469">
        <v>99</v>
      </c>
    </row>
    <row r="1470" spans="3:5" x14ac:dyDescent="0.25">
      <c r="C1470" s="248">
        <v>44197</v>
      </c>
      <c r="D1470" t="s">
        <v>310</v>
      </c>
      <c r="E1470">
        <v>77</v>
      </c>
    </row>
    <row r="1471" spans="3:5" x14ac:dyDescent="0.25">
      <c r="C1471" s="248">
        <v>44159</v>
      </c>
      <c r="D1471" t="s">
        <v>310</v>
      </c>
      <c r="E1471">
        <v>76</v>
      </c>
    </row>
    <row r="1472" spans="3:5" x14ac:dyDescent="0.25">
      <c r="C1472" s="248">
        <v>44094</v>
      </c>
      <c r="D1472" t="s">
        <v>310</v>
      </c>
      <c r="E1472">
        <v>125</v>
      </c>
    </row>
    <row r="1473" spans="3:5" x14ac:dyDescent="0.25">
      <c r="C1473" s="248">
        <v>44099</v>
      </c>
      <c r="D1473" t="s">
        <v>304</v>
      </c>
      <c r="E1473">
        <v>372</v>
      </c>
    </row>
    <row r="1474" spans="3:5" x14ac:dyDescent="0.25">
      <c r="C1474" s="248">
        <v>44076</v>
      </c>
      <c r="D1474" t="s">
        <v>308</v>
      </c>
      <c r="E1474">
        <v>102</v>
      </c>
    </row>
    <row r="1475" spans="3:5" x14ac:dyDescent="0.25">
      <c r="C1475" s="248">
        <v>44108</v>
      </c>
      <c r="D1475" t="s">
        <v>304</v>
      </c>
      <c r="E1475">
        <v>188</v>
      </c>
    </row>
    <row r="1476" spans="3:5" x14ac:dyDescent="0.25">
      <c r="C1476" s="248">
        <v>44107</v>
      </c>
      <c r="D1476" t="s">
        <v>305</v>
      </c>
      <c r="E1476">
        <v>87</v>
      </c>
    </row>
    <row r="1477" spans="3:5" x14ac:dyDescent="0.25">
      <c r="C1477" s="248">
        <v>44125</v>
      </c>
      <c r="D1477" t="s">
        <v>307</v>
      </c>
      <c r="E1477">
        <v>207</v>
      </c>
    </row>
    <row r="1478" spans="3:5" x14ac:dyDescent="0.25">
      <c r="C1478" s="248">
        <v>44208</v>
      </c>
      <c r="D1478" t="s">
        <v>305</v>
      </c>
      <c r="E1478">
        <v>138</v>
      </c>
    </row>
    <row r="1479" spans="3:5" x14ac:dyDescent="0.25">
      <c r="C1479" s="248">
        <v>44126</v>
      </c>
      <c r="D1479" t="s">
        <v>310</v>
      </c>
      <c r="E1479">
        <v>134</v>
      </c>
    </row>
    <row r="1480" spans="3:5" x14ac:dyDescent="0.25">
      <c r="C1480" s="248">
        <v>44126</v>
      </c>
      <c r="D1480" t="s">
        <v>307</v>
      </c>
      <c r="E1480">
        <v>199</v>
      </c>
    </row>
    <row r="1481" spans="3:5" x14ac:dyDescent="0.25">
      <c r="C1481" s="248">
        <v>44165</v>
      </c>
      <c r="D1481" t="s">
        <v>308</v>
      </c>
      <c r="E1481">
        <v>26</v>
      </c>
    </row>
    <row r="1482" spans="3:5" x14ac:dyDescent="0.25">
      <c r="C1482" s="248">
        <v>44167</v>
      </c>
      <c r="D1482" t="s">
        <v>306</v>
      </c>
      <c r="E1482">
        <v>96</v>
      </c>
    </row>
    <row r="1483" spans="3:5" x14ac:dyDescent="0.25">
      <c r="C1483" s="248">
        <v>44157</v>
      </c>
      <c r="D1483" t="s">
        <v>310</v>
      </c>
      <c r="E1483">
        <v>42</v>
      </c>
    </row>
    <row r="1484" spans="3:5" x14ac:dyDescent="0.25">
      <c r="C1484" s="248">
        <v>44172</v>
      </c>
      <c r="D1484" t="s">
        <v>310</v>
      </c>
      <c r="E1484">
        <v>53</v>
      </c>
    </row>
    <row r="1485" spans="3:5" x14ac:dyDescent="0.25">
      <c r="C1485" s="248">
        <v>44160</v>
      </c>
      <c r="D1485" t="s">
        <v>307</v>
      </c>
      <c r="E1485">
        <v>153</v>
      </c>
    </row>
    <row r="1486" spans="3:5" x14ac:dyDescent="0.25">
      <c r="C1486" s="248">
        <v>44188</v>
      </c>
      <c r="D1486" t="s">
        <v>304</v>
      </c>
      <c r="E1486">
        <v>380</v>
      </c>
    </row>
    <row r="1487" spans="3:5" x14ac:dyDescent="0.25">
      <c r="C1487" s="248">
        <v>44188</v>
      </c>
      <c r="D1487" t="s">
        <v>311</v>
      </c>
      <c r="E1487">
        <v>106</v>
      </c>
    </row>
    <row r="1488" spans="3:5" x14ac:dyDescent="0.25">
      <c r="C1488" s="248">
        <v>44211</v>
      </c>
      <c r="D1488" t="s">
        <v>309</v>
      </c>
      <c r="E1488">
        <v>34</v>
      </c>
    </row>
    <row r="1489" spans="3:5" x14ac:dyDescent="0.25">
      <c r="C1489" s="248">
        <v>44112</v>
      </c>
      <c r="D1489" t="s">
        <v>310</v>
      </c>
      <c r="E1489">
        <v>221</v>
      </c>
    </row>
    <row r="1490" spans="3:5" x14ac:dyDescent="0.25">
      <c r="C1490" s="248">
        <v>44116</v>
      </c>
      <c r="D1490" t="s">
        <v>304</v>
      </c>
      <c r="E1490">
        <v>226</v>
      </c>
    </row>
    <row r="1491" spans="3:5" x14ac:dyDescent="0.25">
      <c r="C1491" s="248">
        <v>44111</v>
      </c>
      <c r="D1491" t="s">
        <v>304</v>
      </c>
      <c r="E1491">
        <v>344</v>
      </c>
    </row>
    <row r="1492" spans="3:5" x14ac:dyDescent="0.25">
      <c r="C1492" s="248">
        <v>44109</v>
      </c>
      <c r="D1492" t="s">
        <v>304</v>
      </c>
      <c r="E1492">
        <v>286</v>
      </c>
    </row>
    <row r="1493" spans="3:5" x14ac:dyDescent="0.25">
      <c r="C1493" s="248">
        <v>44112</v>
      </c>
      <c r="D1493" t="s">
        <v>304</v>
      </c>
      <c r="E1493">
        <v>332</v>
      </c>
    </row>
    <row r="1494" spans="3:5" x14ac:dyDescent="0.25">
      <c r="C1494" s="248">
        <v>44113</v>
      </c>
      <c r="D1494" t="s">
        <v>306</v>
      </c>
      <c r="E1494">
        <v>421</v>
      </c>
    </row>
    <row r="1495" spans="3:5" x14ac:dyDescent="0.25">
      <c r="C1495" s="248">
        <v>44116</v>
      </c>
      <c r="D1495" t="s">
        <v>306</v>
      </c>
      <c r="E1495">
        <v>257</v>
      </c>
    </row>
    <row r="1496" spans="3:5" x14ac:dyDescent="0.25">
      <c r="C1496" s="248">
        <v>44113</v>
      </c>
      <c r="D1496" t="s">
        <v>307</v>
      </c>
      <c r="E1496">
        <v>291</v>
      </c>
    </row>
    <row r="1497" spans="3:5" x14ac:dyDescent="0.25">
      <c r="C1497" s="248">
        <v>44117</v>
      </c>
      <c r="D1497" t="s">
        <v>305</v>
      </c>
      <c r="E1497">
        <v>99</v>
      </c>
    </row>
    <row r="1498" spans="3:5" x14ac:dyDescent="0.25">
      <c r="C1498" s="248">
        <v>44167</v>
      </c>
      <c r="D1498" t="s">
        <v>305</v>
      </c>
      <c r="E1498">
        <v>32</v>
      </c>
    </row>
    <row r="1499" spans="3:5" x14ac:dyDescent="0.25">
      <c r="C1499" s="248">
        <v>44059</v>
      </c>
      <c r="D1499" t="s">
        <v>312</v>
      </c>
      <c r="E1499">
        <v>73</v>
      </c>
    </row>
    <row r="1500" spans="3:5" x14ac:dyDescent="0.25">
      <c r="C1500" s="248">
        <v>44110</v>
      </c>
      <c r="D1500" t="s">
        <v>304</v>
      </c>
      <c r="E1500">
        <v>340</v>
      </c>
    </row>
    <row r="1501" spans="3:5" x14ac:dyDescent="0.25">
      <c r="C1501" s="248">
        <v>44110</v>
      </c>
      <c r="D1501" t="s">
        <v>305</v>
      </c>
      <c r="E1501">
        <v>95</v>
      </c>
    </row>
    <row r="1502" spans="3:5" x14ac:dyDescent="0.25">
      <c r="C1502" s="248">
        <v>44109</v>
      </c>
      <c r="D1502" t="s">
        <v>306</v>
      </c>
      <c r="E1502">
        <v>396</v>
      </c>
    </row>
    <row r="1503" spans="3:5" x14ac:dyDescent="0.25">
      <c r="C1503" s="248">
        <v>44109</v>
      </c>
      <c r="D1503" t="s">
        <v>305</v>
      </c>
      <c r="E1503">
        <v>75</v>
      </c>
    </row>
    <row r="1504" spans="3:5" x14ac:dyDescent="0.25">
      <c r="C1504" s="248">
        <v>44111</v>
      </c>
      <c r="D1504" t="s">
        <v>310</v>
      </c>
      <c r="E1504">
        <v>238</v>
      </c>
    </row>
    <row r="1505" spans="3:5" x14ac:dyDescent="0.25">
      <c r="C1505" s="248">
        <v>44111</v>
      </c>
      <c r="D1505" t="s">
        <v>306</v>
      </c>
      <c r="E1505">
        <v>383</v>
      </c>
    </row>
    <row r="1506" spans="3:5" x14ac:dyDescent="0.25">
      <c r="C1506" s="248">
        <v>44082</v>
      </c>
      <c r="D1506" t="s">
        <v>309</v>
      </c>
      <c r="E1506">
        <v>93</v>
      </c>
    </row>
    <row r="1507" spans="3:5" x14ac:dyDescent="0.25">
      <c r="C1507" s="248">
        <v>44062</v>
      </c>
      <c r="D1507" t="s">
        <v>309</v>
      </c>
      <c r="E1507">
        <v>83</v>
      </c>
    </row>
    <row r="1508" spans="3:5" x14ac:dyDescent="0.25">
      <c r="C1508" s="248">
        <v>43987</v>
      </c>
      <c r="D1508" t="s">
        <v>306</v>
      </c>
      <c r="E1508">
        <v>141</v>
      </c>
    </row>
    <row r="1509" spans="3:5" x14ac:dyDescent="0.25">
      <c r="C1509" s="248">
        <v>44033</v>
      </c>
      <c r="D1509" t="s">
        <v>312</v>
      </c>
      <c r="E1509">
        <v>119</v>
      </c>
    </row>
    <row r="1510" spans="3:5" x14ac:dyDescent="0.25">
      <c r="C1510" s="248">
        <v>44038</v>
      </c>
      <c r="D1510" t="s">
        <v>311</v>
      </c>
      <c r="E1510">
        <v>82</v>
      </c>
    </row>
    <row r="1511" spans="3:5" x14ac:dyDescent="0.25">
      <c r="C1511" s="248">
        <v>44059</v>
      </c>
      <c r="D1511" t="s">
        <v>306</v>
      </c>
      <c r="E1511">
        <v>331</v>
      </c>
    </row>
    <row r="1512" spans="3:5" x14ac:dyDescent="0.25">
      <c r="C1512" s="248">
        <v>44059</v>
      </c>
      <c r="D1512" t="s">
        <v>308</v>
      </c>
      <c r="E1512">
        <v>64</v>
      </c>
    </row>
    <row r="1513" spans="3:5" x14ac:dyDescent="0.25">
      <c r="C1513" s="248">
        <v>44065</v>
      </c>
      <c r="D1513" t="s">
        <v>304</v>
      </c>
      <c r="E1513">
        <v>386</v>
      </c>
    </row>
    <row r="1514" spans="3:5" x14ac:dyDescent="0.25">
      <c r="C1514" s="248">
        <v>44068</v>
      </c>
      <c r="D1514" t="s">
        <v>310</v>
      </c>
      <c r="E1514">
        <v>385</v>
      </c>
    </row>
    <row r="1515" spans="3:5" x14ac:dyDescent="0.25">
      <c r="C1515" s="248">
        <v>44060</v>
      </c>
      <c r="D1515" t="s">
        <v>312</v>
      </c>
      <c r="E1515">
        <v>58</v>
      </c>
    </row>
    <row r="1516" spans="3:5" x14ac:dyDescent="0.25">
      <c r="C1516" s="248">
        <v>44069</v>
      </c>
      <c r="D1516" t="s">
        <v>310</v>
      </c>
      <c r="E1516">
        <v>450</v>
      </c>
    </row>
    <row r="1517" spans="3:5" x14ac:dyDescent="0.25">
      <c r="C1517" s="248">
        <v>44069</v>
      </c>
      <c r="D1517" t="s">
        <v>306</v>
      </c>
      <c r="E1517">
        <v>756</v>
      </c>
    </row>
    <row r="1518" spans="3:5" x14ac:dyDescent="0.25">
      <c r="C1518" s="248">
        <v>44074</v>
      </c>
      <c r="D1518" t="s">
        <v>312</v>
      </c>
      <c r="E1518">
        <v>131</v>
      </c>
    </row>
    <row r="1519" spans="3:5" x14ac:dyDescent="0.25">
      <c r="C1519" s="248">
        <v>44071</v>
      </c>
      <c r="D1519" t="s">
        <v>304</v>
      </c>
      <c r="E1519">
        <v>560</v>
      </c>
    </row>
    <row r="1520" spans="3:5" x14ac:dyDescent="0.25">
      <c r="C1520" s="248">
        <v>44074</v>
      </c>
      <c r="D1520" t="s">
        <v>309</v>
      </c>
      <c r="E1520">
        <v>70</v>
      </c>
    </row>
    <row r="1521" spans="3:5" x14ac:dyDescent="0.25">
      <c r="C1521" s="248">
        <v>44074</v>
      </c>
      <c r="D1521" t="s">
        <v>307</v>
      </c>
      <c r="E1521">
        <v>560</v>
      </c>
    </row>
    <row r="1522" spans="3:5" x14ac:dyDescent="0.25">
      <c r="C1522" s="248">
        <v>44078</v>
      </c>
      <c r="D1522" t="s">
        <v>312</v>
      </c>
      <c r="E1522">
        <v>66</v>
      </c>
    </row>
    <row r="1523" spans="3:5" x14ac:dyDescent="0.25">
      <c r="C1523" s="248">
        <v>44078</v>
      </c>
      <c r="D1523" t="s">
        <v>307</v>
      </c>
      <c r="E1523">
        <v>503</v>
      </c>
    </row>
    <row r="1524" spans="3:5" x14ac:dyDescent="0.25">
      <c r="C1524" s="248">
        <v>44079</v>
      </c>
      <c r="D1524" t="s">
        <v>306</v>
      </c>
      <c r="E1524">
        <v>443</v>
      </c>
    </row>
    <row r="1525" spans="3:5" x14ac:dyDescent="0.25">
      <c r="C1525" s="248">
        <v>44078</v>
      </c>
      <c r="D1525" t="s">
        <v>311</v>
      </c>
      <c r="E1525">
        <v>161</v>
      </c>
    </row>
    <row r="1526" spans="3:5" x14ac:dyDescent="0.25">
      <c r="C1526" s="248">
        <v>44080</v>
      </c>
      <c r="D1526" t="s">
        <v>306</v>
      </c>
      <c r="E1526">
        <v>289</v>
      </c>
    </row>
    <row r="1527" spans="3:5" x14ac:dyDescent="0.25">
      <c r="C1527" s="248">
        <v>44082</v>
      </c>
      <c r="D1527" t="s">
        <v>306</v>
      </c>
      <c r="E1527">
        <v>630</v>
      </c>
    </row>
    <row r="1528" spans="3:5" x14ac:dyDescent="0.25">
      <c r="C1528" s="248">
        <v>44081</v>
      </c>
      <c r="D1528" t="s">
        <v>304</v>
      </c>
      <c r="E1528">
        <v>459</v>
      </c>
    </row>
    <row r="1529" spans="3:5" x14ac:dyDescent="0.25">
      <c r="C1529" s="248">
        <v>44073</v>
      </c>
      <c r="D1529" t="s">
        <v>312</v>
      </c>
      <c r="E1529">
        <v>73</v>
      </c>
    </row>
    <row r="1530" spans="3:5" x14ac:dyDescent="0.25">
      <c r="C1530" s="248">
        <v>44077</v>
      </c>
      <c r="D1530" t="s">
        <v>310</v>
      </c>
      <c r="E1530">
        <v>316</v>
      </c>
    </row>
    <row r="1531" spans="3:5" x14ac:dyDescent="0.25">
      <c r="C1531" s="248">
        <v>44078</v>
      </c>
      <c r="D1531" t="s">
        <v>310</v>
      </c>
      <c r="E1531">
        <v>348</v>
      </c>
    </row>
    <row r="1532" spans="3:5" x14ac:dyDescent="0.25">
      <c r="C1532" s="248">
        <v>44118</v>
      </c>
      <c r="D1532" t="s">
        <v>304</v>
      </c>
      <c r="E1532">
        <v>328</v>
      </c>
    </row>
    <row r="1533" spans="3:5" x14ac:dyDescent="0.25">
      <c r="C1533" s="248">
        <v>44118</v>
      </c>
      <c r="D1533" t="s">
        <v>305</v>
      </c>
      <c r="E1533">
        <v>91</v>
      </c>
    </row>
    <row r="1534" spans="3:5" x14ac:dyDescent="0.25">
      <c r="C1534" s="248">
        <v>44119</v>
      </c>
      <c r="D1534" t="s">
        <v>304</v>
      </c>
      <c r="E1534">
        <v>311</v>
      </c>
    </row>
    <row r="1535" spans="3:5" x14ac:dyDescent="0.25">
      <c r="C1535" s="248">
        <v>44119</v>
      </c>
      <c r="D1535" t="s">
        <v>305</v>
      </c>
      <c r="E1535">
        <v>120</v>
      </c>
    </row>
    <row r="1536" spans="3:5" x14ac:dyDescent="0.25">
      <c r="C1536" s="248">
        <v>44120</v>
      </c>
      <c r="D1536" t="s">
        <v>310</v>
      </c>
      <c r="E1536">
        <v>189</v>
      </c>
    </row>
    <row r="1537" spans="3:5" x14ac:dyDescent="0.25">
      <c r="C1537" s="248">
        <v>44120</v>
      </c>
      <c r="D1537" t="s">
        <v>306</v>
      </c>
      <c r="E1537">
        <v>355</v>
      </c>
    </row>
    <row r="1538" spans="3:5" x14ac:dyDescent="0.25">
      <c r="C1538" s="248">
        <v>44120</v>
      </c>
      <c r="D1538" t="s">
        <v>305</v>
      </c>
      <c r="E1538">
        <v>110</v>
      </c>
    </row>
    <row r="1539" spans="3:5" x14ac:dyDescent="0.25">
      <c r="C1539" s="248">
        <v>44213</v>
      </c>
      <c r="D1539" t="s">
        <v>310</v>
      </c>
      <c r="E1539">
        <v>149</v>
      </c>
    </row>
    <row r="1540" spans="3:5" x14ac:dyDescent="0.25">
      <c r="C1540" s="248">
        <v>44214</v>
      </c>
      <c r="D1540" t="s">
        <v>305</v>
      </c>
      <c r="E1540">
        <v>152</v>
      </c>
    </row>
    <row r="1541" spans="3:5" x14ac:dyDescent="0.25">
      <c r="C1541" s="248">
        <v>44112</v>
      </c>
      <c r="D1541" t="s">
        <v>305</v>
      </c>
      <c r="E1541">
        <v>97</v>
      </c>
    </row>
    <row r="1542" spans="3:5" x14ac:dyDescent="0.25">
      <c r="C1542" s="248">
        <v>44078</v>
      </c>
      <c r="D1542" t="s">
        <v>306</v>
      </c>
      <c r="E1542">
        <v>604</v>
      </c>
    </row>
    <row r="1543" spans="3:5" x14ac:dyDescent="0.25">
      <c r="C1543" s="248">
        <v>44113</v>
      </c>
      <c r="D1543" t="s">
        <v>305</v>
      </c>
      <c r="E1543">
        <v>99</v>
      </c>
    </row>
    <row r="1544" spans="3:5" x14ac:dyDescent="0.25">
      <c r="C1544" s="248">
        <v>44113</v>
      </c>
      <c r="D1544" t="s">
        <v>309</v>
      </c>
      <c r="E1544">
        <v>53</v>
      </c>
    </row>
    <row r="1545" spans="3:5" x14ac:dyDescent="0.25">
      <c r="C1545" s="248">
        <v>44115</v>
      </c>
      <c r="D1545" t="s">
        <v>305</v>
      </c>
      <c r="E1545">
        <v>58</v>
      </c>
    </row>
    <row r="1546" spans="3:5" x14ac:dyDescent="0.25">
      <c r="C1546" s="248">
        <v>44116</v>
      </c>
      <c r="D1546" t="s">
        <v>309</v>
      </c>
      <c r="E1546">
        <v>56</v>
      </c>
    </row>
    <row r="1547" spans="3:5" x14ac:dyDescent="0.25">
      <c r="C1547" s="248">
        <v>44115</v>
      </c>
      <c r="D1547" t="s">
        <v>304</v>
      </c>
      <c r="E1547">
        <v>188</v>
      </c>
    </row>
    <row r="1548" spans="3:5" x14ac:dyDescent="0.25">
      <c r="C1548" s="248">
        <v>44117</v>
      </c>
      <c r="D1548" t="s">
        <v>304</v>
      </c>
      <c r="E1548">
        <v>291</v>
      </c>
    </row>
    <row r="1549" spans="3:5" x14ac:dyDescent="0.25">
      <c r="C1549" s="248">
        <v>44117</v>
      </c>
      <c r="D1549" t="s">
        <v>309</v>
      </c>
      <c r="E1549">
        <v>46</v>
      </c>
    </row>
    <row r="1550" spans="3:5" x14ac:dyDescent="0.25">
      <c r="C1550" s="248">
        <v>44073</v>
      </c>
      <c r="D1550" t="s">
        <v>307</v>
      </c>
      <c r="E1550">
        <v>312</v>
      </c>
    </row>
    <row r="1551" spans="3:5" x14ac:dyDescent="0.25">
      <c r="C1551" s="248">
        <v>44077</v>
      </c>
      <c r="D1551" t="s">
        <v>304</v>
      </c>
      <c r="E1551">
        <v>459</v>
      </c>
    </row>
    <row r="1552" spans="3:5" x14ac:dyDescent="0.25">
      <c r="C1552" s="248">
        <v>44078</v>
      </c>
      <c r="D1552" t="s">
        <v>304</v>
      </c>
      <c r="E1552">
        <v>453</v>
      </c>
    </row>
    <row r="1553" spans="3:5" x14ac:dyDescent="0.25">
      <c r="C1553" s="248">
        <v>44078</v>
      </c>
      <c r="D1553" t="s">
        <v>305</v>
      </c>
      <c r="E1553">
        <v>145</v>
      </c>
    </row>
    <row r="1554" spans="3:5" x14ac:dyDescent="0.25">
      <c r="C1554" s="248">
        <v>44080</v>
      </c>
      <c r="D1554" t="s">
        <v>304</v>
      </c>
      <c r="E1554">
        <v>250</v>
      </c>
    </row>
    <row r="1555" spans="3:5" x14ac:dyDescent="0.25">
      <c r="C1555" s="248">
        <v>44080</v>
      </c>
      <c r="D1555" t="s">
        <v>309</v>
      </c>
      <c r="E1555">
        <v>59</v>
      </c>
    </row>
    <row r="1556" spans="3:5" x14ac:dyDescent="0.25">
      <c r="C1556" s="248">
        <v>44057</v>
      </c>
      <c r="D1556" t="s">
        <v>311</v>
      </c>
      <c r="E1556">
        <v>136</v>
      </c>
    </row>
    <row r="1557" spans="3:5" x14ac:dyDescent="0.25">
      <c r="C1557" s="248">
        <v>44063</v>
      </c>
      <c r="D1557" t="s">
        <v>306</v>
      </c>
      <c r="E1557">
        <v>594</v>
      </c>
    </row>
    <row r="1558" spans="3:5" x14ac:dyDescent="0.25">
      <c r="C1558" s="248">
        <v>44095</v>
      </c>
      <c r="D1558" t="s">
        <v>307</v>
      </c>
      <c r="E1558">
        <v>321</v>
      </c>
    </row>
    <row r="1559" spans="3:5" x14ac:dyDescent="0.25">
      <c r="C1559" s="248">
        <v>44063</v>
      </c>
      <c r="D1559" t="s">
        <v>304</v>
      </c>
      <c r="E1559">
        <v>409</v>
      </c>
    </row>
    <row r="1560" spans="3:5" x14ac:dyDescent="0.25">
      <c r="C1560" s="248">
        <v>44060</v>
      </c>
      <c r="D1560" t="s">
        <v>306</v>
      </c>
      <c r="E1560">
        <v>476</v>
      </c>
    </row>
    <row r="1561" spans="3:5" x14ac:dyDescent="0.25">
      <c r="C1561" s="248">
        <v>44040</v>
      </c>
      <c r="D1561" t="s">
        <v>304</v>
      </c>
      <c r="E1561">
        <v>439</v>
      </c>
    </row>
    <row r="1562" spans="3:5" x14ac:dyDescent="0.25">
      <c r="C1562" s="248">
        <v>44040</v>
      </c>
      <c r="D1562" t="s">
        <v>306</v>
      </c>
      <c r="E1562">
        <v>584</v>
      </c>
    </row>
    <row r="1563" spans="3:5" x14ac:dyDescent="0.25">
      <c r="C1563" s="248">
        <v>44045</v>
      </c>
      <c r="D1563" t="s">
        <v>310</v>
      </c>
      <c r="E1563">
        <v>196</v>
      </c>
    </row>
    <row r="1564" spans="3:5" x14ac:dyDescent="0.25">
      <c r="C1564" s="248">
        <v>44063</v>
      </c>
      <c r="D1564" t="s">
        <v>305</v>
      </c>
      <c r="E1564">
        <v>110</v>
      </c>
    </row>
    <row r="1565" spans="3:5" x14ac:dyDescent="0.25">
      <c r="C1565" s="248">
        <v>44047</v>
      </c>
      <c r="D1565" t="s">
        <v>308</v>
      </c>
      <c r="E1565">
        <v>125</v>
      </c>
    </row>
    <row r="1566" spans="3:5" x14ac:dyDescent="0.25">
      <c r="C1566" s="248">
        <v>44050</v>
      </c>
      <c r="D1566" t="s">
        <v>308</v>
      </c>
      <c r="E1566">
        <v>74</v>
      </c>
    </row>
    <row r="1567" spans="3:5" x14ac:dyDescent="0.25">
      <c r="C1567" s="248">
        <v>44053</v>
      </c>
      <c r="D1567" t="s">
        <v>304</v>
      </c>
      <c r="E1567">
        <v>433</v>
      </c>
    </row>
    <row r="1568" spans="3:5" x14ac:dyDescent="0.25">
      <c r="C1568" s="248">
        <v>44054</v>
      </c>
      <c r="D1568" t="s">
        <v>310</v>
      </c>
      <c r="E1568">
        <v>312</v>
      </c>
    </row>
    <row r="1569" spans="3:5" x14ac:dyDescent="0.25">
      <c r="C1569" s="248">
        <v>44055</v>
      </c>
      <c r="D1569" t="s">
        <v>307</v>
      </c>
      <c r="E1569">
        <v>448</v>
      </c>
    </row>
    <row r="1570" spans="3:5" x14ac:dyDescent="0.25">
      <c r="C1570" s="248">
        <v>44062</v>
      </c>
      <c r="D1570" t="s">
        <v>304</v>
      </c>
      <c r="E1570">
        <v>511</v>
      </c>
    </row>
    <row r="1571" spans="3:5" x14ac:dyDescent="0.25">
      <c r="C1571" s="248">
        <v>44059</v>
      </c>
      <c r="D1571" t="s">
        <v>311</v>
      </c>
      <c r="E1571">
        <v>110</v>
      </c>
    </row>
    <row r="1572" spans="3:5" x14ac:dyDescent="0.25">
      <c r="C1572" s="248">
        <v>44055</v>
      </c>
      <c r="D1572" t="s">
        <v>306</v>
      </c>
      <c r="E1572">
        <v>519</v>
      </c>
    </row>
    <row r="1573" spans="3:5" x14ac:dyDescent="0.25">
      <c r="C1573" s="248">
        <v>44056</v>
      </c>
      <c r="D1573" t="s">
        <v>307</v>
      </c>
      <c r="E1573">
        <v>386</v>
      </c>
    </row>
    <row r="1574" spans="3:5" x14ac:dyDescent="0.25">
      <c r="C1574" s="248">
        <v>44065</v>
      </c>
      <c r="D1574" t="s">
        <v>306</v>
      </c>
      <c r="E1574">
        <v>512</v>
      </c>
    </row>
    <row r="1575" spans="3:5" x14ac:dyDescent="0.25">
      <c r="C1575" s="248">
        <v>44055</v>
      </c>
      <c r="D1575" t="s">
        <v>304</v>
      </c>
      <c r="E1575">
        <v>423</v>
      </c>
    </row>
    <row r="1576" spans="3:5" x14ac:dyDescent="0.25">
      <c r="C1576" s="248">
        <v>44058</v>
      </c>
      <c r="D1576" t="s">
        <v>304</v>
      </c>
      <c r="E1576">
        <v>372</v>
      </c>
    </row>
    <row r="1577" spans="3:5" x14ac:dyDescent="0.25">
      <c r="C1577" s="248">
        <v>44066</v>
      </c>
      <c r="D1577" t="s">
        <v>308</v>
      </c>
      <c r="E1577">
        <v>65</v>
      </c>
    </row>
    <row r="1578" spans="3:5" x14ac:dyDescent="0.25">
      <c r="C1578" s="248">
        <v>44058</v>
      </c>
      <c r="D1578" t="s">
        <v>306</v>
      </c>
      <c r="E1578">
        <v>449</v>
      </c>
    </row>
    <row r="1579" spans="3:5" x14ac:dyDescent="0.25">
      <c r="C1579" s="248">
        <v>44058</v>
      </c>
      <c r="D1579" t="s">
        <v>307</v>
      </c>
      <c r="E1579">
        <v>330</v>
      </c>
    </row>
    <row r="1580" spans="3:5" x14ac:dyDescent="0.25">
      <c r="C1580" s="248">
        <v>44063</v>
      </c>
      <c r="D1580" t="s">
        <v>307</v>
      </c>
      <c r="E1580">
        <v>413</v>
      </c>
    </row>
    <row r="1581" spans="3:5" x14ac:dyDescent="0.25">
      <c r="C1581" s="248">
        <v>44060</v>
      </c>
      <c r="D1581" t="s">
        <v>310</v>
      </c>
      <c r="E1581">
        <v>255</v>
      </c>
    </row>
    <row r="1582" spans="3:5" x14ac:dyDescent="0.25">
      <c r="C1582" s="248">
        <v>44209</v>
      </c>
      <c r="D1582" t="s">
        <v>309</v>
      </c>
      <c r="E1582">
        <v>47</v>
      </c>
    </row>
    <row r="1583" spans="3:5" x14ac:dyDescent="0.25">
      <c r="C1583" s="248">
        <v>44101</v>
      </c>
      <c r="D1583" t="s">
        <v>310</v>
      </c>
      <c r="E1583">
        <v>149</v>
      </c>
    </row>
    <row r="1584" spans="3:5" x14ac:dyDescent="0.25">
      <c r="C1584" s="248">
        <v>44136</v>
      </c>
      <c r="D1584" t="s">
        <v>310</v>
      </c>
      <c r="E1584">
        <v>76</v>
      </c>
    </row>
    <row r="1585" spans="3:5" x14ac:dyDescent="0.25">
      <c r="C1585" s="248">
        <v>44060</v>
      </c>
      <c r="D1585" t="s">
        <v>308</v>
      </c>
      <c r="E1585">
        <v>71</v>
      </c>
    </row>
    <row r="1586" spans="3:5" x14ac:dyDescent="0.25">
      <c r="C1586" s="248">
        <v>44062</v>
      </c>
      <c r="D1586" t="s">
        <v>310</v>
      </c>
      <c r="E1586">
        <v>331</v>
      </c>
    </row>
    <row r="1587" spans="3:5" x14ac:dyDescent="0.25">
      <c r="C1587" s="248">
        <v>44062</v>
      </c>
      <c r="D1587" t="s">
        <v>306</v>
      </c>
      <c r="E1587">
        <v>643</v>
      </c>
    </row>
    <row r="1588" spans="3:5" x14ac:dyDescent="0.25">
      <c r="C1588" s="248">
        <v>44071</v>
      </c>
      <c r="D1588" t="s">
        <v>308</v>
      </c>
      <c r="E1588">
        <v>117</v>
      </c>
    </row>
    <row r="1589" spans="3:5" x14ac:dyDescent="0.25">
      <c r="C1589" s="248">
        <v>44080</v>
      </c>
      <c r="D1589" t="s">
        <v>307</v>
      </c>
      <c r="E1589">
        <v>284</v>
      </c>
    </row>
    <row r="1590" spans="3:5" x14ac:dyDescent="0.25">
      <c r="C1590" s="248">
        <v>44082</v>
      </c>
      <c r="D1590" t="s">
        <v>311</v>
      </c>
      <c r="E1590">
        <v>192</v>
      </c>
    </row>
    <row r="1591" spans="3:5" x14ac:dyDescent="0.25">
      <c r="C1591" s="248">
        <v>44081</v>
      </c>
      <c r="D1591" t="s">
        <v>306</v>
      </c>
      <c r="E1591">
        <v>577</v>
      </c>
    </row>
    <row r="1592" spans="3:5" x14ac:dyDescent="0.25">
      <c r="C1592" s="248">
        <v>44090</v>
      </c>
      <c r="D1592" t="s">
        <v>307</v>
      </c>
      <c r="E1592">
        <v>436</v>
      </c>
    </row>
    <row r="1593" spans="3:5" x14ac:dyDescent="0.25">
      <c r="C1593" s="248">
        <v>44096</v>
      </c>
      <c r="D1593" t="s">
        <v>307</v>
      </c>
      <c r="E1593">
        <v>363</v>
      </c>
    </row>
    <row r="1594" spans="3:5" x14ac:dyDescent="0.25">
      <c r="C1594" s="248">
        <v>44096</v>
      </c>
      <c r="D1594" t="s">
        <v>304</v>
      </c>
      <c r="E1594">
        <v>372</v>
      </c>
    </row>
    <row r="1595" spans="3:5" x14ac:dyDescent="0.25">
      <c r="C1595" s="248">
        <v>44105</v>
      </c>
      <c r="D1595" t="s">
        <v>306</v>
      </c>
      <c r="E1595">
        <v>456</v>
      </c>
    </row>
    <row r="1596" spans="3:5" x14ac:dyDescent="0.25">
      <c r="C1596" s="248">
        <v>44100</v>
      </c>
      <c r="D1596" t="s">
        <v>310</v>
      </c>
      <c r="E1596">
        <v>187</v>
      </c>
    </row>
    <row r="1597" spans="3:5" x14ac:dyDescent="0.25">
      <c r="C1597" s="248">
        <v>44098</v>
      </c>
      <c r="D1597" t="s">
        <v>306</v>
      </c>
      <c r="E1597">
        <v>465</v>
      </c>
    </row>
    <row r="1598" spans="3:5" x14ac:dyDescent="0.25">
      <c r="C1598" s="248">
        <v>44090</v>
      </c>
      <c r="D1598" t="s">
        <v>304</v>
      </c>
      <c r="E1598">
        <v>404</v>
      </c>
    </row>
    <row r="1599" spans="3:5" x14ac:dyDescent="0.25">
      <c r="C1599" s="248">
        <v>44080</v>
      </c>
      <c r="D1599" t="s">
        <v>308</v>
      </c>
      <c r="E1599">
        <v>60</v>
      </c>
    </row>
    <row r="1600" spans="3:5" x14ac:dyDescent="0.25">
      <c r="C1600" s="248">
        <v>44080</v>
      </c>
      <c r="D1600" t="s">
        <v>310</v>
      </c>
      <c r="E1600">
        <v>196</v>
      </c>
    </row>
    <row r="1601" spans="3:5" x14ac:dyDescent="0.25">
      <c r="C1601" s="248">
        <v>44080</v>
      </c>
      <c r="D1601" t="s">
        <v>305</v>
      </c>
      <c r="E1601">
        <v>97</v>
      </c>
    </row>
    <row r="1602" spans="3:5" x14ac:dyDescent="0.25">
      <c r="C1602" s="248">
        <v>44081</v>
      </c>
      <c r="D1602" t="s">
        <v>307</v>
      </c>
      <c r="E1602">
        <v>496</v>
      </c>
    </row>
    <row r="1603" spans="3:5" x14ac:dyDescent="0.25">
      <c r="C1603" s="248">
        <v>44079</v>
      </c>
      <c r="D1603" t="s">
        <v>307</v>
      </c>
      <c r="E1603">
        <v>394</v>
      </c>
    </row>
    <row r="1604" spans="3:5" x14ac:dyDescent="0.25">
      <c r="C1604" s="248">
        <v>44081</v>
      </c>
      <c r="D1604" t="s">
        <v>309</v>
      </c>
      <c r="E1604">
        <v>62</v>
      </c>
    </row>
    <row r="1605" spans="3:5" x14ac:dyDescent="0.25">
      <c r="C1605" s="248">
        <v>44082</v>
      </c>
      <c r="D1605" t="s">
        <v>304</v>
      </c>
      <c r="E1605">
        <v>456</v>
      </c>
    </row>
    <row r="1606" spans="3:5" x14ac:dyDescent="0.25">
      <c r="C1606" s="248">
        <v>44081</v>
      </c>
      <c r="D1606" t="s">
        <v>305</v>
      </c>
      <c r="E1606">
        <v>132</v>
      </c>
    </row>
    <row r="1607" spans="3:5" x14ac:dyDescent="0.25">
      <c r="C1607" s="248">
        <v>44074</v>
      </c>
      <c r="D1607" t="s">
        <v>304</v>
      </c>
      <c r="E1607">
        <v>483</v>
      </c>
    </row>
    <row r="1608" spans="3:5" x14ac:dyDescent="0.25">
      <c r="C1608" s="248">
        <v>44074</v>
      </c>
      <c r="D1608" t="s">
        <v>311</v>
      </c>
      <c r="E1608">
        <v>202</v>
      </c>
    </row>
    <row r="1609" spans="3:5" x14ac:dyDescent="0.25">
      <c r="C1609" s="248">
        <v>44075</v>
      </c>
      <c r="D1609" t="s">
        <v>307</v>
      </c>
      <c r="E1609">
        <v>590</v>
      </c>
    </row>
    <row r="1610" spans="3:5" x14ac:dyDescent="0.25">
      <c r="C1610" s="248">
        <v>44063</v>
      </c>
      <c r="D1610" t="s">
        <v>309</v>
      </c>
      <c r="E1610">
        <v>71</v>
      </c>
    </row>
    <row r="1611" spans="3:5" x14ac:dyDescent="0.25">
      <c r="C1611" s="248">
        <v>44063</v>
      </c>
      <c r="D1611" t="s">
        <v>310</v>
      </c>
      <c r="E1611">
        <v>278</v>
      </c>
    </row>
    <row r="1612" spans="3:5" x14ac:dyDescent="0.25">
      <c r="C1612" s="248">
        <v>44064</v>
      </c>
      <c r="D1612" t="s">
        <v>306</v>
      </c>
      <c r="E1612">
        <v>610</v>
      </c>
    </row>
    <row r="1613" spans="3:5" x14ac:dyDescent="0.25">
      <c r="C1613" s="248">
        <v>44064</v>
      </c>
      <c r="D1613" t="s">
        <v>309</v>
      </c>
      <c r="E1613">
        <v>69</v>
      </c>
    </row>
    <row r="1614" spans="3:5" x14ac:dyDescent="0.25">
      <c r="C1614" s="248">
        <v>44064</v>
      </c>
      <c r="D1614" t="s">
        <v>312</v>
      </c>
      <c r="E1614">
        <v>83</v>
      </c>
    </row>
    <row r="1615" spans="3:5" x14ac:dyDescent="0.25">
      <c r="C1615" s="248">
        <v>44071</v>
      </c>
      <c r="D1615" t="s">
        <v>305</v>
      </c>
      <c r="E1615">
        <v>154</v>
      </c>
    </row>
    <row r="1616" spans="3:5" x14ac:dyDescent="0.25">
      <c r="C1616" s="248">
        <v>44071</v>
      </c>
      <c r="D1616" t="s">
        <v>310</v>
      </c>
      <c r="E1616">
        <v>415</v>
      </c>
    </row>
    <row r="1617" spans="3:5" x14ac:dyDescent="0.25">
      <c r="C1617" s="248">
        <v>44204</v>
      </c>
      <c r="D1617" t="s">
        <v>309</v>
      </c>
      <c r="E1617">
        <v>51</v>
      </c>
    </row>
    <row r="1618" spans="3:5" x14ac:dyDescent="0.25">
      <c r="C1618" s="248">
        <v>44206</v>
      </c>
      <c r="D1618" t="s">
        <v>306</v>
      </c>
      <c r="E1618">
        <v>243</v>
      </c>
    </row>
    <row r="1619" spans="3:5" x14ac:dyDescent="0.25">
      <c r="C1619" s="248">
        <v>44205</v>
      </c>
      <c r="D1619" t="s">
        <v>305</v>
      </c>
      <c r="E1619">
        <v>101</v>
      </c>
    </row>
    <row r="1620" spans="3:5" x14ac:dyDescent="0.25">
      <c r="C1620" s="248">
        <v>44091</v>
      </c>
      <c r="D1620" t="s">
        <v>307</v>
      </c>
      <c r="E1620">
        <v>385</v>
      </c>
    </row>
    <row r="1621" spans="3:5" x14ac:dyDescent="0.25">
      <c r="C1621" s="248">
        <v>44093</v>
      </c>
      <c r="D1621" t="s">
        <v>306</v>
      </c>
      <c r="E1621">
        <v>325</v>
      </c>
    </row>
    <row r="1622" spans="3:5" x14ac:dyDescent="0.25">
      <c r="C1622" s="248">
        <v>44098</v>
      </c>
      <c r="D1622" t="s">
        <v>304</v>
      </c>
      <c r="E1622">
        <v>330</v>
      </c>
    </row>
    <row r="1623" spans="3:5" x14ac:dyDescent="0.25">
      <c r="C1623" s="248">
        <v>44094</v>
      </c>
      <c r="D1623" t="s">
        <v>309</v>
      </c>
      <c r="E1623">
        <v>37</v>
      </c>
    </row>
    <row r="1624" spans="3:5" x14ac:dyDescent="0.25">
      <c r="C1624" s="248">
        <v>44101</v>
      </c>
      <c r="D1624" t="s">
        <v>309</v>
      </c>
      <c r="E1624">
        <v>48</v>
      </c>
    </row>
    <row r="1625" spans="3:5" x14ac:dyDescent="0.25">
      <c r="C1625" s="248">
        <v>44095</v>
      </c>
      <c r="D1625" t="s">
        <v>309</v>
      </c>
      <c r="E1625">
        <v>44</v>
      </c>
    </row>
    <row r="1626" spans="3:5" x14ac:dyDescent="0.25">
      <c r="C1626" s="248">
        <v>44095</v>
      </c>
      <c r="D1626" t="s">
        <v>304</v>
      </c>
      <c r="E1626">
        <v>343</v>
      </c>
    </row>
    <row r="1627" spans="3:5" x14ac:dyDescent="0.25">
      <c r="C1627" s="248">
        <v>44075</v>
      </c>
      <c r="D1627" t="s">
        <v>304</v>
      </c>
      <c r="E1627">
        <v>496</v>
      </c>
    </row>
    <row r="1628" spans="3:5" x14ac:dyDescent="0.25">
      <c r="C1628" s="248">
        <v>44075</v>
      </c>
      <c r="D1628" t="s">
        <v>306</v>
      </c>
      <c r="E1628">
        <v>670</v>
      </c>
    </row>
    <row r="1629" spans="3:5" x14ac:dyDescent="0.25">
      <c r="C1629" s="248">
        <v>44076</v>
      </c>
      <c r="D1629" t="s">
        <v>306</v>
      </c>
      <c r="E1629">
        <v>569</v>
      </c>
    </row>
    <row r="1630" spans="3:5" x14ac:dyDescent="0.25">
      <c r="C1630" s="248">
        <v>44075</v>
      </c>
      <c r="D1630" t="s">
        <v>310</v>
      </c>
      <c r="E1630">
        <v>361</v>
      </c>
    </row>
    <row r="1631" spans="3:5" x14ac:dyDescent="0.25">
      <c r="C1631" s="248">
        <v>44076</v>
      </c>
      <c r="D1631" t="s">
        <v>307</v>
      </c>
      <c r="E1631">
        <v>455</v>
      </c>
    </row>
    <row r="1632" spans="3:5" x14ac:dyDescent="0.25">
      <c r="C1632" s="248">
        <v>44075</v>
      </c>
      <c r="D1632" t="s">
        <v>309</v>
      </c>
      <c r="E1632">
        <v>54</v>
      </c>
    </row>
    <row r="1633" spans="3:5" x14ac:dyDescent="0.25">
      <c r="C1633" s="248">
        <v>44075</v>
      </c>
      <c r="D1633" t="s">
        <v>305</v>
      </c>
      <c r="E1633">
        <v>130</v>
      </c>
    </row>
    <row r="1634" spans="3:5" x14ac:dyDescent="0.25">
      <c r="C1634" s="248">
        <v>44070</v>
      </c>
      <c r="D1634" t="s">
        <v>310</v>
      </c>
      <c r="E1634">
        <v>384</v>
      </c>
    </row>
    <row r="1635" spans="3:5" x14ac:dyDescent="0.25">
      <c r="C1635" s="248">
        <v>44076</v>
      </c>
      <c r="D1635" t="s">
        <v>309</v>
      </c>
      <c r="E1635">
        <v>62</v>
      </c>
    </row>
    <row r="1636" spans="3:5" x14ac:dyDescent="0.25">
      <c r="C1636" s="248">
        <v>44077</v>
      </c>
      <c r="D1636" t="s">
        <v>309</v>
      </c>
      <c r="E1636">
        <v>68</v>
      </c>
    </row>
    <row r="1637" spans="3:5" x14ac:dyDescent="0.25">
      <c r="C1637" s="248">
        <v>44069</v>
      </c>
      <c r="D1637" t="s">
        <v>307</v>
      </c>
      <c r="E1637">
        <v>669</v>
      </c>
    </row>
    <row r="1638" spans="3:5" x14ac:dyDescent="0.25">
      <c r="C1638" s="248">
        <v>44072</v>
      </c>
      <c r="D1638" t="s">
        <v>310</v>
      </c>
      <c r="E1638">
        <v>294</v>
      </c>
    </row>
    <row r="1639" spans="3:5" x14ac:dyDescent="0.25">
      <c r="C1639" s="248">
        <v>44072</v>
      </c>
      <c r="D1639" t="s">
        <v>306</v>
      </c>
      <c r="E1639">
        <v>486</v>
      </c>
    </row>
    <row r="1640" spans="3:5" x14ac:dyDescent="0.25">
      <c r="C1640" s="248">
        <v>44072</v>
      </c>
      <c r="D1640" t="s">
        <v>307</v>
      </c>
      <c r="E1640">
        <v>440</v>
      </c>
    </row>
    <row r="1641" spans="3:5" x14ac:dyDescent="0.25">
      <c r="C1641" s="248">
        <v>44062</v>
      </c>
      <c r="D1641" t="s">
        <v>307</v>
      </c>
      <c r="E1641">
        <v>535</v>
      </c>
    </row>
    <row r="1642" spans="3:5" x14ac:dyDescent="0.25">
      <c r="C1642" s="248">
        <v>44072</v>
      </c>
      <c r="D1642" t="s">
        <v>304</v>
      </c>
      <c r="E1642">
        <v>359</v>
      </c>
    </row>
    <row r="1643" spans="3:5" x14ac:dyDescent="0.25">
      <c r="C1643" s="248">
        <v>44073</v>
      </c>
      <c r="D1643" t="s">
        <v>308</v>
      </c>
      <c r="E1643">
        <v>68</v>
      </c>
    </row>
    <row r="1644" spans="3:5" x14ac:dyDescent="0.25">
      <c r="C1644" s="248">
        <v>44070</v>
      </c>
      <c r="D1644" t="s">
        <v>306</v>
      </c>
      <c r="E1644">
        <v>705</v>
      </c>
    </row>
    <row r="1645" spans="3:5" x14ac:dyDescent="0.25">
      <c r="C1645" s="248">
        <v>44070</v>
      </c>
      <c r="D1645" t="s">
        <v>304</v>
      </c>
      <c r="E1645">
        <v>581</v>
      </c>
    </row>
    <row r="1646" spans="3:5" x14ac:dyDescent="0.25">
      <c r="C1646" s="248">
        <v>44071</v>
      </c>
      <c r="D1646" t="s">
        <v>306</v>
      </c>
      <c r="E1646">
        <v>660</v>
      </c>
    </row>
    <row r="1647" spans="3:5" x14ac:dyDescent="0.25">
      <c r="C1647" s="248">
        <v>44073</v>
      </c>
      <c r="D1647" t="s">
        <v>306</v>
      </c>
      <c r="E1647">
        <v>369</v>
      </c>
    </row>
    <row r="1648" spans="3:5" x14ac:dyDescent="0.25">
      <c r="C1648" s="248">
        <v>44070</v>
      </c>
      <c r="D1648" t="s">
        <v>307</v>
      </c>
      <c r="E1648">
        <v>618</v>
      </c>
    </row>
    <row r="1649" spans="3:5" x14ac:dyDescent="0.25">
      <c r="C1649" s="248">
        <v>43998</v>
      </c>
      <c r="D1649" t="s">
        <v>311</v>
      </c>
      <c r="E1649">
        <v>62</v>
      </c>
    </row>
    <row r="1650" spans="3:5" x14ac:dyDescent="0.25">
      <c r="C1650" s="248">
        <v>44043</v>
      </c>
      <c r="D1650" t="s">
        <v>307</v>
      </c>
      <c r="E1650">
        <v>412</v>
      </c>
    </row>
    <row r="1651" spans="3:5" x14ac:dyDescent="0.25">
      <c r="C1651" s="248">
        <v>44199</v>
      </c>
      <c r="D1651" t="s">
        <v>311</v>
      </c>
      <c r="E1651">
        <v>111</v>
      </c>
    </row>
    <row r="1652" spans="3:5" x14ac:dyDescent="0.25">
      <c r="C1652" s="248">
        <v>44165</v>
      </c>
      <c r="D1652" t="s">
        <v>309</v>
      </c>
      <c r="E1652">
        <v>26</v>
      </c>
    </row>
    <row r="1653" spans="3:5" x14ac:dyDescent="0.25">
      <c r="C1653" s="248">
        <v>44095</v>
      </c>
      <c r="D1653" t="s">
        <v>306</v>
      </c>
      <c r="E1653">
        <v>404</v>
      </c>
    </row>
    <row r="1654" spans="3:5" x14ac:dyDescent="0.25">
      <c r="C1654" s="248">
        <v>44097</v>
      </c>
      <c r="D1654" t="s">
        <v>304</v>
      </c>
      <c r="E1654">
        <v>375</v>
      </c>
    </row>
    <row r="1655" spans="3:5" x14ac:dyDescent="0.25">
      <c r="C1655" s="248">
        <v>44097</v>
      </c>
      <c r="D1655" t="s">
        <v>306</v>
      </c>
      <c r="E1655">
        <v>413</v>
      </c>
    </row>
    <row r="1656" spans="3:5" x14ac:dyDescent="0.25">
      <c r="C1656" s="248">
        <v>44077</v>
      </c>
      <c r="D1656" t="s">
        <v>306</v>
      </c>
      <c r="E1656">
        <v>556</v>
      </c>
    </row>
    <row r="1657" spans="3:5" x14ac:dyDescent="0.25">
      <c r="C1657" s="248">
        <v>44077</v>
      </c>
      <c r="D1657" t="s">
        <v>305</v>
      </c>
      <c r="E1657">
        <v>106</v>
      </c>
    </row>
    <row r="1658" spans="3:5" x14ac:dyDescent="0.25">
      <c r="C1658" s="248">
        <v>44017</v>
      </c>
      <c r="D1658" t="s">
        <v>307</v>
      </c>
      <c r="E1658">
        <v>175</v>
      </c>
    </row>
    <row r="1659" spans="3:5" x14ac:dyDescent="0.25">
      <c r="C1659" s="248">
        <v>44043</v>
      </c>
      <c r="D1659" t="s">
        <v>308</v>
      </c>
      <c r="E1659">
        <v>76</v>
      </c>
    </row>
    <row r="1660" spans="3:5" x14ac:dyDescent="0.25">
      <c r="C1660" s="248">
        <v>44046</v>
      </c>
      <c r="D1660" t="s">
        <v>310</v>
      </c>
      <c r="E1660">
        <v>393</v>
      </c>
    </row>
    <row r="1661" spans="3:5" x14ac:dyDescent="0.25">
      <c r="C1661" s="248">
        <v>44064</v>
      </c>
      <c r="D1661" t="s">
        <v>307</v>
      </c>
      <c r="E1661">
        <v>441</v>
      </c>
    </row>
    <row r="1662" spans="3:5" x14ac:dyDescent="0.25">
      <c r="C1662" s="248">
        <v>44064</v>
      </c>
      <c r="D1662" t="s">
        <v>304</v>
      </c>
      <c r="E1662">
        <v>476</v>
      </c>
    </row>
    <row r="1663" spans="3:5" x14ac:dyDescent="0.25">
      <c r="C1663" s="248">
        <v>44063</v>
      </c>
      <c r="D1663" t="s">
        <v>311</v>
      </c>
      <c r="E1663">
        <v>155</v>
      </c>
    </row>
    <row r="1664" spans="3:5" x14ac:dyDescent="0.25">
      <c r="C1664" s="248">
        <v>44064</v>
      </c>
      <c r="D1664" t="s">
        <v>305</v>
      </c>
      <c r="E1664">
        <v>137</v>
      </c>
    </row>
    <row r="1665" spans="3:5" x14ac:dyDescent="0.25">
      <c r="C1665" s="248">
        <v>44064</v>
      </c>
      <c r="D1665" t="s">
        <v>310</v>
      </c>
      <c r="E1665">
        <v>348</v>
      </c>
    </row>
    <row r="1666" spans="3:5" x14ac:dyDescent="0.25">
      <c r="C1666" s="248">
        <v>44064</v>
      </c>
      <c r="D1666" t="s">
        <v>311</v>
      </c>
      <c r="E1666">
        <v>161</v>
      </c>
    </row>
    <row r="1667" spans="3:5" x14ac:dyDescent="0.25">
      <c r="C1667" s="248">
        <v>44067</v>
      </c>
      <c r="D1667" t="s">
        <v>307</v>
      </c>
      <c r="E1667">
        <v>564</v>
      </c>
    </row>
    <row r="1668" spans="3:5" x14ac:dyDescent="0.25">
      <c r="C1668" s="248">
        <v>44067</v>
      </c>
      <c r="D1668" t="s">
        <v>310</v>
      </c>
      <c r="E1668">
        <v>364</v>
      </c>
    </row>
    <row r="1669" spans="3:5" x14ac:dyDescent="0.25">
      <c r="C1669" s="248">
        <v>44065</v>
      </c>
      <c r="D1669" t="s">
        <v>310</v>
      </c>
      <c r="E1669">
        <v>286</v>
      </c>
    </row>
    <row r="1670" spans="3:5" x14ac:dyDescent="0.25">
      <c r="C1670" s="248">
        <v>44065</v>
      </c>
      <c r="D1670" t="s">
        <v>307</v>
      </c>
      <c r="E1670">
        <v>396</v>
      </c>
    </row>
    <row r="1671" spans="3:5" x14ac:dyDescent="0.25">
      <c r="C1671" s="248">
        <v>44054</v>
      </c>
      <c r="D1671" t="s">
        <v>307</v>
      </c>
      <c r="E1671">
        <v>462</v>
      </c>
    </row>
    <row r="1672" spans="3:5" x14ac:dyDescent="0.25">
      <c r="C1672" s="248">
        <v>44138</v>
      </c>
      <c r="D1672" t="s">
        <v>309</v>
      </c>
      <c r="E1672">
        <v>29</v>
      </c>
    </row>
    <row r="1673" spans="3:5" x14ac:dyDescent="0.25">
      <c r="C1673" s="248">
        <v>44137</v>
      </c>
      <c r="D1673" t="s">
        <v>307</v>
      </c>
      <c r="E1673">
        <v>191</v>
      </c>
    </row>
    <row r="1674" spans="3:5" x14ac:dyDescent="0.25">
      <c r="C1674" s="248">
        <v>44138</v>
      </c>
      <c r="D1674" t="s">
        <v>306</v>
      </c>
      <c r="E1674">
        <v>181</v>
      </c>
    </row>
    <row r="1675" spans="3:5" x14ac:dyDescent="0.25">
      <c r="C1675" s="248">
        <v>44139</v>
      </c>
      <c r="D1675" t="s">
        <v>307</v>
      </c>
      <c r="E1675">
        <v>166</v>
      </c>
    </row>
    <row r="1676" spans="3:5" x14ac:dyDescent="0.25">
      <c r="C1676" s="248">
        <v>44138</v>
      </c>
      <c r="D1676" t="s">
        <v>304</v>
      </c>
      <c r="E1676">
        <v>157</v>
      </c>
    </row>
    <row r="1677" spans="3:5" x14ac:dyDescent="0.25">
      <c r="C1677" s="248">
        <v>44139</v>
      </c>
      <c r="D1677" t="s">
        <v>306</v>
      </c>
      <c r="E1677">
        <v>229</v>
      </c>
    </row>
    <row r="1678" spans="3:5" x14ac:dyDescent="0.25">
      <c r="C1678" s="248">
        <v>44140</v>
      </c>
      <c r="D1678" t="s">
        <v>310</v>
      </c>
      <c r="E1678">
        <v>124</v>
      </c>
    </row>
    <row r="1679" spans="3:5" x14ac:dyDescent="0.25">
      <c r="C1679" s="248">
        <v>44140</v>
      </c>
      <c r="D1679" t="s">
        <v>304</v>
      </c>
      <c r="E1679">
        <v>233</v>
      </c>
    </row>
    <row r="1680" spans="3:5" x14ac:dyDescent="0.25">
      <c r="C1680" s="248">
        <v>44141</v>
      </c>
      <c r="D1680" t="s">
        <v>310</v>
      </c>
      <c r="E1680">
        <v>90</v>
      </c>
    </row>
    <row r="1681" spans="3:5" x14ac:dyDescent="0.25">
      <c r="C1681" s="248">
        <v>44141</v>
      </c>
      <c r="D1681" t="s">
        <v>306</v>
      </c>
      <c r="E1681">
        <v>202</v>
      </c>
    </row>
    <row r="1682" spans="3:5" x14ac:dyDescent="0.25">
      <c r="C1682" s="248">
        <v>44142</v>
      </c>
      <c r="D1682" t="s">
        <v>307</v>
      </c>
      <c r="E1682">
        <v>132</v>
      </c>
    </row>
    <row r="1683" spans="3:5" x14ac:dyDescent="0.25">
      <c r="C1683" s="248">
        <v>44144</v>
      </c>
      <c r="D1683" t="s">
        <v>307</v>
      </c>
      <c r="E1683">
        <v>148</v>
      </c>
    </row>
    <row r="1684" spans="3:5" x14ac:dyDescent="0.25">
      <c r="C1684" s="248">
        <v>44036</v>
      </c>
      <c r="D1684" t="s">
        <v>304</v>
      </c>
      <c r="E1684">
        <v>415</v>
      </c>
    </row>
    <row r="1685" spans="3:5" x14ac:dyDescent="0.25">
      <c r="C1685" s="248">
        <v>44127</v>
      </c>
      <c r="D1685" t="s">
        <v>306</v>
      </c>
      <c r="E1685">
        <v>231</v>
      </c>
    </row>
    <row r="1686" spans="3:5" x14ac:dyDescent="0.25">
      <c r="C1686" s="248">
        <v>44098</v>
      </c>
      <c r="D1686" t="s">
        <v>305</v>
      </c>
      <c r="E1686">
        <v>136</v>
      </c>
    </row>
    <row r="1687" spans="3:5" x14ac:dyDescent="0.25">
      <c r="C1687" s="248">
        <v>44100</v>
      </c>
      <c r="D1687" t="s">
        <v>309</v>
      </c>
      <c r="E1687">
        <v>46</v>
      </c>
    </row>
    <row r="1688" spans="3:5" x14ac:dyDescent="0.25">
      <c r="C1688" s="248">
        <v>44095</v>
      </c>
      <c r="D1688" t="s">
        <v>305</v>
      </c>
      <c r="E1688">
        <v>96</v>
      </c>
    </row>
    <row r="1689" spans="3:5" x14ac:dyDescent="0.25">
      <c r="C1689" s="248">
        <v>44046</v>
      </c>
      <c r="D1689" t="s">
        <v>306</v>
      </c>
      <c r="E1689">
        <v>664</v>
      </c>
    </row>
    <row r="1690" spans="3:5" x14ac:dyDescent="0.25">
      <c r="C1690" s="248">
        <v>44049</v>
      </c>
      <c r="D1690" t="s">
        <v>308</v>
      </c>
      <c r="E1690">
        <v>78</v>
      </c>
    </row>
    <row r="1691" spans="3:5" x14ac:dyDescent="0.25">
      <c r="C1691" s="248">
        <v>44050</v>
      </c>
      <c r="D1691" t="s">
        <v>305</v>
      </c>
      <c r="E1691">
        <v>135</v>
      </c>
    </row>
    <row r="1692" spans="3:5" x14ac:dyDescent="0.25">
      <c r="C1692" s="248">
        <v>44053</v>
      </c>
      <c r="D1692" t="s">
        <v>312</v>
      </c>
      <c r="E1692">
        <v>113</v>
      </c>
    </row>
    <row r="1693" spans="3:5" x14ac:dyDescent="0.25">
      <c r="C1693" s="248">
        <v>44061</v>
      </c>
      <c r="D1693" t="s">
        <v>310</v>
      </c>
      <c r="E1693">
        <v>371</v>
      </c>
    </row>
    <row r="1694" spans="3:5" x14ac:dyDescent="0.25">
      <c r="C1694" s="248">
        <v>44069</v>
      </c>
      <c r="D1694" t="s">
        <v>312</v>
      </c>
      <c r="E1694">
        <v>128</v>
      </c>
    </row>
    <row r="1695" spans="3:5" x14ac:dyDescent="0.25">
      <c r="C1695" s="248">
        <v>44068</v>
      </c>
      <c r="D1695" t="s">
        <v>312</v>
      </c>
      <c r="E1695">
        <v>112</v>
      </c>
    </row>
    <row r="1696" spans="3:5" x14ac:dyDescent="0.25">
      <c r="C1696" s="248">
        <v>44072</v>
      </c>
      <c r="D1696" t="s">
        <v>308</v>
      </c>
      <c r="E1696">
        <v>76</v>
      </c>
    </row>
    <row r="1697" spans="3:5" x14ac:dyDescent="0.25">
      <c r="C1697" s="248">
        <v>44071</v>
      </c>
      <c r="D1697" t="s">
        <v>311</v>
      </c>
      <c r="E1697">
        <v>213</v>
      </c>
    </row>
    <row r="1698" spans="3:5" x14ac:dyDescent="0.25">
      <c r="C1698" s="248">
        <v>44057</v>
      </c>
      <c r="D1698" t="s">
        <v>312</v>
      </c>
      <c r="E1698">
        <v>79</v>
      </c>
    </row>
    <row r="1699" spans="3:5" x14ac:dyDescent="0.25">
      <c r="C1699" s="248">
        <v>44014</v>
      </c>
      <c r="D1699" t="s">
        <v>304</v>
      </c>
      <c r="E1699">
        <v>257</v>
      </c>
    </row>
    <row r="1700" spans="3:5" x14ac:dyDescent="0.25">
      <c r="C1700" s="248">
        <v>44027</v>
      </c>
      <c r="D1700" t="s">
        <v>308</v>
      </c>
      <c r="E1700">
        <v>70</v>
      </c>
    </row>
    <row r="1701" spans="3:5" x14ac:dyDescent="0.25">
      <c r="C1701" s="248">
        <v>44038</v>
      </c>
      <c r="D1701" t="s">
        <v>312</v>
      </c>
      <c r="E1701">
        <v>91</v>
      </c>
    </row>
    <row r="1702" spans="3:5" x14ac:dyDescent="0.25">
      <c r="C1702" s="248">
        <v>44046</v>
      </c>
      <c r="D1702" t="s">
        <v>307</v>
      </c>
      <c r="E1702">
        <v>537</v>
      </c>
    </row>
    <row r="1703" spans="3:5" x14ac:dyDescent="0.25">
      <c r="C1703" s="248">
        <v>44047</v>
      </c>
      <c r="D1703" t="s">
        <v>311</v>
      </c>
      <c r="E1703">
        <v>205</v>
      </c>
    </row>
    <row r="1704" spans="3:5" x14ac:dyDescent="0.25">
      <c r="C1704" s="248">
        <v>44068</v>
      </c>
      <c r="D1704" t="s">
        <v>305</v>
      </c>
      <c r="E1704">
        <v>147</v>
      </c>
    </row>
    <row r="1705" spans="3:5" x14ac:dyDescent="0.25">
      <c r="C1705" s="248">
        <v>44070</v>
      </c>
      <c r="D1705" t="s">
        <v>311</v>
      </c>
      <c r="E1705">
        <v>214</v>
      </c>
    </row>
    <row r="1706" spans="3:5" x14ac:dyDescent="0.25">
      <c r="C1706" s="248">
        <v>44053</v>
      </c>
      <c r="D1706" t="s">
        <v>306</v>
      </c>
      <c r="E1706">
        <v>644</v>
      </c>
    </row>
    <row r="1707" spans="3:5" x14ac:dyDescent="0.25">
      <c r="C1707" s="248">
        <v>44054</v>
      </c>
      <c r="D1707" t="s">
        <v>304</v>
      </c>
      <c r="E1707">
        <v>400</v>
      </c>
    </row>
    <row r="1708" spans="3:5" x14ac:dyDescent="0.25">
      <c r="C1708" s="248">
        <v>44053</v>
      </c>
      <c r="D1708" t="s">
        <v>310</v>
      </c>
      <c r="E1708">
        <v>331</v>
      </c>
    </row>
    <row r="1709" spans="3:5" x14ac:dyDescent="0.25">
      <c r="C1709" s="248">
        <v>44054</v>
      </c>
      <c r="D1709" t="s">
        <v>312</v>
      </c>
      <c r="E1709">
        <v>130</v>
      </c>
    </row>
    <row r="1710" spans="3:5" x14ac:dyDescent="0.25">
      <c r="C1710" s="248">
        <v>44057</v>
      </c>
      <c r="D1710" t="s">
        <v>310</v>
      </c>
      <c r="E1710">
        <v>293</v>
      </c>
    </row>
    <row r="1711" spans="3:5" x14ac:dyDescent="0.25">
      <c r="C1711" s="248">
        <v>44055</v>
      </c>
      <c r="D1711" t="s">
        <v>310</v>
      </c>
      <c r="E1711">
        <v>314</v>
      </c>
    </row>
    <row r="1712" spans="3:5" x14ac:dyDescent="0.25">
      <c r="C1712" s="248">
        <v>44050</v>
      </c>
      <c r="D1712" t="s">
        <v>307</v>
      </c>
      <c r="E1712">
        <v>439</v>
      </c>
    </row>
    <row r="1713" spans="3:5" x14ac:dyDescent="0.25">
      <c r="C1713" s="248">
        <v>44061</v>
      </c>
      <c r="D1713" t="s">
        <v>304</v>
      </c>
      <c r="E1713">
        <v>435</v>
      </c>
    </row>
    <row r="1714" spans="3:5" x14ac:dyDescent="0.25">
      <c r="C1714" s="248">
        <v>44055</v>
      </c>
      <c r="D1714" t="s">
        <v>311</v>
      </c>
      <c r="E1714">
        <v>177</v>
      </c>
    </row>
    <row r="1715" spans="3:5" x14ac:dyDescent="0.25">
      <c r="C1715" s="248">
        <v>44055</v>
      </c>
      <c r="D1715" t="s">
        <v>308</v>
      </c>
      <c r="E1715">
        <v>75</v>
      </c>
    </row>
    <row r="1716" spans="3:5" x14ac:dyDescent="0.25">
      <c r="C1716" s="248">
        <v>44056</v>
      </c>
      <c r="D1716" t="s">
        <v>306</v>
      </c>
      <c r="E1716">
        <v>533</v>
      </c>
    </row>
    <row r="1717" spans="3:5" x14ac:dyDescent="0.25">
      <c r="C1717" s="248">
        <v>44057</v>
      </c>
      <c r="D1717" t="s">
        <v>306</v>
      </c>
      <c r="E1717">
        <v>537</v>
      </c>
    </row>
    <row r="1718" spans="3:5" x14ac:dyDescent="0.25">
      <c r="C1718" s="248">
        <v>44184</v>
      </c>
      <c r="D1718" t="s">
        <v>305</v>
      </c>
      <c r="E1718">
        <v>80</v>
      </c>
    </row>
    <row r="1719" spans="3:5" x14ac:dyDescent="0.25">
      <c r="C1719" s="248">
        <v>44179</v>
      </c>
      <c r="D1719" t="s">
        <v>309</v>
      </c>
      <c r="E1719">
        <v>16</v>
      </c>
    </row>
    <row r="1720" spans="3:5" x14ac:dyDescent="0.25">
      <c r="C1720" s="248">
        <v>44181</v>
      </c>
      <c r="D1720" t="s">
        <v>310</v>
      </c>
      <c r="E1720">
        <v>89</v>
      </c>
    </row>
    <row r="1721" spans="3:5" x14ac:dyDescent="0.25">
      <c r="C1721" s="248">
        <v>44181</v>
      </c>
      <c r="D1721" t="s">
        <v>305</v>
      </c>
      <c r="E1721">
        <v>69</v>
      </c>
    </row>
    <row r="1722" spans="3:5" x14ac:dyDescent="0.25">
      <c r="C1722" s="248">
        <v>44181</v>
      </c>
      <c r="D1722" t="s">
        <v>309</v>
      </c>
      <c r="E1722">
        <v>29</v>
      </c>
    </row>
    <row r="1723" spans="3:5" x14ac:dyDescent="0.25">
      <c r="C1723" s="248">
        <v>44181</v>
      </c>
      <c r="D1723" t="s">
        <v>304</v>
      </c>
      <c r="E1723">
        <v>222</v>
      </c>
    </row>
    <row r="1724" spans="3:5" x14ac:dyDescent="0.25">
      <c r="C1724" s="248">
        <v>44183</v>
      </c>
      <c r="D1724" t="s">
        <v>310</v>
      </c>
      <c r="E1724">
        <v>122</v>
      </c>
    </row>
    <row r="1725" spans="3:5" x14ac:dyDescent="0.25">
      <c r="C1725" s="248">
        <v>44183</v>
      </c>
      <c r="D1725" t="s">
        <v>304</v>
      </c>
      <c r="E1725">
        <v>275</v>
      </c>
    </row>
    <row r="1726" spans="3:5" x14ac:dyDescent="0.25">
      <c r="C1726" s="248">
        <v>44182</v>
      </c>
      <c r="D1726" t="s">
        <v>307</v>
      </c>
      <c r="E1726">
        <v>166</v>
      </c>
    </row>
    <row r="1727" spans="3:5" x14ac:dyDescent="0.25">
      <c r="C1727" s="248">
        <v>44183</v>
      </c>
      <c r="D1727" t="s">
        <v>307</v>
      </c>
      <c r="E1727">
        <v>199</v>
      </c>
    </row>
    <row r="1728" spans="3:5" x14ac:dyDescent="0.25">
      <c r="C1728" s="248">
        <v>44184</v>
      </c>
      <c r="D1728" t="s">
        <v>309</v>
      </c>
      <c r="E1728">
        <v>25</v>
      </c>
    </row>
    <row r="1729" spans="3:5" x14ac:dyDescent="0.25">
      <c r="C1729" s="248">
        <v>44150</v>
      </c>
      <c r="D1729" t="s">
        <v>304</v>
      </c>
      <c r="E1729">
        <v>77</v>
      </c>
    </row>
    <row r="1730" spans="3:5" x14ac:dyDescent="0.25">
      <c r="C1730" s="248">
        <v>44158</v>
      </c>
      <c r="D1730" t="s">
        <v>310</v>
      </c>
      <c r="E1730">
        <v>54</v>
      </c>
    </row>
    <row r="1731" spans="3:5" x14ac:dyDescent="0.25">
      <c r="C1731" s="248">
        <v>44176</v>
      </c>
      <c r="D1731" t="s">
        <v>306</v>
      </c>
      <c r="E1731">
        <v>152</v>
      </c>
    </row>
    <row r="1732" spans="3:5" x14ac:dyDescent="0.25">
      <c r="C1732" s="248">
        <v>44173</v>
      </c>
      <c r="D1732" t="s">
        <v>306</v>
      </c>
      <c r="E1732">
        <v>106</v>
      </c>
    </row>
    <row r="1733" spans="3:5" x14ac:dyDescent="0.25">
      <c r="C1733" s="248">
        <v>44092</v>
      </c>
      <c r="D1733" t="s">
        <v>309</v>
      </c>
      <c r="E1733">
        <v>98</v>
      </c>
    </row>
    <row r="1734" spans="3:5" x14ac:dyDescent="0.25">
      <c r="C1734" s="248">
        <v>44096</v>
      </c>
      <c r="D1734" t="s">
        <v>305</v>
      </c>
      <c r="E1734">
        <v>92</v>
      </c>
    </row>
    <row r="1735" spans="3:5" x14ac:dyDescent="0.25">
      <c r="C1735" s="248">
        <v>44091</v>
      </c>
      <c r="D1735" t="s">
        <v>304</v>
      </c>
      <c r="E1735">
        <v>397</v>
      </c>
    </row>
    <row r="1736" spans="3:5" x14ac:dyDescent="0.25">
      <c r="C1736" s="248">
        <v>44070</v>
      </c>
      <c r="D1736" t="s">
        <v>309</v>
      </c>
      <c r="E1736">
        <v>107</v>
      </c>
    </row>
    <row r="1737" spans="3:5" x14ac:dyDescent="0.25">
      <c r="C1737" s="248">
        <v>44071</v>
      </c>
      <c r="D1737" t="s">
        <v>309</v>
      </c>
      <c r="E1737">
        <v>85</v>
      </c>
    </row>
    <row r="1738" spans="3:5" x14ac:dyDescent="0.25">
      <c r="C1738" s="248">
        <v>44071</v>
      </c>
      <c r="D1738" t="s">
        <v>307</v>
      </c>
      <c r="E1738">
        <v>523</v>
      </c>
    </row>
    <row r="1739" spans="3:5" x14ac:dyDescent="0.25">
      <c r="C1739" s="248">
        <v>44061</v>
      </c>
      <c r="D1739" t="s">
        <v>307</v>
      </c>
      <c r="E1739">
        <v>464</v>
      </c>
    </row>
    <row r="1740" spans="3:5" x14ac:dyDescent="0.25">
      <c r="C1740" s="248">
        <v>44165</v>
      </c>
      <c r="D1740" t="s">
        <v>304</v>
      </c>
      <c r="E1740">
        <v>121</v>
      </c>
    </row>
    <row r="1741" spans="3:5" x14ac:dyDescent="0.25">
      <c r="C1741" s="248">
        <v>44167</v>
      </c>
      <c r="D1741" t="s">
        <v>304</v>
      </c>
      <c r="E1741">
        <v>88</v>
      </c>
    </row>
    <row r="1742" spans="3:5" x14ac:dyDescent="0.25">
      <c r="C1742" s="248">
        <v>44152</v>
      </c>
      <c r="D1742" t="s">
        <v>304</v>
      </c>
      <c r="E1742">
        <v>157</v>
      </c>
    </row>
    <row r="1743" spans="3:5" x14ac:dyDescent="0.25">
      <c r="C1743" s="248">
        <v>44158</v>
      </c>
      <c r="D1743" t="s">
        <v>306</v>
      </c>
      <c r="E1743">
        <v>97</v>
      </c>
    </row>
    <row r="1744" spans="3:5" x14ac:dyDescent="0.25">
      <c r="C1744" s="248">
        <v>44002</v>
      </c>
      <c r="D1744" t="s">
        <v>307</v>
      </c>
      <c r="E1744">
        <v>168</v>
      </c>
    </row>
    <row r="1745" spans="3:5" x14ac:dyDescent="0.25">
      <c r="C1745" s="248">
        <v>44147</v>
      </c>
      <c r="D1745" t="s">
        <v>310</v>
      </c>
      <c r="E1745">
        <v>97</v>
      </c>
    </row>
    <row r="1746" spans="3:5" x14ac:dyDescent="0.25">
      <c r="C1746" s="248">
        <v>44130</v>
      </c>
      <c r="D1746" t="s">
        <v>305</v>
      </c>
      <c r="E1746">
        <v>85</v>
      </c>
    </row>
    <row r="1747" spans="3:5" x14ac:dyDescent="0.25">
      <c r="C1747" s="248">
        <v>44157</v>
      </c>
      <c r="D1747" t="s">
        <v>307</v>
      </c>
      <c r="E1747">
        <v>69</v>
      </c>
    </row>
    <row r="1748" spans="3:5" x14ac:dyDescent="0.25">
      <c r="C1748" s="248">
        <v>44155</v>
      </c>
      <c r="D1748" t="s">
        <v>304</v>
      </c>
      <c r="E1748">
        <v>129</v>
      </c>
    </row>
    <row r="1749" spans="3:5" x14ac:dyDescent="0.25">
      <c r="C1749" s="248">
        <v>44164</v>
      </c>
      <c r="D1749" t="s">
        <v>310</v>
      </c>
      <c r="E1749">
        <v>65</v>
      </c>
    </row>
    <row r="1750" spans="3:5" x14ac:dyDescent="0.25">
      <c r="C1750" s="248">
        <v>44049</v>
      </c>
      <c r="D1750" t="s">
        <v>306</v>
      </c>
      <c r="E1750">
        <v>603</v>
      </c>
    </row>
    <row r="1751" spans="3:5" x14ac:dyDescent="0.25">
      <c r="C1751" s="248">
        <v>44086</v>
      </c>
      <c r="D1751" t="s">
        <v>307</v>
      </c>
      <c r="E1751">
        <v>325</v>
      </c>
    </row>
    <row r="1752" spans="3:5" x14ac:dyDescent="0.25">
      <c r="C1752" s="248">
        <v>44124</v>
      </c>
      <c r="D1752" t="s">
        <v>304</v>
      </c>
      <c r="E1752">
        <v>261</v>
      </c>
    </row>
    <row r="1753" spans="3:5" x14ac:dyDescent="0.25">
      <c r="C1753" s="248">
        <v>44141</v>
      </c>
      <c r="D1753" t="s">
        <v>304</v>
      </c>
      <c r="E1753">
        <v>153</v>
      </c>
    </row>
    <row r="1754" spans="3:5" x14ac:dyDescent="0.25">
      <c r="C1754" s="248">
        <v>44159</v>
      </c>
      <c r="D1754" t="s">
        <v>304</v>
      </c>
      <c r="E1754">
        <v>146</v>
      </c>
    </row>
    <row r="1755" spans="3:5" x14ac:dyDescent="0.25">
      <c r="C1755" s="248">
        <v>44149</v>
      </c>
      <c r="D1755" t="s">
        <v>310</v>
      </c>
      <c r="E1755">
        <v>89</v>
      </c>
    </row>
    <row r="1756" spans="3:5" x14ac:dyDescent="0.25">
      <c r="C1756" s="248">
        <v>44151</v>
      </c>
      <c r="D1756" t="s">
        <v>309</v>
      </c>
      <c r="E1756">
        <v>26</v>
      </c>
    </row>
    <row r="1757" spans="3:5" x14ac:dyDescent="0.25">
      <c r="C1757" s="248">
        <v>44151</v>
      </c>
      <c r="D1757" t="s">
        <v>306</v>
      </c>
      <c r="E1757">
        <v>162</v>
      </c>
    </row>
    <row r="1758" spans="3:5" x14ac:dyDescent="0.25">
      <c r="C1758" s="248">
        <v>44151</v>
      </c>
      <c r="D1758" t="s">
        <v>307</v>
      </c>
      <c r="E1758">
        <v>136</v>
      </c>
    </row>
    <row r="1759" spans="3:5" x14ac:dyDescent="0.25">
      <c r="C1759" s="248">
        <v>44151</v>
      </c>
      <c r="D1759" t="s">
        <v>304</v>
      </c>
      <c r="E1759">
        <v>135</v>
      </c>
    </row>
    <row r="1760" spans="3:5" x14ac:dyDescent="0.25">
      <c r="C1760" s="248">
        <v>44091</v>
      </c>
      <c r="D1760" t="s">
        <v>309</v>
      </c>
      <c r="E1760">
        <v>51</v>
      </c>
    </row>
    <row r="1761" spans="3:5" x14ac:dyDescent="0.25">
      <c r="C1761" s="248">
        <v>44086</v>
      </c>
      <c r="D1761" t="s">
        <v>306</v>
      </c>
      <c r="E1761">
        <v>376</v>
      </c>
    </row>
    <row r="1762" spans="3:5" x14ac:dyDescent="0.25">
      <c r="C1762" s="248">
        <v>44092</v>
      </c>
      <c r="D1762" t="s">
        <v>305</v>
      </c>
      <c r="E1762">
        <v>113</v>
      </c>
    </row>
    <row r="1763" spans="3:5" x14ac:dyDescent="0.25">
      <c r="C1763" s="248">
        <v>44068</v>
      </c>
      <c r="D1763" t="s">
        <v>304</v>
      </c>
      <c r="E1763">
        <v>517</v>
      </c>
    </row>
    <row r="1764" spans="3:5" x14ac:dyDescent="0.25">
      <c r="C1764" s="248">
        <v>44069</v>
      </c>
      <c r="D1764" t="s">
        <v>309</v>
      </c>
      <c r="E1764">
        <v>108</v>
      </c>
    </row>
    <row r="1765" spans="3:5" x14ac:dyDescent="0.25">
      <c r="C1765" s="248">
        <v>44069</v>
      </c>
      <c r="D1765" t="s">
        <v>305</v>
      </c>
      <c r="E1765">
        <v>171</v>
      </c>
    </row>
    <row r="1766" spans="3:5" x14ac:dyDescent="0.25">
      <c r="C1766" s="248">
        <v>44130</v>
      </c>
      <c r="D1766" t="s">
        <v>307</v>
      </c>
      <c r="E1766">
        <v>234</v>
      </c>
    </row>
    <row r="1767" spans="3:5" x14ac:dyDescent="0.25">
      <c r="C1767" s="248">
        <v>44057</v>
      </c>
      <c r="D1767" t="s">
        <v>304</v>
      </c>
      <c r="E1767">
        <v>400</v>
      </c>
    </row>
    <row r="1768" spans="3:5" x14ac:dyDescent="0.25">
      <c r="C1768" s="248">
        <v>44065</v>
      </c>
      <c r="D1768" t="s">
        <v>305</v>
      </c>
      <c r="E1768">
        <v>111</v>
      </c>
    </row>
    <row r="1769" spans="3:5" x14ac:dyDescent="0.25">
      <c r="C1769" s="248">
        <v>44060</v>
      </c>
      <c r="D1769" t="s">
        <v>307</v>
      </c>
      <c r="E1769">
        <v>350</v>
      </c>
    </row>
    <row r="1770" spans="3:5" x14ac:dyDescent="0.25">
      <c r="C1770" s="248">
        <v>44131</v>
      </c>
      <c r="D1770" t="s">
        <v>306</v>
      </c>
      <c r="E1770">
        <v>240</v>
      </c>
    </row>
    <row r="1771" spans="3:5" x14ac:dyDescent="0.25">
      <c r="C1771" s="248">
        <v>44131</v>
      </c>
      <c r="D1771" t="s">
        <v>304</v>
      </c>
      <c r="E1771">
        <v>211</v>
      </c>
    </row>
    <row r="1772" spans="3:5" x14ac:dyDescent="0.25">
      <c r="C1772" s="248">
        <v>44132</v>
      </c>
      <c r="D1772" t="s">
        <v>304</v>
      </c>
      <c r="E1772">
        <v>193</v>
      </c>
    </row>
    <row r="1773" spans="3:5" x14ac:dyDescent="0.25">
      <c r="C1773" s="248">
        <v>44132</v>
      </c>
      <c r="D1773" t="s">
        <v>306</v>
      </c>
      <c r="E1773">
        <v>264</v>
      </c>
    </row>
    <row r="1774" spans="3:5" x14ac:dyDescent="0.25">
      <c r="C1774" s="248">
        <v>44134</v>
      </c>
      <c r="D1774" t="s">
        <v>305</v>
      </c>
      <c r="E1774">
        <v>36</v>
      </c>
    </row>
    <row r="1775" spans="3:5" x14ac:dyDescent="0.25">
      <c r="C1775" s="248">
        <v>44134</v>
      </c>
      <c r="D1775" t="s">
        <v>304</v>
      </c>
      <c r="E1775">
        <v>131</v>
      </c>
    </row>
    <row r="1776" spans="3:5" x14ac:dyDescent="0.25">
      <c r="C1776" s="248">
        <v>44132</v>
      </c>
      <c r="D1776" t="s">
        <v>305</v>
      </c>
      <c r="E1776">
        <v>76</v>
      </c>
    </row>
    <row r="1777" spans="3:5" x14ac:dyDescent="0.25">
      <c r="C1777" s="248">
        <v>44132</v>
      </c>
      <c r="D1777" t="s">
        <v>309</v>
      </c>
      <c r="E1777">
        <v>36</v>
      </c>
    </row>
    <row r="1778" spans="3:5" x14ac:dyDescent="0.25">
      <c r="C1778" s="248">
        <v>44133</v>
      </c>
      <c r="D1778" t="s">
        <v>306</v>
      </c>
      <c r="E1778">
        <v>201</v>
      </c>
    </row>
    <row r="1779" spans="3:5" x14ac:dyDescent="0.25">
      <c r="C1779" s="248">
        <v>44108</v>
      </c>
      <c r="D1779" t="s">
        <v>309</v>
      </c>
      <c r="E1779">
        <v>31</v>
      </c>
    </row>
    <row r="1780" spans="3:5" x14ac:dyDescent="0.25">
      <c r="C1780" s="248">
        <v>44077</v>
      </c>
      <c r="D1780" t="s">
        <v>311</v>
      </c>
      <c r="E1780">
        <v>175</v>
      </c>
    </row>
    <row r="1781" spans="3:5" x14ac:dyDescent="0.25">
      <c r="C1781" s="248">
        <v>44078</v>
      </c>
      <c r="D1781" t="s">
        <v>309</v>
      </c>
      <c r="E1781">
        <v>59</v>
      </c>
    </row>
    <row r="1782" spans="3:5" x14ac:dyDescent="0.25">
      <c r="C1782" s="248">
        <v>44079</v>
      </c>
      <c r="D1782" t="s">
        <v>304</v>
      </c>
      <c r="E1782">
        <v>369</v>
      </c>
    </row>
    <row r="1783" spans="3:5" x14ac:dyDescent="0.25">
      <c r="C1783" s="248">
        <v>44079</v>
      </c>
      <c r="D1783" t="s">
        <v>310</v>
      </c>
      <c r="E1783">
        <v>261</v>
      </c>
    </row>
    <row r="1784" spans="3:5" x14ac:dyDescent="0.25">
      <c r="C1784" s="248">
        <v>44051</v>
      </c>
      <c r="D1784" t="s">
        <v>306</v>
      </c>
      <c r="E1784">
        <v>450</v>
      </c>
    </row>
    <row r="1785" spans="3:5" x14ac:dyDescent="0.25">
      <c r="C1785" s="248">
        <v>44079</v>
      </c>
      <c r="D1785" t="s">
        <v>308</v>
      </c>
      <c r="E1785">
        <v>84</v>
      </c>
    </row>
    <row r="1786" spans="3:5" x14ac:dyDescent="0.25">
      <c r="C1786" s="248">
        <v>44073</v>
      </c>
      <c r="D1786" t="s">
        <v>304</v>
      </c>
      <c r="E1786">
        <v>262</v>
      </c>
    </row>
    <row r="1787" spans="3:5" x14ac:dyDescent="0.25">
      <c r="C1787" s="248">
        <v>44175</v>
      </c>
      <c r="D1787" t="s">
        <v>307</v>
      </c>
      <c r="E1787">
        <v>130</v>
      </c>
    </row>
    <row r="1788" spans="3:5" x14ac:dyDescent="0.25">
      <c r="C1788" s="248">
        <v>44174</v>
      </c>
      <c r="D1788" t="s">
        <v>307</v>
      </c>
      <c r="E1788">
        <v>142</v>
      </c>
    </row>
    <row r="1789" spans="3:5" x14ac:dyDescent="0.25">
      <c r="C1789" s="248">
        <v>44176</v>
      </c>
      <c r="D1789" t="s">
        <v>307</v>
      </c>
      <c r="E1789">
        <v>130</v>
      </c>
    </row>
    <row r="1790" spans="3:5" x14ac:dyDescent="0.25">
      <c r="C1790" s="248">
        <v>44177</v>
      </c>
      <c r="D1790" t="s">
        <v>304</v>
      </c>
      <c r="E1790">
        <v>142</v>
      </c>
    </row>
    <row r="1791" spans="3:5" x14ac:dyDescent="0.25">
      <c r="C1791" s="248">
        <v>44176</v>
      </c>
      <c r="D1791" t="s">
        <v>304</v>
      </c>
      <c r="E1791">
        <v>152</v>
      </c>
    </row>
    <row r="1792" spans="3:5" x14ac:dyDescent="0.25">
      <c r="C1792" s="248">
        <v>44176</v>
      </c>
      <c r="D1792" t="s">
        <v>309</v>
      </c>
      <c r="E1792">
        <v>22</v>
      </c>
    </row>
    <row r="1793" spans="3:5" x14ac:dyDescent="0.25">
      <c r="C1793" s="248">
        <v>44177</v>
      </c>
      <c r="D1793" t="s">
        <v>311</v>
      </c>
      <c r="E1793">
        <v>38</v>
      </c>
    </row>
    <row r="1794" spans="3:5" x14ac:dyDescent="0.25">
      <c r="C1794" s="248">
        <v>44177</v>
      </c>
      <c r="D1794" t="s">
        <v>309</v>
      </c>
      <c r="E1794">
        <v>16</v>
      </c>
    </row>
    <row r="1795" spans="3:5" x14ac:dyDescent="0.25">
      <c r="C1795" s="248">
        <v>44166</v>
      </c>
      <c r="D1795" t="s">
        <v>306</v>
      </c>
      <c r="E1795">
        <v>145</v>
      </c>
    </row>
    <row r="1796" spans="3:5" x14ac:dyDescent="0.25">
      <c r="C1796" s="248">
        <v>44168</v>
      </c>
      <c r="D1796" t="s">
        <v>304</v>
      </c>
      <c r="E1796">
        <v>121</v>
      </c>
    </row>
    <row r="1797" spans="3:5" x14ac:dyDescent="0.25">
      <c r="C1797" s="248">
        <v>44084</v>
      </c>
      <c r="D1797" t="s">
        <v>304</v>
      </c>
      <c r="E1797">
        <v>435</v>
      </c>
    </row>
    <row r="1798" spans="3:5" x14ac:dyDescent="0.25">
      <c r="C1798" s="248">
        <v>44085</v>
      </c>
      <c r="D1798" t="s">
        <v>307</v>
      </c>
      <c r="E1798">
        <v>519</v>
      </c>
    </row>
    <row r="1799" spans="3:5" x14ac:dyDescent="0.25">
      <c r="C1799" s="248">
        <v>44087</v>
      </c>
      <c r="D1799" t="s">
        <v>306</v>
      </c>
      <c r="E1799">
        <v>306</v>
      </c>
    </row>
    <row r="1800" spans="3:5" x14ac:dyDescent="0.25">
      <c r="C1800" s="248">
        <v>44087</v>
      </c>
      <c r="D1800" t="s">
        <v>304</v>
      </c>
      <c r="E1800">
        <v>229</v>
      </c>
    </row>
    <row r="1801" spans="3:5" x14ac:dyDescent="0.25">
      <c r="C1801" s="248">
        <v>44087</v>
      </c>
      <c r="D1801" t="s">
        <v>310</v>
      </c>
      <c r="E1801">
        <v>180</v>
      </c>
    </row>
    <row r="1802" spans="3:5" x14ac:dyDescent="0.25">
      <c r="C1802" s="248">
        <v>44087</v>
      </c>
      <c r="D1802" t="s">
        <v>305</v>
      </c>
      <c r="E1802">
        <v>80</v>
      </c>
    </row>
    <row r="1803" spans="3:5" x14ac:dyDescent="0.25">
      <c r="C1803" s="248">
        <v>44087</v>
      </c>
      <c r="D1803" t="s">
        <v>309</v>
      </c>
      <c r="E1803">
        <v>45</v>
      </c>
    </row>
    <row r="1804" spans="3:5" x14ac:dyDescent="0.25">
      <c r="C1804" s="248">
        <v>44096</v>
      </c>
      <c r="D1804" t="s">
        <v>309</v>
      </c>
      <c r="E1804">
        <v>50</v>
      </c>
    </row>
    <row r="1805" spans="3:5" x14ac:dyDescent="0.25">
      <c r="C1805" s="248">
        <v>44074</v>
      </c>
      <c r="D1805" t="s">
        <v>306</v>
      </c>
      <c r="E1805">
        <v>656</v>
      </c>
    </row>
    <row r="1806" spans="3:5" x14ac:dyDescent="0.25">
      <c r="C1806" s="248">
        <v>44068</v>
      </c>
      <c r="D1806" t="s">
        <v>306</v>
      </c>
      <c r="E1806">
        <v>798</v>
      </c>
    </row>
    <row r="1807" spans="3:5" x14ac:dyDescent="0.25">
      <c r="C1807" s="248">
        <v>44076</v>
      </c>
      <c r="D1807" t="s">
        <v>304</v>
      </c>
      <c r="E1807">
        <v>406</v>
      </c>
    </row>
    <row r="1808" spans="3:5" x14ac:dyDescent="0.25">
      <c r="C1808" s="248">
        <v>44076</v>
      </c>
      <c r="D1808" t="s">
        <v>311</v>
      </c>
      <c r="E1808">
        <v>169</v>
      </c>
    </row>
    <row r="1809" spans="3:5" x14ac:dyDescent="0.25">
      <c r="C1809" s="248">
        <v>44024</v>
      </c>
      <c r="D1809" t="s">
        <v>304</v>
      </c>
      <c r="E1809">
        <v>174</v>
      </c>
    </row>
    <row r="1810" spans="3:5" x14ac:dyDescent="0.25">
      <c r="C1810" s="248">
        <v>44151</v>
      </c>
      <c r="D1810" t="s">
        <v>305</v>
      </c>
      <c r="E1810">
        <v>49</v>
      </c>
    </row>
    <row r="1811" spans="3:5" x14ac:dyDescent="0.25">
      <c r="C1811" s="248">
        <v>44152</v>
      </c>
      <c r="D1811" t="s">
        <v>307</v>
      </c>
      <c r="E1811">
        <v>148</v>
      </c>
    </row>
    <row r="1812" spans="3:5" x14ac:dyDescent="0.25">
      <c r="C1812" s="248">
        <v>44152</v>
      </c>
      <c r="D1812" t="s">
        <v>305</v>
      </c>
      <c r="E1812">
        <v>60</v>
      </c>
    </row>
    <row r="1813" spans="3:5" x14ac:dyDescent="0.25">
      <c r="C1813" s="248">
        <v>44153</v>
      </c>
      <c r="D1813" t="s">
        <v>307</v>
      </c>
      <c r="E1813">
        <v>138</v>
      </c>
    </row>
    <row r="1814" spans="3:5" x14ac:dyDescent="0.25">
      <c r="C1814" s="248">
        <v>44150</v>
      </c>
      <c r="D1814" t="s">
        <v>310</v>
      </c>
      <c r="E1814">
        <v>52</v>
      </c>
    </row>
    <row r="1815" spans="3:5" x14ac:dyDescent="0.25">
      <c r="C1815" s="248">
        <v>44155</v>
      </c>
      <c r="D1815" t="s">
        <v>306</v>
      </c>
      <c r="E1815">
        <v>119</v>
      </c>
    </row>
    <row r="1816" spans="3:5" x14ac:dyDescent="0.25">
      <c r="C1816" s="248">
        <v>44144</v>
      </c>
      <c r="D1816" t="s">
        <v>306</v>
      </c>
      <c r="E1816">
        <v>206</v>
      </c>
    </row>
    <row r="1817" spans="3:5" x14ac:dyDescent="0.25">
      <c r="C1817" s="248">
        <v>44144</v>
      </c>
      <c r="D1817" t="s">
        <v>305</v>
      </c>
      <c r="E1817">
        <v>47</v>
      </c>
    </row>
    <row r="1818" spans="3:5" x14ac:dyDescent="0.25">
      <c r="C1818" s="248">
        <v>44089</v>
      </c>
      <c r="D1818" t="s">
        <v>304</v>
      </c>
      <c r="E1818">
        <v>424</v>
      </c>
    </row>
    <row r="1819" spans="3:5" x14ac:dyDescent="0.25">
      <c r="C1819" s="248">
        <v>44091</v>
      </c>
      <c r="D1819" t="s">
        <v>305</v>
      </c>
      <c r="E1819">
        <v>99</v>
      </c>
    </row>
    <row r="1820" spans="3:5" x14ac:dyDescent="0.25">
      <c r="C1820" s="248">
        <v>44086</v>
      </c>
      <c r="D1820" t="s">
        <v>305</v>
      </c>
      <c r="E1820">
        <v>83</v>
      </c>
    </row>
    <row r="1821" spans="3:5" x14ac:dyDescent="0.25">
      <c r="C1821" s="248">
        <v>44086</v>
      </c>
      <c r="D1821" t="s">
        <v>304</v>
      </c>
      <c r="E1821">
        <v>301</v>
      </c>
    </row>
    <row r="1822" spans="3:5" x14ac:dyDescent="0.25">
      <c r="C1822" s="248">
        <v>43961</v>
      </c>
      <c r="D1822" t="s">
        <v>306</v>
      </c>
      <c r="E1822">
        <v>42</v>
      </c>
    </row>
    <row r="1823" spans="3:5" x14ac:dyDescent="0.25">
      <c r="C1823" s="248">
        <v>44041</v>
      </c>
      <c r="D1823" t="s">
        <v>308</v>
      </c>
      <c r="E1823">
        <v>81</v>
      </c>
    </row>
    <row r="1824" spans="3:5" x14ac:dyDescent="0.25">
      <c r="C1824" s="248">
        <v>44059</v>
      </c>
      <c r="D1824" t="s">
        <v>310</v>
      </c>
      <c r="E1824">
        <v>175</v>
      </c>
    </row>
    <row r="1825" spans="3:5" x14ac:dyDescent="0.25">
      <c r="C1825" s="248">
        <v>44066</v>
      </c>
      <c r="D1825" t="s">
        <v>305</v>
      </c>
      <c r="E1825">
        <v>93</v>
      </c>
    </row>
    <row r="1826" spans="3:5" x14ac:dyDescent="0.25">
      <c r="C1826" s="248">
        <v>44067</v>
      </c>
      <c r="D1826" t="s">
        <v>309</v>
      </c>
      <c r="E1826">
        <v>99</v>
      </c>
    </row>
    <row r="1827" spans="3:5" x14ac:dyDescent="0.25">
      <c r="C1827" s="248">
        <v>44067</v>
      </c>
      <c r="D1827" t="s">
        <v>306</v>
      </c>
      <c r="E1827">
        <v>665</v>
      </c>
    </row>
    <row r="1828" spans="3:5" x14ac:dyDescent="0.25">
      <c r="C1828" s="248">
        <v>44067</v>
      </c>
      <c r="D1828" t="s">
        <v>311</v>
      </c>
      <c r="E1828">
        <v>213</v>
      </c>
    </row>
    <row r="1829" spans="3:5" x14ac:dyDescent="0.25">
      <c r="C1829" s="248">
        <v>44069</v>
      </c>
      <c r="D1829" t="s">
        <v>304</v>
      </c>
      <c r="E1829">
        <v>545</v>
      </c>
    </row>
    <row r="1830" spans="3:5" x14ac:dyDescent="0.25">
      <c r="C1830" s="248">
        <v>44065</v>
      </c>
      <c r="D1830" t="s">
        <v>309</v>
      </c>
      <c r="E1830">
        <v>66</v>
      </c>
    </row>
    <row r="1831" spans="3:5" x14ac:dyDescent="0.25">
      <c r="C1831" s="248">
        <v>44283</v>
      </c>
      <c r="D1831" t="s">
        <v>312</v>
      </c>
      <c r="E1831">
        <v>30</v>
      </c>
    </row>
    <row r="1832" spans="3:5" x14ac:dyDescent="0.25">
      <c r="C1832" s="248">
        <v>44132</v>
      </c>
      <c r="D1832" t="s">
        <v>307</v>
      </c>
      <c r="E1832">
        <v>174</v>
      </c>
    </row>
    <row r="1833" spans="3:5" x14ac:dyDescent="0.25">
      <c r="C1833" s="248">
        <v>44132</v>
      </c>
      <c r="D1833" t="s">
        <v>310</v>
      </c>
      <c r="E1833">
        <v>124</v>
      </c>
    </row>
    <row r="1834" spans="3:5" x14ac:dyDescent="0.25">
      <c r="C1834" s="248">
        <v>44131</v>
      </c>
      <c r="D1834" t="s">
        <v>305</v>
      </c>
      <c r="E1834">
        <v>70</v>
      </c>
    </row>
    <row r="1835" spans="3:5" x14ac:dyDescent="0.25">
      <c r="C1835" s="248">
        <v>44133</v>
      </c>
      <c r="D1835" t="s">
        <v>304</v>
      </c>
      <c r="E1835">
        <v>195</v>
      </c>
    </row>
    <row r="1836" spans="3:5" x14ac:dyDescent="0.25">
      <c r="C1836" s="248">
        <v>44135</v>
      </c>
      <c r="D1836" t="s">
        <v>307</v>
      </c>
      <c r="E1836">
        <v>106</v>
      </c>
    </row>
    <row r="1837" spans="3:5" x14ac:dyDescent="0.25">
      <c r="C1837" s="248">
        <v>44135</v>
      </c>
      <c r="D1837" t="s">
        <v>304</v>
      </c>
      <c r="E1837">
        <v>109</v>
      </c>
    </row>
    <row r="1838" spans="3:5" x14ac:dyDescent="0.25">
      <c r="C1838" s="248">
        <v>44138</v>
      </c>
      <c r="D1838" t="s">
        <v>310</v>
      </c>
      <c r="E1838">
        <v>115</v>
      </c>
    </row>
    <row r="1839" spans="3:5" x14ac:dyDescent="0.25">
      <c r="C1839" s="248">
        <v>44128</v>
      </c>
      <c r="D1839" t="s">
        <v>306</v>
      </c>
      <c r="E1839">
        <v>171</v>
      </c>
    </row>
    <row r="1840" spans="3:5" x14ac:dyDescent="0.25">
      <c r="C1840" s="248">
        <v>44085</v>
      </c>
      <c r="D1840" t="s">
        <v>304</v>
      </c>
      <c r="E1840">
        <v>418</v>
      </c>
    </row>
    <row r="1841" spans="3:5" x14ac:dyDescent="0.25">
      <c r="C1841" s="248">
        <v>44119</v>
      </c>
      <c r="D1841" t="s">
        <v>309</v>
      </c>
      <c r="E1841">
        <v>59</v>
      </c>
    </row>
    <row r="1842" spans="3:5" x14ac:dyDescent="0.25">
      <c r="C1842" s="248">
        <v>44168</v>
      </c>
      <c r="D1842" t="s">
        <v>306</v>
      </c>
      <c r="E1842">
        <v>133</v>
      </c>
    </row>
    <row r="1843" spans="3:5" x14ac:dyDescent="0.25">
      <c r="C1843" s="248">
        <v>44168</v>
      </c>
      <c r="D1843" t="s">
        <v>305</v>
      </c>
      <c r="E1843">
        <v>34</v>
      </c>
    </row>
    <row r="1844" spans="3:5" x14ac:dyDescent="0.25">
      <c r="C1844" s="248">
        <v>44169</v>
      </c>
      <c r="D1844" t="s">
        <v>305</v>
      </c>
      <c r="E1844">
        <v>43</v>
      </c>
    </row>
    <row r="1845" spans="3:5" x14ac:dyDescent="0.25">
      <c r="C1845" s="248">
        <v>44171</v>
      </c>
      <c r="D1845" t="s">
        <v>306</v>
      </c>
      <c r="E1845">
        <v>81</v>
      </c>
    </row>
    <row r="1846" spans="3:5" x14ac:dyDescent="0.25">
      <c r="C1846" s="248">
        <v>44178</v>
      </c>
      <c r="D1846" t="s">
        <v>311</v>
      </c>
      <c r="E1846">
        <v>50</v>
      </c>
    </row>
    <row r="1847" spans="3:5" x14ac:dyDescent="0.25">
      <c r="C1847" s="248">
        <v>44169</v>
      </c>
      <c r="D1847" t="s">
        <v>304</v>
      </c>
      <c r="E1847">
        <v>97</v>
      </c>
    </row>
    <row r="1848" spans="3:5" x14ac:dyDescent="0.25">
      <c r="C1848" s="248">
        <v>43944</v>
      </c>
      <c r="D1848" t="s">
        <v>312</v>
      </c>
      <c r="E1848">
        <v>16</v>
      </c>
    </row>
    <row r="1849" spans="3:5" x14ac:dyDescent="0.25">
      <c r="C1849" s="248">
        <v>44175</v>
      </c>
      <c r="D1849" t="s">
        <v>306</v>
      </c>
      <c r="E1849">
        <v>166</v>
      </c>
    </row>
    <row r="1850" spans="3:5" x14ac:dyDescent="0.25">
      <c r="C1850" s="248">
        <v>44034</v>
      </c>
      <c r="D1850" t="s">
        <v>308</v>
      </c>
      <c r="E1850">
        <v>101</v>
      </c>
    </row>
    <row r="1851" spans="3:5" x14ac:dyDescent="0.25">
      <c r="C1851" s="248">
        <v>44163</v>
      </c>
      <c r="D1851" t="s">
        <v>304</v>
      </c>
      <c r="E1851">
        <v>104</v>
      </c>
    </row>
    <row r="1852" spans="3:5" x14ac:dyDescent="0.25">
      <c r="C1852" s="248">
        <v>44145</v>
      </c>
      <c r="D1852" t="s">
        <v>309</v>
      </c>
      <c r="E1852">
        <v>32</v>
      </c>
    </row>
    <row r="1853" spans="3:5" x14ac:dyDescent="0.25">
      <c r="C1853" s="248">
        <v>44164</v>
      </c>
      <c r="D1853" t="s">
        <v>306</v>
      </c>
      <c r="E1853">
        <v>99</v>
      </c>
    </row>
    <row r="1854" spans="3:5" x14ac:dyDescent="0.25">
      <c r="C1854" s="248">
        <v>44084</v>
      </c>
      <c r="D1854" t="s">
        <v>309</v>
      </c>
      <c r="E1854">
        <v>73</v>
      </c>
    </row>
    <row r="1855" spans="3:5" x14ac:dyDescent="0.25">
      <c r="C1855" s="248">
        <v>44084</v>
      </c>
      <c r="D1855" t="s">
        <v>305</v>
      </c>
      <c r="E1855">
        <v>134</v>
      </c>
    </row>
    <row r="1856" spans="3:5" x14ac:dyDescent="0.25">
      <c r="C1856" s="248">
        <v>44066</v>
      </c>
      <c r="D1856" t="s">
        <v>306</v>
      </c>
      <c r="E1856">
        <v>307</v>
      </c>
    </row>
    <row r="1857" spans="3:5" x14ac:dyDescent="0.25">
      <c r="C1857" s="248">
        <v>44066</v>
      </c>
      <c r="D1857" t="s">
        <v>304</v>
      </c>
      <c r="E1857">
        <v>284</v>
      </c>
    </row>
    <row r="1858" spans="3:5" x14ac:dyDescent="0.25">
      <c r="C1858" s="248">
        <v>44066</v>
      </c>
      <c r="D1858" t="s">
        <v>310</v>
      </c>
      <c r="E1858">
        <v>211</v>
      </c>
    </row>
    <row r="1859" spans="3:5" x14ac:dyDescent="0.25">
      <c r="C1859" s="248">
        <v>44067</v>
      </c>
      <c r="D1859" t="s">
        <v>304</v>
      </c>
      <c r="E1859">
        <v>444</v>
      </c>
    </row>
    <row r="1860" spans="3:5" x14ac:dyDescent="0.25">
      <c r="C1860" s="248">
        <v>44068</v>
      </c>
      <c r="D1860" t="s">
        <v>311</v>
      </c>
      <c r="E1860">
        <v>222</v>
      </c>
    </row>
    <row r="1861" spans="3:5" x14ac:dyDescent="0.25">
      <c r="C1861" s="248">
        <v>44234</v>
      </c>
      <c r="D1861" t="s">
        <v>309</v>
      </c>
      <c r="E1861">
        <v>17</v>
      </c>
    </row>
    <row r="1862" spans="3:5" x14ac:dyDescent="0.25">
      <c r="C1862" s="248">
        <v>44144</v>
      </c>
      <c r="D1862" t="s">
        <v>309</v>
      </c>
      <c r="E1862">
        <v>25</v>
      </c>
    </row>
    <row r="1863" spans="3:5" x14ac:dyDescent="0.25">
      <c r="C1863" s="248">
        <v>44144</v>
      </c>
      <c r="D1863" t="s">
        <v>310</v>
      </c>
      <c r="E1863">
        <v>148</v>
      </c>
    </row>
    <row r="1864" spans="3:5" x14ac:dyDescent="0.25">
      <c r="C1864" s="248">
        <v>44145</v>
      </c>
      <c r="D1864" t="s">
        <v>305</v>
      </c>
      <c r="E1864">
        <v>51</v>
      </c>
    </row>
    <row r="1865" spans="3:5" x14ac:dyDescent="0.25">
      <c r="C1865" s="248">
        <v>44147</v>
      </c>
      <c r="D1865" t="s">
        <v>304</v>
      </c>
      <c r="E1865">
        <v>155</v>
      </c>
    </row>
    <row r="1866" spans="3:5" x14ac:dyDescent="0.25">
      <c r="C1866" s="248">
        <v>44081</v>
      </c>
      <c r="D1866" t="s">
        <v>308</v>
      </c>
      <c r="E1866">
        <v>107</v>
      </c>
    </row>
    <row r="1867" spans="3:5" x14ac:dyDescent="0.25">
      <c r="C1867" s="248">
        <v>44080</v>
      </c>
      <c r="D1867" t="s">
        <v>311</v>
      </c>
      <c r="E1867">
        <v>118</v>
      </c>
    </row>
    <row r="1868" spans="3:5" x14ac:dyDescent="0.25">
      <c r="C1868" s="248">
        <v>44083</v>
      </c>
      <c r="D1868" t="s">
        <v>306</v>
      </c>
      <c r="E1868">
        <v>631</v>
      </c>
    </row>
    <row r="1869" spans="3:5" x14ac:dyDescent="0.25">
      <c r="C1869" s="248">
        <v>44083</v>
      </c>
      <c r="D1869" t="s">
        <v>307</v>
      </c>
      <c r="E1869">
        <v>497</v>
      </c>
    </row>
    <row r="1870" spans="3:5" x14ac:dyDescent="0.25">
      <c r="C1870" s="248">
        <v>44067</v>
      </c>
      <c r="D1870" t="s">
        <v>312</v>
      </c>
      <c r="E1870">
        <v>83</v>
      </c>
    </row>
    <row r="1871" spans="3:5" x14ac:dyDescent="0.25">
      <c r="C1871" s="248">
        <v>44068</v>
      </c>
      <c r="D1871" t="s">
        <v>309</v>
      </c>
      <c r="E1871">
        <v>107</v>
      </c>
    </row>
    <row r="1872" spans="3:5" x14ac:dyDescent="0.25">
      <c r="C1872" s="248">
        <v>44068</v>
      </c>
      <c r="D1872" t="s">
        <v>308</v>
      </c>
      <c r="E1872">
        <v>101</v>
      </c>
    </row>
    <row r="1873" spans="3:5" x14ac:dyDescent="0.25">
      <c r="C1873" s="248">
        <v>44068</v>
      </c>
      <c r="D1873" t="s">
        <v>307</v>
      </c>
      <c r="E1873">
        <v>551</v>
      </c>
    </row>
    <row r="1874" spans="3:5" x14ac:dyDescent="0.25">
      <c r="C1874" s="248">
        <v>44069</v>
      </c>
      <c r="D1874" t="s">
        <v>308</v>
      </c>
      <c r="E1874">
        <v>143</v>
      </c>
    </row>
    <row r="1875" spans="3:5" x14ac:dyDescent="0.25">
      <c r="C1875" s="248">
        <v>44043</v>
      </c>
      <c r="D1875" t="s">
        <v>309</v>
      </c>
      <c r="E1875">
        <v>82</v>
      </c>
    </row>
    <row r="1876" spans="3:5" x14ac:dyDescent="0.25">
      <c r="C1876" s="248">
        <v>44027</v>
      </c>
      <c r="D1876" t="s">
        <v>307</v>
      </c>
      <c r="E1876">
        <v>324</v>
      </c>
    </row>
    <row r="1877" spans="3:5" x14ac:dyDescent="0.25">
      <c r="C1877" s="248">
        <v>44177</v>
      </c>
      <c r="D1877" t="s">
        <v>306</v>
      </c>
      <c r="E1877">
        <v>133</v>
      </c>
    </row>
    <row r="1878" spans="3:5" x14ac:dyDescent="0.25">
      <c r="C1878" s="248">
        <v>44082</v>
      </c>
      <c r="D1878" t="s">
        <v>310</v>
      </c>
      <c r="E1878">
        <v>364</v>
      </c>
    </row>
    <row r="1879" spans="3:5" x14ac:dyDescent="0.25">
      <c r="C1879" s="248">
        <v>44083</v>
      </c>
      <c r="D1879" t="s">
        <v>309</v>
      </c>
      <c r="E1879">
        <v>79</v>
      </c>
    </row>
    <row r="1880" spans="3:5" x14ac:dyDescent="0.25">
      <c r="C1880" s="248">
        <v>44083</v>
      </c>
      <c r="D1880" t="s">
        <v>305</v>
      </c>
      <c r="E1880">
        <v>133</v>
      </c>
    </row>
    <row r="1881" spans="3:5" x14ac:dyDescent="0.25">
      <c r="C1881" s="248">
        <v>44001</v>
      </c>
      <c r="D1881" t="s">
        <v>311</v>
      </c>
      <c r="E1881">
        <v>78</v>
      </c>
    </row>
    <row r="1882" spans="3:5" x14ac:dyDescent="0.25">
      <c r="C1882" s="248">
        <v>44119</v>
      </c>
      <c r="D1882" t="s">
        <v>310</v>
      </c>
      <c r="E1882">
        <v>187</v>
      </c>
    </row>
    <row r="1883" spans="3:5" x14ac:dyDescent="0.25">
      <c r="C1883" s="248">
        <v>44186</v>
      </c>
      <c r="D1883" t="s">
        <v>305</v>
      </c>
      <c r="E1883">
        <v>85</v>
      </c>
    </row>
    <row r="1884" spans="3:5" x14ac:dyDescent="0.25">
      <c r="C1884" s="248">
        <v>44111</v>
      </c>
      <c r="D1884" t="s">
        <v>305</v>
      </c>
      <c r="E1884">
        <v>94</v>
      </c>
    </row>
    <row r="1885" spans="3:5" x14ac:dyDescent="0.25">
      <c r="C1885" s="248">
        <v>44072</v>
      </c>
      <c r="D1885" t="s">
        <v>311</v>
      </c>
      <c r="E1885">
        <v>162</v>
      </c>
    </row>
    <row r="1886" spans="3:5" x14ac:dyDescent="0.25">
      <c r="C1886" s="248">
        <v>44073</v>
      </c>
      <c r="D1886" t="s">
        <v>310</v>
      </c>
      <c r="E1886">
        <v>230</v>
      </c>
    </row>
    <row r="1887" spans="3:5" x14ac:dyDescent="0.25">
      <c r="C1887" s="248">
        <v>44073</v>
      </c>
      <c r="D1887" t="s">
        <v>305</v>
      </c>
      <c r="E1887">
        <v>97</v>
      </c>
    </row>
    <row r="1888" spans="3:5" x14ac:dyDescent="0.25">
      <c r="C1888" s="248">
        <v>44070</v>
      </c>
      <c r="D1888" t="s">
        <v>305</v>
      </c>
      <c r="E1888">
        <v>167</v>
      </c>
    </row>
    <row r="1889" spans="3:5" x14ac:dyDescent="0.25">
      <c r="C1889" s="248">
        <v>44073</v>
      </c>
      <c r="D1889" t="s">
        <v>309</v>
      </c>
      <c r="E1889">
        <v>34</v>
      </c>
    </row>
    <row r="1890" spans="3:5" x14ac:dyDescent="0.25">
      <c r="C1890" s="248">
        <v>44069</v>
      </c>
      <c r="D1890" t="s">
        <v>311</v>
      </c>
      <c r="E1890">
        <v>206</v>
      </c>
    </row>
    <row r="1891" spans="3:5" x14ac:dyDescent="0.25">
      <c r="C1891" s="248">
        <v>44061</v>
      </c>
      <c r="D1891" t="s">
        <v>306</v>
      </c>
      <c r="E1891">
        <v>609</v>
      </c>
    </row>
    <row r="1892" spans="3:5" x14ac:dyDescent="0.25">
      <c r="C1892" s="248">
        <v>44052</v>
      </c>
      <c r="D1892" t="s">
        <v>310</v>
      </c>
      <c r="E1892">
        <v>194</v>
      </c>
    </row>
    <row r="1893" spans="3:5" x14ac:dyDescent="0.25">
      <c r="C1893" s="248">
        <v>44163</v>
      </c>
      <c r="D1893" t="s">
        <v>306</v>
      </c>
      <c r="E1893">
        <v>108</v>
      </c>
    </row>
    <row r="1894" spans="3:5" x14ac:dyDescent="0.25">
      <c r="C1894" s="248">
        <v>44088</v>
      </c>
      <c r="D1894" t="s">
        <v>305</v>
      </c>
      <c r="E1894">
        <v>105</v>
      </c>
    </row>
    <row r="1895" spans="3:5" x14ac:dyDescent="0.25">
      <c r="C1895" s="248">
        <v>44063</v>
      </c>
      <c r="D1895" t="s">
        <v>308</v>
      </c>
      <c r="E1895">
        <v>85</v>
      </c>
    </row>
    <row r="1896" spans="3:5" x14ac:dyDescent="0.25">
      <c r="C1896" s="248">
        <v>44043</v>
      </c>
      <c r="D1896" t="s">
        <v>305</v>
      </c>
      <c r="E1896">
        <v>133</v>
      </c>
    </row>
    <row r="1897" spans="3:5" x14ac:dyDescent="0.25">
      <c r="C1897" s="248">
        <v>44184</v>
      </c>
      <c r="D1897" t="s">
        <v>307</v>
      </c>
      <c r="E1897">
        <v>133</v>
      </c>
    </row>
    <row r="1898" spans="3:5" x14ac:dyDescent="0.25">
      <c r="C1898" s="248">
        <v>44187</v>
      </c>
      <c r="D1898" t="s">
        <v>310</v>
      </c>
      <c r="E1898">
        <v>188</v>
      </c>
    </row>
    <row r="1899" spans="3:5" x14ac:dyDescent="0.25">
      <c r="C1899" s="248">
        <v>44189</v>
      </c>
      <c r="D1899" t="s">
        <v>308</v>
      </c>
      <c r="E1899">
        <v>34</v>
      </c>
    </row>
    <row r="1900" spans="3:5" x14ac:dyDescent="0.25">
      <c r="C1900" s="248">
        <v>44130</v>
      </c>
      <c r="D1900" t="s">
        <v>304</v>
      </c>
      <c r="E1900">
        <v>182</v>
      </c>
    </row>
    <row r="1901" spans="3:5" x14ac:dyDescent="0.25">
      <c r="C1901" s="248">
        <v>44089</v>
      </c>
      <c r="D1901" t="s">
        <v>309</v>
      </c>
      <c r="E1901">
        <v>67</v>
      </c>
    </row>
    <row r="1902" spans="3:5" x14ac:dyDescent="0.25">
      <c r="C1902" s="248">
        <v>44090</v>
      </c>
      <c r="D1902" t="s">
        <v>309</v>
      </c>
      <c r="E1902">
        <v>68</v>
      </c>
    </row>
    <row r="1903" spans="3:5" x14ac:dyDescent="0.25">
      <c r="C1903" s="248">
        <v>44190</v>
      </c>
      <c r="D1903" t="s">
        <v>306</v>
      </c>
      <c r="E1903">
        <v>95</v>
      </c>
    </row>
    <row r="1904" spans="3:5" x14ac:dyDescent="0.25">
      <c r="C1904" s="248">
        <v>44190</v>
      </c>
      <c r="D1904" t="s">
        <v>304</v>
      </c>
      <c r="E1904">
        <v>104</v>
      </c>
    </row>
    <row r="1905" spans="3:5" x14ac:dyDescent="0.25">
      <c r="C1905" s="248">
        <v>44189</v>
      </c>
      <c r="D1905" t="s">
        <v>310</v>
      </c>
      <c r="E1905">
        <v>104</v>
      </c>
    </row>
    <row r="1906" spans="3:5" x14ac:dyDescent="0.25">
      <c r="C1906" s="248">
        <v>44190</v>
      </c>
      <c r="D1906" t="s">
        <v>310</v>
      </c>
      <c r="E1906">
        <v>65</v>
      </c>
    </row>
    <row r="1907" spans="3:5" x14ac:dyDescent="0.25">
      <c r="C1907" s="248">
        <v>44062</v>
      </c>
      <c r="D1907" t="s">
        <v>312</v>
      </c>
      <c r="E1907">
        <v>116</v>
      </c>
    </row>
    <row r="1908" spans="3:5" x14ac:dyDescent="0.25">
      <c r="C1908" s="248">
        <v>44052</v>
      </c>
      <c r="D1908" t="s">
        <v>312</v>
      </c>
      <c r="E1908">
        <v>68</v>
      </c>
    </row>
    <row r="1909" spans="3:5" x14ac:dyDescent="0.25">
      <c r="C1909" s="248">
        <v>44182</v>
      </c>
      <c r="D1909" t="s">
        <v>306</v>
      </c>
      <c r="E1909">
        <v>247</v>
      </c>
    </row>
    <row r="1910" spans="3:5" x14ac:dyDescent="0.25">
      <c r="C1910" s="248">
        <v>44044</v>
      </c>
      <c r="D1910" t="s">
        <v>304</v>
      </c>
      <c r="E1910">
        <v>364</v>
      </c>
    </row>
    <row r="1911" spans="3:5" x14ac:dyDescent="0.25">
      <c r="C1911" s="248">
        <v>44171</v>
      </c>
      <c r="D1911" t="s">
        <v>305</v>
      </c>
      <c r="E1911">
        <v>34</v>
      </c>
    </row>
    <row r="1912" spans="3:5" x14ac:dyDescent="0.25">
      <c r="C1912" s="248">
        <v>44170</v>
      </c>
      <c r="D1912" t="s">
        <v>304</v>
      </c>
      <c r="E1912">
        <v>96</v>
      </c>
    </row>
    <row r="1913" spans="3:5" x14ac:dyDescent="0.25">
      <c r="C1913" s="248">
        <v>44182</v>
      </c>
      <c r="D1913" t="s">
        <v>304</v>
      </c>
      <c r="E1913">
        <v>266</v>
      </c>
    </row>
    <row r="1914" spans="3:5" x14ac:dyDescent="0.25">
      <c r="C1914" s="248">
        <v>44079</v>
      </c>
      <c r="D1914" t="s">
        <v>305</v>
      </c>
      <c r="E1914">
        <v>96</v>
      </c>
    </row>
    <row r="1915" spans="3:5" x14ac:dyDescent="0.25">
      <c r="C1915" s="248">
        <v>44079</v>
      </c>
      <c r="D1915" t="s">
        <v>309</v>
      </c>
      <c r="E1915">
        <v>53</v>
      </c>
    </row>
    <row r="1916" spans="3:5" x14ac:dyDescent="0.25">
      <c r="C1916" s="248">
        <v>44074</v>
      </c>
      <c r="D1916" t="s">
        <v>310</v>
      </c>
      <c r="E1916">
        <v>347</v>
      </c>
    </row>
    <row r="1917" spans="3:5" x14ac:dyDescent="0.25">
      <c r="C1917" s="248">
        <v>44029</v>
      </c>
      <c r="D1917" t="s">
        <v>312</v>
      </c>
      <c r="E1917">
        <v>144</v>
      </c>
    </row>
    <row r="1918" spans="3:5" x14ac:dyDescent="0.25">
      <c r="C1918" s="248">
        <v>44033</v>
      </c>
      <c r="D1918" t="s">
        <v>309</v>
      </c>
      <c r="E1918">
        <v>103</v>
      </c>
    </row>
    <row r="1919" spans="3:5" x14ac:dyDescent="0.25">
      <c r="C1919" s="248">
        <v>44033</v>
      </c>
      <c r="D1919" t="s">
        <v>307</v>
      </c>
      <c r="E1919">
        <v>455</v>
      </c>
    </row>
    <row r="1920" spans="3:5" x14ac:dyDescent="0.25">
      <c r="C1920" s="248">
        <v>44035</v>
      </c>
      <c r="D1920" t="s">
        <v>310</v>
      </c>
      <c r="E1920">
        <v>273</v>
      </c>
    </row>
    <row r="1921" spans="3:5" x14ac:dyDescent="0.25">
      <c r="C1921" s="248">
        <v>44039</v>
      </c>
      <c r="D1921" t="s">
        <v>312</v>
      </c>
      <c r="E1921">
        <v>99</v>
      </c>
    </row>
    <row r="1922" spans="3:5" x14ac:dyDescent="0.25">
      <c r="C1922" s="248">
        <v>44040</v>
      </c>
      <c r="D1922" t="s">
        <v>310</v>
      </c>
      <c r="E1922">
        <v>285</v>
      </c>
    </row>
    <row r="1923" spans="3:5" x14ac:dyDescent="0.25">
      <c r="C1923" s="248">
        <v>44045</v>
      </c>
      <c r="D1923" t="s">
        <v>312</v>
      </c>
      <c r="E1923">
        <v>129</v>
      </c>
    </row>
    <row r="1924" spans="3:5" x14ac:dyDescent="0.25">
      <c r="C1924" s="248">
        <v>44047</v>
      </c>
      <c r="D1924" t="s">
        <v>304</v>
      </c>
      <c r="E1924">
        <v>510</v>
      </c>
    </row>
    <row r="1925" spans="3:5" x14ac:dyDescent="0.25">
      <c r="C1925" s="248">
        <v>44046</v>
      </c>
      <c r="D1925" t="s">
        <v>312</v>
      </c>
      <c r="E1925">
        <v>172</v>
      </c>
    </row>
    <row r="1926" spans="3:5" x14ac:dyDescent="0.25">
      <c r="C1926" s="248">
        <v>44049</v>
      </c>
      <c r="D1926" t="s">
        <v>310</v>
      </c>
      <c r="E1926">
        <v>335</v>
      </c>
    </row>
    <row r="1927" spans="3:5" x14ac:dyDescent="0.25">
      <c r="C1927" s="248">
        <v>44050</v>
      </c>
      <c r="D1927" t="s">
        <v>306</v>
      </c>
      <c r="E1927">
        <v>602</v>
      </c>
    </row>
    <row r="1928" spans="3:5" x14ac:dyDescent="0.25">
      <c r="C1928" s="248">
        <v>44129</v>
      </c>
      <c r="D1928" t="s">
        <v>304</v>
      </c>
      <c r="E1928">
        <v>107</v>
      </c>
    </row>
    <row r="1929" spans="3:5" x14ac:dyDescent="0.25">
      <c r="C1929" s="248">
        <v>44129</v>
      </c>
      <c r="D1929" t="s">
        <v>307</v>
      </c>
      <c r="E1929">
        <v>126</v>
      </c>
    </row>
    <row r="1930" spans="3:5" x14ac:dyDescent="0.25">
      <c r="C1930" s="248">
        <v>44128</v>
      </c>
      <c r="D1930" t="s">
        <v>304</v>
      </c>
      <c r="E1930">
        <v>177</v>
      </c>
    </row>
    <row r="1931" spans="3:5" x14ac:dyDescent="0.25">
      <c r="C1931" s="248">
        <v>44125</v>
      </c>
      <c r="D1931" t="s">
        <v>306</v>
      </c>
      <c r="E1931">
        <v>257</v>
      </c>
    </row>
    <row r="1932" spans="3:5" x14ac:dyDescent="0.25">
      <c r="C1932" s="248">
        <v>44125</v>
      </c>
      <c r="D1932" t="s">
        <v>305</v>
      </c>
      <c r="E1932">
        <v>71</v>
      </c>
    </row>
    <row r="1933" spans="3:5" x14ac:dyDescent="0.25">
      <c r="C1933" s="248">
        <v>44076</v>
      </c>
      <c r="D1933" t="s">
        <v>305</v>
      </c>
      <c r="E1933">
        <v>99</v>
      </c>
    </row>
    <row r="1934" spans="3:5" x14ac:dyDescent="0.25">
      <c r="C1934" s="248">
        <v>44074</v>
      </c>
      <c r="D1934" t="s">
        <v>305</v>
      </c>
      <c r="E1934">
        <v>123</v>
      </c>
    </row>
    <row r="1935" spans="3:5" x14ac:dyDescent="0.25">
      <c r="C1935" s="248">
        <v>44061</v>
      </c>
      <c r="D1935" t="s">
        <v>308</v>
      </c>
      <c r="E1935">
        <v>80</v>
      </c>
    </row>
    <row r="1936" spans="3:5" x14ac:dyDescent="0.25">
      <c r="C1936" s="248">
        <v>44061</v>
      </c>
      <c r="D1936" t="s">
        <v>311</v>
      </c>
      <c r="E1936">
        <v>164</v>
      </c>
    </row>
    <row r="1937" spans="3:5" x14ac:dyDescent="0.25">
      <c r="C1937" s="248">
        <v>44062</v>
      </c>
      <c r="D1937" t="s">
        <v>311</v>
      </c>
      <c r="E1937">
        <v>162</v>
      </c>
    </row>
    <row r="1938" spans="3:5" x14ac:dyDescent="0.25">
      <c r="C1938" s="248">
        <v>44062</v>
      </c>
      <c r="D1938" t="s">
        <v>305</v>
      </c>
      <c r="E1938">
        <v>134</v>
      </c>
    </row>
    <row r="1939" spans="3:5" x14ac:dyDescent="0.25">
      <c r="C1939" s="248">
        <v>44172</v>
      </c>
      <c r="D1939" t="s">
        <v>307</v>
      </c>
      <c r="E1939">
        <v>81</v>
      </c>
    </row>
    <row r="1940" spans="3:5" x14ac:dyDescent="0.25">
      <c r="C1940" s="248">
        <v>44172</v>
      </c>
      <c r="D1940" t="s">
        <v>304</v>
      </c>
      <c r="E1940">
        <v>79</v>
      </c>
    </row>
    <row r="1941" spans="3:5" x14ac:dyDescent="0.25">
      <c r="C1941" s="248">
        <v>44170</v>
      </c>
      <c r="D1941" t="s">
        <v>307</v>
      </c>
      <c r="E1941">
        <v>83</v>
      </c>
    </row>
    <row r="1942" spans="3:5" x14ac:dyDescent="0.25">
      <c r="C1942" s="248">
        <v>44010</v>
      </c>
      <c r="D1942" t="s">
        <v>306</v>
      </c>
      <c r="E1942">
        <v>181</v>
      </c>
    </row>
    <row r="1943" spans="3:5" x14ac:dyDescent="0.25">
      <c r="C1943" s="248">
        <v>44167</v>
      </c>
      <c r="D1943" t="s">
        <v>309</v>
      </c>
      <c r="E1943">
        <v>9</v>
      </c>
    </row>
    <row r="1944" spans="3:5" x14ac:dyDescent="0.25">
      <c r="C1944" s="248">
        <v>44142</v>
      </c>
      <c r="D1944" t="s">
        <v>310</v>
      </c>
      <c r="E1944">
        <v>76</v>
      </c>
    </row>
    <row r="1945" spans="3:5" x14ac:dyDescent="0.25">
      <c r="C1945" s="248">
        <v>44143</v>
      </c>
      <c r="D1945" t="s">
        <v>306</v>
      </c>
      <c r="E1945">
        <v>108</v>
      </c>
    </row>
    <row r="1946" spans="3:5" x14ac:dyDescent="0.25">
      <c r="C1946" s="248">
        <v>44154</v>
      </c>
      <c r="D1946" t="s">
        <v>304</v>
      </c>
      <c r="E1946">
        <v>145</v>
      </c>
    </row>
    <row r="1947" spans="3:5" x14ac:dyDescent="0.25">
      <c r="C1947" s="248">
        <v>44077</v>
      </c>
      <c r="D1947" t="s">
        <v>308</v>
      </c>
      <c r="E1947">
        <v>91</v>
      </c>
    </row>
    <row r="1948" spans="3:5" x14ac:dyDescent="0.25">
      <c r="C1948" s="248">
        <v>44120</v>
      </c>
      <c r="D1948" t="s">
        <v>309</v>
      </c>
      <c r="E1948">
        <v>52</v>
      </c>
    </row>
    <row r="1949" spans="3:5" x14ac:dyDescent="0.25">
      <c r="C1949" s="248">
        <v>44127</v>
      </c>
      <c r="D1949" t="s">
        <v>304</v>
      </c>
      <c r="E1949">
        <v>234</v>
      </c>
    </row>
    <row r="1950" spans="3:5" x14ac:dyDescent="0.25">
      <c r="C1950" s="248">
        <v>44140</v>
      </c>
      <c r="D1950" t="s">
        <v>309</v>
      </c>
      <c r="E1950">
        <v>46</v>
      </c>
    </row>
    <row r="1951" spans="3:5" x14ac:dyDescent="0.25">
      <c r="C1951" s="248">
        <v>44142</v>
      </c>
      <c r="D1951" t="s">
        <v>306</v>
      </c>
      <c r="E1951">
        <v>156</v>
      </c>
    </row>
    <row r="1952" spans="3:5" x14ac:dyDescent="0.25">
      <c r="C1952" s="248">
        <v>44142</v>
      </c>
      <c r="D1952" t="s">
        <v>304</v>
      </c>
      <c r="E1952">
        <v>107</v>
      </c>
    </row>
    <row r="1953" spans="3:5" x14ac:dyDescent="0.25">
      <c r="C1953" s="248">
        <v>44143</v>
      </c>
      <c r="D1953" t="s">
        <v>305</v>
      </c>
      <c r="E1953">
        <v>34</v>
      </c>
    </row>
    <row r="1954" spans="3:5" x14ac:dyDescent="0.25">
      <c r="C1954" s="248">
        <v>44143</v>
      </c>
      <c r="D1954" t="s">
        <v>304</v>
      </c>
      <c r="E1954">
        <v>92</v>
      </c>
    </row>
    <row r="1955" spans="3:5" x14ac:dyDescent="0.25">
      <c r="C1955" s="248">
        <v>44082</v>
      </c>
      <c r="D1955" t="s">
        <v>305</v>
      </c>
      <c r="E1955">
        <v>131</v>
      </c>
    </row>
    <row r="1956" spans="3:5" x14ac:dyDescent="0.25">
      <c r="C1956" s="248">
        <v>44082</v>
      </c>
      <c r="D1956" t="s">
        <v>308</v>
      </c>
      <c r="E1956">
        <v>103</v>
      </c>
    </row>
    <row r="1957" spans="3:5" x14ac:dyDescent="0.25">
      <c r="C1957" s="248">
        <v>44083</v>
      </c>
      <c r="D1957" t="s">
        <v>304</v>
      </c>
      <c r="E1957">
        <v>503</v>
      </c>
    </row>
    <row r="1958" spans="3:5" x14ac:dyDescent="0.25">
      <c r="C1958" s="248">
        <v>44007</v>
      </c>
      <c r="D1958" t="s">
        <v>308</v>
      </c>
      <c r="E1958">
        <v>44</v>
      </c>
    </row>
    <row r="1959" spans="3:5" x14ac:dyDescent="0.25">
      <c r="C1959" s="248">
        <v>44126</v>
      </c>
      <c r="D1959" t="s">
        <v>306</v>
      </c>
      <c r="E1959">
        <v>226</v>
      </c>
    </row>
    <row r="1960" spans="3:5" x14ac:dyDescent="0.25">
      <c r="C1960" s="248">
        <v>44128</v>
      </c>
      <c r="D1960" t="s">
        <v>305</v>
      </c>
      <c r="E1960">
        <v>60</v>
      </c>
    </row>
    <row r="1961" spans="3:5" x14ac:dyDescent="0.25">
      <c r="C1961" s="248">
        <v>44133</v>
      </c>
      <c r="D1961" t="s">
        <v>310</v>
      </c>
      <c r="E1961">
        <v>115</v>
      </c>
    </row>
    <row r="1962" spans="3:5" x14ac:dyDescent="0.25">
      <c r="C1962" s="248">
        <v>44126</v>
      </c>
      <c r="D1962" t="s">
        <v>305</v>
      </c>
      <c r="E1962">
        <v>63</v>
      </c>
    </row>
    <row r="1963" spans="3:5" x14ac:dyDescent="0.25">
      <c r="C1963" s="248">
        <v>44122</v>
      </c>
      <c r="D1963" t="s">
        <v>307</v>
      </c>
      <c r="E1963">
        <v>104</v>
      </c>
    </row>
    <row r="1964" spans="3:5" x14ac:dyDescent="0.25">
      <c r="C1964" s="248">
        <v>44075</v>
      </c>
      <c r="D1964" t="s">
        <v>312</v>
      </c>
      <c r="E1964">
        <v>112</v>
      </c>
    </row>
    <row r="1965" spans="3:5" x14ac:dyDescent="0.25">
      <c r="C1965" s="248">
        <v>44155</v>
      </c>
      <c r="D1965" t="s">
        <v>309</v>
      </c>
      <c r="E1965">
        <v>18</v>
      </c>
    </row>
    <row r="1966" spans="3:5" x14ac:dyDescent="0.25">
      <c r="C1966" s="248">
        <v>44157</v>
      </c>
      <c r="D1966" t="s">
        <v>304</v>
      </c>
      <c r="E1966">
        <v>68</v>
      </c>
    </row>
    <row r="1967" spans="3:5" x14ac:dyDescent="0.25">
      <c r="C1967" s="248">
        <v>44158</v>
      </c>
      <c r="D1967" t="s">
        <v>307</v>
      </c>
      <c r="E1967">
        <v>71</v>
      </c>
    </row>
    <row r="1968" spans="3:5" x14ac:dyDescent="0.25">
      <c r="C1968" s="248">
        <v>44159</v>
      </c>
      <c r="D1968" t="s">
        <v>306</v>
      </c>
      <c r="E1968">
        <v>157</v>
      </c>
    </row>
    <row r="1969" spans="3:5" x14ac:dyDescent="0.25">
      <c r="C1969" s="248">
        <v>44159</v>
      </c>
      <c r="D1969" t="s">
        <v>305</v>
      </c>
      <c r="E1969">
        <v>34</v>
      </c>
    </row>
    <row r="1970" spans="3:5" x14ac:dyDescent="0.25">
      <c r="C1970" s="248">
        <v>44159</v>
      </c>
      <c r="D1970" t="s">
        <v>309</v>
      </c>
      <c r="E1970">
        <v>21</v>
      </c>
    </row>
    <row r="1971" spans="3:5" x14ac:dyDescent="0.25">
      <c r="C1971" s="248">
        <v>44155</v>
      </c>
      <c r="D1971" t="s">
        <v>305</v>
      </c>
      <c r="E1971">
        <v>55</v>
      </c>
    </row>
    <row r="1972" spans="3:5" x14ac:dyDescent="0.25">
      <c r="C1972" s="248">
        <v>44244</v>
      </c>
      <c r="D1972" t="s">
        <v>309</v>
      </c>
      <c r="E1972">
        <v>29</v>
      </c>
    </row>
    <row r="1973" spans="3:5" x14ac:dyDescent="0.25">
      <c r="C1973" s="248">
        <v>44134</v>
      </c>
      <c r="D1973" t="s">
        <v>306</v>
      </c>
      <c r="E1973">
        <v>173</v>
      </c>
    </row>
    <row r="1974" spans="3:5" x14ac:dyDescent="0.25">
      <c r="C1974" s="248">
        <v>44135</v>
      </c>
      <c r="D1974" t="s">
        <v>312</v>
      </c>
      <c r="E1974">
        <v>13</v>
      </c>
    </row>
    <row r="1975" spans="3:5" x14ac:dyDescent="0.25">
      <c r="C1975" s="248">
        <v>44137</v>
      </c>
      <c r="D1975" t="s">
        <v>304</v>
      </c>
      <c r="E1975">
        <v>145</v>
      </c>
    </row>
    <row r="1976" spans="3:5" x14ac:dyDescent="0.25">
      <c r="C1976" s="248">
        <v>44136</v>
      </c>
      <c r="D1976" t="s">
        <v>305</v>
      </c>
      <c r="E1976">
        <v>36</v>
      </c>
    </row>
    <row r="1977" spans="3:5" x14ac:dyDescent="0.25">
      <c r="C1977" s="248">
        <v>44136</v>
      </c>
      <c r="D1977" t="s">
        <v>307</v>
      </c>
      <c r="E1977">
        <v>99</v>
      </c>
    </row>
    <row r="1978" spans="3:5" x14ac:dyDescent="0.25">
      <c r="C1978" s="248">
        <v>44135</v>
      </c>
      <c r="D1978" t="s">
        <v>306</v>
      </c>
      <c r="E1978">
        <v>107</v>
      </c>
    </row>
    <row r="1979" spans="3:5" x14ac:dyDescent="0.25">
      <c r="C1979" s="248">
        <v>44124</v>
      </c>
      <c r="D1979" t="s">
        <v>309</v>
      </c>
      <c r="E1979">
        <v>26</v>
      </c>
    </row>
    <row r="1980" spans="3:5" x14ac:dyDescent="0.25">
      <c r="C1980" s="248">
        <v>44116</v>
      </c>
      <c r="D1980" t="s">
        <v>307</v>
      </c>
      <c r="E1980">
        <v>222</v>
      </c>
    </row>
    <row r="1981" spans="3:5" x14ac:dyDescent="0.25">
      <c r="C1981" s="248">
        <v>44162</v>
      </c>
      <c r="D1981" t="s">
        <v>309</v>
      </c>
      <c r="E1981">
        <v>12</v>
      </c>
    </row>
    <row r="1982" spans="3:5" x14ac:dyDescent="0.25">
      <c r="C1982" s="248">
        <v>44152</v>
      </c>
      <c r="D1982" t="s">
        <v>306</v>
      </c>
      <c r="E1982">
        <v>174</v>
      </c>
    </row>
    <row r="1983" spans="3:5" x14ac:dyDescent="0.25">
      <c r="C1983" s="248">
        <v>44146</v>
      </c>
      <c r="D1983" t="s">
        <v>304</v>
      </c>
      <c r="E1983">
        <v>161</v>
      </c>
    </row>
    <row r="1984" spans="3:5" x14ac:dyDescent="0.25">
      <c r="C1984" s="248">
        <v>44147</v>
      </c>
      <c r="D1984" t="s">
        <v>307</v>
      </c>
      <c r="E1984">
        <v>129</v>
      </c>
    </row>
    <row r="1985" spans="3:5" x14ac:dyDescent="0.25">
      <c r="C1985" s="248">
        <v>44149</v>
      </c>
      <c r="D1985" t="s">
        <v>309</v>
      </c>
      <c r="E1985">
        <v>26</v>
      </c>
    </row>
    <row r="1986" spans="3:5" x14ac:dyDescent="0.25">
      <c r="C1986" s="248">
        <v>44150</v>
      </c>
      <c r="D1986" t="s">
        <v>306</v>
      </c>
      <c r="E1986">
        <v>80</v>
      </c>
    </row>
    <row r="1987" spans="3:5" x14ac:dyDescent="0.25">
      <c r="C1987" s="248">
        <v>44149</v>
      </c>
      <c r="D1987" t="s">
        <v>306</v>
      </c>
      <c r="E1987">
        <v>158</v>
      </c>
    </row>
    <row r="1988" spans="3:5" x14ac:dyDescent="0.25">
      <c r="C1988" s="248">
        <v>44019</v>
      </c>
      <c r="D1988" t="s">
        <v>310</v>
      </c>
      <c r="E1988">
        <v>209</v>
      </c>
    </row>
    <row r="1989" spans="3:5" x14ac:dyDescent="0.25">
      <c r="C1989" s="248">
        <v>44019</v>
      </c>
      <c r="D1989" t="s">
        <v>304</v>
      </c>
      <c r="E1989">
        <v>306</v>
      </c>
    </row>
    <row r="1990" spans="3:5" x14ac:dyDescent="0.25">
      <c r="C1990" s="248">
        <v>44136</v>
      </c>
      <c r="D1990" t="s">
        <v>309</v>
      </c>
      <c r="E1990">
        <v>23</v>
      </c>
    </row>
    <row r="1991" spans="3:5" x14ac:dyDescent="0.25">
      <c r="C1991" s="248">
        <v>44136</v>
      </c>
      <c r="D1991" t="s">
        <v>311</v>
      </c>
      <c r="E1991">
        <v>49</v>
      </c>
    </row>
    <row r="1992" spans="3:5" x14ac:dyDescent="0.25">
      <c r="C1992" s="248">
        <v>44137</v>
      </c>
      <c r="D1992" t="s">
        <v>305</v>
      </c>
      <c r="E1992">
        <v>65</v>
      </c>
    </row>
    <row r="1993" spans="3:5" x14ac:dyDescent="0.25">
      <c r="C1993" s="248">
        <v>44139</v>
      </c>
      <c r="D1993" t="s">
        <v>305</v>
      </c>
      <c r="E1993">
        <v>53</v>
      </c>
    </row>
    <row r="1994" spans="3:5" x14ac:dyDescent="0.25">
      <c r="C1994" s="248">
        <v>44142</v>
      </c>
      <c r="D1994" t="s">
        <v>309</v>
      </c>
      <c r="E1994">
        <v>17</v>
      </c>
    </row>
    <row r="1995" spans="3:5" x14ac:dyDescent="0.25">
      <c r="C1995" s="248">
        <v>44065</v>
      </c>
      <c r="D1995" t="s">
        <v>308</v>
      </c>
      <c r="E1995">
        <v>72</v>
      </c>
    </row>
    <row r="1996" spans="3:5" x14ac:dyDescent="0.25">
      <c r="C1996" s="248">
        <v>44214</v>
      </c>
      <c r="D1996" t="s">
        <v>309</v>
      </c>
      <c r="E1996">
        <v>41</v>
      </c>
    </row>
    <row r="1997" spans="3:5" x14ac:dyDescent="0.25">
      <c r="C1997" s="248">
        <v>44180</v>
      </c>
      <c r="D1997" t="s">
        <v>310</v>
      </c>
      <c r="E1997">
        <v>101</v>
      </c>
    </row>
    <row r="1998" spans="3:5" x14ac:dyDescent="0.25">
      <c r="C1998" s="248">
        <v>44186</v>
      </c>
      <c r="D1998" t="s">
        <v>309</v>
      </c>
      <c r="E1998">
        <v>29</v>
      </c>
    </row>
    <row r="1999" spans="3:5" x14ac:dyDescent="0.25">
      <c r="C1999" s="248">
        <v>44185</v>
      </c>
      <c r="D1999" t="s">
        <v>307</v>
      </c>
      <c r="E1999">
        <v>148</v>
      </c>
    </row>
    <row r="2000" spans="3:5" x14ac:dyDescent="0.25">
      <c r="C2000" s="248">
        <v>44187</v>
      </c>
      <c r="D2000" t="s">
        <v>307</v>
      </c>
      <c r="E2000">
        <v>214</v>
      </c>
    </row>
    <row r="2001" spans="3:5" x14ac:dyDescent="0.25">
      <c r="C2001" s="248">
        <v>44180</v>
      </c>
      <c r="D2001" t="s">
        <v>306</v>
      </c>
      <c r="E2001">
        <v>205</v>
      </c>
    </row>
    <row r="2002" spans="3:5" x14ac:dyDescent="0.25">
      <c r="C2002" s="248">
        <v>44023</v>
      </c>
      <c r="D2002" t="s">
        <v>306</v>
      </c>
      <c r="E2002">
        <v>294</v>
      </c>
    </row>
    <row r="2003" spans="3:5" x14ac:dyDescent="0.25">
      <c r="C2003" s="248">
        <v>44066</v>
      </c>
      <c r="D2003" t="s">
        <v>307</v>
      </c>
      <c r="E2003">
        <v>267</v>
      </c>
    </row>
    <row r="2004" spans="3:5" x14ac:dyDescent="0.25">
      <c r="C2004" s="248">
        <v>44039</v>
      </c>
      <c r="D2004" t="s">
        <v>307</v>
      </c>
      <c r="E2004">
        <v>390</v>
      </c>
    </row>
    <row r="2005" spans="3:5" x14ac:dyDescent="0.25">
      <c r="C2005" s="248">
        <v>44048</v>
      </c>
      <c r="D2005" t="s">
        <v>308</v>
      </c>
      <c r="E2005">
        <v>113</v>
      </c>
    </row>
    <row r="2006" spans="3:5" x14ac:dyDescent="0.25">
      <c r="C2006" s="248">
        <v>44051</v>
      </c>
      <c r="D2006" t="s">
        <v>312</v>
      </c>
      <c r="E2006">
        <v>117</v>
      </c>
    </row>
    <row r="2007" spans="3:5" x14ac:dyDescent="0.25">
      <c r="C2007" s="248">
        <v>44056</v>
      </c>
      <c r="D2007" t="s">
        <v>308</v>
      </c>
      <c r="E2007">
        <v>68</v>
      </c>
    </row>
    <row r="2008" spans="3:5" x14ac:dyDescent="0.25">
      <c r="C2008" s="248">
        <v>44089</v>
      </c>
      <c r="D2008" t="s">
        <v>306</v>
      </c>
      <c r="E2008">
        <v>484</v>
      </c>
    </row>
    <row r="2009" spans="3:5" x14ac:dyDescent="0.25">
      <c r="C2009" s="248">
        <v>44067</v>
      </c>
      <c r="D2009" t="s">
        <v>305</v>
      </c>
      <c r="E2009">
        <v>129</v>
      </c>
    </row>
    <row r="2010" spans="3:5" x14ac:dyDescent="0.25">
      <c r="C2010" s="248">
        <v>44045</v>
      </c>
      <c r="D2010" t="s">
        <v>306</v>
      </c>
      <c r="E2010">
        <v>356</v>
      </c>
    </row>
    <row r="2011" spans="3:5" x14ac:dyDescent="0.25">
      <c r="C2011" s="248">
        <v>43980</v>
      </c>
      <c r="D2011" t="s">
        <v>310</v>
      </c>
      <c r="E2011">
        <v>51</v>
      </c>
    </row>
    <row r="2012" spans="3:5" x14ac:dyDescent="0.25">
      <c r="C2012" s="248">
        <v>44122</v>
      </c>
      <c r="D2012" t="s">
        <v>311</v>
      </c>
      <c r="E2012">
        <v>50</v>
      </c>
    </row>
    <row r="2013" spans="3:5" x14ac:dyDescent="0.25">
      <c r="C2013" s="248">
        <v>44001</v>
      </c>
      <c r="D2013" t="s">
        <v>310</v>
      </c>
      <c r="E2013">
        <v>145</v>
      </c>
    </row>
    <row r="2014" spans="3:5" x14ac:dyDescent="0.25">
      <c r="C2014" s="248">
        <v>44114</v>
      </c>
      <c r="D2014" t="s">
        <v>309</v>
      </c>
      <c r="E2014">
        <v>52</v>
      </c>
    </row>
    <row r="2015" spans="3:5" x14ac:dyDescent="0.25">
      <c r="C2015" s="248">
        <v>44128</v>
      </c>
      <c r="D2015" t="s">
        <v>309</v>
      </c>
      <c r="E2015">
        <v>37</v>
      </c>
    </row>
    <row r="2016" spans="3:5" x14ac:dyDescent="0.25">
      <c r="C2016" s="248">
        <v>44129</v>
      </c>
      <c r="D2016" t="s">
        <v>305</v>
      </c>
      <c r="E2016">
        <v>46</v>
      </c>
    </row>
    <row r="2017" spans="3:5" x14ac:dyDescent="0.25">
      <c r="C2017" s="248">
        <v>44116</v>
      </c>
      <c r="D2017" t="s">
        <v>305</v>
      </c>
      <c r="E2017">
        <v>86</v>
      </c>
    </row>
    <row r="2018" spans="3:5" x14ac:dyDescent="0.25">
      <c r="C2018" s="248">
        <v>44223</v>
      </c>
      <c r="D2018" t="s">
        <v>310</v>
      </c>
      <c r="E2018">
        <v>220</v>
      </c>
    </row>
    <row r="2019" spans="3:5" x14ac:dyDescent="0.25">
      <c r="C2019" s="248">
        <v>44112</v>
      </c>
      <c r="D2019" t="s">
        <v>309</v>
      </c>
      <c r="E2019">
        <v>57</v>
      </c>
    </row>
    <row r="2020" spans="3:5" x14ac:dyDescent="0.25">
      <c r="C2020" s="248">
        <v>44085</v>
      </c>
      <c r="D2020" t="s">
        <v>309</v>
      </c>
      <c r="E2020">
        <v>86</v>
      </c>
    </row>
    <row r="2021" spans="3:5" x14ac:dyDescent="0.25">
      <c r="C2021" s="248">
        <v>44036</v>
      </c>
      <c r="D2021" t="s">
        <v>310</v>
      </c>
      <c r="E2021">
        <v>314</v>
      </c>
    </row>
    <row r="2022" spans="3:5" x14ac:dyDescent="0.25">
      <c r="C2022" s="248">
        <v>44085</v>
      </c>
      <c r="D2022" t="s">
        <v>305</v>
      </c>
      <c r="E2022">
        <v>139</v>
      </c>
    </row>
    <row r="2023" spans="3:5" x14ac:dyDescent="0.25">
      <c r="C2023" s="248">
        <v>44113</v>
      </c>
      <c r="D2023" t="s">
        <v>304</v>
      </c>
      <c r="E2023">
        <v>304</v>
      </c>
    </row>
    <row r="2024" spans="3:5" x14ac:dyDescent="0.25">
      <c r="C2024" s="248">
        <v>44105</v>
      </c>
      <c r="D2024" t="s">
        <v>304</v>
      </c>
      <c r="E2024">
        <v>384</v>
      </c>
    </row>
    <row r="2025" spans="3:5" x14ac:dyDescent="0.25">
      <c r="C2025" s="248">
        <v>44105</v>
      </c>
      <c r="D2025" t="s">
        <v>305</v>
      </c>
      <c r="E2025">
        <v>107</v>
      </c>
    </row>
    <row r="2026" spans="3:5" x14ac:dyDescent="0.25">
      <c r="C2026" s="248">
        <v>44066</v>
      </c>
      <c r="D2026" t="s">
        <v>309</v>
      </c>
      <c r="E2026">
        <v>55</v>
      </c>
    </row>
    <row r="2027" spans="3:5" x14ac:dyDescent="0.25">
      <c r="C2027" s="248">
        <v>44066</v>
      </c>
      <c r="D2027" t="s">
        <v>311</v>
      </c>
      <c r="E2027">
        <v>120</v>
      </c>
    </row>
    <row r="2028" spans="3:5" x14ac:dyDescent="0.25">
      <c r="C2028" s="248">
        <v>43998</v>
      </c>
      <c r="D2028" t="s">
        <v>306</v>
      </c>
      <c r="E2028">
        <v>234</v>
      </c>
    </row>
    <row r="2029" spans="3:5" x14ac:dyDescent="0.25">
      <c r="C2029" s="248">
        <v>44043</v>
      </c>
      <c r="D2029" t="s">
        <v>311</v>
      </c>
      <c r="E2029">
        <v>135</v>
      </c>
    </row>
    <row r="2030" spans="3:5" x14ac:dyDescent="0.25">
      <c r="C2030" s="248">
        <v>44106</v>
      </c>
      <c r="D2030" t="s">
        <v>304</v>
      </c>
      <c r="E2030">
        <v>352</v>
      </c>
    </row>
    <row r="2031" spans="3:5" x14ac:dyDescent="0.25">
      <c r="C2031" s="248">
        <v>44106</v>
      </c>
      <c r="D2031" t="s">
        <v>305</v>
      </c>
      <c r="E2031">
        <v>104</v>
      </c>
    </row>
    <row r="2032" spans="3:5" x14ac:dyDescent="0.25">
      <c r="C2032" s="248">
        <v>44103</v>
      </c>
      <c r="D2032" t="s">
        <v>305</v>
      </c>
      <c r="E2032">
        <v>85</v>
      </c>
    </row>
    <row r="2033" spans="3:5" x14ac:dyDescent="0.25">
      <c r="C2033" s="248">
        <v>44061</v>
      </c>
      <c r="D2033" t="s">
        <v>309</v>
      </c>
      <c r="E2033">
        <v>73</v>
      </c>
    </row>
    <row r="2034" spans="3:5" x14ac:dyDescent="0.25">
      <c r="C2034" s="248">
        <v>44060</v>
      </c>
      <c r="D2034" t="s">
        <v>304</v>
      </c>
      <c r="E2034">
        <v>327</v>
      </c>
    </row>
    <row r="2035" spans="3:5" x14ac:dyDescent="0.25">
      <c r="C2035" s="248">
        <v>44212</v>
      </c>
      <c r="D2035" t="s">
        <v>311</v>
      </c>
      <c r="E2035">
        <v>130</v>
      </c>
    </row>
    <row r="2036" spans="3:5" x14ac:dyDescent="0.25">
      <c r="C2036" s="248">
        <v>44103</v>
      </c>
      <c r="D2036" t="s">
        <v>309</v>
      </c>
      <c r="E2036">
        <v>69</v>
      </c>
    </row>
    <row r="2037" spans="3:5" x14ac:dyDescent="0.25">
      <c r="C2037" s="248">
        <v>44046</v>
      </c>
      <c r="D2037" t="s">
        <v>308</v>
      </c>
      <c r="E2037">
        <v>111</v>
      </c>
    </row>
    <row r="2038" spans="3:5" x14ac:dyDescent="0.25">
      <c r="C2038" s="248">
        <v>44050</v>
      </c>
      <c r="D2038" t="s">
        <v>310</v>
      </c>
      <c r="E2038">
        <v>313</v>
      </c>
    </row>
    <row r="2039" spans="3:5" x14ac:dyDescent="0.25">
      <c r="C2039" s="248">
        <v>44076</v>
      </c>
      <c r="D2039" t="s">
        <v>312</v>
      </c>
      <c r="E2039">
        <v>73</v>
      </c>
    </row>
    <row r="2040" spans="3:5" x14ac:dyDescent="0.25">
      <c r="C2040" s="248">
        <v>44037</v>
      </c>
      <c r="D2040" t="s">
        <v>308</v>
      </c>
      <c r="E2040">
        <v>63</v>
      </c>
    </row>
    <row r="2041" spans="3:5" x14ac:dyDescent="0.25">
      <c r="C2041" s="248">
        <v>44044</v>
      </c>
      <c r="D2041" t="s">
        <v>306</v>
      </c>
      <c r="E2041">
        <v>468</v>
      </c>
    </row>
    <row r="2042" spans="3:5" x14ac:dyDescent="0.25">
      <c r="C2042" s="248">
        <v>44057</v>
      </c>
      <c r="D2042" t="s">
        <v>307</v>
      </c>
      <c r="E2042">
        <v>416</v>
      </c>
    </row>
    <row r="2043" spans="3:5" x14ac:dyDescent="0.25">
      <c r="C2043" s="248">
        <v>44056</v>
      </c>
      <c r="D2043" t="s">
        <v>304</v>
      </c>
      <c r="E2043">
        <v>428</v>
      </c>
    </row>
    <row r="2044" spans="3:5" x14ac:dyDescent="0.25">
      <c r="C2044" s="248">
        <v>44148</v>
      </c>
      <c r="D2044" t="s">
        <v>306</v>
      </c>
      <c r="E2044">
        <v>147</v>
      </c>
    </row>
    <row r="2045" spans="3:5" x14ac:dyDescent="0.25">
      <c r="C2045" s="248">
        <v>44150</v>
      </c>
      <c r="D2045" t="s">
        <v>307</v>
      </c>
      <c r="E2045">
        <v>68</v>
      </c>
    </row>
    <row r="2046" spans="3:5" x14ac:dyDescent="0.25">
      <c r="C2046" s="248">
        <v>44146</v>
      </c>
      <c r="D2046" t="s">
        <v>305</v>
      </c>
      <c r="E2046">
        <v>40</v>
      </c>
    </row>
    <row r="2047" spans="3:5" x14ac:dyDescent="0.25">
      <c r="C2047" s="248">
        <v>44099</v>
      </c>
      <c r="D2047" t="s">
        <v>309</v>
      </c>
      <c r="E2047">
        <v>66</v>
      </c>
    </row>
    <row r="2048" spans="3:5" x14ac:dyDescent="0.25">
      <c r="C2048" s="248">
        <v>44060</v>
      </c>
      <c r="D2048" t="s">
        <v>311</v>
      </c>
      <c r="E2048">
        <v>136</v>
      </c>
    </row>
    <row r="2049" spans="3:5" x14ac:dyDescent="0.25">
      <c r="C2049" s="248">
        <v>44060</v>
      </c>
      <c r="D2049" t="s">
        <v>305</v>
      </c>
      <c r="E2049">
        <v>107</v>
      </c>
    </row>
    <row r="2050" spans="3:5" x14ac:dyDescent="0.25">
      <c r="C2050" s="248">
        <v>44056</v>
      </c>
      <c r="D2050" t="s">
        <v>309</v>
      </c>
      <c r="E2050">
        <v>64</v>
      </c>
    </row>
    <row r="2051" spans="3:5" x14ac:dyDescent="0.25">
      <c r="C2051" s="248">
        <v>44056</v>
      </c>
      <c r="D2051" t="s">
        <v>310</v>
      </c>
      <c r="E2051">
        <v>272</v>
      </c>
    </row>
    <row r="2052" spans="3:5" x14ac:dyDescent="0.25">
      <c r="C2052" s="248">
        <v>44056</v>
      </c>
      <c r="D2052" t="s">
        <v>305</v>
      </c>
      <c r="E2052">
        <v>111</v>
      </c>
    </row>
    <row r="2053" spans="3:5" x14ac:dyDescent="0.25">
      <c r="C2053" s="248">
        <v>44159</v>
      </c>
      <c r="D2053" t="s">
        <v>307</v>
      </c>
      <c r="E2053">
        <v>114</v>
      </c>
    </row>
    <row r="2054" spans="3:5" x14ac:dyDescent="0.25">
      <c r="C2054" s="248">
        <v>44187</v>
      </c>
      <c r="D2054" t="s">
        <v>305</v>
      </c>
      <c r="E2054">
        <v>78</v>
      </c>
    </row>
    <row r="2055" spans="3:5" x14ac:dyDescent="0.25">
      <c r="C2055" s="248">
        <v>44203</v>
      </c>
      <c r="D2055" t="s">
        <v>307</v>
      </c>
      <c r="E2055">
        <v>369</v>
      </c>
    </row>
    <row r="2056" spans="3:5" x14ac:dyDescent="0.25">
      <c r="C2056" s="248">
        <v>44056</v>
      </c>
      <c r="D2056" t="s">
        <v>311</v>
      </c>
      <c r="E2056">
        <v>161</v>
      </c>
    </row>
    <row r="2057" spans="3:5" x14ac:dyDescent="0.25">
      <c r="C2057" s="248">
        <v>44051</v>
      </c>
      <c r="D2057" t="s">
        <v>310</v>
      </c>
      <c r="E2057">
        <v>233</v>
      </c>
    </row>
    <row r="2058" spans="3:5" x14ac:dyDescent="0.25">
      <c r="C2058" s="248">
        <v>44058</v>
      </c>
      <c r="D2058" t="s">
        <v>309</v>
      </c>
      <c r="E2058">
        <v>52</v>
      </c>
    </row>
    <row r="2059" spans="3:5" x14ac:dyDescent="0.25">
      <c r="C2059" s="248">
        <v>44057</v>
      </c>
      <c r="D2059" t="s">
        <v>305</v>
      </c>
      <c r="E2059">
        <v>135</v>
      </c>
    </row>
    <row r="2060" spans="3:5" x14ac:dyDescent="0.25">
      <c r="C2060" s="248">
        <v>44057</v>
      </c>
      <c r="D2060" t="s">
        <v>309</v>
      </c>
      <c r="E2060">
        <v>73</v>
      </c>
    </row>
    <row r="2061" spans="3:5" x14ac:dyDescent="0.25">
      <c r="C2061" s="248">
        <v>44059</v>
      </c>
      <c r="D2061" t="s">
        <v>304</v>
      </c>
      <c r="E2061">
        <v>269</v>
      </c>
    </row>
    <row r="2062" spans="3:5" x14ac:dyDescent="0.25">
      <c r="C2062" s="248">
        <v>44059</v>
      </c>
      <c r="D2062" t="s">
        <v>307</v>
      </c>
      <c r="E2062">
        <v>246</v>
      </c>
    </row>
    <row r="2063" spans="3:5" x14ac:dyDescent="0.25">
      <c r="C2063" s="248">
        <v>44058</v>
      </c>
      <c r="D2063" t="s">
        <v>308</v>
      </c>
      <c r="E2063">
        <v>104</v>
      </c>
    </row>
    <row r="2064" spans="3:5" x14ac:dyDescent="0.25">
      <c r="C2064" s="248">
        <v>44175</v>
      </c>
      <c r="D2064" t="s">
        <v>305</v>
      </c>
      <c r="E2064">
        <v>57</v>
      </c>
    </row>
    <row r="2065" spans="3:5" x14ac:dyDescent="0.25">
      <c r="C2065" s="248">
        <v>44174</v>
      </c>
      <c r="D2065" t="s">
        <v>304</v>
      </c>
      <c r="E2065">
        <v>134</v>
      </c>
    </row>
    <row r="2066" spans="3:5" x14ac:dyDescent="0.25">
      <c r="C2066" s="248">
        <v>44174</v>
      </c>
      <c r="D2066" t="s">
        <v>305</v>
      </c>
      <c r="E2066">
        <v>48</v>
      </c>
    </row>
    <row r="2067" spans="3:5" x14ac:dyDescent="0.25">
      <c r="C2067" s="248">
        <v>44175</v>
      </c>
      <c r="D2067" t="s">
        <v>309</v>
      </c>
      <c r="E2067">
        <v>24</v>
      </c>
    </row>
    <row r="2068" spans="3:5" x14ac:dyDescent="0.25">
      <c r="C2068" s="248">
        <v>44165</v>
      </c>
      <c r="D2068" t="s">
        <v>310</v>
      </c>
      <c r="E2068">
        <v>85</v>
      </c>
    </row>
    <row r="2069" spans="3:5" x14ac:dyDescent="0.25">
      <c r="C2069" s="248">
        <v>44058</v>
      </c>
      <c r="D2069" t="s">
        <v>310</v>
      </c>
      <c r="E2069">
        <v>236</v>
      </c>
    </row>
    <row r="2070" spans="3:5" x14ac:dyDescent="0.25">
      <c r="C2070" s="248">
        <v>44098</v>
      </c>
      <c r="D2070" t="s">
        <v>309</v>
      </c>
      <c r="E2070">
        <v>63</v>
      </c>
    </row>
    <row r="2071" spans="3:5" x14ac:dyDescent="0.25">
      <c r="C2071" s="248">
        <v>44067</v>
      </c>
      <c r="D2071" t="s">
        <v>308</v>
      </c>
      <c r="E2071">
        <v>88</v>
      </c>
    </row>
    <row r="2072" spans="3:5" x14ac:dyDescent="0.25">
      <c r="C2072" s="248">
        <v>44052</v>
      </c>
      <c r="D2072" t="s">
        <v>306</v>
      </c>
      <c r="E2072">
        <v>339</v>
      </c>
    </row>
    <row r="2073" spans="3:5" x14ac:dyDescent="0.25">
      <c r="C2073" s="248">
        <v>44059</v>
      </c>
      <c r="D2073" t="s">
        <v>309</v>
      </c>
      <c r="E2073">
        <v>59</v>
      </c>
    </row>
    <row r="2074" spans="3:5" x14ac:dyDescent="0.25">
      <c r="C2074" s="248">
        <v>44035</v>
      </c>
      <c r="D2074" t="s">
        <v>307</v>
      </c>
      <c r="E2074">
        <v>403</v>
      </c>
    </row>
    <row r="2075" spans="3:5" x14ac:dyDescent="0.25">
      <c r="C2075" s="248">
        <v>44059</v>
      </c>
      <c r="D2075" t="s">
        <v>305</v>
      </c>
      <c r="E2075">
        <v>63</v>
      </c>
    </row>
    <row r="2076" spans="3:5" x14ac:dyDescent="0.25">
      <c r="C2076" s="248">
        <v>44020</v>
      </c>
      <c r="D2076" t="s">
        <v>310</v>
      </c>
      <c r="E2076">
        <v>231</v>
      </c>
    </row>
    <row r="2077" spans="3:5" x14ac:dyDescent="0.25">
      <c r="C2077" s="248">
        <v>44040</v>
      </c>
      <c r="D2077" t="s">
        <v>311</v>
      </c>
      <c r="E2077">
        <v>136</v>
      </c>
    </row>
    <row r="2078" spans="3:5" x14ac:dyDescent="0.25">
      <c r="C2078" s="248">
        <v>44072</v>
      </c>
      <c r="D2078" t="s">
        <v>305</v>
      </c>
      <c r="E2078">
        <v>111</v>
      </c>
    </row>
    <row r="2079" spans="3:5" x14ac:dyDescent="0.25">
      <c r="C2079" s="248">
        <v>44072</v>
      </c>
      <c r="D2079" t="s">
        <v>309</v>
      </c>
      <c r="E2079">
        <v>66</v>
      </c>
    </row>
    <row r="2080" spans="3:5" x14ac:dyDescent="0.25">
      <c r="C2080" s="248">
        <v>44072</v>
      </c>
      <c r="D2080" t="s">
        <v>312</v>
      </c>
      <c r="E2080">
        <v>60</v>
      </c>
    </row>
    <row r="2081" spans="3:5" x14ac:dyDescent="0.25">
      <c r="C2081" s="248">
        <v>44060</v>
      </c>
      <c r="D2081" t="s">
        <v>309</v>
      </c>
      <c r="E2081">
        <v>53</v>
      </c>
    </row>
    <row r="2082" spans="3:5" x14ac:dyDescent="0.25">
      <c r="C2082" s="248">
        <v>44191</v>
      </c>
      <c r="D2082" t="s">
        <v>305</v>
      </c>
      <c r="E2082">
        <v>87</v>
      </c>
    </row>
    <row r="2083" spans="3:5" x14ac:dyDescent="0.25">
      <c r="C2083" s="248">
        <v>44191</v>
      </c>
      <c r="D2083" t="s">
        <v>307</v>
      </c>
      <c r="E2083">
        <v>275</v>
      </c>
    </row>
    <row r="2084" spans="3:5" x14ac:dyDescent="0.25">
      <c r="C2084" s="248">
        <v>44093</v>
      </c>
      <c r="D2084" t="s">
        <v>305</v>
      </c>
      <c r="E2084">
        <v>92</v>
      </c>
    </row>
    <row r="2085" spans="3:5" x14ac:dyDescent="0.25">
      <c r="C2085" s="248">
        <v>44094</v>
      </c>
      <c r="D2085" t="s">
        <v>304</v>
      </c>
      <c r="E2085">
        <v>182</v>
      </c>
    </row>
    <row r="2086" spans="3:5" x14ac:dyDescent="0.25">
      <c r="C2086" s="248">
        <v>44089</v>
      </c>
      <c r="D2086" t="s">
        <v>305</v>
      </c>
      <c r="E2086">
        <v>115</v>
      </c>
    </row>
    <row r="2087" spans="3:5" x14ac:dyDescent="0.25">
      <c r="C2087" s="248">
        <v>44073</v>
      </c>
      <c r="D2087" t="s">
        <v>311</v>
      </c>
      <c r="E2087">
        <v>120</v>
      </c>
    </row>
    <row r="2088" spans="3:5" x14ac:dyDescent="0.25">
      <c r="C2088" s="248">
        <v>44071</v>
      </c>
      <c r="D2088" t="s">
        <v>312</v>
      </c>
      <c r="E2088">
        <v>88</v>
      </c>
    </row>
    <row r="2089" spans="3:5" x14ac:dyDescent="0.25">
      <c r="C2089" s="248">
        <v>44291</v>
      </c>
      <c r="D2089" t="s">
        <v>309</v>
      </c>
      <c r="E2089">
        <v>109</v>
      </c>
    </row>
    <row r="2090" spans="3:5" x14ac:dyDescent="0.25">
      <c r="C2090" s="248">
        <v>44161</v>
      </c>
      <c r="D2090" t="s">
        <v>304</v>
      </c>
      <c r="E2090">
        <v>132</v>
      </c>
    </row>
    <row r="2091" spans="3:5" x14ac:dyDescent="0.25">
      <c r="C2091" s="248">
        <v>44164</v>
      </c>
      <c r="D2091" t="s">
        <v>304</v>
      </c>
      <c r="E2091">
        <v>98</v>
      </c>
    </row>
    <row r="2092" spans="3:5" x14ac:dyDescent="0.25">
      <c r="C2092" s="248">
        <v>44163</v>
      </c>
      <c r="D2092" t="s">
        <v>305</v>
      </c>
      <c r="E2092">
        <v>55</v>
      </c>
    </row>
    <row r="2093" spans="3:5" x14ac:dyDescent="0.25">
      <c r="C2093" s="248">
        <v>44160</v>
      </c>
      <c r="D2093" t="s">
        <v>306</v>
      </c>
      <c r="E2093">
        <v>173</v>
      </c>
    </row>
    <row r="2094" spans="3:5" x14ac:dyDescent="0.25">
      <c r="C2094" s="248">
        <v>44009</v>
      </c>
      <c r="D2094" t="s">
        <v>311</v>
      </c>
      <c r="E2094">
        <v>68</v>
      </c>
    </row>
    <row r="2095" spans="3:5" x14ac:dyDescent="0.25">
      <c r="C2095" s="248">
        <v>44012</v>
      </c>
      <c r="D2095" t="s">
        <v>310</v>
      </c>
      <c r="E2095">
        <v>174</v>
      </c>
    </row>
    <row r="2096" spans="3:5" x14ac:dyDescent="0.25">
      <c r="C2096" s="248">
        <v>44025</v>
      </c>
      <c r="D2096" t="s">
        <v>307</v>
      </c>
      <c r="E2096">
        <v>387</v>
      </c>
    </row>
    <row r="2097" spans="3:5" x14ac:dyDescent="0.25">
      <c r="C2097" s="248">
        <v>44028</v>
      </c>
      <c r="D2097" t="s">
        <v>306</v>
      </c>
      <c r="E2097">
        <v>475</v>
      </c>
    </row>
    <row r="2098" spans="3:5" x14ac:dyDescent="0.25">
      <c r="C2098" s="248">
        <v>44030</v>
      </c>
      <c r="D2098" t="s">
        <v>307</v>
      </c>
      <c r="E2098">
        <v>325</v>
      </c>
    </row>
    <row r="2099" spans="3:5" x14ac:dyDescent="0.25">
      <c r="C2099" s="248">
        <v>44030</v>
      </c>
      <c r="D2099" t="s">
        <v>311</v>
      </c>
      <c r="E2099">
        <v>130</v>
      </c>
    </row>
    <row r="2100" spans="3:5" x14ac:dyDescent="0.25">
      <c r="C2100" s="248">
        <v>44044</v>
      </c>
      <c r="D2100" t="s">
        <v>310</v>
      </c>
      <c r="E2100">
        <v>242</v>
      </c>
    </row>
    <row r="2101" spans="3:5" x14ac:dyDescent="0.25">
      <c r="C2101" s="248">
        <v>44046</v>
      </c>
      <c r="D2101" t="s">
        <v>311</v>
      </c>
      <c r="E2101">
        <v>202</v>
      </c>
    </row>
    <row r="2102" spans="3:5" x14ac:dyDescent="0.25">
      <c r="C2102" s="248">
        <v>44048</v>
      </c>
      <c r="D2102" t="s">
        <v>310</v>
      </c>
      <c r="E2102">
        <v>374</v>
      </c>
    </row>
    <row r="2103" spans="3:5" x14ac:dyDescent="0.25">
      <c r="C2103" s="248">
        <v>44049</v>
      </c>
      <c r="D2103" t="s">
        <v>312</v>
      </c>
      <c r="E2103">
        <v>116</v>
      </c>
    </row>
    <row r="2104" spans="3:5" x14ac:dyDescent="0.25">
      <c r="C2104" s="248">
        <v>44049</v>
      </c>
      <c r="D2104" t="s">
        <v>307</v>
      </c>
      <c r="E2104">
        <v>463</v>
      </c>
    </row>
    <row r="2105" spans="3:5" x14ac:dyDescent="0.25">
      <c r="C2105" s="248">
        <v>44054</v>
      </c>
      <c r="D2105" t="s">
        <v>311</v>
      </c>
      <c r="E2105">
        <v>169</v>
      </c>
    </row>
    <row r="2106" spans="3:5" x14ac:dyDescent="0.25">
      <c r="C2106" s="248">
        <v>44124</v>
      </c>
      <c r="D2106" t="s">
        <v>305</v>
      </c>
      <c r="E2106">
        <v>63</v>
      </c>
    </row>
    <row r="2107" spans="3:5" x14ac:dyDescent="0.25">
      <c r="C2107" s="248">
        <v>44038</v>
      </c>
      <c r="D2107" t="s">
        <v>308</v>
      </c>
      <c r="E2107">
        <v>60</v>
      </c>
    </row>
    <row r="2108" spans="3:5" x14ac:dyDescent="0.25">
      <c r="C2108" s="248">
        <v>43999</v>
      </c>
      <c r="D2108" t="s">
        <v>306</v>
      </c>
      <c r="E2108">
        <v>271</v>
      </c>
    </row>
    <row r="2109" spans="3:5" x14ac:dyDescent="0.25">
      <c r="C2109" s="248">
        <v>44014</v>
      </c>
      <c r="D2109" t="s">
        <v>312</v>
      </c>
      <c r="E2109">
        <v>53</v>
      </c>
    </row>
    <row r="2110" spans="3:5" x14ac:dyDescent="0.25">
      <c r="C2110" s="248">
        <v>44021</v>
      </c>
      <c r="D2110" t="s">
        <v>308</v>
      </c>
      <c r="E2110">
        <v>60</v>
      </c>
    </row>
    <row r="2111" spans="3:5" x14ac:dyDescent="0.25">
      <c r="C2111" s="248">
        <v>44024</v>
      </c>
      <c r="D2111" t="s">
        <v>308</v>
      </c>
      <c r="E2111">
        <v>50</v>
      </c>
    </row>
    <row r="2112" spans="3:5" x14ac:dyDescent="0.25">
      <c r="C2112" s="248">
        <v>44026</v>
      </c>
      <c r="D2112" t="s">
        <v>310</v>
      </c>
      <c r="E2112">
        <v>240</v>
      </c>
    </row>
    <row r="2113" spans="3:5" x14ac:dyDescent="0.25">
      <c r="C2113" s="248">
        <v>44041</v>
      </c>
      <c r="D2113" t="s">
        <v>312</v>
      </c>
      <c r="E2113">
        <v>107</v>
      </c>
    </row>
    <row r="2114" spans="3:5" x14ac:dyDescent="0.25">
      <c r="C2114" s="248">
        <v>44037</v>
      </c>
      <c r="D2114" t="s">
        <v>306</v>
      </c>
      <c r="E2114">
        <v>419</v>
      </c>
    </row>
    <row r="2115" spans="3:5" x14ac:dyDescent="0.25">
      <c r="C2115" s="248">
        <v>44018</v>
      </c>
      <c r="D2115" t="s">
        <v>310</v>
      </c>
      <c r="E2115">
        <v>226</v>
      </c>
    </row>
    <row r="2116" spans="3:5" x14ac:dyDescent="0.25">
      <c r="C2116" s="248">
        <v>44024</v>
      </c>
      <c r="D2116" t="s">
        <v>310</v>
      </c>
      <c r="E2116">
        <v>144</v>
      </c>
    </row>
    <row r="2117" spans="3:5" x14ac:dyDescent="0.25">
      <c r="C2117" s="248">
        <v>44031</v>
      </c>
      <c r="D2117" t="s">
        <v>310</v>
      </c>
      <c r="E2117">
        <v>210</v>
      </c>
    </row>
    <row r="2118" spans="3:5" x14ac:dyDescent="0.25">
      <c r="C2118" s="248">
        <v>44032</v>
      </c>
      <c r="D2118" t="s">
        <v>304</v>
      </c>
      <c r="E2118">
        <v>409</v>
      </c>
    </row>
    <row r="2119" spans="3:5" x14ac:dyDescent="0.25">
      <c r="C2119" s="248">
        <v>44088</v>
      </c>
      <c r="D2119" t="s">
        <v>309</v>
      </c>
      <c r="E2119">
        <v>57</v>
      </c>
    </row>
    <row r="2120" spans="3:5" x14ac:dyDescent="0.25">
      <c r="C2120" s="248">
        <v>44062</v>
      </c>
      <c r="D2120" t="s">
        <v>308</v>
      </c>
      <c r="E2120">
        <v>91</v>
      </c>
    </row>
    <row r="2121" spans="3:5" x14ac:dyDescent="0.25">
      <c r="C2121" s="248">
        <v>44160</v>
      </c>
      <c r="D2121" t="s">
        <v>304</v>
      </c>
      <c r="E2121">
        <v>158</v>
      </c>
    </row>
    <row r="2122" spans="3:5" x14ac:dyDescent="0.25">
      <c r="C2122" s="248">
        <v>44165</v>
      </c>
      <c r="D2122" t="s">
        <v>307</v>
      </c>
      <c r="E2122">
        <v>97</v>
      </c>
    </row>
    <row r="2123" spans="3:5" x14ac:dyDescent="0.25">
      <c r="C2123" s="248">
        <v>44164</v>
      </c>
      <c r="D2123" t="s">
        <v>307</v>
      </c>
      <c r="E2123">
        <v>69</v>
      </c>
    </row>
    <row r="2124" spans="3:5" x14ac:dyDescent="0.25">
      <c r="C2124" s="248">
        <v>44146</v>
      </c>
      <c r="D2124" t="s">
        <v>307</v>
      </c>
      <c r="E2124">
        <v>153</v>
      </c>
    </row>
    <row r="2125" spans="3:5" x14ac:dyDescent="0.25">
      <c r="C2125" s="248">
        <v>44149</v>
      </c>
      <c r="D2125" t="s">
        <v>305</v>
      </c>
      <c r="E2125">
        <v>45</v>
      </c>
    </row>
    <row r="2126" spans="3:5" x14ac:dyDescent="0.25">
      <c r="C2126" s="248">
        <v>44207</v>
      </c>
      <c r="D2126" t="s">
        <v>309</v>
      </c>
      <c r="E2126">
        <v>27</v>
      </c>
    </row>
    <row r="2127" spans="3:5" x14ac:dyDescent="0.25">
      <c r="C2127" s="248">
        <v>44120</v>
      </c>
      <c r="D2127" t="s">
        <v>304</v>
      </c>
      <c r="E2127">
        <v>328</v>
      </c>
    </row>
    <row r="2128" spans="3:5" x14ac:dyDescent="0.25">
      <c r="C2128" s="248">
        <v>44121</v>
      </c>
      <c r="D2128" t="s">
        <v>305</v>
      </c>
      <c r="E2128">
        <v>67</v>
      </c>
    </row>
    <row r="2129" spans="3:5" x14ac:dyDescent="0.25">
      <c r="C2129" s="248">
        <v>44122</v>
      </c>
      <c r="D2129" t="s">
        <v>305</v>
      </c>
      <c r="E2129">
        <v>50</v>
      </c>
    </row>
    <row r="2130" spans="3:5" x14ac:dyDescent="0.25">
      <c r="C2130" s="248">
        <v>44122</v>
      </c>
      <c r="D2130" t="s">
        <v>309</v>
      </c>
      <c r="E2130">
        <v>27</v>
      </c>
    </row>
    <row r="2131" spans="3:5" x14ac:dyDescent="0.25">
      <c r="C2131" s="248">
        <v>44047</v>
      </c>
      <c r="D2131" t="s">
        <v>307</v>
      </c>
      <c r="E2131">
        <v>556</v>
      </c>
    </row>
    <row r="2132" spans="3:5" x14ac:dyDescent="0.25">
      <c r="C2132" s="248">
        <v>44056</v>
      </c>
      <c r="D2132" t="s">
        <v>312</v>
      </c>
      <c r="E2132">
        <v>66</v>
      </c>
    </row>
    <row r="2133" spans="3:5" x14ac:dyDescent="0.25">
      <c r="C2133" s="248">
        <v>44027</v>
      </c>
      <c r="D2133" t="s">
        <v>306</v>
      </c>
      <c r="E2133">
        <v>451</v>
      </c>
    </row>
    <row r="2134" spans="3:5" x14ac:dyDescent="0.25">
      <c r="C2134" s="248">
        <v>44035</v>
      </c>
      <c r="D2134" t="s">
        <v>311</v>
      </c>
      <c r="E2134">
        <v>142</v>
      </c>
    </row>
    <row r="2135" spans="3:5" x14ac:dyDescent="0.25">
      <c r="C2135" s="248">
        <v>44045</v>
      </c>
      <c r="D2135" t="s">
        <v>304</v>
      </c>
      <c r="E2135">
        <v>282</v>
      </c>
    </row>
    <row r="2136" spans="3:5" x14ac:dyDescent="0.25">
      <c r="C2136" s="248">
        <v>44052</v>
      </c>
      <c r="D2136" t="s">
        <v>308</v>
      </c>
      <c r="E2136">
        <v>43</v>
      </c>
    </row>
    <row r="2137" spans="3:5" x14ac:dyDescent="0.25">
      <c r="C2137" s="248">
        <v>44057</v>
      </c>
      <c r="D2137" t="s">
        <v>308</v>
      </c>
      <c r="E2137">
        <v>76</v>
      </c>
    </row>
    <row r="2138" spans="3:5" x14ac:dyDescent="0.25">
      <c r="C2138" s="248">
        <v>44023</v>
      </c>
      <c r="D2138" t="s">
        <v>312</v>
      </c>
      <c r="E2138">
        <v>76</v>
      </c>
    </row>
    <row r="2139" spans="3:5" x14ac:dyDescent="0.25">
      <c r="C2139" s="248">
        <v>44026</v>
      </c>
      <c r="D2139" t="s">
        <v>312</v>
      </c>
      <c r="E2139">
        <v>99</v>
      </c>
    </row>
    <row r="2140" spans="3:5" x14ac:dyDescent="0.25">
      <c r="C2140" s="248">
        <v>44027</v>
      </c>
      <c r="D2140" t="s">
        <v>312</v>
      </c>
      <c r="E2140">
        <v>98</v>
      </c>
    </row>
    <row r="2141" spans="3:5" x14ac:dyDescent="0.25">
      <c r="C2141" s="248">
        <v>44194</v>
      </c>
      <c r="D2141" t="s">
        <v>309</v>
      </c>
      <c r="E2141">
        <v>33</v>
      </c>
    </row>
    <row r="2142" spans="3:5" x14ac:dyDescent="0.25">
      <c r="C2142" s="248">
        <v>43993</v>
      </c>
      <c r="D2142" t="s">
        <v>310</v>
      </c>
      <c r="E2142">
        <v>91</v>
      </c>
    </row>
    <row r="2143" spans="3:5" x14ac:dyDescent="0.25">
      <c r="C2143" s="248">
        <v>44046</v>
      </c>
      <c r="D2143" t="s">
        <v>304</v>
      </c>
      <c r="E2143">
        <v>529</v>
      </c>
    </row>
    <row r="2144" spans="3:5" x14ac:dyDescent="0.25">
      <c r="C2144" s="248">
        <v>44180</v>
      </c>
      <c r="D2144" t="s">
        <v>304</v>
      </c>
      <c r="E2144">
        <v>206</v>
      </c>
    </row>
    <row r="2145" spans="3:5" x14ac:dyDescent="0.25">
      <c r="C2145" s="248">
        <v>44185</v>
      </c>
      <c r="D2145" t="s">
        <v>310</v>
      </c>
      <c r="E2145">
        <v>96</v>
      </c>
    </row>
    <row r="2146" spans="3:5" x14ac:dyDescent="0.25">
      <c r="C2146" s="248">
        <v>44183</v>
      </c>
      <c r="D2146" t="s">
        <v>305</v>
      </c>
      <c r="E2146">
        <v>75</v>
      </c>
    </row>
    <row r="2147" spans="3:5" x14ac:dyDescent="0.25">
      <c r="C2147" s="248">
        <v>44033</v>
      </c>
      <c r="D2147" t="s">
        <v>306</v>
      </c>
      <c r="E2147">
        <v>540</v>
      </c>
    </row>
    <row r="2148" spans="3:5" x14ac:dyDescent="0.25">
      <c r="C2148" s="248">
        <v>44048</v>
      </c>
      <c r="D2148" t="s">
        <v>311</v>
      </c>
      <c r="E2148">
        <v>227</v>
      </c>
    </row>
    <row r="2149" spans="3:5" x14ac:dyDescent="0.25">
      <c r="C2149" s="248">
        <v>44048</v>
      </c>
      <c r="D2149" t="s">
        <v>307</v>
      </c>
      <c r="E2149">
        <v>575</v>
      </c>
    </row>
    <row r="2150" spans="3:5" x14ac:dyDescent="0.25">
      <c r="C2150" s="248">
        <v>44177</v>
      </c>
      <c r="D2150" t="s">
        <v>307</v>
      </c>
      <c r="E2150">
        <v>93</v>
      </c>
    </row>
    <row r="2151" spans="3:5" x14ac:dyDescent="0.25">
      <c r="C2151" s="248">
        <v>44179</v>
      </c>
      <c r="D2151" t="s">
        <v>305</v>
      </c>
      <c r="E2151">
        <v>60</v>
      </c>
    </row>
    <row r="2152" spans="3:5" x14ac:dyDescent="0.25">
      <c r="C2152" s="248">
        <v>44185</v>
      </c>
      <c r="D2152" t="s">
        <v>309</v>
      </c>
      <c r="E2152">
        <v>17</v>
      </c>
    </row>
    <row r="2153" spans="3:5" x14ac:dyDescent="0.25">
      <c r="C2153" s="248">
        <v>44178</v>
      </c>
      <c r="D2153" t="s">
        <v>304</v>
      </c>
      <c r="E2153">
        <v>115</v>
      </c>
    </row>
    <row r="2154" spans="3:5" x14ac:dyDescent="0.25">
      <c r="C2154" s="248">
        <v>44166</v>
      </c>
      <c r="D2154" t="s">
        <v>307</v>
      </c>
      <c r="E2154">
        <v>125</v>
      </c>
    </row>
    <row r="2155" spans="3:5" x14ac:dyDescent="0.25">
      <c r="C2155" s="248">
        <v>44166</v>
      </c>
      <c r="D2155" t="s">
        <v>304</v>
      </c>
      <c r="E2155">
        <v>113</v>
      </c>
    </row>
    <row r="2156" spans="3:5" x14ac:dyDescent="0.25">
      <c r="C2156" s="248">
        <v>44008</v>
      </c>
      <c r="D2156" t="s">
        <v>312</v>
      </c>
      <c r="E2156">
        <v>60</v>
      </c>
    </row>
    <row r="2157" spans="3:5" x14ac:dyDescent="0.25">
      <c r="C2157" s="248">
        <v>44107</v>
      </c>
      <c r="D2157" t="s">
        <v>311</v>
      </c>
      <c r="E2157">
        <v>77</v>
      </c>
    </row>
    <row r="2158" spans="3:5" x14ac:dyDescent="0.25">
      <c r="C2158" s="248">
        <v>44104</v>
      </c>
      <c r="D2158" t="s">
        <v>309</v>
      </c>
      <c r="E2158">
        <v>62</v>
      </c>
    </row>
    <row r="2159" spans="3:5" x14ac:dyDescent="0.25">
      <c r="C2159" s="248">
        <v>44054</v>
      </c>
      <c r="D2159" t="s">
        <v>309</v>
      </c>
      <c r="E2159">
        <v>83</v>
      </c>
    </row>
    <row r="2160" spans="3:5" x14ac:dyDescent="0.25">
      <c r="C2160" s="248">
        <v>44055</v>
      </c>
      <c r="D2160" t="s">
        <v>309</v>
      </c>
      <c r="E2160">
        <v>82</v>
      </c>
    </row>
    <row r="2161" spans="3:5" x14ac:dyDescent="0.25">
      <c r="C2161" s="248">
        <v>44055</v>
      </c>
      <c r="D2161" t="s">
        <v>305</v>
      </c>
      <c r="E2161">
        <v>127</v>
      </c>
    </row>
    <row r="2162" spans="3:5" x14ac:dyDescent="0.25">
      <c r="C2162" s="248">
        <v>44156</v>
      </c>
      <c r="D2162" t="s">
        <v>306</v>
      </c>
      <c r="E2162">
        <v>123</v>
      </c>
    </row>
    <row r="2163" spans="3:5" x14ac:dyDescent="0.25">
      <c r="C2163" s="248">
        <v>44145</v>
      </c>
      <c r="D2163" t="s">
        <v>306</v>
      </c>
      <c r="E2163">
        <v>226</v>
      </c>
    </row>
    <row r="2164" spans="3:5" x14ac:dyDescent="0.25">
      <c r="C2164" s="248">
        <v>44102</v>
      </c>
      <c r="D2164" t="s">
        <v>309</v>
      </c>
      <c r="E2164">
        <v>50</v>
      </c>
    </row>
    <row r="2165" spans="3:5" x14ac:dyDescent="0.25">
      <c r="C2165" s="248">
        <v>44102</v>
      </c>
      <c r="D2165" t="s">
        <v>305</v>
      </c>
      <c r="E2165">
        <v>111</v>
      </c>
    </row>
    <row r="2166" spans="3:5" x14ac:dyDescent="0.25">
      <c r="C2166" s="248">
        <v>44141</v>
      </c>
      <c r="D2166" t="s">
        <v>309</v>
      </c>
      <c r="E2166">
        <v>33</v>
      </c>
    </row>
    <row r="2167" spans="3:5" x14ac:dyDescent="0.25">
      <c r="C2167" s="248">
        <v>44143</v>
      </c>
      <c r="D2167" t="s">
        <v>310</v>
      </c>
      <c r="E2167">
        <v>62</v>
      </c>
    </row>
    <row r="2168" spans="3:5" x14ac:dyDescent="0.25">
      <c r="C2168" s="248">
        <v>44034</v>
      </c>
      <c r="D2168" t="s">
        <v>311</v>
      </c>
      <c r="E2168">
        <v>169</v>
      </c>
    </row>
    <row r="2169" spans="3:5" x14ac:dyDescent="0.25">
      <c r="C2169" s="248">
        <v>44097</v>
      </c>
      <c r="D2169" t="s">
        <v>309</v>
      </c>
      <c r="E2169">
        <v>78</v>
      </c>
    </row>
    <row r="2170" spans="3:5" x14ac:dyDescent="0.25">
      <c r="C2170" s="248">
        <v>44051</v>
      </c>
      <c r="D2170" t="s">
        <v>308</v>
      </c>
      <c r="E2170">
        <v>67</v>
      </c>
    </row>
    <row r="2171" spans="3:5" x14ac:dyDescent="0.25">
      <c r="C2171" s="248">
        <v>44168</v>
      </c>
      <c r="D2171" t="s">
        <v>309</v>
      </c>
      <c r="E2171">
        <v>18</v>
      </c>
    </row>
    <row r="2172" spans="3:5" x14ac:dyDescent="0.25">
      <c r="C2172" s="248">
        <v>44169</v>
      </c>
      <c r="D2172" t="s">
        <v>309</v>
      </c>
      <c r="E2172">
        <v>19</v>
      </c>
    </row>
    <row r="2173" spans="3:5" x14ac:dyDescent="0.25">
      <c r="C2173" s="248">
        <v>44170</v>
      </c>
      <c r="D2173" t="s">
        <v>310</v>
      </c>
      <c r="E2173">
        <v>67</v>
      </c>
    </row>
    <row r="2174" spans="3:5" x14ac:dyDescent="0.25">
      <c r="C2174" s="248">
        <v>44170</v>
      </c>
      <c r="D2174" t="s">
        <v>311</v>
      </c>
      <c r="E2174">
        <v>38</v>
      </c>
    </row>
    <row r="2175" spans="3:5" x14ac:dyDescent="0.25">
      <c r="C2175" s="248">
        <v>44171</v>
      </c>
      <c r="D2175" t="s">
        <v>307</v>
      </c>
      <c r="E2175">
        <v>62</v>
      </c>
    </row>
    <row r="2176" spans="3:5" x14ac:dyDescent="0.25">
      <c r="C2176" s="248">
        <v>44154</v>
      </c>
      <c r="D2176" t="s">
        <v>310</v>
      </c>
      <c r="E2176">
        <v>100</v>
      </c>
    </row>
    <row r="2177" spans="3:5" x14ac:dyDescent="0.25">
      <c r="C2177" s="248">
        <v>44036</v>
      </c>
      <c r="D2177" t="s">
        <v>311</v>
      </c>
      <c r="E2177">
        <v>137</v>
      </c>
    </row>
    <row r="2178" spans="3:5" x14ac:dyDescent="0.25">
      <c r="C2178" s="248">
        <v>44147</v>
      </c>
      <c r="D2178" t="s">
        <v>305</v>
      </c>
      <c r="E2178">
        <v>64</v>
      </c>
    </row>
    <row r="2179" spans="3:5" x14ac:dyDescent="0.25">
      <c r="C2179" s="248">
        <v>44049</v>
      </c>
      <c r="D2179" t="s">
        <v>304</v>
      </c>
      <c r="E2179">
        <v>527</v>
      </c>
    </row>
    <row r="2180" spans="3:5" x14ac:dyDescent="0.25">
      <c r="C2180" s="248">
        <v>44127</v>
      </c>
      <c r="D2180" t="s">
        <v>307</v>
      </c>
      <c r="E2180">
        <v>210</v>
      </c>
    </row>
    <row r="2181" spans="3:5" x14ac:dyDescent="0.25">
      <c r="C2181" s="248">
        <v>44014</v>
      </c>
      <c r="D2181" t="s">
        <v>310</v>
      </c>
      <c r="E2181">
        <v>161</v>
      </c>
    </row>
    <row r="2182" spans="3:5" x14ac:dyDescent="0.25">
      <c r="C2182" s="248">
        <v>44094</v>
      </c>
      <c r="D2182" t="s">
        <v>306</v>
      </c>
      <c r="E2182">
        <v>230</v>
      </c>
    </row>
    <row r="2183" spans="3:5" x14ac:dyDescent="0.25">
      <c r="C2183" s="248">
        <v>43962</v>
      </c>
      <c r="D2183" t="s">
        <v>307</v>
      </c>
      <c r="E2183">
        <v>24</v>
      </c>
    </row>
    <row r="2184" spans="3:5" x14ac:dyDescent="0.25">
      <c r="C2184" s="248">
        <v>44053</v>
      </c>
      <c r="D2184" t="s">
        <v>305</v>
      </c>
      <c r="E2184">
        <v>126</v>
      </c>
    </row>
    <row r="2185" spans="3:5" x14ac:dyDescent="0.25">
      <c r="C2185" s="248">
        <v>44039</v>
      </c>
      <c r="D2185" t="s">
        <v>305</v>
      </c>
      <c r="E2185">
        <v>111</v>
      </c>
    </row>
    <row r="2186" spans="3:5" x14ac:dyDescent="0.25">
      <c r="C2186" s="248">
        <v>44156</v>
      </c>
      <c r="D2186" t="s">
        <v>310</v>
      </c>
      <c r="E2186">
        <v>70</v>
      </c>
    </row>
    <row r="2187" spans="3:5" x14ac:dyDescent="0.25">
      <c r="C2187" s="248">
        <v>44157</v>
      </c>
      <c r="D2187" t="s">
        <v>306</v>
      </c>
      <c r="E2187">
        <v>78</v>
      </c>
    </row>
    <row r="2188" spans="3:5" x14ac:dyDescent="0.25">
      <c r="C2188" s="248">
        <v>44157</v>
      </c>
      <c r="D2188" t="s">
        <v>305</v>
      </c>
      <c r="E2188">
        <v>22</v>
      </c>
    </row>
    <row r="2189" spans="3:5" x14ac:dyDescent="0.25">
      <c r="C2189" s="248">
        <v>44166</v>
      </c>
      <c r="D2189" t="s">
        <v>309</v>
      </c>
      <c r="E2189">
        <v>22</v>
      </c>
    </row>
    <row r="2190" spans="3:5" x14ac:dyDescent="0.25">
      <c r="C2190" s="248">
        <v>44161</v>
      </c>
      <c r="D2190" t="s">
        <v>305</v>
      </c>
      <c r="E2190">
        <v>56</v>
      </c>
    </row>
    <row r="2191" spans="3:5" x14ac:dyDescent="0.25">
      <c r="C2191" s="248">
        <v>44158</v>
      </c>
      <c r="D2191" t="s">
        <v>304</v>
      </c>
      <c r="E2191">
        <v>66</v>
      </c>
    </row>
    <row r="2192" spans="3:5" x14ac:dyDescent="0.25">
      <c r="C2192" s="248">
        <v>44155</v>
      </c>
      <c r="D2192" t="s">
        <v>310</v>
      </c>
      <c r="E2192">
        <v>67</v>
      </c>
    </row>
    <row r="2193" spans="3:5" x14ac:dyDescent="0.25">
      <c r="C2193" s="248">
        <v>44093</v>
      </c>
      <c r="D2193" t="s">
        <v>309</v>
      </c>
      <c r="E2193">
        <v>32</v>
      </c>
    </row>
    <row r="2194" spans="3:5" x14ac:dyDescent="0.25">
      <c r="C2194" s="248">
        <v>44034</v>
      </c>
      <c r="D2194" t="s">
        <v>310</v>
      </c>
      <c r="E2194">
        <v>313</v>
      </c>
    </row>
    <row r="2195" spans="3:5" x14ac:dyDescent="0.25">
      <c r="C2195" s="248">
        <v>44058</v>
      </c>
      <c r="D2195" t="s">
        <v>311</v>
      </c>
      <c r="E2195">
        <v>115</v>
      </c>
    </row>
    <row r="2196" spans="3:5" x14ac:dyDescent="0.25">
      <c r="C2196" s="248">
        <v>44141</v>
      </c>
      <c r="D2196" t="s">
        <v>305</v>
      </c>
      <c r="E2196">
        <v>50</v>
      </c>
    </row>
    <row r="2197" spans="3:5" x14ac:dyDescent="0.25">
      <c r="C2197" s="248">
        <v>44147</v>
      </c>
      <c r="D2197" t="s">
        <v>309</v>
      </c>
      <c r="E2197">
        <v>22</v>
      </c>
    </row>
    <row r="2198" spans="3:5" x14ac:dyDescent="0.25">
      <c r="C2198" s="248">
        <v>44134</v>
      </c>
      <c r="D2198" t="s">
        <v>309</v>
      </c>
      <c r="E2198">
        <v>25</v>
      </c>
    </row>
    <row r="2199" spans="3:5" x14ac:dyDescent="0.25">
      <c r="C2199" s="248">
        <v>44133</v>
      </c>
      <c r="D2199" t="s">
        <v>305</v>
      </c>
      <c r="E2199">
        <v>56</v>
      </c>
    </row>
    <row r="2200" spans="3:5" x14ac:dyDescent="0.25">
      <c r="C2200" s="248">
        <v>44135</v>
      </c>
      <c r="D2200" t="s">
        <v>305</v>
      </c>
      <c r="E2200">
        <v>39</v>
      </c>
    </row>
    <row r="2201" spans="3:5" x14ac:dyDescent="0.25">
      <c r="C2201" s="248">
        <v>43978</v>
      </c>
      <c r="D2201" t="s">
        <v>310</v>
      </c>
      <c r="E2201">
        <v>64</v>
      </c>
    </row>
    <row r="2202" spans="3:5" x14ac:dyDescent="0.25">
      <c r="C2202" s="248">
        <v>44003</v>
      </c>
      <c r="D2202" t="s">
        <v>311</v>
      </c>
      <c r="E2202">
        <v>52</v>
      </c>
    </row>
    <row r="2203" spans="3:5" x14ac:dyDescent="0.25">
      <c r="C2203" s="248">
        <v>44035</v>
      </c>
      <c r="D2203" t="s">
        <v>312</v>
      </c>
      <c r="E2203">
        <v>87</v>
      </c>
    </row>
    <row r="2204" spans="3:5" x14ac:dyDescent="0.25">
      <c r="C2204" s="248">
        <v>44042</v>
      </c>
      <c r="D2204" t="s">
        <v>310</v>
      </c>
      <c r="E2204">
        <v>269</v>
      </c>
    </row>
    <row r="2205" spans="3:5" x14ac:dyDescent="0.25">
      <c r="C2205" s="248">
        <v>44236</v>
      </c>
      <c r="D2205" t="s">
        <v>309</v>
      </c>
      <c r="E2205">
        <v>31</v>
      </c>
    </row>
    <row r="2206" spans="3:5" x14ac:dyDescent="0.25">
      <c r="C2206" s="248">
        <v>44190</v>
      </c>
      <c r="D2206" t="s">
        <v>309</v>
      </c>
      <c r="E2206">
        <v>18</v>
      </c>
    </row>
    <row r="2207" spans="3:5" x14ac:dyDescent="0.25">
      <c r="C2207" s="248">
        <v>43979</v>
      </c>
      <c r="D2207" t="s">
        <v>311</v>
      </c>
      <c r="E2207">
        <v>31</v>
      </c>
    </row>
    <row r="2208" spans="3:5" x14ac:dyDescent="0.25">
      <c r="C2208" s="248">
        <v>44024</v>
      </c>
      <c r="D2208" t="s">
        <v>306</v>
      </c>
      <c r="E2208">
        <v>223</v>
      </c>
    </row>
    <row r="2209" spans="3:5" x14ac:dyDescent="0.25">
      <c r="C2209" s="248">
        <v>44052</v>
      </c>
      <c r="D2209" t="s">
        <v>304</v>
      </c>
      <c r="E2209">
        <v>251</v>
      </c>
    </row>
    <row r="2210" spans="3:5" x14ac:dyDescent="0.25">
      <c r="C2210" s="248">
        <v>44042</v>
      </c>
      <c r="D2210" t="s">
        <v>312</v>
      </c>
      <c r="E2210">
        <v>133</v>
      </c>
    </row>
    <row r="2211" spans="3:5" x14ac:dyDescent="0.25">
      <c r="C2211" s="248">
        <v>44045</v>
      </c>
      <c r="D2211" t="s">
        <v>311</v>
      </c>
      <c r="E2211">
        <v>132</v>
      </c>
    </row>
    <row r="2212" spans="3:5" x14ac:dyDescent="0.25">
      <c r="C2212" s="248">
        <v>44049</v>
      </c>
      <c r="D2212" t="s">
        <v>311</v>
      </c>
      <c r="E2212">
        <v>163</v>
      </c>
    </row>
    <row r="2213" spans="3:5" x14ac:dyDescent="0.25">
      <c r="C2213" s="248">
        <v>44021</v>
      </c>
      <c r="D2213" t="s">
        <v>310</v>
      </c>
      <c r="E2213">
        <v>126</v>
      </c>
    </row>
    <row r="2214" spans="3:5" x14ac:dyDescent="0.25">
      <c r="C2214" s="248">
        <v>44097</v>
      </c>
      <c r="D2214" t="s">
        <v>305</v>
      </c>
      <c r="E2214">
        <v>105</v>
      </c>
    </row>
    <row r="2215" spans="3:5" x14ac:dyDescent="0.25">
      <c r="C2215" s="248">
        <v>44065</v>
      </c>
      <c r="D2215" t="s">
        <v>312</v>
      </c>
      <c r="E2215">
        <v>53</v>
      </c>
    </row>
    <row r="2216" spans="3:5" x14ac:dyDescent="0.25">
      <c r="C2216" s="248">
        <v>44118</v>
      </c>
      <c r="D2216" t="s">
        <v>309</v>
      </c>
      <c r="E2216">
        <v>59</v>
      </c>
    </row>
    <row r="2217" spans="3:5" x14ac:dyDescent="0.25">
      <c r="C2217" s="248">
        <v>44094</v>
      </c>
      <c r="D2217" t="s">
        <v>305</v>
      </c>
      <c r="E2217">
        <v>72</v>
      </c>
    </row>
    <row r="2218" spans="3:5" x14ac:dyDescent="0.25">
      <c r="C2218" s="248">
        <v>44233</v>
      </c>
      <c r="D2218" t="s">
        <v>309</v>
      </c>
      <c r="E2218">
        <v>24</v>
      </c>
    </row>
    <row r="2219" spans="3:5" x14ac:dyDescent="0.25">
      <c r="C2219" s="248">
        <v>44229</v>
      </c>
      <c r="D2219" t="s">
        <v>309</v>
      </c>
      <c r="E2219">
        <v>25</v>
      </c>
    </row>
    <row r="2220" spans="3:5" x14ac:dyDescent="0.25">
      <c r="C2220" s="248">
        <v>44026</v>
      </c>
      <c r="D2220" t="s">
        <v>311</v>
      </c>
      <c r="E2220">
        <v>141</v>
      </c>
    </row>
    <row r="2221" spans="3:5" x14ac:dyDescent="0.25">
      <c r="C2221" s="248">
        <v>44108</v>
      </c>
      <c r="D2221" t="s">
        <v>306</v>
      </c>
      <c r="E2221">
        <v>183</v>
      </c>
    </row>
    <row r="2222" spans="3:5" x14ac:dyDescent="0.25">
      <c r="C2222" s="248">
        <v>44029</v>
      </c>
      <c r="D2222" t="s">
        <v>311</v>
      </c>
      <c r="E2222">
        <v>112</v>
      </c>
    </row>
    <row r="2223" spans="3:5" x14ac:dyDescent="0.25">
      <c r="C2223" s="248">
        <v>44029</v>
      </c>
      <c r="D2223" t="s">
        <v>306</v>
      </c>
      <c r="E2223">
        <v>458</v>
      </c>
    </row>
    <row r="2224" spans="3:5" x14ac:dyDescent="0.25">
      <c r="C2224" s="248">
        <v>44032</v>
      </c>
      <c r="D2224" t="s">
        <v>311</v>
      </c>
      <c r="E2224">
        <v>181</v>
      </c>
    </row>
    <row r="2225" spans="3:5" x14ac:dyDescent="0.25">
      <c r="C2225" s="248">
        <v>44040</v>
      </c>
      <c r="D2225" t="s">
        <v>309</v>
      </c>
      <c r="E2225">
        <v>94</v>
      </c>
    </row>
    <row r="2226" spans="3:5" x14ac:dyDescent="0.25">
      <c r="C2226" s="248">
        <v>44108</v>
      </c>
      <c r="D2226" t="s">
        <v>305</v>
      </c>
      <c r="E2226">
        <v>56</v>
      </c>
    </row>
    <row r="2227" spans="3:5" x14ac:dyDescent="0.25">
      <c r="C2227" s="248">
        <v>44061</v>
      </c>
      <c r="D2227" t="s">
        <v>305</v>
      </c>
      <c r="E2227">
        <v>120</v>
      </c>
    </row>
    <row r="2228" spans="3:5" x14ac:dyDescent="0.25">
      <c r="C2228" s="248">
        <v>44164</v>
      </c>
      <c r="D2228" t="s">
        <v>309</v>
      </c>
      <c r="E2228">
        <v>11</v>
      </c>
    </row>
    <row r="2229" spans="3:5" x14ac:dyDescent="0.25">
      <c r="C2229" s="248">
        <v>44173</v>
      </c>
      <c r="D2229" t="s">
        <v>310</v>
      </c>
      <c r="E2229">
        <v>71</v>
      </c>
    </row>
    <row r="2230" spans="3:5" x14ac:dyDescent="0.25">
      <c r="C2230" s="248">
        <v>44170</v>
      </c>
      <c r="D2230" t="s">
        <v>309</v>
      </c>
      <c r="E2230">
        <v>16</v>
      </c>
    </row>
    <row r="2231" spans="3:5" x14ac:dyDescent="0.25">
      <c r="C2231" s="248">
        <v>44156</v>
      </c>
      <c r="D2231" t="s">
        <v>305</v>
      </c>
      <c r="E2231">
        <v>42</v>
      </c>
    </row>
    <row r="2232" spans="3:5" x14ac:dyDescent="0.25">
      <c r="C2232" s="248">
        <v>44161</v>
      </c>
      <c r="D2232" t="s">
        <v>309</v>
      </c>
      <c r="E2232">
        <v>26</v>
      </c>
    </row>
    <row r="2233" spans="3:5" x14ac:dyDescent="0.25">
      <c r="C2233" s="248">
        <v>44109</v>
      </c>
      <c r="D2233" t="s">
        <v>309</v>
      </c>
      <c r="E2233">
        <v>45</v>
      </c>
    </row>
    <row r="2234" spans="3:5" x14ac:dyDescent="0.25">
      <c r="C2234" s="248">
        <v>43983</v>
      </c>
      <c r="D2234" t="s">
        <v>311</v>
      </c>
      <c r="E2234">
        <v>27</v>
      </c>
    </row>
    <row r="2235" spans="3:5" x14ac:dyDescent="0.25">
      <c r="C2235" s="248">
        <v>44041</v>
      </c>
      <c r="D2235" t="s">
        <v>306</v>
      </c>
      <c r="E2235">
        <v>524</v>
      </c>
    </row>
    <row r="2236" spans="3:5" x14ac:dyDescent="0.25">
      <c r="C2236" s="248">
        <v>44042</v>
      </c>
      <c r="D2236" t="s">
        <v>311</v>
      </c>
      <c r="E2236">
        <v>141</v>
      </c>
    </row>
    <row r="2237" spans="3:5" x14ac:dyDescent="0.25">
      <c r="C2237" s="248">
        <v>44044</v>
      </c>
      <c r="D2237" t="s">
        <v>307</v>
      </c>
      <c r="E2237">
        <v>394</v>
      </c>
    </row>
    <row r="2238" spans="3:5" x14ac:dyDescent="0.25">
      <c r="C2238" s="248">
        <v>44023</v>
      </c>
      <c r="D2238" t="s">
        <v>311</v>
      </c>
      <c r="E2238">
        <v>105</v>
      </c>
    </row>
    <row r="2239" spans="3:5" x14ac:dyDescent="0.25">
      <c r="C2239" s="248">
        <v>44011</v>
      </c>
      <c r="D2239" t="s">
        <v>307</v>
      </c>
      <c r="E2239">
        <v>289</v>
      </c>
    </row>
    <row r="2240" spans="3:5" x14ac:dyDescent="0.25">
      <c r="C2240" s="248">
        <v>44012</v>
      </c>
      <c r="D2240" t="s">
        <v>306</v>
      </c>
      <c r="E2240">
        <v>307</v>
      </c>
    </row>
    <row r="2241" spans="3:5" x14ac:dyDescent="0.25">
      <c r="C2241" s="248">
        <v>44025</v>
      </c>
      <c r="D2241" t="s">
        <v>311</v>
      </c>
      <c r="E2241">
        <v>130</v>
      </c>
    </row>
    <row r="2242" spans="3:5" x14ac:dyDescent="0.25">
      <c r="C2242" s="248">
        <v>44025</v>
      </c>
      <c r="D2242" t="s">
        <v>305</v>
      </c>
      <c r="E2242">
        <v>128</v>
      </c>
    </row>
    <row r="2243" spans="3:5" x14ac:dyDescent="0.25">
      <c r="C2243" s="248">
        <v>44183</v>
      </c>
      <c r="D2243" t="s">
        <v>309</v>
      </c>
      <c r="E2243">
        <v>23</v>
      </c>
    </row>
    <row r="2244" spans="3:5" x14ac:dyDescent="0.25">
      <c r="C2244" s="248">
        <v>44104</v>
      </c>
      <c r="D2244" t="s">
        <v>305</v>
      </c>
      <c r="E2244">
        <v>127</v>
      </c>
    </row>
    <row r="2245" spans="3:5" x14ac:dyDescent="0.25">
      <c r="C2245" s="248">
        <v>44028</v>
      </c>
      <c r="D2245" t="s">
        <v>312</v>
      </c>
      <c r="E2245">
        <v>148</v>
      </c>
    </row>
    <row r="2246" spans="3:5" x14ac:dyDescent="0.25">
      <c r="C2246" s="248">
        <v>44034</v>
      </c>
      <c r="D2246" t="s">
        <v>307</v>
      </c>
      <c r="E2246">
        <v>396</v>
      </c>
    </row>
    <row r="2247" spans="3:5" x14ac:dyDescent="0.25">
      <c r="C2247" s="248">
        <v>44040</v>
      </c>
      <c r="D2247" t="s">
        <v>312</v>
      </c>
      <c r="E2247">
        <v>99</v>
      </c>
    </row>
    <row r="2248" spans="3:5" x14ac:dyDescent="0.25">
      <c r="C2248" s="248">
        <v>44041</v>
      </c>
      <c r="D2248" t="s">
        <v>307</v>
      </c>
      <c r="E2248">
        <v>438</v>
      </c>
    </row>
    <row r="2249" spans="3:5" x14ac:dyDescent="0.25">
      <c r="C2249" s="248">
        <v>44043</v>
      </c>
      <c r="D2249" t="s">
        <v>310</v>
      </c>
      <c r="E2249">
        <v>299</v>
      </c>
    </row>
    <row r="2250" spans="3:5" x14ac:dyDescent="0.25">
      <c r="C2250" s="248">
        <v>44042</v>
      </c>
      <c r="D2250" t="s">
        <v>306</v>
      </c>
      <c r="E2250">
        <v>566</v>
      </c>
    </row>
    <row r="2251" spans="3:5" x14ac:dyDescent="0.25">
      <c r="C2251" s="248">
        <v>44047</v>
      </c>
      <c r="D2251" t="s">
        <v>310</v>
      </c>
      <c r="E2251">
        <v>339</v>
      </c>
    </row>
    <row r="2252" spans="3:5" x14ac:dyDescent="0.25">
      <c r="C2252" s="248">
        <v>44050</v>
      </c>
      <c r="D2252" t="s">
        <v>309</v>
      </c>
      <c r="E2252">
        <v>73</v>
      </c>
    </row>
    <row r="2253" spans="3:5" x14ac:dyDescent="0.25">
      <c r="C2253" s="248">
        <v>44058</v>
      </c>
      <c r="D2253" t="s">
        <v>305</v>
      </c>
      <c r="E2253">
        <v>96</v>
      </c>
    </row>
    <row r="2254" spans="3:5" x14ac:dyDescent="0.25">
      <c r="C2254" s="248">
        <v>44050</v>
      </c>
      <c r="D2254" t="s">
        <v>311</v>
      </c>
      <c r="E2254">
        <v>151</v>
      </c>
    </row>
    <row r="2255" spans="3:5" x14ac:dyDescent="0.25">
      <c r="C2255" s="248">
        <v>44050</v>
      </c>
      <c r="D2255" t="s">
        <v>312</v>
      </c>
      <c r="E2255">
        <v>100</v>
      </c>
    </row>
    <row r="2256" spans="3:5" x14ac:dyDescent="0.25">
      <c r="C2256" s="248">
        <v>44052</v>
      </c>
      <c r="D2256" t="s">
        <v>311</v>
      </c>
      <c r="E2256">
        <v>139</v>
      </c>
    </row>
    <row r="2257" spans="3:5" x14ac:dyDescent="0.25">
      <c r="C2257" s="248">
        <v>44052</v>
      </c>
      <c r="D2257" t="s">
        <v>307</v>
      </c>
      <c r="E2257">
        <v>283</v>
      </c>
    </row>
    <row r="2258" spans="3:5" x14ac:dyDescent="0.25">
      <c r="C2258" s="248">
        <v>44008</v>
      </c>
      <c r="D2258" t="s">
        <v>311</v>
      </c>
      <c r="E2258">
        <v>83</v>
      </c>
    </row>
    <row r="2259" spans="3:5" x14ac:dyDescent="0.25">
      <c r="C2259" s="248">
        <v>44156</v>
      </c>
      <c r="D2259" t="s">
        <v>311</v>
      </c>
      <c r="E2259">
        <v>44</v>
      </c>
    </row>
    <row r="2260" spans="3:5" x14ac:dyDescent="0.25">
      <c r="C2260" s="248">
        <v>43994</v>
      </c>
      <c r="D2260" t="s">
        <v>308</v>
      </c>
      <c r="E2260">
        <v>33</v>
      </c>
    </row>
    <row r="2261" spans="3:5" x14ac:dyDescent="0.25">
      <c r="C2261" s="248">
        <v>44026</v>
      </c>
      <c r="D2261" t="s">
        <v>306</v>
      </c>
      <c r="E2261">
        <v>462</v>
      </c>
    </row>
    <row r="2262" spans="3:5" x14ac:dyDescent="0.25">
      <c r="C2262" s="248">
        <v>44043</v>
      </c>
      <c r="D2262" t="s">
        <v>312</v>
      </c>
      <c r="E2262">
        <v>123</v>
      </c>
    </row>
    <row r="2263" spans="3:5" x14ac:dyDescent="0.25">
      <c r="C2263" s="248">
        <v>44044</v>
      </c>
      <c r="D2263" t="s">
        <v>308</v>
      </c>
      <c r="E2263">
        <v>57</v>
      </c>
    </row>
    <row r="2264" spans="3:5" x14ac:dyDescent="0.25">
      <c r="C2264" s="248">
        <v>44053</v>
      </c>
      <c r="D2264" t="s">
        <v>311</v>
      </c>
      <c r="E2264">
        <v>168</v>
      </c>
    </row>
    <row r="2265" spans="3:5" x14ac:dyDescent="0.25">
      <c r="C2265" s="248">
        <v>44053</v>
      </c>
      <c r="D2265" t="s">
        <v>309</v>
      </c>
      <c r="E2265">
        <v>86</v>
      </c>
    </row>
    <row r="2266" spans="3:5" x14ac:dyDescent="0.25">
      <c r="C2266" s="248">
        <v>44054</v>
      </c>
      <c r="D2266" t="s">
        <v>305</v>
      </c>
      <c r="E2266">
        <v>119</v>
      </c>
    </row>
    <row r="2267" spans="3:5" x14ac:dyDescent="0.25">
      <c r="C2267" s="248">
        <v>44016</v>
      </c>
      <c r="D2267" t="s">
        <v>307</v>
      </c>
      <c r="E2267">
        <v>221</v>
      </c>
    </row>
    <row r="2268" spans="3:5" x14ac:dyDescent="0.25">
      <c r="C2268" s="248">
        <v>44053</v>
      </c>
      <c r="D2268" t="s">
        <v>308</v>
      </c>
      <c r="E2268">
        <v>81</v>
      </c>
    </row>
    <row r="2269" spans="3:5" x14ac:dyDescent="0.25">
      <c r="C2269" s="248">
        <v>44149</v>
      </c>
      <c r="D2269" t="s">
        <v>304</v>
      </c>
      <c r="E2269">
        <v>115</v>
      </c>
    </row>
    <row r="2270" spans="3:5" x14ac:dyDescent="0.25">
      <c r="C2270" s="248">
        <v>44048</v>
      </c>
      <c r="D2270" t="s">
        <v>306</v>
      </c>
      <c r="E2270">
        <v>640</v>
      </c>
    </row>
    <row r="2271" spans="3:5" x14ac:dyDescent="0.25">
      <c r="C2271" s="248">
        <v>43973</v>
      </c>
      <c r="D2271" t="s">
        <v>310</v>
      </c>
      <c r="E2271">
        <v>45</v>
      </c>
    </row>
    <row r="2272" spans="3:5" x14ac:dyDescent="0.25">
      <c r="C2272" s="248">
        <v>44135</v>
      </c>
      <c r="D2272" t="s">
        <v>309</v>
      </c>
      <c r="E2272">
        <v>14</v>
      </c>
    </row>
    <row r="2273" spans="3:5" x14ac:dyDescent="0.25">
      <c r="C2273" s="248">
        <v>44127</v>
      </c>
      <c r="D2273" t="s">
        <v>309</v>
      </c>
      <c r="E2273">
        <v>32</v>
      </c>
    </row>
    <row r="2274" spans="3:5" x14ac:dyDescent="0.25">
      <c r="C2274" s="248">
        <v>44121</v>
      </c>
      <c r="D2274" t="s">
        <v>309</v>
      </c>
      <c r="E2274">
        <v>48</v>
      </c>
    </row>
    <row r="2275" spans="3:5" x14ac:dyDescent="0.25">
      <c r="C2275" s="248">
        <v>44008</v>
      </c>
      <c r="D2275" t="s">
        <v>306</v>
      </c>
      <c r="E2275">
        <v>312</v>
      </c>
    </row>
    <row r="2276" spans="3:5" x14ac:dyDescent="0.25">
      <c r="C2276" s="248">
        <v>44117</v>
      </c>
      <c r="D2276" t="s">
        <v>307</v>
      </c>
      <c r="E2276">
        <v>329</v>
      </c>
    </row>
    <row r="2277" spans="3:5" x14ac:dyDescent="0.25">
      <c r="C2277" s="248">
        <v>44015</v>
      </c>
      <c r="D2277" t="s">
        <v>306</v>
      </c>
      <c r="E2277">
        <v>363</v>
      </c>
    </row>
    <row r="2278" spans="3:5" x14ac:dyDescent="0.25">
      <c r="C2278" s="248">
        <v>44197</v>
      </c>
      <c r="D2278" t="s">
        <v>306</v>
      </c>
      <c r="E2278">
        <v>136</v>
      </c>
    </row>
    <row r="2279" spans="3:5" x14ac:dyDescent="0.25">
      <c r="C2279" s="248">
        <v>44197</v>
      </c>
      <c r="D2279" t="s">
        <v>312</v>
      </c>
      <c r="E2279">
        <v>10</v>
      </c>
    </row>
    <row r="2280" spans="3:5" x14ac:dyDescent="0.25">
      <c r="C2280" s="248">
        <v>44201</v>
      </c>
      <c r="D2280" t="s">
        <v>309</v>
      </c>
      <c r="E2280">
        <v>46</v>
      </c>
    </row>
    <row r="2281" spans="3:5" x14ac:dyDescent="0.25">
      <c r="C2281" s="248">
        <v>44048</v>
      </c>
      <c r="D2281" t="s">
        <v>304</v>
      </c>
      <c r="E2281">
        <v>504</v>
      </c>
    </row>
    <row r="2282" spans="3:5" x14ac:dyDescent="0.25">
      <c r="C2282" s="248">
        <v>43995</v>
      </c>
      <c r="D2282" t="s">
        <v>312</v>
      </c>
      <c r="E2282">
        <v>37</v>
      </c>
    </row>
    <row r="2283" spans="3:5" x14ac:dyDescent="0.25">
      <c r="C2283" s="248">
        <v>44008</v>
      </c>
      <c r="D2283" t="s">
        <v>310</v>
      </c>
      <c r="E2283">
        <v>168</v>
      </c>
    </row>
    <row r="2284" spans="3:5" x14ac:dyDescent="0.25">
      <c r="C2284" s="248">
        <v>44016</v>
      </c>
      <c r="D2284" t="s">
        <v>310</v>
      </c>
      <c r="E2284">
        <v>153</v>
      </c>
    </row>
    <row r="2285" spans="3:5" x14ac:dyDescent="0.25">
      <c r="C2285" s="248">
        <v>44023</v>
      </c>
      <c r="D2285" t="s">
        <v>310</v>
      </c>
      <c r="E2285">
        <v>169</v>
      </c>
    </row>
    <row r="2286" spans="3:5" x14ac:dyDescent="0.25">
      <c r="C2286" s="248">
        <v>44031</v>
      </c>
      <c r="D2286" t="s">
        <v>304</v>
      </c>
      <c r="E2286">
        <v>241</v>
      </c>
    </row>
    <row r="2287" spans="3:5" x14ac:dyDescent="0.25">
      <c r="C2287" s="248">
        <v>44171</v>
      </c>
      <c r="D2287" t="s">
        <v>309</v>
      </c>
      <c r="E2287">
        <v>20</v>
      </c>
    </row>
    <row r="2288" spans="3:5" x14ac:dyDescent="0.25">
      <c r="C2288" s="248">
        <v>44107</v>
      </c>
      <c r="D2288" t="s">
        <v>304</v>
      </c>
      <c r="E2288">
        <v>207</v>
      </c>
    </row>
    <row r="2289" spans="3:5" x14ac:dyDescent="0.25">
      <c r="C2289" s="248">
        <v>44111</v>
      </c>
      <c r="D2289" t="s">
        <v>309</v>
      </c>
      <c r="E2289">
        <v>49</v>
      </c>
    </row>
    <row r="2290" spans="3:5" x14ac:dyDescent="0.25">
      <c r="C2290" s="248">
        <v>44020</v>
      </c>
      <c r="D2290" t="s">
        <v>309</v>
      </c>
      <c r="E2290">
        <v>91</v>
      </c>
    </row>
    <row r="2291" spans="3:5" x14ac:dyDescent="0.25">
      <c r="C2291" s="248">
        <v>44107</v>
      </c>
      <c r="D2291" t="s">
        <v>310</v>
      </c>
      <c r="E2291">
        <v>152</v>
      </c>
    </row>
    <row r="2292" spans="3:5" x14ac:dyDescent="0.25">
      <c r="C2292" s="248">
        <v>44107</v>
      </c>
      <c r="D2292" t="s">
        <v>309</v>
      </c>
      <c r="E2292">
        <v>55</v>
      </c>
    </row>
    <row r="2293" spans="3:5" x14ac:dyDescent="0.25">
      <c r="C2293" s="248">
        <v>44054</v>
      </c>
      <c r="D2293" t="s">
        <v>308</v>
      </c>
      <c r="E2293">
        <v>106</v>
      </c>
    </row>
    <row r="2294" spans="3:5" x14ac:dyDescent="0.25">
      <c r="C2294" s="248">
        <v>44156</v>
      </c>
      <c r="D2294" t="s">
        <v>304</v>
      </c>
      <c r="E2294">
        <v>90</v>
      </c>
    </row>
    <row r="2295" spans="3:5" x14ac:dyDescent="0.25">
      <c r="C2295" s="248">
        <v>44160</v>
      </c>
      <c r="D2295" t="s">
        <v>309</v>
      </c>
      <c r="E2295">
        <v>30</v>
      </c>
    </row>
    <row r="2296" spans="3:5" x14ac:dyDescent="0.25">
      <c r="C2296" s="248">
        <v>44154</v>
      </c>
      <c r="D2296" t="s">
        <v>305</v>
      </c>
      <c r="E2296">
        <v>40</v>
      </c>
    </row>
    <row r="2297" spans="3:5" x14ac:dyDescent="0.25">
      <c r="C2297" s="248">
        <v>44156</v>
      </c>
      <c r="D2297" t="s">
        <v>309</v>
      </c>
      <c r="E2297">
        <v>19</v>
      </c>
    </row>
    <row r="2298" spans="3:5" x14ac:dyDescent="0.25">
      <c r="C2298" s="248">
        <v>44156</v>
      </c>
      <c r="D2298" t="s">
        <v>307</v>
      </c>
      <c r="E2298">
        <v>96</v>
      </c>
    </row>
    <row r="2299" spans="3:5" x14ac:dyDescent="0.25">
      <c r="C2299" s="248">
        <v>43997</v>
      </c>
      <c r="D2299" t="s">
        <v>307</v>
      </c>
      <c r="E2299">
        <v>105</v>
      </c>
    </row>
    <row r="2300" spans="3:5" x14ac:dyDescent="0.25">
      <c r="C2300" s="248">
        <v>44133</v>
      </c>
      <c r="D2300" t="s">
        <v>309</v>
      </c>
      <c r="E2300">
        <v>29</v>
      </c>
    </row>
    <row r="2301" spans="3:5" x14ac:dyDescent="0.25">
      <c r="C2301" s="248">
        <v>44040</v>
      </c>
      <c r="D2301" t="s">
        <v>307</v>
      </c>
      <c r="E2301">
        <v>423</v>
      </c>
    </row>
    <row r="2302" spans="3:5" x14ac:dyDescent="0.25">
      <c r="C2302" s="248">
        <v>44182</v>
      </c>
      <c r="D2302" t="s">
        <v>309</v>
      </c>
      <c r="E2302">
        <v>20</v>
      </c>
    </row>
    <row r="2303" spans="3:5" x14ac:dyDescent="0.25">
      <c r="C2303" s="248">
        <v>44032</v>
      </c>
      <c r="D2303" t="s">
        <v>308</v>
      </c>
      <c r="E2303">
        <v>86</v>
      </c>
    </row>
    <row r="2304" spans="3:5" x14ac:dyDescent="0.25">
      <c r="C2304" s="248">
        <v>44170</v>
      </c>
      <c r="D2304" t="s">
        <v>306</v>
      </c>
      <c r="E2304">
        <v>91</v>
      </c>
    </row>
    <row r="2305" spans="3:5" x14ac:dyDescent="0.25">
      <c r="C2305" s="248">
        <v>44165</v>
      </c>
      <c r="D2305" t="s">
        <v>305</v>
      </c>
      <c r="E2305">
        <v>41</v>
      </c>
    </row>
    <row r="2306" spans="3:5" x14ac:dyDescent="0.25">
      <c r="C2306" s="248">
        <v>44044</v>
      </c>
      <c r="D2306" t="s">
        <v>305</v>
      </c>
      <c r="E2306">
        <v>122</v>
      </c>
    </row>
    <row r="2307" spans="3:5" x14ac:dyDescent="0.25">
      <c r="C2307" s="248">
        <v>44152</v>
      </c>
      <c r="D2307" t="s">
        <v>309</v>
      </c>
      <c r="E2307">
        <v>30</v>
      </c>
    </row>
    <row r="2308" spans="3:5" x14ac:dyDescent="0.25">
      <c r="C2308" s="248">
        <v>44155</v>
      </c>
      <c r="D2308" t="s">
        <v>307</v>
      </c>
      <c r="E2308">
        <v>89</v>
      </c>
    </row>
    <row r="2309" spans="3:5" x14ac:dyDescent="0.25">
      <c r="C2309" s="248">
        <v>44025</v>
      </c>
      <c r="D2309" t="s">
        <v>306</v>
      </c>
      <c r="E2309">
        <v>463</v>
      </c>
    </row>
    <row r="2310" spans="3:5" x14ac:dyDescent="0.25">
      <c r="C2310" s="248">
        <v>44241</v>
      </c>
      <c r="D2310" t="s">
        <v>309</v>
      </c>
      <c r="E2310">
        <v>15</v>
      </c>
    </row>
    <row r="2311" spans="3:5" x14ac:dyDescent="0.25">
      <c r="C2311" s="248">
        <v>44130</v>
      </c>
      <c r="D2311" t="s">
        <v>309</v>
      </c>
      <c r="E2311">
        <v>20</v>
      </c>
    </row>
    <row r="2312" spans="3:5" x14ac:dyDescent="0.25">
      <c r="C2312" s="248">
        <v>44051</v>
      </c>
      <c r="D2312" t="s">
        <v>304</v>
      </c>
      <c r="E2312">
        <v>338</v>
      </c>
    </row>
    <row r="2313" spans="3:5" x14ac:dyDescent="0.25">
      <c r="C2313" s="248">
        <v>44050</v>
      </c>
      <c r="D2313" t="s">
        <v>304</v>
      </c>
      <c r="E2313">
        <v>434</v>
      </c>
    </row>
    <row r="2314" spans="3:5" x14ac:dyDescent="0.25">
      <c r="C2314" s="248">
        <v>44238</v>
      </c>
      <c r="D2314" t="s">
        <v>309</v>
      </c>
      <c r="E2314">
        <v>22</v>
      </c>
    </row>
    <row r="2315" spans="3:5" x14ac:dyDescent="0.25">
      <c r="C2315" s="248">
        <v>44032</v>
      </c>
      <c r="D2315" t="s">
        <v>306</v>
      </c>
      <c r="E2315">
        <v>536</v>
      </c>
    </row>
    <row r="2316" spans="3:5" x14ac:dyDescent="0.25">
      <c r="C2316" s="248">
        <v>44127</v>
      </c>
      <c r="D2316" t="s">
        <v>305</v>
      </c>
      <c r="E2316">
        <v>56</v>
      </c>
    </row>
    <row r="2317" spans="3:5" x14ac:dyDescent="0.25">
      <c r="C2317" s="248">
        <v>44125</v>
      </c>
      <c r="D2317" t="s">
        <v>309</v>
      </c>
      <c r="E2317">
        <v>32</v>
      </c>
    </row>
    <row r="2318" spans="3:5" x14ac:dyDescent="0.25">
      <c r="C2318" s="248">
        <v>44045</v>
      </c>
      <c r="D2318" t="s">
        <v>307</v>
      </c>
      <c r="E2318">
        <v>282</v>
      </c>
    </row>
    <row r="2319" spans="3:5" x14ac:dyDescent="0.25">
      <c r="C2319" s="248">
        <v>44190</v>
      </c>
      <c r="D2319" t="s">
        <v>305</v>
      </c>
      <c r="E2319">
        <v>36</v>
      </c>
    </row>
    <row r="2320" spans="3:5" x14ac:dyDescent="0.25">
      <c r="C2320" s="248">
        <v>44086</v>
      </c>
      <c r="D2320" t="s">
        <v>309</v>
      </c>
      <c r="E2320">
        <v>42</v>
      </c>
    </row>
    <row r="2321" spans="3:5" x14ac:dyDescent="0.25">
      <c r="C2321" s="248">
        <v>44166</v>
      </c>
      <c r="D2321" t="s">
        <v>305</v>
      </c>
      <c r="E2321">
        <v>39</v>
      </c>
    </row>
    <row r="2322" spans="3:5" x14ac:dyDescent="0.25">
      <c r="C2322" s="248">
        <v>44033</v>
      </c>
      <c r="D2322" t="s">
        <v>310</v>
      </c>
      <c r="E2322">
        <v>326</v>
      </c>
    </row>
    <row r="2323" spans="3:5" x14ac:dyDescent="0.25">
      <c r="C2323" s="248">
        <v>44037</v>
      </c>
      <c r="D2323" t="s">
        <v>304</v>
      </c>
      <c r="E2323">
        <v>330</v>
      </c>
    </row>
    <row r="2324" spans="3:5" x14ac:dyDescent="0.25">
      <c r="C2324" s="248">
        <v>44041</v>
      </c>
      <c r="D2324" t="s">
        <v>309</v>
      </c>
      <c r="E2324">
        <v>76</v>
      </c>
    </row>
    <row r="2325" spans="3:5" x14ac:dyDescent="0.25">
      <c r="C2325" s="248">
        <v>44004</v>
      </c>
      <c r="D2325" t="s">
        <v>306</v>
      </c>
      <c r="E2325">
        <v>319</v>
      </c>
    </row>
    <row r="2326" spans="3:5" x14ac:dyDescent="0.25">
      <c r="C2326" s="248">
        <v>44042</v>
      </c>
      <c r="D2326" t="s">
        <v>308</v>
      </c>
      <c r="E2326">
        <v>86</v>
      </c>
    </row>
    <row r="2327" spans="3:5" x14ac:dyDescent="0.25">
      <c r="C2327" s="248">
        <v>44045</v>
      </c>
      <c r="D2327" t="s">
        <v>308</v>
      </c>
      <c r="E2327">
        <v>90</v>
      </c>
    </row>
    <row r="2328" spans="3:5" x14ac:dyDescent="0.25">
      <c r="C2328" s="248">
        <v>44014</v>
      </c>
      <c r="D2328" t="s">
        <v>311</v>
      </c>
      <c r="E2328">
        <v>99</v>
      </c>
    </row>
    <row r="2329" spans="3:5" x14ac:dyDescent="0.25">
      <c r="C2329" s="248">
        <v>44042</v>
      </c>
      <c r="D2329" t="s">
        <v>307</v>
      </c>
      <c r="E2329">
        <v>427</v>
      </c>
    </row>
    <row r="2330" spans="3:5" x14ac:dyDescent="0.25">
      <c r="C2330" s="248">
        <v>44038</v>
      </c>
      <c r="D2330" t="s">
        <v>306</v>
      </c>
      <c r="E2330">
        <v>317</v>
      </c>
    </row>
    <row r="2331" spans="3:5" x14ac:dyDescent="0.25">
      <c r="C2331" s="248">
        <v>44043</v>
      </c>
      <c r="D2331" t="s">
        <v>304</v>
      </c>
      <c r="E2331">
        <v>423</v>
      </c>
    </row>
    <row r="2332" spans="3:5" x14ac:dyDescent="0.25">
      <c r="C2332" s="248">
        <v>44044</v>
      </c>
      <c r="D2332" t="s">
        <v>312</v>
      </c>
      <c r="E2332">
        <v>78</v>
      </c>
    </row>
    <row r="2333" spans="3:5" x14ac:dyDescent="0.25">
      <c r="C2333" s="248">
        <v>44173</v>
      </c>
      <c r="D2333" t="s">
        <v>305</v>
      </c>
      <c r="E2333">
        <v>33</v>
      </c>
    </row>
    <row r="2334" spans="3:5" x14ac:dyDescent="0.25">
      <c r="C2334" s="248">
        <v>44177</v>
      </c>
      <c r="D2334" t="s">
        <v>305</v>
      </c>
      <c r="E2334">
        <v>31</v>
      </c>
    </row>
    <row r="2335" spans="3:5" x14ac:dyDescent="0.25">
      <c r="C2335" s="248">
        <v>44041</v>
      </c>
      <c r="D2335" t="s">
        <v>311</v>
      </c>
      <c r="E2335">
        <v>127</v>
      </c>
    </row>
    <row r="2336" spans="3:5" x14ac:dyDescent="0.25">
      <c r="C2336" s="248">
        <v>43980</v>
      </c>
      <c r="D2336" t="s">
        <v>306</v>
      </c>
      <c r="E2336">
        <v>107</v>
      </c>
    </row>
    <row r="2337" spans="3:5" x14ac:dyDescent="0.25">
      <c r="C2337" s="248">
        <v>43999</v>
      </c>
      <c r="D2337" t="s">
        <v>307</v>
      </c>
      <c r="E2337">
        <v>217</v>
      </c>
    </row>
    <row r="2338" spans="3:5" x14ac:dyDescent="0.25">
      <c r="C2338" s="248">
        <v>44015</v>
      </c>
      <c r="D2338" t="s">
        <v>308</v>
      </c>
      <c r="E2338">
        <v>59</v>
      </c>
    </row>
    <row r="2339" spans="3:5" x14ac:dyDescent="0.25">
      <c r="C2339" s="248">
        <v>44032</v>
      </c>
      <c r="D2339" t="s">
        <v>312</v>
      </c>
      <c r="E2339">
        <v>98</v>
      </c>
    </row>
    <row r="2340" spans="3:5" x14ac:dyDescent="0.25">
      <c r="C2340" s="248">
        <v>44032</v>
      </c>
      <c r="D2340" t="s">
        <v>310</v>
      </c>
      <c r="E2340">
        <v>325</v>
      </c>
    </row>
    <row r="2341" spans="3:5" x14ac:dyDescent="0.25">
      <c r="C2341" s="248">
        <v>44106</v>
      </c>
      <c r="D2341" t="s">
        <v>309</v>
      </c>
      <c r="E2341">
        <v>69</v>
      </c>
    </row>
    <row r="2342" spans="3:5" x14ac:dyDescent="0.25">
      <c r="C2342" s="248">
        <v>44010</v>
      </c>
      <c r="D2342" t="s">
        <v>308</v>
      </c>
      <c r="E2342">
        <v>32</v>
      </c>
    </row>
    <row r="2343" spans="3:5" x14ac:dyDescent="0.25">
      <c r="C2343" s="248">
        <v>44023</v>
      </c>
      <c r="D2343" t="s">
        <v>307</v>
      </c>
      <c r="E2343">
        <v>255</v>
      </c>
    </row>
    <row r="2344" spans="3:5" x14ac:dyDescent="0.25">
      <c r="C2344" s="248">
        <v>44041</v>
      </c>
      <c r="D2344" t="s">
        <v>304</v>
      </c>
      <c r="E2344">
        <v>429</v>
      </c>
    </row>
    <row r="2345" spans="3:5" x14ac:dyDescent="0.25">
      <c r="C2345" s="248">
        <v>44042</v>
      </c>
      <c r="D2345" t="s">
        <v>304</v>
      </c>
      <c r="E2345">
        <v>405</v>
      </c>
    </row>
    <row r="2346" spans="3:5" x14ac:dyDescent="0.25">
      <c r="C2346" s="248">
        <v>44046</v>
      </c>
      <c r="D2346" t="s">
        <v>309</v>
      </c>
      <c r="E2346">
        <v>120</v>
      </c>
    </row>
    <row r="2347" spans="3:5" x14ac:dyDescent="0.25">
      <c r="C2347" s="248">
        <v>44197</v>
      </c>
      <c r="D2347" t="s">
        <v>309</v>
      </c>
      <c r="E2347">
        <v>22</v>
      </c>
    </row>
    <row r="2348" spans="3:5" x14ac:dyDescent="0.25">
      <c r="C2348" s="248">
        <v>44051</v>
      </c>
      <c r="D2348" t="s">
        <v>311</v>
      </c>
      <c r="E2348">
        <v>123</v>
      </c>
    </row>
    <row r="2349" spans="3:5" x14ac:dyDescent="0.25">
      <c r="C2349" s="248">
        <v>44169</v>
      </c>
      <c r="D2349" t="s">
        <v>307</v>
      </c>
      <c r="E2349">
        <v>115</v>
      </c>
    </row>
    <row r="2350" spans="3:5" x14ac:dyDescent="0.25">
      <c r="C2350" s="248">
        <v>44037</v>
      </c>
      <c r="D2350" t="s">
        <v>310</v>
      </c>
      <c r="E2350">
        <v>218</v>
      </c>
    </row>
    <row r="2351" spans="3:5" x14ac:dyDescent="0.25">
      <c r="C2351" s="248">
        <v>44005</v>
      </c>
      <c r="D2351" t="s">
        <v>306</v>
      </c>
      <c r="E2351">
        <v>287</v>
      </c>
    </row>
    <row r="2352" spans="3:5" x14ac:dyDescent="0.25">
      <c r="C2352" s="248">
        <v>43981</v>
      </c>
      <c r="D2352" t="s">
        <v>310</v>
      </c>
      <c r="E2352">
        <v>32</v>
      </c>
    </row>
    <row r="2353" spans="3:5" x14ac:dyDescent="0.25">
      <c r="C2353" s="248">
        <v>44047</v>
      </c>
      <c r="D2353" t="s">
        <v>309</v>
      </c>
      <c r="E2353">
        <v>79</v>
      </c>
    </row>
    <row r="2354" spans="3:5" x14ac:dyDescent="0.25">
      <c r="C2354" s="248">
        <v>44029</v>
      </c>
      <c r="D2354" t="s">
        <v>304</v>
      </c>
      <c r="E2354">
        <v>364</v>
      </c>
    </row>
    <row r="2355" spans="3:5" x14ac:dyDescent="0.25">
      <c r="C2355" s="248">
        <v>44143</v>
      </c>
      <c r="D2355" t="s">
        <v>309</v>
      </c>
      <c r="E2355">
        <v>12</v>
      </c>
    </row>
    <row r="2356" spans="3:5" x14ac:dyDescent="0.25">
      <c r="C2356" s="248">
        <v>44011</v>
      </c>
      <c r="D2356" t="s">
        <v>310</v>
      </c>
      <c r="E2356">
        <v>189</v>
      </c>
    </row>
    <row r="2357" spans="3:5" x14ac:dyDescent="0.25">
      <c r="C2357" s="248">
        <v>44131</v>
      </c>
      <c r="D2357" t="s">
        <v>309</v>
      </c>
      <c r="E2357">
        <v>33</v>
      </c>
    </row>
    <row r="2358" spans="3:5" x14ac:dyDescent="0.25">
      <c r="C2358" s="248">
        <v>44032</v>
      </c>
      <c r="D2358" t="s">
        <v>309</v>
      </c>
      <c r="E2358">
        <v>91</v>
      </c>
    </row>
    <row r="2359" spans="3:5" x14ac:dyDescent="0.25">
      <c r="C2359" s="248">
        <v>44048</v>
      </c>
      <c r="D2359" t="s">
        <v>312</v>
      </c>
      <c r="E2359">
        <v>191</v>
      </c>
    </row>
    <row r="2360" spans="3:5" x14ac:dyDescent="0.25">
      <c r="C2360" s="248">
        <v>44002</v>
      </c>
      <c r="D2360" t="s">
        <v>310</v>
      </c>
      <c r="E2360">
        <v>109</v>
      </c>
    </row>
    <row r="2361" spans="3:5" x14ac:dyDescent="0.25">
      <c r="C2361" s="248">
        <v>44019</v>
      </c>
      <c r="D2361" t="s">
        <v>307</v>
      </c>
      <c r="E2361">
        <v>313</v>
      </c>
    </row>
    <row r="2362" spans="3:5" x14ac:dyDescent="0.25">
      <c r="C2362" s="248">
        <v>44043</v>
      </c>
      <c r="D2362" t="s">
        <v>306</v>
      </c>
      <c r="E2362">
        <v>495</v>
      </c>
    </row>
    <row r="2363" spans="3:5" x14ac:dyDescent="0.25">
      <c r="C2363" s="248">
        <v>43976</v>
      </c>
      <c r="D2363" t="s">
        <v>304</v>
      </c>
      <c r="E2363">
        <v>61</v>
      </c>
    </row>
    <row r="2364" spans="3:5" x14ac:dyDescent="0.25">
      <c r="C2364" s="248">
        <v>44135</v>
      </c>
      <c r="D2364" t="s">
        <v>311</v>
      </c>
      <c r="E2364">
        <v>35</v>
      </c>
    </row>
    <row r="2365" spans="3:5" x14ac:dyDescent="0.25">
      <c r="C2365" s="248">
        <v>44160</v>
      </c>
      <c r="D2365" t="s">
        <v>305</v>
      </c>
      <c r="E2365">
        <v>43</v>
      </c>
    </row>
    <row r="2366" spans="3:5" x14ac:dyDescent="0.25">
      <c r="C2366" s="248">
        <v>44037</v>
      </c>
      <c r="D2366" t="s">
        <v>307</v>
      </c>
      <c r="E2366">
        <v>323</v>
      </c>
    </row>
    <row r="2367" spans="3:5" x14ac:dyDescent="0.25">
      <c r="C2367" s="248">
        <v>44047</v>
      </c>
      <c r="D2367" t="s">
        <v>306</v>
      </c>
      <c r="E2367">
        <v>637</v>
      </c>
    </row>
    <row r="2368" spans="3:5" x14ac:dyDescent="0.25">
      <c r="C2368" s="248">
        <v>44049</v>
      </c>
      <c r="D2368" t="s">
        <v>305</v>
      </c>
      <c r="E2368">
        <v>142</v>
      </c>
    </row>
    <row r="2369" spans="3:5" x14ac:dyDescent="0.25">
      <c r="C2369" s="248">
        <v>44034</v>
      </c>
      <c r="D2369" t="s">
        <v>306</v>
      </c>
      <c r="E2369">
        <v>558</v>
      </c>
    </row>
    <row r="2370" spans="3:5" x14ac:dyDescent="0.25">
      <c r="C2370" s="248">
        <v>44031</v>
      </c>
      <c r="D2370" t="s">
        <v>311</v>
      </c>
      <c r="E2370">
        <v>114</v>
      </c>
    </row>
    <row r="2371" spans="3:5" x14ac:dyDescent="0.25">
      <c r="C2371" s="248">
        <v>43987</v>
      </c>
      <c r="D2371" t="s">
        <v>311</v>
      </c>
      <c r="E2371">
        <v>35</v>
      </c>
    </row>
    <row r="2372" spans="3:5" x14ac:dyDescent="0.25">
      <c r="C2372" s="248">
        <v>43970</v>
      </c>
      <c r="D2372" t="s">
        <v>310</v>
      </c>
      <c r="E2372">
        <v>36</v>
      </c>
    </row>
    <row r="2373" spans="3:5" x14ac:dyDescent="0.25">
      <c r="C2373" s="248">
        <v>44148</v>
      </c>
      <c r="D2373" t="s">
        <v>305</v>
      </c>
      <c r="E2373">
        <v>57</v>
      </c>
    </row>
    <row r="2374" spans="3:5" x14ac:dyDescent="0.25">
      <c r="C2374" s="248">
        <v>44034</v>
      </c>
      <c r="D2374" t="s">
        <v>312</v>
      </c>
      <c r="E2374">
        <v>104</v>
      </c>
    </row>
    <row r="2375" spans="3:5" x14ac:dyDescent="0.25">
      <c r="C2375" s="248">
        <v>43973</v>
      </c>
      <c r="D2375" t="s">
        <v>309</v>
      </c>
      <c r="E2375">
        <v>28</v>
      </c>
    </row>
    <row r="2376" spans="3:5" x14ac:dyDescent="0.25">
      <c r="C2376" s="248">
        <v>44005</v>
      </c>
      <c r="D2376" t="s">
        <v>310</v>
      </c>
      <c r="E2376">
        <v>186</v>
      </c>
    </row>
    <row r="2377" spans="3:5" x14ac:dyDescent="0.25">
      <c r="C2377" s="248">
        <v>43987</v>
      </c>
      <c r="D2377" t="s">
        <v>307</v>
      </c>
      <c r="E2377">
        <v>105</v>
      </c>
    </row>
    <row r="2378" spans="3:5" x14ac:dyDescent="0.25">
      <c r="C2378" s="248">
        <v>43984</v>
      </c>
      <c r="D2378" t="s">
        <v>310</v>
      </c>
      <c r="E2378">
        <v>60</v>
      </c>
    </row>
    <row r="2379" spans="3:5" x14ac:dyDescent="0.25">
      <c r="C2379" s="248">
        <v>44037</v>
      </c>
      <c r="D2379" t="s">
        <v>312</v>
      </c>
      <c r="E2379">
        <v>81</v>
      </c>
    </row>
    <row r="2380" spans="3:5" x14ac:dyDescent="0.25">
      <c r="C2380" s="248">
        <v>44031</v>
      </c>
      <c r="D2380" t="s">
        <v>308</v>
      </c>
      <c r="E2380">
        <v>63</v>
      </c>
    </row>
    <row r="2381" spans="3:5" x14ac:dyDescent="0.25">
      <c r="C2381" s="248">
        <v>44188</v>
      </c>
      <c r="D2381" t="s">
        <v>305</v>
      </c>
      <c r="E2381">
        <v>86</v>
      </c>
    </row>
    <row r="2382" spans="3:5" x14ac:dyDescent="0.25">
      <c r="C2382" s="248">
        <v>44051</v>
      </c>
      <c r="D2382" t="s">
        <v>309</v>
      </c>
      <c r="E2382">
        <v>84</v>
      </c>
    </row>
    <row r="2383" spans="3:5" x14ac:dyDescent="0.25">
      <c r="C2383" s="248">
        <v>44208</v>
      </c>
      <c r="D2383" t="s">
        <v>309</v>
      </c>
      <c r="E2383">
        <v>28</v>
      </c>
    </row>
    <row r="2384" spans="3:5" x14ac:dyDescent="0.25">
      <c r="C2384" s="248">
        <v>43968</v>
      </c>
      <c r="D2384" t="s">
        <v>306</v>
      </c>
      <c r="E2384">
        <v>62</v>
      </c>
    </row>
    <row r="2385" spans="3:5" x14ac:dyDescent="0.25">
      <c r="C2385" s="248">
        <v>43990</v>
      </c>
      <c r="D2385" t="s">
        <v>312</v>
      </c>
      <c r="E2385">
        <v>41</v>
      </c>
    </row>
    <row r="2386" spans="3:5" x14ac:dyDescent="0.25">
      <c r="C2386" s="248">
        <v>44024</v>
      </c>
      <c r="D2386" t="s">
        <v>307</v>
      </c>
      <c r="E2386">
        <v>189</v>
      </c>
    </row>
    <row r="2387" spans="3:5" x14ac:dyDescent="0.25">
      <c r="C2387" s="248">
        <v>44029</v>
      </c>
      <c r="D2387" t="s">
        <v>307</v>
      </c>
      <c r="E2387">
        <v>329</v>
      </c>
    </row>
    <row r="2388" spans="3:5" x14ac:dyDescent="0.25">
      <c r="C2388" s="248">
        <v>44031</v>
      </c>
      <c r="D2388" t="s">
        <v>312</v>
      </c>
      <c r="E2388">
        <v>100</v>
      </c>
    </row>
    <row r="2389" spans="3:5" x14ac:dyDescent="0.25">
      <c r="C2389" s="248">
        <v>44039</v>
      </c>
      <c r="D2389" t="s">
        <v>304</v>
      </c>
      <c r="E2389">
        <v>398</v>
      </c>
    </row>
    <row r="2390" spans="3:5" x14ac:dyDescent="0.25">
      <c r="C2390" s="248">
        <v>44036</v>
      </c>
      <c r="D2390" t="s">
        <v>306</v>
      </c>
      <c r="E2390">
        <v>520</v>
      </c>
    </row>
    <row r="2391" spans="3:5" x14ac:dyDescent="0.25">
      <c r="C2391" s="248">
        <v>44181</v>
      </c>
      <c r="D2391" t="s">
        <v>307</v>
      </c>
      <c r="E2391">
        <v>124</v>
      </c>
    </row>
    <row r="2392" spans="3:5" x14ac:dyDescent="0.25">
      <c r="C2392" s="248">
        <v>44157</v>
      </c>
      <c r="D2392" t="s">
        <v>309</v>
      </c>
      <c r="E2392">
        <v>13</v>
      </c>
    </row>
    <row r="2393" spans="3:5" x14ac:dyDescent="0.25">
      <c r="C2393" s="248">
        <v>44289</v>
      </c>
      <c r="D2393" t="s">
        <v>309</v>
      </c>
      <c r="E2393">
        <v>57</v>
      </c>
    </row>
    <row r="2394" spans="3:5" x14ac:dyDescent="0.25">
      <c r="C2394" s="248">
        <v>44293</v>
      </c>
      <c r="D2394" t="s">
        <v>309</v>
      </c>
      <c r="E2394">
        <v>92</v>
      </c>
    </row>
    <row r="2395" spans="3:5" x14ac:dyDescent="0.25">
      <c r="C2395" s="248">
        <v>44237</v>
      </c>
      <c r="D2395" t="s">
        <v>309</v>
      </c>
      <c r="E2395">
        <v>29</v>
      </c>
    </row>
    <row r="2396" spans="3:5" x14ac:dyDescent="0.25">
      <c r="C2396" s="248">
        <v>44038</v>
      </c>
      <c r="D2396" t="s">
        <v>304</v>
      </c>
      <c r="E2396">
        <v>229</v>
      </c>
    </row>
    <row r="2397" spans="3:5" x14ac:dyDescent="0.25">
      <c r="C2397" s="248">
        <v>43969</v>
      </c>
      <c r="D2397" t="s">
        <v>304</v>
      </c>
      <c r="E2397">
        <v>91</v>
      </c>
    </row>
    <row r="2398" spans="3:5" x14ac:dyDescent="0.25">
      <c r="C2398" s="248">
        <v>43965</v>
      </c>
      <c r="D2398" t="s">
        <v>306</v>
      </c>
      <c r="E2398">
        <v>51</v>
      </c>
    </row>
    <row r="2399" spans="3:5" x14ac:dyDescent="0.25">
      <c r="C2399" s="248">
        <v>43989</v>
      </c>
      <c r="D2399" t="s">
        <v>306</v>
      </c>
      <c r="E2399">
        <v>72</v>
      </c>
    </row>
    <row r="2400" spans="3:5" x14ac:dyDescent="0.25">
      <c r="C2400" s="248">
        <v>44013</v>
      </c>
      <c r="D2400" t="s">
        <v>308</v>
      </c>
      <c r="E2400">
        <v>57</v>
      </c>
    </row>
    <row r="2401" spans="3:5" x14ac:dyDescent="0.25">
      <c r="C2401" s="248">
        <v>44035</v>
      </c>
      <c r="D2401" t="s">
        <v>306</v>
      </c>
      <c r="E2401">
        <v>523</v>
      </c>
    </row>
    <row r="2402" spans="3:5" x14ac:dyDescent="0.25">
      <c r="C2402" s="248">
        <v>44031</v>
      </c>
      <c r="D2402" t="s">
        <v>307</v>
      </c>
      <c r="E2402">
        <v>280</v>
      </c>
    </row>
    <row r="2403" spans="3:5" x14ac:dyDescent="0.25">
      <c r="C2403" s="248">
        <v>43976</v>
      </c>
      <c r="D2403" t="s">
        <v>311</v>
      </c>
      <c r="E2403">
        <v>18</v>
      </c>
    </row>
    <row r="2404" spans="3:5" x14ac:dyDescent="0.25">
      <c r="C2404" s="248">
        <v>44004</v>
      </c>
      <c r="D2404" t="s">
        <v>310</v>
      </c>
      <c r="E2404">
        <v>196</v>
      </c>
    </row>
    <row r="2405" spans="3:5" x14ac:dyDescent="0.25">
      <c r="C2405" s="248">
        <v>44021</v>
      </c>
      <c r="D2405" t="s">
        <v>307</v>
      </c>
      <c r="E2405">
        <v>252</v>
      </c>
    </row>
    <row r="2406" spans="3:5" x14ac:dyDescent="0.25">
      <c r="C2406" s="248">
        <v>44041</v>
      </c>
      <c r="D2406" t="s">
        <v>305</v>
      </c>
      <c r="E2406">
        <v>140</v>
      </c>
    </row>
    <row r="2407" spans="3:5" x14ac:dyDescent="0.25">
      <c r="C2407" s="248">
        <v>44017</v>
      </c>
      <c r="D2407" t="s">
        <v>311</v>
      </c>
      <c r="E2407">
        <v>81</v>
      </c>
    </row>
    <row r="2408" spans="3:5" x14ac:dyDescent="0.25">
      <c r="C2408" s="248">
        <v>44115</v>
      </c>
      <c r="D2408" t="s">
        <v>309</v>
      </c>
      <c r="E2408">
        <v>39</v>
      </c>
    </row>
    <row r="2409" spans="3:5" x14ac:dyDescent="0.25">
      <c r="C2409" s="248">
        <v>44163</v>
      </c>
      <c r="D2409" t="s">
        <v>309</v>
      </c>
      <c r="E2409">
        <v>15</v>
      </c>
    </row>
    <row r="2410" spans="3:5" x14ac:dyDescent="0.25">
      <c r="C2410" s="248">
        <v>44153</v>
      </c>
      <c r="D2410" t="s">
        <v>309</v>
      </c>
      <c r="E2410">
        <v>28</v>
      </c>
    </row>
    <row r="2411" spans="3:5" x14ac:dyDescent="0.25">
      <c r="C2411" s="248">
        <v>44154</v>
      </c>
      <c r="D2411" t="s">
        <v>309</v>
      </c>
      <c r="E2411">
        <v>14</v>
      </c>
    </row>
    <row r="2412" spans="3:5" x14ac:dyDescent="0.25">
      <c r="C2412" s="248">
        <v>43992</v>
      </c>
      <c r="D2412" t="s">
        <v>310</v>
      </c>
      <c r="E2412">
        <v>85</v>
      </c>
    </row>
    <row r="2413" spans="3:5" x14ac:dyDescent="0.25">
      <c r="C2413" s="248">
        <v>43984</v>
      </c>
      <c r="D2413" t="s">
        <v>306</v>
      </c>
      <c r="E2413">
        <v>118</v>
      </c>
    </row>
    <row r="2414" spans="3:5" x14ac:dyDescent="0.25">
      <c r="C2414" s="248">
        <v>44037</v>
      </c>
      <c r="D2414" t="s">
        <v>311</v>
      </c>
      <c r="E2414">
        <v>104</v>
      </c>
    </row>
    <row r="2415" spans="3:5" x14ac:dyDescent="0.25">
      <c r="C2415" s="248">
        <v>44280</v>
      </c>
      <c r="D2415" t="s">
        <v>309</v>
      </c>
      <c r="E2415">
        <v>57</v>
      </c>
    </row>
    <row r="2416" spans="3:5" x14ac:dyDescent="0.25">
      <c r="C2416" s="248">
        <v>44199</v>
      </c>
      <c r="D2416" t="s">
        <v>309</v>
      </c>
      <c r="E2416">
        <v>38</v>
      </c>
    </row>
    <row r="2417" spans="3:5" x14ac:dyDescent="0.25">
      <c r="C2417" s="248">
        <v>44188</v>
      </c>
      <c r="D2417" t="s">
        <v>309</v>
      </c>
      <c r="E2417">
        <v>31</v>
      </c>
    </row>
    <row r="2418" spans="3:5" x14ac:dyDescent="0.25">
      <c r="C2418" s="248">
        <v>44030</v>
      </c>
      <c r="D2418" t="s">
        <v>310</v>
      </c>
      <c r="E2418">
        <v>237</v>
      </c>
    </row>
    <row r="2419" spans="3:5" x14ac:dyDescent="0.25">
      <c r="C2419" s="248">
        <v>44016</v>
      </c>
      <c r="D2419" t="s">
        <v>306</v>
      </c>
      <c r="E2419">
        <v>257</v>
      </c>
    </row>
    <row r="2420" spans="3:5" x14ac:dyDescent="0.25">
      <c r="C2420" s="248">
        <v>44150</v>
      </c>
      <c r="D2420" t="s">
        <v>309</v>
      </c>
      <c r="E2420">
        <v>16</v>
      </c>
    </row>
    <row r="2421" spans="3:5" x14ac:dyDescent="0.25">
      <c r="C2421" s="248">
        <v>44146</v>
      </c>
      <c r="D2421" t="s">
        <v>309</v>
      </c>
      <c r="E2421">
        <v>29</v>
      </c>
    </row>
    <row r="2422" spans="3:5" x14ac:dyDescent="0.25">
      <c r="C2422" s="248">
        <v>44022</v>
      </c>
      <c r="D2422" t="s">
        <v>304</v>
      </c>
      <c r="E2422">
        <v>242</v>
      </c>
    </row>
    <row r="2423" spans="3:5" x14ac:dyDescent="0.25">
      <c r="C2423" s="248">
        <v>44202</v>
      </c>
      <c r="D2423" t="s">
        <v>305</v>
      </c>
      <c r="E2423">
        <v>154</v>
      </c>
    </row>
    <row r="2424" spans="3:5" x14ac:dyDescent="0.25">
      <c r="C2424" s="248">
        <v>44014</v>
      </c>
      <c r="D2424" t="s">
        <v>308</v>
      </c>
      <c r="E2424">
        <v>62</v>
      </c>
    </row>
    <row r="2425" spans="3:5" x14ac:dyDescent="0.25">
      <c r="C2425" s="248">
        <v>44018</v>
      </c>
      <c r="D2425" t="s">
        <v>312</v>
      </c>
      <c r="E2425">
        <v>120</v>
      </c>
    </row>
    <row r="2426" spans="3:5" x14ac:dyDescent="0.25">
      <c r="C2426" s="248">
        <v>44202</v>
      </c>
      <c r="D2426" t="s">
        <v>309</v>
      </c>
      <c r="E2426">
        <v>37</v>
      </c>
    </row>
    <row r="2427" spans="3:5" x14ac:dyDescent="0.25">
      <c r="C2427" s="248">
        <v>44022</v>
      </c>
      <c r="D2427" t="s">
        <v>311</v>
      </c>
      <c r="E2427">
        <v>120</v>
      </c>
    </row>
    <row r="2428" spans="3:5" x14ac:dyDescent="0.25">
      <c r="C2428" s="248">
        <v>44036</v>
      </c>
      <c r="D2428" t="s">
        <v>308</v>
      </c>
      <c r="E2428">
        <v>64</v>
      </c>
    </row>
    <row r="2429" spans="3:5" x14ac:dyDescent="0.25">
      <c r="C2429" s="248">
        <v>44239</v>
      </c>
      <c r="D2429" t="s">
        <v>309</v>
      </c>
      <c r="E2429">
        <v>32</v>
      </c>
    </row>
    <row r="2430" spans="3:5" x14ac:dyDescent="0.25">
      <c r="C2430" s="248">
        <v>43991</v>
      </c>
      <c r="D2430" t="s">
        <v>307</v>
      </c>
      <c r="E2430">
        <v>162</v>
      </c>
    </row>
    <row r="2431" spans="3:5" x14ac:dyDescent="0.25">
      <c r="C2431" s="248">
        <v>43959</v>
      </c>
      <c r="D2431" t="s">
        <v>310</v>
      </c>
      <c r="E2431">
        <v>14</v>
      </c>
    </row>
    <row r="2432" spans="3:5" x14ac:dyDescent="0.25">
      <c r="C2432" s="248">
        <v>43968</v>
      </c>
      <c r="D2432" t="s">
        <v>307</v>
      </c>
      <c r="E2432">
        <v>37</v>
      </c>
    </row>
    <row r="2433" spans="3:5" x14ac:dyDescent="0.25">
      <c r="C2433" s="248">
        <v>44046</v>
      </c>
      <c r="D2433" t="s">
        <v>305</v>
      </c>
      <c r="E2433">
        <v>151</v>
      </c>
    </row>
    <row r="2434" spans="3:5" x14ac:dyDescent="0.25">
      <c r="C2434" s="248">
        <v>44173</v>
      </c>
      <c r="D2434" t="s">
        <v>309</v>
      </c>
      <c r="E2434">
        <v>9</v>
      </c>
    </row>
    <row r="2435" spans="3:5" x14ac:dyDescent="0.25">
      <c r="C2435" s="248">
        <v>44172</v>
      </c>
      <c r="D2435" t="s">
        <v>309</v>
      </c>
      <c r="E2435">
        <v>13</v>
      </c>
    </row>
    <row r="2436" spans="3:5" x14ac:dyDescent="0.25">
      <c r="C2436" s="248">
        <v>43999</v>
      </c>
      <c r="D2436" t="s">
        <v>310</v>
      </c>
      <c r="E2436">
        <v>163</v>
      </c>
    </row>
    <row r="2437" spans="3:5" x14ac:dyDescent="0.25">
      <c r="C2437" s="248">
        <v>44041</v>
      </c>
      <c r="D2437" t="s">
        <v>310</v>
      </c>
      <c r="E2437">
        <v>285</v>
      </c>
    </row>
    <row r="2438" spans="3:5" x14ac:dyDescent="0.25">
      <c r="C2438" s="248">
        <v>43973</v>
      </c>
      <c r="D2438" t="s">
        <v>304</v>
      </c>
      <c r="E2438">
        <v>86</v>
      </c>
    </row>
    <row r="2439" spans="3:5" x14ac:dyDescent="0.25">
      <c r="C2439" s="248">
        <v>44126</v>
      </c>
      <c r="D2439" t="s">
        <v>309</v>
      </c>
      <c r="E2439">
        <v>30</v>
      </c>
    </row>
    <row r="2440" spans="3:5" x14ac:dyDescent="0.25">
      <c r="C2440" s="248">
        <v>44039</v>
      </c>
      <c r="D2440" t="s">
        <v>311</v>
      </c>
      <c r="E2440">
        <v>151</v>
      </c>
    </row>
    <row r="2441" spans="3:5" x14ac:dyDescent="0.25">
      <c r="C2441" s="248">
        <v>43978</v>
      </c>
      <c r="D2441" t="s">
        <v>306</v>
      </c>
      <c r="E2441">
        <v>104</v>
      </c>
    </row>
    <row r="2442" spans="3:5" x14ac:dyDescent="0.25">
      <c r="C2442" s="248">
        <v>44030</v>
      </c>
      <c r="D2442" t="s">
        <v>304</v>
      </c>
      <c r="E2442">
        <v>276</v>
      </c>
    </row>
    <row r="2443" spans="3:5" x14ac:dyDescent="0.25">
      <c r="C2443" s="248">
        <v>44010</v>
      </c>
      <c r="D2443" t="s">
        <v>311</v>
      </c>
      <c r="E2443">
        <v>57</v>
      </c>
    </row>
    <row r="2444" spans="3:5" x14ac:dyDescent="0.25">
      <c r="C2444" s="248">
        <v>44039</v>
      </c>
      <c r="D2444" t="s">
        <v>306</v>
      </c>
      <c r="E2444">
        <v>523</v>
      </c>
    </row>
    <row r="2445" spans="3:5" x14ac:dyDescent="0.25">
      <c r="C2445" s="248">
        <v>44001</v>
      </c>
      <c r="D2445" t="s">
        <v>308</v>
      </c>
      <c r="E2445">
        <v>59</v>
      </c>
    </row>
    <row r="2446" spans="3:5" x14ac:dyDescent="0.25">
      <c r="C2446" s="248">
        <v>44019</v>
      </c>
      <c r="D2446" t="s">
        <v>306</v>
      </c>
      <c r="E2446">
        <v>391</v>
      </c>
    </row>
    <row r="2447" spans="3:5" x14ac:dyDescent="0.25">
      <c r="C2447" s="248">
        <v>44039</v>
      </c>
      <c r="D2447" t="s">
        <v>310</v>
      </c>
      <c r="E2447">
        <v>290</v>
      </c>
    </row>
    <row r="2448" spans="3:5" x14ac:dyDescent="0.25">
      <c r="C2448" s="248">
        <v>44153</v>
      </c>
      <c r="D2448" t="s">
        <v>305</v>
      </c>
      <c r="E2448">
        <v>62</v>
      </c>
    </row>
    <row r="2449" spans="3:5" x14ac:dyDescent="0.25">
      <c r="C2449" s="248">
        <v>44171</v>
      </c>
      <c r="D2449" t="s">
        <v>304</v>
      </c>
      <c r="E2449">
        <v>57</v>
      </c>
    </row>
    <row r="2450" spans="3:5" x14ac:dyDescent="0.25">
      <c r="C2450" s="248">
        <v>44020</v>
      </c>
      <c r="D2450" t="s">
        <v>311</v>
      </c>
      <c r="E2450">
        <v>128</v>
      </c>
    </row>
    <row r="2451" spans="3:5" x14ac:dyDescent="0.25">
      <c r="C2451" s="248">
        <v>44139</v>
      </c>
      <c r="D2451" t="s">
        <v>309</v>
      </c>
      <c r="E2451">
        <v>32</v>
      </c>
    </row>
    <row r="2452" spans="3:5" x14ac:dyDescent="0.25">
      <c r="C2452" s="248">
        <v>44129</v>
      </c>
      <c r="D2452" t="s">
        <v>309</v>
      </c>
      <c r="E2452">
        <v>29</v>
      </c>
    </row>
    <row r="2453" spans="3:5" x14ac:dyDescent="0.25">
      <c r="C2453" s="248">
        <v>44013</v>
      </c>
      <c r="D2453" t="s">
        <v>311</v>
      </c>
      <c r="E2453">
        <v>90</v>
      </c>
    </row>
    <row r="2454" spans="3:5" x14ac:dyDescent="0.25">
      <c r="C2454" s="248">
        <v>44213</v>
      </c>
      <c r="D2454" t="s">
        <v>309</v>
      </c>
      <c r="E2454">
        <v>25</v>
      </c>
    </row>
    <row r="2455" spans="3:5" x14ac:dyDescent="0.25">
      <c r="C2455" s="248">
        <v>43992</v>
      </c>
      <c r="D2455" t="s">
        <v>307</v>
      </c>
      <c r="E2455">
        <v>138</v>
      </c>
    </row>
    <row r="2456" spans="3:5" x14ac:dyDescent="0.25">
      <c r="C2456" s="248">
        <v>44035</v>
      </c>
      <c r="D2456" t="s">
        <v>304</v>
      </c>
      <c r="E2456">
        <v>424</v>
      </c>
    </row>
    <row r="2457" spans="3:5" x14ac:dyDescent="0.25">
      <c r="C2457" s="248">
        <v>44205</v>
      </c>
      <c r="D2457" t="s">
        <v>309</v>
      </c>
      <c r="E2457">
        <v>29</v>
      </c>
    </row>
    <row r="2458" spans="3:5" x14ac:dyDescent="0.25">
      <c r="C2458" s="248">
        <v>43966</v>
      </c>
      <c r="D2458" t="s">
        <v>310</v>
      </c>
      <c r="E2458">
        <v>28</v>
      </c>
    </row>
    <row r="2459" spans="3:5" x14ac:dyDescent="0.25">
      <c r="C2459" s="248">
        <v>43994</v>
      </c>
      <c r="D2459" t="s">
        <v>307</v>
      </c>
      <c r="E2459">
        <v>161</v>
      </c>
    </row>
    <row r="2460" spans="3:5" x14ac:dyDescent="0.25">
      <c r="C2460" s="248">
        <v>44025</v>
      </c>
      <c r="D2460" t="s">
        <v>310</v>
      </c>
      <c r="E2460">
        <v>273</v>
      </c>
    </row>
    <row r="2461" spans="3:5" x14ac:dyDescent="0.25">
      <c r="C2461" s="248">
        <v>44016</v>
      </c>
      <c r="D2461" t="s">
        <v>312</v>
      </c>
      <c r="E2461">
        <v>100</v>
      </c>
    </row>
    <row r="2462" spans="3:5" x14ac:dyDescent="0.25">
      <c r="C2462" s="248">
        <v>44019</v>
      </c>
      <c r="D2462" t="s">
        <v>308</v>
      </c>
      <c r="E2462">
        <v>77</v>
      </c>
    </row>
    <row r="2463" spans="3:5" x14ac:dyDescent="0.25">
      <c r="C2463" s="248">
        <v>43973</v>
      </c>
      <c r="D2463" t="s">
        <v>311</v>
      </c>
      <c r="E2463">
        <v>25</v>
      </c>
    </row>
    <row r="2464" spans="3:5" x14ac:dyDescent="0.25">
      <c r="C2464" s="248">
        <v>44006</v>
      </c>
      <c r="D2464" t="s">
        <v>311</v>
      </c>
      <c r="E2464">
        <v>76</v>
      </c>
    </row>
    <row r="2465" spans="3:5" x14ac:dyDescent="0.25">
      <c r="C2465" s="248">
        <v>44027</v>
      </c>
      <c r="D2465" t="s">
        <v>310</v>
      </c>
      <c r="E2465">
        <v>231</v>
      </c>
    </row>
    <row r="2466" spans="3:5" x14ac:dyDescent="0.25">
      <c r="C2466" s="248">
        <v>44158</v>
      </c>
      <c r="D2466" t="s">
        <v>305</v>
      </c>
      <c r="E2466">
        <v>25</v>
      </c>
    </row>
    <row r="2467" spans="3:5" x14ac:dyDescent="0.25">
      <c r="C2467" s="248">
        <v>44148</v>
      </c>
      <c r="D2467" t="s">
        <v>309</v>
      </c>
      <c r="E2467">
        <v>30</v>
      </c>
    </row>
    <row r="2468" spans="3:5" x14ac:dyDescent="0.25">
      <c r="C2468" s="248">
        <v>44150</v>
      </c>
      <c r="D2468" t="s">
        <v>305</v>
      </c>
      <c r="E2468">
        <v>32</v>
      </c>
    </row>
    <row r="2469" spans="3:5" x14ac:dyDescent="0.25">
      <c r="C2469" s="248">
        <v>44019</v>
      </c>
      <c r="D2469" t="s">
        <v>311</v>
      </c>
      <c r="E2469">
        <v>100</v>
      </c>
    </row>
    <row r="2470" spans="3:5" x14ac:dyDescent="0.25">
      <c r="C2470" s="248">
        <v>44032</v>
      </c>
      <c r="D2470" t="s">
        <v>307</v>
      </c>
      <c r="E2470">
        <v>437</v>
      </c>
    </row>
    <row r="2471" spans="3:5" x14ac:dyDescent="0.25">
      <c r="C2471" s="248">
        <v>44029</v>
      </c>
      <c r="D2471" t="s">
        <v>310</v>
      </c>
      <c r="E2471">
        <v>265</v>
      </c>
    </row>
    <row r="2472" spans="3:5" x14ac:dyDescent="0.25">
      <c r="C2472" s="248">
        <v>44020</v>
      </c>
      <c r="D2472" t="s">
        <v>307</v>
      </c>
      <c r="E2472">
        <v>337</v>
      </c>
    </row>
    <row r="2473" spans="3:5" x14ac:dyDescent="0.25">
      <c r="C2473" s="248">
        <v>43988</v>
      </c>
      <c r="D2473" t="s">
        <v>307</v>
      </c>
      <c r="E2473">
        <v>84</v>
      </c>
    </row>
    <row r="2474" spans="3:5" x14ac:dyDescent="0.25">
      <c r="C2474" s="248">
        <v>44024</v>
      </c>
      <c r="D2474" t="s">
        <v>311</v>
      </c>
      <c r="E2474">
        <v>80</v>
      </c>
    </row>
    <row r="2475" spans="3:5" x14ac:dyDescent="0.25">
      <c r="C2475" s="248">
        <v>44028</v>
      </c>
      <c r="D2475" t="s">
        <v>305</v>
      </c>
      <c r="E2475">
        <v>116</v>
      </c>
    </row>
    <row r="2476" spans="3:5" x14ac:dyDescent="0.25">
      <c r="C2476" s="248">
        <v>44006</v>
      </c>
      <c r="D2476" t="s">
        <v>307</v>
      </c>
      <c r="E2476">
        <v>266</v>
      </c>
    </row>
    <row r="2477" spans="3:5" x14ac:dyDescent="0.25">
      <c r="C2477" s="248">
        <v>44240</v>
      </c>
      <c r="D2477" t="s">
        <v>305</v>
      </c>
      <c r="E2477">
        <v>79</v>
      </c>
    </row>
    <row r="2478" spans="3:5" x14ac:dyDescent="0.25">
      <c r="C2478" s="248">
        <v>44006</v>
      </c>
      <c r="D2478" t="s">
        <v>306</v>
      </c>
      <c r="E2478">
        <v>278</v>
      </c>
    </row>
    <row r="2479" spans="3:5" x14ac:dyDescent="0.25">
      <c r="C2479" s="248">
        <v>44051</v>
      </c>
      <c r="D2479" t="s">
        <v>305</v>
      </c>
      <c r="E2479">
        <v>95</v>
      </c>
    </row>
    <row r="2480" spans="3:5" x14ac:dyDescent="0.25">
      <c r="C2480" s="248">
        <v>44176</v>
      </c>
      <c r="D2480" t="s">
        <v>305</v>
      </c>
      <c r="E2480">
        <v>39</v>
      </c>
    </row>
    <row r="2481" spans="3:5" x14ac:dyDescent="0.25">
      <c r="C2481" s="248">
        <v>44178</v>
      </c>
      <c r="D2481" t="s">
        <v>309</v>
      </c>
      <c r="E2481">
        <v>16</v>
      </c>
    </row>
    <row r="2482" spans="3:5" x14ac:dyDescent="0.25">
      <c r="C2482" s="248">
        <v>44005</v>
      </c>
      <c r="D2482" t="s">
        <v>304</v>
      </c>
      <c r="E2482">
        <v>268</v>
      </c>
    </row>
    <row r="2483" spans="3:5" x14ac:dyDescent="0.25">
      <c r="C2483" s="248">
        <v>44022</v>
      </c>
      <c r="D2483" t="s">
        <v>310</v>
      </c>
      <c r="E2483">
        <v>194</v>
      </c>
    </row>
    <row r="2484" spans="3:5" x14ac:dyDescent="0.25">
      <c r="C2484" s="248">
        <v>44021</v>
      </c>
      <c r="D2484" t="s">
        <v>311</v>
      </c>
      <c r="E2484">
        <v>110</v>
      </c>
    </row>
    <row r="2485" spans="3:5" x14ac:dyDescent="0.25">
      <c r="C2485" s="248">
        <v>43969</v>
      </c>
      <c r="D2485" t="s">
        <v>309</v>
      </c>
      <c r="E2485">
        <v>41</v>
      </c>
    </row>
    <row r="2486" spans="3:5" x14ac:dyDescent="0.25">
      <c r="C2486" s="248">
        <v>44006</v>
      </c>
      <c r="D2486" t="s">
        <v>308</v>
      </c>
      <c r="E2486">
        <v>43</v>
      </c>
    </row>
    <row r="2487" spans="3:5" x14ac:dyDescent="0.25">
      <c r="C2487" s="248">
        <v>44013</v>
      </c>
      <c r="D2487" t="s">
        <v>312</v>
      </c>
      <c r="E2487">
        <v>71</v>
      </c>
    </row>
    <row r="2488" spans="3:5" x14ac:dyDescent="0.25">
      <c r="C2488" s="248">
        <v>44009</v>
      </c>
      <c r="D2488" t="s">
        <v>310</v>
      </c>
      <c r="E2488">
        <v>118</v>
      </c>
    </row>
    <row r="2489" spans="3:5" x14ac:dyDescent="0.25">
      <c r="C2489" s="248">
        <v>44017</v>
      </c>
      <c r="D2489" t="s">
        <v>310</v>
      </c>
      <c r="E2489">
        <v>142</v>
      </c>
    </row>
    <row r="2490" spans="3:5" x14ac:dyDescent="0.25">
      <c r="C2490" s="248">
        <v>43992</v>
      </c>
      <c r="D2490" t="s">
        <v>308</v>
      </c>
      <c r="E2490">
        <v>38</v>
      </c>
    </row>
    <row r="2491" spans="3:5" x14ac:dyDescent="0.25">
      <c r="C2491" s="248">
        <v>44033</v>
      </c>
      <c r="D2491" t="s">
        <v>304</v>
      </c>
      <c r="E2491">
        <v>416</v>
      </c>
    </row>
    <row r="2492" spans="3:5" x14ac:dyDescent="0.25">
      <c r="C2492" s="248">
        <v>44045</v>
      </c>
      <c r="D2492" t="s">
        <v>305</v>
      </c>
      <c r="E2492">
        <v>97</v>
      </c>
    </row>
    <row r="2493" spans="3:5" x14ac:dyDescent="0.25">
      <c r="C2493" s="248">
        <v>44045</v>
      </c>
      <c r="D2493" t="s">
        <v>309</v>
      </c>
      <c r="E2493">
        <v>67</v>
      </c>
    </row>
    <row r="2494" spans="3:5" x14ac:dyDescent="0.25">
      <c r="C2494" s="248">
        <v>43996</v>
      </c>
      <c r="D2494" t="s">
        <v>306</v>
      </c>
      <c r="E2494">
        <v>117</v>
      </c>
    </row>
    <row r="2495" spans="3:5" x14ac:dyDescent="0.25">
      <c r="C2495" s="248">
        <v>43997</v>
      </c>
      <c r="D2495" t="s">
        <v>310</v>
      </c>
      <c r="E2495">
        <v>69</v>
      </c>
    </row>
    <row r="2496" spans="3:5" x14ac:dyDescent="0.25">
      <c r="C2496" s="248">
        <v>43995</v>
      </c>
      <c r="D2496" t="s">
        <v>306</v>
      </c>
      <c r="E2496">
        <v>156</v>
      </c>
    </row>
    <row r="2497" spans="3:5" x14ac:dyDescent="0.25">
      <c r="C2497" s="248">
        <v>43985</v>
      </c>
      <c r="D2497" t="s">
        <v>310</v>
      </c>
      <c r="E2497">
        <v>60</v>
      </c>
    </row>
    <row r="2498" spans="3:5" x14ac:dyDescent="0.25">
      <c r="C2498" s="248">
        <v>43990</v>
      </c>
      <c r="D2498" t="s">
        <v>308</v>
      </c>
      <c r="E2498">
        <v>32</v>
      </c>
    </row>
    <row r="2499" spans="3:5" x14ac:dyDescent="0.25">
      <c r="C2499" s="248">
        <v>43990</v>
      </c>
      <c r="D2499" t="s">
        <v>304</v>
      </c>
      <c r="E2499">
        <v>141</v>
      </c>
    </row>
    <row r="2500" spans="3:5" x14ac:dyDescent="0.25">
      <c r="C2500" s="248">
        <v>43991</v>
      </c>
      <c r="D2500" t="s">
        <v>311</v>
      </c>
      <c r="E2500">
        <v>46</v>
      </c>
    </row>
    <row r="2501" spans="3:5" x14ac:dyDescent="0.25">
      <c r="C2501" s="248">
        <v>43991</v>
      </c>
      <c r="D2501" t="s">
        <v>306</v>
      </c>
      <c r="E2501">
        <v>210</v>
      </c>
    </row>
    <row r="2502" spans="3:5" x14ac:dyDescent="0.25">
      <c r="C2502" s="248">
        <v>43998</v>
      </c>
      <c r="D2502" t="s">
        <v>310</v>
      </c>
      <c r="E2502">
        <v>128</v>
      </c>
    </row>
    <row r="2503" spans="3:5" x14ac:dyDescent="0.25">
      <c r="C2503" s="248">
        <v>43997</v>
      </c>
      <c r="D2503" t="s">
        <v>304</v>
      </c>
      <c r="E2503">
        <v>139</v>
      </c>
    </row>
    <row r="2504" spans="3:5" x14ac:dyDescent="0.25">
      <c r="C2504" s="248">
        <v>43999</v>
      </c>
      <c r="D2504" t="s">
        <v>304</v>
      </c>
      <c r="E2504">
        <v>246</v>
      </c>
    </row>
    <row r="2505" spans="3:5" x14ac:dyDescent="0.25">
      <c r="C2505" s="248">
        <v>44000</v>
      </c>
      <c r="D2505" t="s">
        <v>304</v>
      </c>
      <c r="E2505">
        <v>236</v>
      </c>
    </row>
    <row r="2506" spans="3:5" x14ac:dyDescent="0.25">
      <c r="C2506" s="248">
        <v>44000</v>
      </c>
      <c r="D2506" t="s">
        <v>307</v>
      </c>
      <c r="E2506">
        <v>224</v>
      </c>
    </row>
    <row r="2507" spans="3:5" x14ac:dyDescent="0.25">
      <c r="C2507" s="248">
        <v>44000</v>
      </c>
      <c r="D2507" t="s">
        <v>306</v>
      </c>
      <c r="E2507">
        <v>301</v>
      </c>
    </row>
    <row r="2508" spans="3:5" x14ac:dyDescent="0.25">
      <c r="C2508" s="248">
        <v>44001</v>
      </c>
      <c r="D2508" t="s">
        <v>304</v>
      </c>
      <c r="E2508">
        <v>222</v>
      </c>
    </row>
    <row r="2509" spans="3:5" x14ac:dyDescent="0.25">
      <c r="C2509" s="248">
        <v>44000</v>
      </c>
      <c r="D2509" t="s">
        <v>305</v>
      </c>
      <c r="E2509">
        <v>85</v>
      </c>
    </row>
    <row r="2510" spans="3:5" x14ac:dyDescent="0.25">
      <c r="C2510" s="248">
        <v>44001</v>
      </c>
      <c r="D2510" t="s">
        <v>305</v>
      </c>
      <c r="E2510">
        <v>107</v>
      </c>
    </row>
    <row r="2511" spans="3:5" x14ac:dyDescent="0.25">
      <c r="C2511" s="248">
        <v>44001</v>
      </c>
      <c r="D2511" t="s">
        <v>307</v>
      </c>
      <c r="E2511">
        <v>186</v>
      </c>
    </row>
    <row r="2512" spans="3:5" x14ac:dyDescent="0.25">
      <c r="C2512" s="248">
        <v>44044</v>
      </c>
      <c r="D2512" t="s">
        <v>311</v>
      </c>
      <c r="E2512">
        <v>124</v>
      </c>
    </row>
    <row r="2513" spans="3:5" x14ac:dyDescent="0.25">
      <c r="C2513" s="248">
        <v>44042</v>
      </c>
      <c r="D2513" t="s">
        <v>309</v>
      </c>
      <c r="E2513">
        <v>95</v>
      </c>
    </row>
    <row r="2514" spans="3:5" x14ac:dyDescent="0.25">
      <c r="C2514" s="248">
        <v>44033</v>
      </c>
      <c r="D2514" t="s">
        <v>305</v>
      </c>
      <c r="E2514">
        <v>125</v>
      </c>
    </row>
    <row r="2515" spans="3:5" x14ac:dyDescent="0.25">
      <c r="C2515" s="248">
        <v>44034</v>
      </c>
      <c r="D2515" t="s">
        <v>304</v>
      </c>
      <c r="E2515">
        <v>435</v>
      </c>
    </row>
    <row r="2516" spans="3:5" x14ac:dyDescent="0.25">
      <c r="C2516" s="248">
        <v>44014</v>
      </c>
      <c r="D2516" t="s">
        <v>307</v>
      </c>
      <c r="E2516">
        <v>265</v>
      </c>
    </row>
    <row r="2517" spans="3:5" x14ac:dyDescent="0.25">
      <c r="C2517" s="248">
        <v>44004</v>
      </c>
      <c r="D2517" t="s">
        <v>308</v>
      </c>
      <c r="E2517">
        <v>68</v>
      </c>
    </row>
    <row r="2518" spans="3:5" x14ac:dyDescent="0.25">
      <c r="C2518" s="248">
        <v>44004</v>
      </c>
      <c r="D2518" t="s">
        <v>311</v>
      </c>
      <c r="E2518">
        <v>109</v>
      </c>
    </row>
    <row r="2519" spans="3:5" x14ac:dyDescent="0.25">
      <c r="C2519" s="248">
        <v>44005</v>
      </c>
      <c r="D2519" t="s">
        <v>307</v>
      </c>
      <c r="E2519">
        <v>220</v>
      </c>
    </row>
    <row r="2520" spans="3:5" x14ac:dyDescent="0.25">
      <c r="C2520" s="248">
        <v>43997</v>
      </c>
      <c r="D2520" t="s">
        <v>306</v>
      </c>
      <c r="E2520">
        <v>155</v>
      </c>
    </row>
    <row r="2521" spans="3:5" x14ac:dyDescent="0.25">
      <c r="C2521" s="248">
        <v>44005</v>
      </c>
      <c r="D2521" t="s">
        <v>312</v>
      </c>
      <c r="E2521">
        <v>86</v>
      </c>
    </row>
    <row r="2522" spans="3:5" x14ac:dyDescent="0.25">
      <c r="C2522" s="248">
        <v>44001</v>
      </c>
      <c r="D2522" t="s">
        <v>306</v>
      </c>
      <c r="E2522">
        <v>280</v>
      </c>
    </row>
    <row r="2523" spans="3:5" x14ac:dyDescent="0.25">
      <c r="C2523" s="248">
        <v>44000</v>
      </c>
      <c r="D2523" t="s">
        <v>310</v>
      </c>
      <c r="E2523">
        <v>163</v>
      </c>
    </row>
    <row r="2524" spans="3:5" x14ac:dyDescent="0.25">
      <c r="C2524" s="248">
        <v>44003</v>
      </c>
      <c r="D2524" t="s">
        <v>306</v>
      </c>
      <c r="E2524">
        <v>178</v>
      </c>
    </row>
    <row r="2525" spans="3:5" x14ac:dyDescent="0.25">
      <c r="C2525" s="248">
        <v>44003</v>
      </c>
      <c r="D2525" t="s">
        <v>310</v>
      </c>
      <c r="E2525">
        <v>80</v>
      </c>
    </row>
    <row r="2526" spans="3:5" x14ac:dyDescent="0.25">
      <c r="C2526" s="248">
        <v>44004</v>
      </c>
      <c r="D2526" t="s">
        <v>309</v>
      </c>
      <c r="E2526">
        <v>89</v>
      </c>
    </row>
    <row r="2527" spans="3:5" x14ac:dyDescent="0.25">
      <c r="C2527" s="248">
        <v>44004</v>
      </c>
      <c r="D2527" t="s">
        <v>304</v>
      </c>
      <c r="E2527">
        <v>234</v>
      </c>
    </row>
    <row r="2528" spans="3:5" x14ac:dyDescent="0.25">
      <c r="C2528" s="248">
        <v>44007</v>
      </c>
      <c r="D2528" t="s">
        <v>309</v>
      </c>
      <c r="E2528">
        <v>87</v>
      </c>
    </row>
    <row r="2529" spans="3:5" x14ac:dyDescent="0.25">
      <c r="C2529" s="248">
        <v>44008</v>
      </c>
      <c r="D2529" t="s">
        <v>305</v>
      </c>
      <c r="E2529">
        <v>112</v>
      </c>
    </row>
    <row r="2530" spans="3:5" x14ac:dyDescent="0.25">
      <c r="C2530" s="248">
        <v>44009</v>
      </c>
      <c r="D2530" t="s">
        <v>309</v>
      </c>
      <c r="E2530">
        <v>77</v>
      </c>
    </row>
    <row r="2531" spans="3:5" x14ac:dyDescent="0.25">
      <c r="C2531" s="248">
        <v>44009</v>
      </c>
      <c r="D2531" t="s">
        <v>306</v>
      </c>
      <c r="E2531">
        <v>236</v>
      </c>
    </row>
    <row r="2532" spans="3:5" x14ac:dyDescent="0.25">
      <c r="C2532" s="248">
        <v>44010</v>
      </c>
      <c r="D2532" t="s">
        <v>304</v>
      </c>
      <c r="E2532">
        <v>185</v>
      </c>
    </row>
    <row r="2533" spans="3:5" x14ac:dyDescent="0.25">
      <c r="C2533" s="248">
        <v>44011</v>
      </c>
      <c r="D2533" t="s">
        <v>306</v>
      </c>
      <c r="E2533">
        <v>321</v>
      </c>
    </row>
    <row r="2534" spans="3:5" x14ac:dyDescent="0.25">
      <c r="C2534" s="248">
        <v>43995</v>
      </c>
      <c r="D2534" t="s">
        <v>311</v>
      </c>
      <c r="E2534">
        <v>48</v>
      </c>
    </row>
    <row r="2535" spans="3:5" x14ac:dyDescent="0.25">
      <c r="C2535" s="248">
        <v>44000</v>
      </c>
      <c r="D2535" t="s">
        <v>309</v>
      </c>
      <c r="E2535">
        <v>67</v>
      </c>
    </row>
    <row r="2536" spans="3:5" x14ac:dyDescent="0.25">
      <c r="C2536" s="248">
        <v>44002</v>
      </c>
      <c r="D2536" t="s">
        <v>305</v>
      </c>
      <c r="E2536">
        <v>81</v>
      </c>
    </row>
    <row r="2537" spans="3:5" x14ac:dyDescent="0.25">
      <c r="C2537" s="248">
        <v>43993</v>
      </c>
      <c r="D2537" t="s">
        <v>304</v>
      </c>
      <c r="E2537">
        <v>192</v>
      </c>
    </row>
    <row r="2538" spans="3:5" x14ac:dyDescent="0.25">
      <c r="C2538" s="248">
        <v>43994</v>
      </c>
      <c r="D2538" t="s">
        <v>309</v>
      </c>
      <c r="E2538">
        <v>76</v>
      </c>
    </row>
    <row r="2539" spans="3:5" x14ac:dyDescent="0.25">
      <c r="C2539" s="248">
        <v>43994</v>
      </c>
      <c r="D2539" t="s">
        <v>306</v>
      </c>
      <c r="E2539">
        <v>199</v>
      </c>
    </row>
    <row r="2540" spans="3:5" x14ac:dyDescent="0.25">
      <c r="C2540" s="248">
        <v>43996</v>
      </c>
      <c r="D2540" t="s">
        <v>304</v>
      </c>
      <c r="E2540">
        <v>96</v>
      </c>
    </row>
    <row r="2541" spans="3:5" x14ac:dyDescent="0.25">
      <c r="C2541" s="248">
        <v>43992</v>
      </c>
      <c r="D2541" t="s">
        <v>304</v>
      </c>
      <c r="E2541">
        <v>150</v>
      </c>
    </row>
    <row r="2542" spans="3:5" x14ac:dyDescent="0.25">
      <c r="C2542" s="248">
        <v>43992</v>
      </c>
      <c r="D2542" t="s">
        <v>306</v>
      </c>
      <c r="E2542">
        <v>175</v>
      </c>
    </row>
    <row r="2543" spans="3:5" x14ac:dyDescent="0.25">
      <c r="C2543" s="248">
        <v>43992</v>
      </c>
      <c r="D2543" t="s">
        <v>305</v>
      </c>
      <c r="E2543">
        <v>52</v>
      </c>
    </row>
    <row r="2544" spans="3:5" x14ac:dyDescent="0.25">
      <c r="C2544" s="248">
        <v>44044</v>
      </c>
      <c r="D2544" t="s">
        <v>309</v>
      </c>
      <c r="E2544">
        <v>77</v>
      </c>
    </row>
    <row r="2545" spans="3:5" x14ac:dyDescent="0.25">
      <c r="C2545" s="248">
        <v>44013</v>
      </c>
      <c r="D2545" t="s">
        <v>307</v>
      </c>
      <c r="E2545">
        <v>216</v>
      </c>
    </row>
    <row r="2546" spans="3:5" x14ac:dyDescent="0.25">
      <c r="C2546" s="248">
        <v>43995</v>
      </c>
      <c r="D2546" t="s">
        <v>307</v>
      </c>
      <c r="E2546">
        <v>120</v>
      </c>
    </row>
    <row r="2547" spans="3:5" x14ac:dyDescent="0.25">
      <c r="C2547" s="248">
        <v>44003</v>
      </c>
      <c r="D2547" t="s">
        <v>308</v>
      </c>
      <c r="E2547">
        <v>22</v>
      </c>
    </row>
    <row r="2548" spans="3:5" x14ac:dyDescent="0.25">
      <c r="C2548" s="248">
        <v>43992</v>
      </c>
      <c r="D2548" t="s">
        <v>311</v>
      </c>
      <c r="E2548">
        <v>48</v>
      </c>
    </row>
    <row r="2549" spans="3:5" x14ac:dyDescent="0.25">
      <c r="C2549" s="248">
        <v>44002</v>
      </c>
      <c r="D2549" t="s">
        <v>311</v>
      </c>
      <c r="E2549">
        <v>59</v>
      </c>
    </row>
    <row r="2550" spans="3:5" x14ac:dyDescent="0.25">
      <c r="C2550" s="248">
        <v>44030</v>
      </c>
      <c r="D2550" t="s">
        <v>306</v>
      </c>
      <c r="E2550">
        <v>394</v>
      </c>
    </row>
    <row r="2551" spans="3:5" x14ac:dyDescent="0.25">
      <c r="C2551" s="248">
        <v>44030</v>
      </c>
      <c r="D2551" t="s">
        <v>305</v>
      </c>
      <c r="E2551">
        <v>95</v>
      </c>
    </row>
    <row r="2552" spans="3:5" x14ac:dyDescent="0.25">
      <c r="C2552" s="248">
        <v>44031</v>
      </c>
      <c r="D2552" t="s">
        <v>305</v>
      </c>
      <c r="E2552">
        <v>101</v>
      </c>
    </row>
    <row r="2553" spans="3:5" x14ac:dyDescent="0.25">
      <c r="C2553" s="248">
        <v>44031</v>
      </c>
      <c r="D2553" t="s">
        <v>309</v>
      </c>
      <c r="E2553">
        <v>81</v>
      </c>
    </row>
    <row r="2554" spans="3:5" x14ac:dyDescent="0.25">
      <c r="C2554" s="248">
        <v>44012</v>
      </c>
      <c r="D2554" t="s">
        <v>304</v>
      </c>
      <c r="E2554">
        <v>237</v>
      </c>
    </row>
    <row r="2555" spans="3:5" x14ac:dyDescent="0.25">
      <c r="C2555" s="248">
        <v>44013</v>
      </c>
      <c r="D2555" t="s">
        <v>304</v>
      </c>
      <c r="E2555">
        <v>250</v>
      </c>
    </row>
    <row r="2556" spans="3:5" x14ac:dyDescent="0.25">
      <c r="C2556" s="248">
        <v>44015</v>
      </c>
      <c r="D2556" t="s">
        <v>311</v>
      </c>
      <c r="E2556">
        <v>94</v>
      </c>
    </row>
    <row r="2557" spans="3:5" x14ac:dyDescent="0.25">
      <c r="C2557" s="248">
        <v>44007</v>
      </c>
      <c r="D2557" t="s">
        <v>307</v>
      </c>
      <c r="E2557">
        <v>231</v>
      </c>
    </row>
    <row r="2558" spans="3:5" x14ac:dyDescent="0.25">
      <c r="C2558" s="248">
        <v>44008</v>
      </c>
      <c r="D2558" t="s">
        <v>307</v>
      </c>
      <c r="E2558">
        <v>224</v>
      </c>
    </row>
    <row r="2559" spans="3:5" x14ac:dyDescent="0.25">
      <c r="C2559" s="248">
        <v>43980</v>
      </c>
      <c r="D2559" t="s">
        <v>308</v>
      </c>
      <c r="E2559">
        <v>23</v>
      </c>
    </row>
    <row r="2560" spans="3:5" x14ac:dyDescent="0.25">
      <c r="C2560" s="248">
        <v>43978</v>
      </c>
      <c r="D2560" t="s">
        <v>312</v>
      </c>
      <c r="E2560">
        <v>17</v>
      </c>
    </row>
    <row r="2561" spans="3:5" x14ac:dyDescent="0.25">
      <c r="C2561" s="248">
        <v>43984</v>
      </c>
      <c r="D2561" t="s">
        <v>307</v>
      </c>
      <c r="E2561">
        <v>81</v>
      </c>
    </row>
    <row r="2562" spans="3:5" x14ac:dyDescent="0.25">
      <c r="C2562" s="248">
        <v>44007</v>
      </c>
      <c r="D2562" t="s">
        <v>310</v>
      </c>
      <c r="E2562">
        <v>165</v>
      </c>
    </row>
    <row r="2563" spans="3:5" x14ac:dyDescent="0.25">
      <c r="C2563" s="248">
        <v>44006</v>
      </c>
      <c r="D2563" t="s">
        <v>304</v>
      </c>
      <c r="E2563">
        <v>272</v>
      </c>
    </row>
    <row r="2564" spans="3:5" x14ac:dyDescent="0.25">
      <c r="C2564" s="248">
        <v>44007</v>
      </c>
      <c r="D2564" t="s">
        <v>306</v>
      </c>
      <c r="E2564">
        <v>334</v>
      </c>
    </row>
    <row r="2565" spans="3:5" x14ac:dyDescent="0.25">
      <c r="C2565" s="248">
        <v>44008</v>
      </c>
      <c r="D2565" t="s">
        <v>304</v>
      </c>
      <c r="E2565">
        <v>245</v>
      </c>
    </row>
    <row r="2566" spans="3:5" x14ac:dyDescent="0.25">
      <c r="C2566" s="248">
        <v>44007</v>
      </c>
      <c r="D2566" t="s">
        <v>304</v>
      </c>
      <c r="E2566">
        <v>281</v>
      </c>
    </row>
    <row r="2567" spans="3:5" x14ac:dyDescent="0.25">
      <c r="C2567" s="248">
        <v>44007</v>
      </c>
      <c r="D2567" t="s">
        <v>305</v>
      </c>
      <c r="E2567">
        <v>96</v>
      </c>
    </row>
    <row r="2568" spans="3:5" x14ac:dyDescent="0.25">
      <c r="C2568" s="248">
        <v>43993</v>
      </c>
      <c r="D2568" t="s">
        <v>306</v>
      </c>
      <c r="E2568">
        <v>173</v>
      </c>
    </row>
    <row r="2569" spans="3:5" x14ac:dyDescent="0.25">
      <c r="C2569" s="248">
        <v>43993</v>
      </c>
      <c r="D2569" t="s">
        <v>307</v>
      </c>
      <c r="E2569">
        <v>168</v>
      </c>
    </row>
    <row r="2570" spans="3:5" x14ac:dyDescent="0.25">
      <c r="C2570" s="248">
        <v>43993</v>
      </c>
      <c r="D2570" t="s">
        <v>309</v>
      </c>
      <c r="E2570">
        <v>54</v>
      </c>
    </row>
    <row r="2571" spans="3:5" x14ac:dyDescent="0.25">
      <c r="C2571" s="248">
        <v>43993</v>
      </c>
      <c r="D2571" t="s">
        <v>305</v>
      </c>
      <c r="E2571">
        <v>77</v>
      </c>
    </row>
    <row r="2572" spans="3:5" x14ac:dyDescent="0.25">
      <c r="C2572" s="248">
        <v>43991</v>
      </c>
      <c r="D2572" t="s">
        <v>309</v>
      </c>
      <c r="E2572">
        <v>54</v>
      </c>
    </row>
    <row r="2573" spans="3:5" x14ac:dyDescent="0.25">
      <c r="C2573" s="248">
        <v>43976</v>
      </c>
      <c r="D2573" t="s">
        <v>310</v>
      </c>
      <c r="E2573">
        <v>42</v>
      </c>
    </row>
    <row r="2574" spans="3:5" x14ac:dyDescent="0.25">
      <c r="C2574" s="248">
        <v>43940</v>
      </c>
      <c r="D2574" t="s">
        <v>312</v>
      </c>
      <c r="E2574">
        <v>6</v>
      </c>
    </row>
    <row r="2575" spans="3:5" x14ac:dyDescent="0.25">
      <c r="C2575" s="248">
        <v>43971</v>
      </c>
      <c r="D2575" t="s">
        <v>307</v>
      </c>
      <c r="E2575">
        <v>81</v>
      </c>
    </row>
    <row r="2576" spans="3:5" x14ac:dyDescent="0.25">
      <c r="C2576" s="248">
        <v>43973</v>
      </c>
      <c r="D2576" t="s">
        <v>306</v>
      </c>
      <c r="E2576">
        <v>92</v>
      </c>
    </row>
    <row r="2577" spans="3:5" x14ac:dyDescent="0.25">
      <c r="C2577" s="248">
        <v>44025</v>
      </c>
      <c r="D2577" t="s">
        <v>309</v>
      </c>
      <c r="E2577">
        <v>87</v>
      </c>
    </row>
    <row r="2578" spans="3:5" x14ac:dyDescent="0.25">
      <c r="C2578" s="248">
        <v>43974</v>
      </c>
      <c r="D2578" t="s">
        <v>312</v>
      </c>
      <c r="E2578">
        <v>16</v>
      </c>
    </row>
    <row r="2579" spans="3:5" x14ac:dyDescent="0.25">
      <c r="C2579" s="248">
        <v>43982</v>
      </c>
      <c r="D2579" t="s">
        <v>305</v>
      </c>
      <c r="E2579">
        <v>28</v>
      </c>
    </row>
    <row r="2580" spans="3:5" x14ac:dyDescent="0.25">
      <c r="C2580" s="248">
        <v>43983</v>
      </c>
      <c r="D2580" t="s">
        <v>310</v>
      </c>
      <c r="E2580">
        <v>62</v>
      </c>
    </row>
    <row r="2581" spans="3:5" x14ac:dyDescent="0.25">
      <c r="C2581" s="248">
        <v>43983</v>
      </c>
      <c r="D2581" t="s">
        <v>307</v>
      </c>
      <c r="E2581">
        <v>103</v>
      </c>
    </row>
    <row r="2582" spans="3:5" x14ac:dyDescent="0.25">
      <c r="C2582" s="248">
        <v>43990</v>
      </c>
      <c r="D2582" t="s">
        <v>306</v>
      </c>
      <c r="E2582">
        <v>181</v>
      </c>
    </row>
    <row r="2583" spans="3:5" x14ac:dyDescent="0.25">
      <c r="C2583" s="248">
        <v>44036</v>
      </c>
      <c r="D2583" t="s">
        <v>307</v>
      </c>
      <c r="E2583">
        <v>403</v>
      </c>
    </row>
    <row r="2584" spans="3:5" x14ac:dyDescent="0.25">
      <c r="C2584" s="248">
        <v>44037</v>
      </c>
      <c r="D2584" t="s">
        <v>305</v>
      </c>
      <c r="E2584">
        <v>90</v>
      </c>
    </row>
    <row r="2585" spans="3:5" x14ac:dyDescent="0.25">
      <c r="C2585" s="248">
        <v>44026</v>
      </c>
      <c r="D2585" t="s">
        <v>304</v>
      </c>
      <c r="E2585">
        <v>315</v>
      </c>
    </row>
    <row r="2586" spans="3:5" x14ac:dyDescent="0.25">
      <c r="C2586" s="248">
        <v>44025</v>
      </c>
      <c r="D2586" t="s">
        <v>304</v>
      </c>
      <c r="E2586">
        <v>340</v>
      </c>
    </row>
    <row r="2587" spans="3:5" x14ac:dyDescent="0.25">
      <c r="C2587" s="248">
        <v>44013</v>
      </c>
      <c r="D2587" t="s">
        <v>305</v>
      </c>
      <c r="E2587">
        <v>91</v>
      </c>
    </row>
    <row r="2588" spans="3:5" x14ac:dyDescent="0.25">
      <c r="C2588" s="248">
        <v>44026</v>
      </c>
      <c r="D2588" t="s">
        <v>307</v>
      </c>
      <c r="E2588">
        <v>330</v>
      </c>
    </row>
    <row r="2589" spans="3:5" x14ac:dyDescent="0.25">
      <c r="C2589" s="248">
        <v>44026</v>
      </c>
      <c r="D2589" t="s">
        <v>309</v>
      </c>
      <c r="E2589">
        <v>89</v>
      </c>
    </row>
    <row r="2590" spans="3:5" x14ac:dyDescent="0.25">
      <c r="C2590" s="248">
        <v>44008</v>
      </c>
      <c r="D2590" t="s">
        <v>309</v>
      </c>
      <c r="E2590">
        <v>87</v>
      </c>
    </row>
    <row r="2591" spans="3:5" x14ac:dyDescent="0.25">
      <c r="C2591" s="248">
        <v>43970</v>
      </c>
      <c r="D2591" t="s">
        <v>306</v>
      </c>
      <c r="E2591">
        <v>101</v>
      </c>
    </row>
    <row r="2592" spans="3:5" x14ac:dyDescent="0.25">
      <c r="C2592" s="248">
        <v>43984</v>
      </c>
      <c r="D2592" t="s">
        <v>308</v>
      </c>
      <c r="E2592">
        <v>21</v>
      </c>
    </row>
    <row r="2593" spans="3:5" x14ac:dyDescent="0.25">
      <c r="C2593" s="248">
        <v>43987</v>
      </c>
      <c r="D2593" t="s">
        <v>312</v>
      </c>
      <c r="E2593">
        <v>24</v>
      </c>
    </row>
    <row r="2594" spans="3:5" x14ac:dyDescent="0.25">
      <c r="C2594" s="248">
        <v>43996</v>
      </c>
      <c r="D2594" t="s">
        <v>311</v>
      </c>
      <c r="E2594">
        <v>32</v>
      </c>
    </row>
    <row r="2595" spans="3:5" x14ac:dyDescent="0.25">
      <c r="C2595" s="248">
        <v>44001</v>
      </c>
      <c r="D2595" t="s">
        <v>312</v>
      </c>
      <c r="E2595">
        <v>80</v>
      </c>
    </row>
    <row r="2596" spans="3:5" x14ac:dyDescent="0.25">
      <c r="C2596" s="248">
        <v>44003</v>
      </c>
      <c r="D2596" t="s">
        <v>309</v>
      </c>
      <c r="E2596">
        <v>62</v>
      </c>
    </row>
    <row r="2597" spans="3:5" x14ac:dyDescent="0.25">
      <c r="C2597" s="248">
        <v>44009</v>
      </c>
      <c r="D2597" t="s">
        <v>304</v>
      </c>
      <c r="E2597">
        <v>214</v>
      </c>
    </row>
    <row r="2598" spans="3:5" x14ac:dyDescent="0.25">
      <c r="C2598" s="248">
        <v>43995</v>
      </c>
      <c r="D2598" t="s">
        <v>304</v>
      </c>
      <c r="E2598">
        <v>147</v>
      </c>
    </row>
    <row r="2599" spans="3:5" x14ac:dyDescent="0.25">
      <c r="C2599" s="248">
        <v>43995</v>
      </c>
      <c r="D2599" t="s">
        <v>310</v>
      </c>
      <c r="E2599">
        <v>76</v>
      </c>
    </row>
    <row r="2600" spans="3:5" x14ac:dyDescent="0.25">
      <c r="C2600" s="248">
        <v>43998</v>
      </c>
      <c r="D2600" t="s">
        <v>307</v>
      </c>
      <c r="E2600">
        <v>181</v>
      </c>
    </row>
    <row r="2601" spans="3:5" x14ac:dyDescent="0.25">
      <c r="C2601" s="248">
        <v>44001</v>
      </c>
      <c r="D2601" t="s">
        <v>309</v>
      </c>
      <c r="E2601">
        <v>74</v>
      </c>
    </row>
    <row r="2602" spans="3:5" x14ac:dyDescent="0.25">
      <c r="C2602" s="248">
        <v>43991</v>
      </c>
      <c r="D2602" t="s">
        <v>304</v>
      </c>
      <c r="E2602">
        <v>133</v>
      </c>
    </row>
    <row r="2603" spans="3:5" x14ac:dyDescent="0.25">
      <c r="C2603" s="248">
        <v>43986</v>
      </c>
      <c r="D2603" t="s">
        <v>312</v>
      </c>
      <c r="E2603">
        <v>24</v>
      </c>
    </row>
    <row r="2604" spans="3:5" x14ac:dyDescent="0.25">
      <c r="C2604" s="248">
        <v>43999</v>
      </c>
      <c r="D2604" t="s">
        <v>308</v>
      </c>
      <c r="E2604">
        <v>51</v>
      </c>
    </row>
    <row r="2605" spans="3:5" x14ac:dyDescent="0.25">
      <c r="C2605" s="248">
        <v>44013</v>
      </c>
      <c r="D2605" t="s">
        <v>310</v>
      </c>
      <c r="E2605">
        <v>154</v>
      </c>
    </row>
    <row r="2606" spans="3:5" x14ac:dyDescent="0.25">
      <c r="C2606" s="248">
        <v>44022</v>
      </c>
      <c r="D2606" t="s">
        <v>308</v>
      </c>
      <c r="E2606">
        <v>52</v>
      </c>
    </row>
    <row r="2607" spans="3:5" x14ac:dyDescent="0.25">
      <c r="C2607" s="248">
        <v>44030</v>
      </c>
      <c r="D2607" t="s">
        <v>312</v>
      </c>
      <c r="E2607">
        <v>91</v>
      </c>
    </row>
    <row r="2608" spans="3:5" x14ac:dyDescent="0.25">
      <c r="C2608" s="248">
        <v>44042</v>
      </c>
      <c r="D2608" t="s">
        <v>305</v>
      </c>
      <c r="E2608">
        <v>123</v>
      </c>
    </row>
    <row r="2609" spans="3:5" x14ac:dyDescent="0.25">
      <c r="C2609" s="248">
        <v>44016</v>
      </c>
      <c r="D2609" t="s">
        <v>309</v>
      </c>
      <c r="E2609">
        <v>79</v>
      </c>
    </row>
    <row r="2610" spans="3:5" x14ac:dyDescent="0.25">
      <c r="C2610" s="248">
        <v>44019</v>
      </c>
      <c r="D2610" t="s">
        <v>309</v>
      </c>
      <c r="E2610">
        <v>82</v>
      </c>
    </row>
    <row r="2611" spans="3:5" x14ac:dyDescent="0.25">
      <c r="C2611" s="248">
        <v>44020</v>
      </c>
      <c r="D2611" t="s">
        <v>306</v>
      </c>
      <c r="E2611">
        <v>402</v>
      </c>
    </row>
    <row r="2612" spans="3:5" x14ac:dyDescent="0.25">
      <c r="C2612" s="248">
        <v>44019</v>
      </c>
      <c r="D2612" t="s">
        <v>305</v>
      </c>
      <c r="E2612">
        <v>84</v>
      </c>
    </row>
    <row r="2613" spans="3:5" x14ac:dyDescent="0.25">
      <c r="C2613" s="248">
        <v>44021</v>
      </c>
      <c r="D2613" t="s">
        <v>309</v>
      </c>
      <c r="E2613">
        <v>75</v>
      </c>
    </row>
    <row r="2614" spans="3:5" x14ac:dyDescent="0.25">
      <c r="C2614" s="248">
        <v>44020</v>
      </c>
      <c r="D2614" t="s">
        <v>304</v>
      </c>
      <c r="E2614">
        <v>317</v>
      </c>
    </row>
    <row r="2615" spans="3:5" x14ac:dyDescent="0.25">
      <c r="C2615" s="248">
        <v>44011</v>
      </c>
      <c r="D2615" t="s">
        <v>311</v>
      </c>
      <c r="E2615">
        <v>82</v>
      </c>
    </row>
    <row r="2616" spans="3:5" x14ac:dyDescent="0.25">
      <c r="C2616" s="248">
        <v>44013</v>
      </c>
      <c r="D2616" t="s">
        <v>306</v>
      </c>
      <c r="E2616">
        <v>317</v>
      </c>
    </row>
    <row r="2617" spans="3:5" x14ac:dyDescent="0.25">
      <c r="C2617" s="248">
        <v>44015</v>
      </c>
      <c r="D2617" t="s">
        <v>310</v>
      </c>
      <c r="E2617">
        <v>206</v>
      </c>
    </row>
    <row r="2618" spans="3:5" x14ac:dyDescent="0.25">
      <c r="C2618" s="248">
        <v>43972</v>
      </c>
      <c r="D2618" t="s">
        <v>306</v>
      </c>
      <c r="E2618">
        <v>115</v>
      </c>
    </row>
    <row r="2619" spans="3:5" x14ac:dyDescent="0.25">
      <c r="C2619" s="248">
        <v>44006</v>
      </c>
      <c r="D2619" t="s">
        <v>310</v>
      </c>
      <c r="E2619">
        <v>168</v>
      </c>
    </row>
    <row r="2620" spans="3:5" x14ac:dyDescent="0.25">
      <c r="C2620" s="248">
        <v>43996</v>
      </c>
      <c r="D2620" t="s">
        <v>308</v>
      </c>
      <c r="E2620">
        <v>13</v>
      </c>
    </row>
    <row r="2621" spans="3:5" x14ac:dyDescent="0.25">
      <c r="C2621" s="248">
        <v>43998</v>
      </c>
      <c r="D2621" t="s">
        <v>304</v>
      </c>
      <c r="E2621">
        <v>201</v>
      </c>
    </row>
    <row r="2622" spans="3:5" x14ac:dyDescent="0.25">
      <c r="C2622" s="248">
        <v>44002</v>
      </c>
      <c r="D2622" t="s">
        <v>306</v>
      </c>
      <c r="E2622">
        <v>206</v>
      </c>
    </row>
    <row r="2623" spans="3:5" x14ac:dyDescent="0.25">
      <c r="C2623" s="248">
        <v>44002</v>
      </c>
      <c r="D2623" t="s">
        <v>304</v>
      </c>
      <c r="E2623">
        <v>197</v>
      </c>
    </row>
    <row r="2624" spans="3:5" x14ac:dyDescent="0.25">
      <c r="C2624" s="248">
        <v>43987</v>
      </c>
      <c r="D2624" t="s">
        <v>305</v>
      </c>
      <c r="E2624">
        <v>67</v>
      </c>
    </row>
    <row r="2625" spans="3:5" x14ac:dyDescent="0.25">
      <c r="C2625" s="248">
        <v>43987</v>
      </c>
      <c r="D2625" t="s">
        <v>309</v>
      </c>
      <c r="E2625">
        <v>53</v>
      </c>
    </row>
    <row r="2626" spans="3:5" x14ac:dyDescent="0.25">
      <c r="C2626" s="248">
        <v>43987</v>
      </c>
      <c r="D2626" t="s">
        <v>304</v>
      </c>
      <c r="E2626">
        <v>119</v>
      </c>
    </row>
    <row r="2627" spans="3:5" x14ac:dyDescent="0.25">
      <c r="C2627" s="248">
        <v>44033</v>
      </c>
      <c r="D2627" t="s">
        <v>311</v>
      </c>
      <c r="E2627">
        <v>159</v>
      </c>
    </row>
    <row r="2628" spans="3:5" x14ac:dyDescent="0.25">
      <c r="C2628" s="248">
        <v>44020</v>
      </c>
      <c r="D2628" t="s">
        <v>305</v>
      </c>
      <c r="E2628">
        <v>95</v>
      </c>
    </row>
    <row r="2629" spans="3:5" x14ac:dyDescent="0.25">
      <c r="C2629" s="248">
        <v>44028</v>
      </c>
      <c r="D2629" t="s">
        <v>307</v>
      </c>
      <c r="E2629">
        <v>364</v>
      </c>
    </row>
    <row r="2630" spans="3:5" x14ac:dyDescent="0.25">
      <c r="C2630" s="248">
        <v>44018</v>
      </c>
      <c r="D2630" t="s">
        <v>311</v>
      </c>
      <c r="E2630">
        <v>127</v>
      </c>
    </row>
    <row r="2631" spans="3:5" x14ac:dyDescent="0.25">
      <c r="C2631" s="248">
        <v>44004</v>
      </c>
      <c r="D2631" t="s">
        <v>305</v>
      </c>
      <c r="E2631">
        <v>109</v>
      </c>
    </row>
    <row r="2632" spans="3:5" x14ac:dyDescent="0.25">
      <c r="C2632" s="248">
        <v>43973</v>
      </c>
      <c r="D2632" t="s">
        <v>305</v>
      </c>
      <c r="E2632">
        <v>32</v>
      </c>
    </row>
    <row r="2633" spans="3:5" x14ac:dyDescent="0.25">
      <c r="C2633" s="248">
        <v>43975</v>
      </c>
      <c r="D2633" t="s">
        <v>311</v>
      </c>
      <c r="E2633">
        <v>17</v>
      </c>
    </row>
    <row r="2634" spans="3:5" x14ac:dyDescent="0.25">
      <c r="C2634" s="248">
        <v>43979</v>
      </c>
      <c r="D2634" t="s">
        <v>312</v>
      </c>
      <c r="E2634">
        <v>59</v>
      </c>
    </row>
    <row r="2635" spans="3:5" x14ac:dyDescent="0.25">
      <c r="C2635" s="248">
        <v>43982</v>
      </c>
      <c r="D2635" t="s">
        <v>304</v>
      </c>
      <c r="E2635">
        <v>62</v>
      </c>
    </row>
    <row r="2636" spans="3:5" x14ac:dyDescent="0.25">
      <c r="C2636" s="248">
        <v>43989</v>
      </c>
      <c r="D2636" t="s">
        <v>308</v>
      </c>
      <c r="E2636">
        <v>11</v>
      </c>
    </row>
    <row r="2637" spans="3:5" x14ac:dyDescent="0.25">
      <c r="C2637" s="248">
        <v>43990</v>
      </c>
      <c r="D2637" t="s">
        <v>307</v>
      </c>
      <c r="E2637">
        <v>135</v>
      </c>
    </row>
    <row r="2638" spans="3:5" x14ac:dyDescent="0.25">
      <c r="C2638" s="248">
        <v>43996</v>
      </c>
      <c r="D2638" t="s">
        <v>307</v>
      </c>
      <c r="E2638">
        <v>79</v>
      </c>
    </row>
    <row r="2639" spans="3:5" x14ac:dyDescent="0.25">
      <c r="C2639" s="248">
        <v>44019</v>
      </c>
      <c r="D2639" t="s">
        <v>312</v>
      </c>
      <c r="E2639">
        <v>80</v>
      </c>
    </row>
    <row r="2640" spans="3:5" x14ac:dyDescent="0.25">
      <c r="C2640" s="248">
        <v>43994</v>
      </c>
      <c r="D2640" t="s">
        <v>305</v>
      </c>
      <c r="E2640">
        <v>91</v>
      </c>
    </row>
    <row r="2641" spans="3:5" x14ac:dyDescent="0.25">
      <c r="C2641" s="248">
        <v>44047</v>
      </c>
      <c r="D2641" t="s">
        <v>312</v>
      </c>
      <c r="E2641">
        <v>199</v>
      </c>
    </row>
    <row r="2642" spans="3:5" x14ac:dyDescent="0.25">
      <c r="C2642" s="248">
        <v>44032</v>
      </c>
      <c r="D2642" t="s">
        <v>305</v>
      </c>
      <c r="E2642">
        <v>117</v>
      </c>
    </row>
    <row r="2643" spans="3:5" x14ac:dyDescent="0.25">
      <c r="C2643" s="248">
        <v>44028</v>
      </c>
      <c r="D2643" t="s">
        <v>311</v>
      </c>
      <c r="E2643">
        <v>132</v>
      </c>
    </row>
    <row r="2644" spans="3:5" x14ac:dyDescent="0.25">
      <c r="C2644" s="248">
        <v>44018</v>
      </c>
      <c r="D2644" t="s">
        <v>306</v>
      </c>
      <c r="E2644">
        <v>394</v>
      </c>
    </row>
    <row r="2645" spans="3:5" x14ac:dyDescent="0.25">
      <c r="C2645" s="248">
        <v>44018</v>
      </c>
      <c r="D2645" t="s">
        <v>307</v>
      </c>
      <c r="E2645">
        <v>312</v>
      </c>
    </row>
    <row r="2646" spans="3:5" x14ac:dyDescent="0.25">
      <c r="C2646" s="248">
        <v>44018</v>
      </c>
      <c r="D2646" t="s">
        <v>304</v>
      </c>
      <c r="E2646">
        <v>297</v>
      </c>
    </row>
    <row r="2647" spans="3:5" x14ac:dyDescent="0.25">
      <c r="C2647" s="248">
        <v>44018</v>
      </c>
      <c r="D2647" t="s">
        <v>309</v>
      </c>
      <c r="E2647">
        <v>72</v>
      </c>
    </row>
    <row r="2648" spans="3:5" x14ac:dyDescent="0.25">
      <c r="C2648" s="248">
        <v>44015</v>
      </c>
      <c r="D2648" t="s">
        <v>304</v>
      </c>
      <c r="E2648">
        <v>277</v>
      </c>
    </row>
    <row r="2649" spans="3:5" x14ac:dyDescent="0.25">
      <c r="C2649" s="248">
        <v>44004</v>
      </c>
      <c r="D2649" t="s">
        <v>307</v>
      </c>
      <c r="E2649">
        <v>238</v>
      </c>
    </row>
    <row r="2650" spans="3:5" x14ac:dyDescent="0.25">
      <c r="C2650" s="248">
        <v>43986</v>
      </c>
      <c r="D2650" t="s">
        <v>305</v>
      </c>
      <c r="E2650">
        <v>48</v>
      </c>
    </row>
    <row r="2651" spans="3:5" x14ac:dyDescent="0.25">
      <c r="C2651" s="248">
        <v>43986</v>
      </c>
      <c r="D2651" t="s">
        <v>309</v>
      </c>
      <c r="E2651">
        <v>48</v>
      </c>
    </row>
    <row r="2652" spans="3:5" x14ac:dyDescent="0.25">
      <c r="C2652" s="248">
        <v>43986</v>
      </c>
      <c r="D2652" t="s">
        <v>306</v>
      </c>
      <c r="E2652">
        <v>117</v>
      </c>
    </row>
    <row r="2653" spans="3:5" x14ac:dyDescent="0.25">
      <c r="C2653" s="248">
        <v>43974</v>
      </c>
      <c r="D2653" t="s">
        <v>310</v>
      </c>
      <c r="E2653">
        <v>41</v>
      </c>
    </row>
    <row r="2654" spans="3:5" x14ac:dyDescent="0.25">
      <c r="C2654" s="248">
        <v>43974</v>
      </c>
      <c r="D2654" t="s">
        <v>311</v>
      </c>
      <c r="E2654">
        <v>22</v>
      </c>
    </row>
    <row r="2655" spans="3:5" x14ac:dyDescent="0.25">
      <c r="C2655" s="248">
        <v>43977</v>
      </c>
      <c r="D2655" t="s">
        <v>307</v>
      </c>
      <c r="E2655">
        <v>88</v>
      </c>
    </row>
    <row r="2656" spans="3:5" x14ac:dyDescent="0.25">
      <c r="C2656" s="248">
        <v>43991</v>
      </c>
      <c r="D2656" t="s">
        <v>305</v>
      </c>
      <c r="E2656">
        <v>66</v>
      </c>
    </row>
    <row r="2657" spans="3:5" x14ac:dyDescent="0.25">
      <c r="C2657" s="248">
        <v>43994</v>
      </c>
      <c r="D2657" t="s">
        <v>304</v>
      </c>
      <c r="E2657">
        <v>153</v>
      </c>
    </row>
    <row r="2658" spans="3:5" x14ac:dyDescent="0.25">
      <c r="C2658" s="248">
        <v>44020</v>
      </c>
      <c r="D2658" t="s">
        <v>308</v>
      </c>
      <c r="E2658">
        <v>84</v>
      </c>
    </row>
    <row r="2659" spans="3:5" x14ac:dyDescent="0.25">
      <c r="C2659" s="248">
        <v>44022</v>
      </c>
      <c r="D2659" t="s">
        <v>306</v>
      </c>
      <c r="E2659">
        <v>295</v>
      </c>
    </row>
    <row r="2660" spans="3:5" x14ac:dyDescent="0.25">
      <c r="C2660" s="248">
        <v>44024</v>
      </c>
      <c r="D2660" t="s">
        <v>312</v>
      </c>
      <c r="E2660">
        <v>87</v>
      </c>
    </row>
    <row r="2661" spans="3:5" x14ac:dyDescent="0.25">
      <c r="C2661" s="248">
        <v>44025</v>
      </c>
      <c r="D2661" t="s">
        <v>312</v>
      </c>
      <c r="E2661">
        <v>143</v>
      </c>
    </row>
    <row r="2662" spans="3:5" x14ac:dyDescent="0.25">
      <c r="C2662" s="248">
        <v>44017</v>
      </c>
      <c r="D2662" t="s">
        <v>308</v>
      </c>
      <c r="E2662">
        <v>69</v>
      </c>
    </row>
    <row r="2663" spans="3:5" x14ac:dyDescent="0.25">
      <c r="C2663" s="248">
        <v>44016</v>
      </c>
      <c r="D2663" t="s">
        <v>304</v>
      </c>
      <c r="E2663">
        <v>209</v>
      </c>
    </row>
    <row r="2664" spans="3:5" x14ac:dyDescent="0.25">
      <c r="C2664" s="248">
        <v>44016</v>
      </c>
      <c r="D2664" t="s">
        <v>311</v>
      </c>
      <c r="E2664">
        <v>84</v>
      </c>
    </row>
    <row r="2665" spans="3:5" x14ac:dyDescent="0.25">
      <c r="C2665" s="248">
        <v>44017</v>
      </c>
      <c r="D2665" t="s">
        <v>304</v>
      </c>
      <c r="E2665">
        <v>184</v>
      </c>
    </row>
    <row r="2666" spans="3:5" x14ac:dyDescent="0.25">
      <c r="C2666" s="248">
        <v>44017</v>
      </c>
      <c r="D2666" t="s">
        <v>309</v>
      </c>
      <c r="E2666">
        <v>59</v>
      </c>
    </row>
    <row r="2667" spans="3:5" x14ac:dyDescent="0.25">
      <c r="C2667" s="248">
        <v>44017</v>
      </c>
      <c r="D2667" t="s">
        <v>306</v>
      </c>
      <c r="E2667">
        <v>198</v>
      </c>
    </row>
    <row r="2668" spans="3:5" x14ac:dyDescent="0.25">
      <c r="C2668" s="248">
        <v>44017</v>
      </c>
      <c r="D2668" t="s">
        <v>305</v>
      </c>
      <c r="E2668">
        <v>66</v>
      </c>
    </row>
    <row r="2669" spans="3:5" x14ac:dyDescent="0.25">
      <c r="C2669" s="248">
        <v>43998</v>
      </c>
      <c r="D2669" t="s">
        <v>309</v>
      </c>
      <c r="E2669">
        <v>78</v>
      </c>
    </row>
    <row r="2670" spans="3:5" x14ac:dyDescent="0.25">
      <c r="C2670" s="248">
        <v>43986</v>
      </c>
      <c r="D2670" t="s">
        <v>310</v>
      </c>
      <c r="E2670">
        <v>57</v>
      </c>
    </row>
    <row r="2671" spans="3:5" x14ac:dyDescent="0.25">
      <c r="C2671" s="248">
        <v>43985</v>
      </c>
      <c r="D2671" t="s">
        <v>311</v>
      </c>
      <c r="E2671">
        <v>39</v>
      </c>
    </row>
    <row r="2672" spans="3:5" x14ac:dyDescent="0.25">
      <c r="C2672" s="248">
        <v>43984</v>
      </c>
      <c r="D2672" t="s">
        <v>304</v>
      </c>
      <c r="E2672">
        <v>119</v>
      </c>
    </row>
    <row r="2673" spans="3:5" x14ac:dyDescent="0.25">
      <c r="C2673" s="248">
        <v>44005</v>
      </c>
      <c r="D2673" t="s">
        <v>311</v>
      </c>
      <c r="E2673">
        <v>80</v>
      </c>
    </row>
    <row r="2674" spans="3:5" x14ac:dyDescent="0.25">
      <c r="C2674" s="248">
        <v>44006</v>
      </c>
      <c r="D2674" t="s">
        <v>309</v>
      </c>
      <c r="E2674">
        <v>63</v>
      </c>
    </row>
    <row r="2675" spans="3:5" x14ac:dyDescent="0.25">
      <c r="C2675" s="248">
        <v>43981</v>
      </c>
      <c r="D2675" t="s">
        <v>307</v>
      </c>
      <c r="E2675">
        <v>46</v>
      </c>
    </row>
    <row r="2676" spans="3:5" x14ac:dyDescent="0.25">
      <c r="C2676" s="248">
        <v>43988</v>
      </c>
      <c r="D2676" t="s">
        <v>309</v>
      </c>
      <c r="E2676">
        <v>47</v>
      </c>
    </row>
    <row r="2677" spans="3:5" x14ac:dyDescent="0.25">
      <c r="C2677" s="248">
        <v>43990</v>
      </c>
      <c r="D2677" t="s">
        <v>310</v>
      </c>
      <c r="E2677">
        <v>111</v>
      </c>
    </row>
    <row r="2678" spans="3:5" x14ac:dyDescent="0.25">
      <c r="C2678" s="248">
        <v>44003</v>
      </c>
      <c r="D2678" t="s">
        <v>312</v>
      </c>
      <c r="E2678">
        <v>46</v>
      </c>
    </row>
    <row r="2679" spans="3:5" x14ac:dyDescent="0.25">
      <c r="C2679" s="248">
        <v>44049</v>
      </c>
      <c r="D2679" t="s">
        <v>309</v>
      </c>
      <c r="E2679">
        <v>94</v>
      </c>
    </row>
    <row r="2680" spans="3:5" x14ac:dyDescent="0.25">
      <c r="C2680" s="248">
        <v>44027</v>
      </c>
      <c r="D2680" t="s">
        <v>311</v>
      </c>
      <c r="E2680">
        <v>122</v>
      </c>
    </row>
    <row r="2681" spans="3:5" x14ac:dyDescent="0.25">
      <c r="C2681" s="248">
        <v>43999</v>
      </c>
      <c r="D2681" t="s">
        <v>312</v>
      </c>
      <c r="E2681">
        <v>56</v>
      </c>
    </row>
    <row r="2682" spans="3:5" x14ac:dyDescent="0.25">
      <c r="C2682" s="248">
        <v>44007</v>
      </c>
      <c r="D2682" t="s">
        <v>312</v>
      </c>
      <c r="E2682">
        <v>57</v>
      </c>
    </row>
    <row r="2683" spans="3:5" x14ac:dyDescent="0.25">
      <c r="C2683" s="248">
        <v>44012</v>
      </c>
      <c r="D2683" t="s">
        <v>308</v>
      </c>
      <c r="E2683">
        <v>57</v>
      </c>
    </row>
    <row r="2684" spans="3:5" x14ac:dyDescent="0.25">
      <c r="C2684" s="248">
        <v>44020</v>
      </c>
      <c r="D2684" t="s">
        <v>312</v>
      </c>
      <c r="E2684">
        <v>127</v>
      </c>
    </row>
    <row r="2685" spans="3:5" x14ac:dyDescent="0.25">
      <c r="C2685" s="248">
        <v>44031</v>
      </c>
      <c r="D2685" t="s">
        <v>306</v>
      </c>
      <c r="E2685">
        <v>363</v>
      </c>
    </row>
    <row r="2686" spans="3:5" x14ac:dyDescent="0.25">
      <c r="C2686" s="248">
        <v>44015</v>
      </c>
      <c r="D2686" t="s">
        <v>305</v>
      </c>
      <c r="E2686">
        <v>118</v>
      </c>
    </row>
    <row r="2687" spans="3:5" x14ac:dyDescent="0.25">
      <c r="C2687" s="248">
        <v>44016</v>
      </c>
      <c r="D2687" t="s">
        <v>305</v>
      </c>
      <c r="E2687">
        <v>66</v>
      </c>
    </row>
    <row r="2688" spans="3:5" x14ac:dyDescent="0.25">
      <c r="C2688" s="248">
        <v>44015</v>
      </c>
      <c r="D2688" t="s">
        <v>307</v>
      </c>
      <c r="E2688">
        <v>277</v>
      </c>
    </row>
    <row r="2689" spans="3:5" x14ac:dyDescent="0.25">
      <c r="C2689" s="248">
        <v>43993</v>
      </c>
      <c r="D2689" t="s">
        <v>312</v>
      </c>
      <c r="E2689">
        <v>30</v>
      </c>
    </row>
    <row r="2690" spans="3:5" x14ac:dyDescent="0.25">
      <c r="C2690" s="248">
        <v>43958</v>
      </c>
      <c r="D2690" t="s">
        <v>304</v>
      </c>
      <c r="E2690">
        <v>31</v>
      </c>
    </row>
    <row r="2691" spans="3:5" x14ac:dyDescent="0.25">
      <c r="C2691" s="248">
        <v>43971</v>
      </c>
      <c r="D2691" t="s">
        <v>310</v>
      </c>
      <c r="E2691">
        <v>58</v>
      </c>
    </row>
    <row r="2692" spans="3:5" x14ac:dyDescent="0.25">
      <c r="C2692" s="248">
        <v>43981</v>
      </c>
      <c r="D2692" t="s">
        <v>306</v>
      </c>
      <c r="E2692">
        <v>86</v>
      </c>
    </row>
    <row r="2693" spans="3:5" x14ac:dyDescent="0.25">
      <c r="C2693" s="248">
        <v>43989</v>
      </c>
      <c r="D2693" t="s">
        <v>310</v>
      </c>
      <c r="E2693">
        <v>43</v>
      </c>
    </row>
    <row r="2694" spans="3:5" x14ac:dyDescent="0.25">
      <c r="C2694" s="248">
        <v>43992</v>
      </c>
      <c r="D2694" t="s">
        <v>312</v>
      </c>
      <c r="E2694">
        <v>69</v>
      </c>
    </row>
    <row r="2695" spans="3:5" x14ac:dyDescent="0.25">
      <c r="C2695" s="248">
        <v>43981</v>
      </c>
      <c r="D2695" t="s">
        <v>304</v>
      </c>
      <c r="E2695">
        <v>71</v>
      </c>
    </row>
    <row r="2696" spans="3:5" x14ac:dyDescent="0.25">
      <c r="C2696" s="248">
        <v>43996</v>
      </c>
      <c r="D2696" t="s">
        <v>310</v>
      </c>
      <c r="E2696">
        <v>56</v>
      </c>
    </row>
    <row r="2697" spans="3:5" x14ac:dyDescent="0.25">
      <c r="C2697" s="248">
        <v>43999</v>
      </c>
      <c r="D2697" t="s">
        <v>309</v>
      </c>
      <c r="E2697">
        <v>69</v>
      </c>
    </row>
    <row r="2698" spans="3:5" x14ac:dyDescent="0.25">
      <c r="C2698" s="248">
        <v>43999</v>
      </c>
      <c r="D2698" t="s">
        <v>311</v>
      </c>
      <c r="E2698">
        <v>90</v>
      </c>
    </row>
    <row r="2699" spans="3:5" x14ac:dyDescent="0.25">
      <c r="C2699" s="248">
        <v>43997</v>
      </c>
      <c r="D2699" t="s">
        <v>305</v>
      </c>
      <c r="E2699">
        <v>58</v>
      </c>
    </row>
    <row r="2700" spans="3:5" x14ac:dyDescent="0.25">
      <c r="C2700" s="248">
        <v>44038</v>
      </c>
      <c r="D2700" t="s">
        <v>307</v>
      </c>
      <c r="E2700">
        <v>227</v>
      </c>
    </row>
    <row r="2701" spans="3:5" x14ac:dyDescent="0.25">
      <c r="C2701" s="248">
        <v>44040</v>
      </c>
      <c r="D2701" t="s">
        <v>308</v>
      </c>
      <c r="E2701">
        <v>89</v>
      </c>
    </row>
    <row r="2702" spans="3:5" x14ac:dyDescent="0.25">
      <c r="C2702" s="248">
        <v>43901</v>
      </c>
      <c r="D2702" t="s">
        <v>310</v>
      </c>
      <c r="E2702">
        <v>1</v>
      </c>
    </row>
    <row r="2703" spans="3:5" x14ac:dyDescent="0.25">
      <c r="C2703" s="248">
        <v>44021</v>
      </c>
      <c r="D2703" t="s">
        <v>312</v>
      </c>
      <c r="E2703">
        <v>87</v>
      </c>
    </row>
    <row r="2704" spans="3:5" x14ac:dyDescent="0.25">
      <c r="C2704" s="248">
        <v>44021</v>
      </c>
      <c r="D2704" t="s">
        <v>306</v>
      </c>
      <c r="E2704">
        <v>316</v>
      </c>
    </row>
    <row r="2705" spans="3:5" x14ac:dyDescent="0.25">
      <c r="C2705" s="248">
        <v>44022</v>
      </c>
      <c r="D2705" t="s">
        <v>307</v>
      </c>
      <c r="E2705">
        <v>251</v>
      </c>
    </row>
    <row r="2706" spans="3:5" x14ac:dyDescent="0.25">
      <c r="C2706" s="248">
        <v>44015</v>
      </c>
      <c r="D2706" t="s">
        <v>309</v>
      </c>
      <c r="E2706">
        <v>96</v>
      </c>
    </row>
    <row r="2707" spans="3:5" x14ac:dyDescent="0.25">
      <c r="C2707" s="248">
        <v>44000</v>
      </c>
      <c r="D2707" t="s">
        <v>311</v>
      </c>
      <c r="E2707">
        <v>66</v>
      </c>
    </row>
    <row r="2708" spans="3:5" x14ac:dyDescent="0.25">
      <c r="C2708" s="248">
        <v>43994</v>
      </c>
      <c r="D2708" t="s">
        <v>310</v>
      </c>
      <c r="E2708">
        <v>95</v>
      </c>
    </row>
    <row r="2709" spans="3:5" x14ac:dyDescent="0.25">
      <c r="C2709" s="248">
        <v>43980</v>
      </c>
      <c r="D2709" t="s">
        <v>312</v>
      </c>
      <c r="E2709">
        <v>29</v>
      </c>
    </row>
    <row r="2710" spans="3:5" x14ac:dyDescent="0.25">
      <c r="C2710" s="248">
        <v>43982</v>
      </c>
      <c r="D2710" t="s">
        <v>312</v>
      </c>
      <c r="E2710">
        <v>17</v>
      </c>
    </row>
    <row r="2711" spans="3:5" x14ac:dyDescent="0.25">
      <c r="C2711" s="248">
        <v>43988</v>
      </c>
      <c r="D2711" t="s">
        <v>306</v>
      </c>
      <c r="E2711">
        <v>122</v>
      </c>
    </row>
    <row r="2712" spans="3:5" x14ac:dyDescent="0.25">
      <c r="C2712" s="248">
        <v>43989</v>
      </c>
      <c r="D2712" t="s">
        <v>307</v>
      </c>
      <c r="E2712">
        <v>71</v>
      </c>
    </row>
    <row r="2713" spans="3:5" x14ac:dyDescent="0.25">
      <c r="C2713" s="248">
        <v>43990</v>
      </c>
      <c r="D2713" t="s">
        <v>311</v>
      </c>
      <c r="E2713">
        <v>53</v>
      </c>
    </row>
    <row r="2714" spans="3:5" x14ac:dyDescent="0.25">
      <c r="C2714" s="248">
        <v>43993</v>
      </c>
      <c r="D2714" t="s">
        <v>308</v>
      </c>
      <c r="E2714">
        <v>34</v>
      </c>
    </row>
    <row r="2715" spans="3:5" x14ac:dyDescent="0.25">
      <c r="C2715" s="248">
        <v>43994</v>
      </c>
      <c r="D2715" t="s">
        <v>311</v>
      </c>
      <c r="E2715">
        <v>64</v>
      </c>
    </row>
    <row r="2716" spans="3:5" x14ac:dyDescent="0.25">
      <c r="C2716" s="248">
        <v>44038</v>
      </c>
      <c r="D2716" t="s">
        <v>310</v>
      </c>
      <c r="E2716">
        <v>164</v>
      </c>
    </row>
    <row r="2717" spans="3:5" x14ac:dyDescent="0.25">
      <c r="C2717" s="248">
        <v>44038</v>
      </c>
      <c r="D2717" t="s">
        <v>305</v>
      </c>
      <c r="E2717">
        <v>87</v>
      </c>
    </row>
    <row r="2718" spans="3:5" x14ac:dyDescent="0.25">
      <c r="C2718" s="248">
        <v>44014</v>
      </c>
      <c r="D2718" t="s">
        <v>306</v>
      </c>
      <c r="E2718">
        <v>315</v>
      </c>
    </row>
    <row r="2719" spans="3:5" x14ac:dyDescent="0.25">
      <c r="C2719" s="248">
        <v>44014</v>
      </c>
      <c r="D2719" t="s">
        <v>309</v>
      </c>
      <c r="E2719">
        <v>71</v>
      </c>
    </row>
    <row r="2720" spans="3:5" x14ac:dyDescent="0.25">
      <c r="C2720" s="248">
        <v>44014</v>
      </c>
      <c r="D2720" t="s">
        <v>305</v>
      </c>
      <c r="E2720">
        <v>103</v>
      </c>
    </row>
    <row r="2721" spans="3:5" x14ac:dyDescent="0.25">
      <c r="C2721" s="248">
        <v>43998</v>
      </c>
      <c r="D2721" t="s">
        <v>312</v>
      </c>
      <c r="E2721">
        <v>36</v>
      </c>
    </row>
    <row r="2722" spans="3:5" x14ac:dyDescent="0.25">
      <c r="C2722" s="248">
        <v>44009</v>
      </c>
      <c r="D2722" t="s">
        <v>307</v>
      </c>
      <c r="E2722">
        <v>191</v>
      </c>
    </row>
    <row r="2723" spans="3:5" x14ac:dyDescent="0.25">
      <c r="C2723" s="248">
        <v>44011</v>
      </c>
      <c r="D2723" t="s">
        <v>309</v>
      </c>
      <c r="E2723">
        <v>62</v>
      </c>
    </row>
    <row r="2724" spans="3:5" x14ac:dyDescent="0.25">
      <c r="C2724" s="248">
        <v>44011</v>
      </c>
      <c r="D2724" t="s">
        <v>305</v>
      </c>
      <c r="E2724">
        <v>94</v>
      </c>
    </row>
    <row r="2725" spans="3:5" x14ac:dyDescent="0.25">
      <c r="C2725" s="248">
        <v>43998</v>
      </c>
      <c r="D2725" t="s">
        <v>305</v>
      </c>
      <c r="E2725">
        <v>56</v>
      </c>
    </row>
    <row r="2726" spans="3:5" x14ac:dyDescent="0.25">
      <c r="C2726" s="248">
        <v>44048</v>
      </c>
      <c r="D2726" t="s">
        <v>305</v>
      </c>
      <c r="E2726">
        <v>163</v>
      </c>
    </row>
    <row r="2727" spans="3:5" x14ac:dyDescent="0.25">
      <c r="C2727" s="248">
        <v>44048</v>
      </c>
      <c r="D2727" t="s">
        <v>309</v>
      </c>
      <c r="E2727">
        <v>105</v>
      </c>
    </row>
    <row r="2728" spans="3:5" x14ac:dyDescent="0.25">
      <c r="C2728" s="248">
        <v>44029</v>
      </c>
      <c r="D2728" t="s">
        <v>309</v>
      </c>
      <c r="E2728">
        <v>78</v>
      </c>
    </row>
    <row r="2729" spans="3:5" x14ac:dyDescent="0.25">
      <c r="C2729" s="248">
        <v>44011</v>
      </c>
      <c r="D2729" t="s">
        <v>304</v>
      </c>
      <c r="E2729">
        <v>265</v>
      </c>
    </row>
    <row r="2730" spans="3:5" x14ac:dyDescent="0.25">
      <c r="C2730" s="248">
        <v>44033</v>
      </c>
      <c r="D2730" t="s">
        <v>308</v>
      </c>
      <c r="E2730">
        <v>77</v>
      </c>
    </row>
    <row r="2731" spans="3:5" x14ac:dyDescent="0.25">
      <c r="C2731" s="248">
        <v>44034</v>
      </c>
      <c r="D2731" t="s">
        <v>305</v>
      </c>
      <c r="E2731">
        <v>116</v>
      </c>
    </row>
    <row r="2732" spans="3:5" x14ac:dyDescent="0.25">
      <c r="C2732" s="248">
        <v>44035</v>
      </c>
      <c r="D2732" t="s">
        <v>305</v>
      </c>
      <c r="E2732">
        <v>101</v>
      </c>
    </row>
    <row r="2733" spans="3:5" x14ac:dyDescent="0.25">
      <c r="C2733" s="248">
        <v>44034</v>
      </c>
      <c r="D2733" t="s">
        <v>309</v>
      </c>
      <c r="E2733">
        <v>79</v>
      </c>
    </row>
    <row r="2734" spans="3:5" x14ac:dyDescent="0.25">
      <c r="C2734" s="248">
        <v>44013</v>
      </c>
      <c r="D2734" t="s">
        <v>309</v>
      </c>
      <c r="E2734">
        <v>66</v>
      </c>
    </row>
    <row r="2735" spans="3:5" x14ac:dyDescent="0.25">
      <c r="C2735" s="248">
        <v>44022</v>
      </c>
      <c r="D2735" t="s">
        <v>305</v>
      </c>
      <c r="E2735">
        <v>89</v>
      </c>
    </row>
    <row r="2736" spans="3:5" x14ac:dyDescent="0.25">
      <c r="C2736" s="248">
        <v>44023</v>
      </c>
      <c r="D2736" t="s">
        <v>305</v>
      </c>
      <c r="E2736">
        <v>75</v>
      </c>
    </row>
    <row r="2737" spans="3:5" x14ac:dyDescent="0.25">
      <c r="C2737" s="248">
        <v>44009</v>
      </c>
      <c r="D2737" t="s">
        <v>305</v>
      </c>
      <c r="E2737">
        <v>87</v>
      </c>
    </row>
    <row r="2738" spans="3:5" x14ac:dyDescent="0.25">
      <c r="C2738" s="248">
        <v>44010</v>
      </c>
      <c r="D2738" t="s">
        <v>310</v>
      </c>
      <c r="E2738">
        <v>101</v>
      </c>
    </row>
    <row r="2739" spans="3:5" x14ac:dyDescent="0.25">
      <c r="C2739" s="248">
        <v>44010</v>
      </c>
      <c r="D2739" t="s">
        <v>305</v>
      </c>
      <c r="E2739">
        <v>63</v>
      </c>
    </row>
    <row r="2740" spans="3:5" x14ac:dyDescent="0.25">
      <c r="C2740" s="248">
        <v>43965</v>
      </c>
      <c r="D2740" t="s">
        <v>310</v>
      </c>
      <c r="E2740">
        <v>35</v>
      </c>
    </row>
    <row r="2741" spans="3:5" x14ac:dyDescent="0.25">
      <c r="C2741" s="248">
        <v>44016</v>
      </c>
      <c r="D2741" t="s">
        <v>308</v>
      </c>
      <c r="E2741">
        <v>70</v>
      </c>
    </row>
    <row r="2742" spans="3:5" x14ac:dyDescent="0.25">
      <c r="C2742" s="248">
        <v>44025</v>
      </c>
      <c r="D2742" t="s">
        <v>308</v>
      </c>
      <c r="E2742">
        <v>83</v>
      </c>
    </row>
    <row r="2743" spans="3:5" x14ac:dyDescent="0.25">
      <c r="C2743" s="248">
        <v>44027</v>
      </c>
      <c r="D2743" t="s">
        <v>305</v>
      </c>
      <c r="E2743">
        <v>97</v>
      </c>
    </row>
    <row r="2744" spans="3:5" x14ac:dyDescent="0.25">
      <c r="C2744" s="248">
        <v>44036</v>
      </c>
      <c r="D2744" t="s">
        <v>305</v>
      </c>
      <c r="E2744">
        <v>113</v>
      </c>
    </row>
    <row r="2745" spans="3:5" x14ac:dyDescent="0.25">
      <c r="C2745" s="248">
        <v>44038</v>
      </c>
      <c r="D2745" t="s">
        <v>309</v>
      </c>
      <c r="E2745">
        <v>63</v>
      </c>
    </row>
    <row r="2746" spans="3:5" x14ac:dyDescent="0.25">
      <c r="C2746" s="248">
        <v>44039</v>
      </c>
      <c r="D2746" t="s">
        <v>308</v>
      </c>
      <c r="E2746">
        <v>87</v>
      </c>
    </row>
    <row r="2747" spans="3:5" x14ac:dyDescent="0.25">
      <c r="C2747" s="248">
        <v>44012</v>
      </c>
      <c r="D2747" t="s">
        <v>309</v>
      </c>
      <c r="E2747">
        <v>60</v>
      </c>
    </row>
    <row r="2748" spans="3:5" x14ac:dyDescent="0.25">
      <c r="C2748" s="248">
        <v>44012</v>
      </c>
      <c r="D2748" t="s">
        <v>305</v>
      </c>
      <c r="E2748">
        <v>101</v>
      </c>
    </row>
    <row r="2749" spans="3:5" x14ac:dyDescent="0.25">
      <c r="C2749" s="248">
        <v>43982</v>
      </c>
      <c r="D2749" t="s">
        <v>310</v>
      </c>
      <c r="E2749">
        <v>37</v>
      </c>
    </row>
    <row r="2750" spans="3:5" x14ac:dyDescent="0.25">
      <c r="C2750" s="248">
        <v>43985</v>
      </c>
      <c r="D2750" t="s">
        <v>312</v>
      </c>
      <c r="E2750">
        <v>21</v>
      </c>
    </row>
    <row r="2751" spans="3:5" x14ac:dyDescent="0.25">
      <c r="C2751" s="248">
        <v>43991</v>
      </c>
      <c r="D2751" t="s">
        <v>308</v>
      </c>
      <c r="E2751">
        <v>31</v>
      </c>
    </row>
    <row r="2752" spans="3:5" x14ac:dyDescent="0.25">
      <c r="C2752" s="248">
        <v>43997</v>
      </c>
      <c r="D2752" t="s">
        <v>312</v>
      </c>
      <c r="E2752">
        <v>27</v>
      </c>
    </row>
    <row r="2753" spans="3:5" x14ac:dyDescent="0.25">
      <c r="C2753" s="248">
        <v>44000</v>
      </c>
      <c r="D2753" t="s">
        <v>312</v>
      </c>
      <c r="E2753">
        <v>46</v>
      </c>
    </row>
    <row r="2754" spans="3:5" x14ac:dyDescent="0.25">
      <c r="C2754" s="248">
        <v>43979</v>
      </c>
      <c r="D2754" t="s">
        <v>305</v>
      </c>
      <c r="E2754">
        <v>56</v>
      </c>
    </row>
    <row r="2755" spans="3:5" x14ac:dyDescent="0.25">
      <c r="C2755" s="248">
        <v>43981</v>
      </c>
      <c r="D2755" t="s">
        <v>309</v>
      </c>
      <c r="E2755">
        <v>29</v>
      </c>
    </row>
    <row r="2756" spans="3:5" x14ac:dyDescent="0.25">
      <c r="C2756" s="248">
        <v>44004</v>
      </c>
      <c r="D2756" t="s">
        <v>312</v>
      </c>
      <c r="E2756">
        <v>68</v>
      </c>
    </row>
    <row r="2757" spans="3:5" x14ac:dyDescent="0.25">
      <c r="C2757" s="248">
        <v>44012</v>
      </c>
      <c r="D2757" t="s">
        <v>312</v>
      </c>
      <c r="E2757">
        <v>76</v>
      </c>
    </row>
    <row r="2758" spans="3:5" x14ac:dyDescent="0.25">
      <c r="C2758" s="248">
        <v>44009</v>
      </c>
      <c r="D2758" t="s">
        <v>312</v>
      </c>
      <c r="E2758">
        <v>47</v>
      </c>
    </row>
    <row r="2759" spans="3:5" x14ac:dyDescent="0.25">
      <c r="C2759" s="248">
        <v>44007</v>
      </c>
      <c r="D2759" t="s">
        <v>311</v>
      </c>
      <c r="E2759">
        <v>74</v>
      </c>
    </row>
    <row r="2760" spans="3:5" x14ac:dyDescent="0.25">
      <c r="C2760" s="248">
        <v>43987</v>
      </c>
      <c r="D2760" t="s">
        <v>310</v>
      </c>
      <c r="E2760">
        <v>68</v>
      </c>
    </row>
    <row r="2761" spans="3:5" x14ac:dyDescent="0.25">
      <c r="C2761" s="248">
        <v>44010</v>
      </c>
      <c r="D2761" t="s">
        <v>307</v>
      </c>
      <c r="E2761">
        <v>157</v>
      </c>
    </row>
    <row r="2762" spans="3:5" x14ac:dyDescent="0.25">
      <c r="C2762" s="248">
        <v>43998</v>
      </c>
      <c r="D2762" t="s">
        <v>308</v>
      </c>
      <c r="E2762">
        <v>37</v>
      </c>
    </row>
    <row r="2763" spans="3:5" x14ac:dyDescent="0.25">
      <c r="C2763" s="248">
        <v>44002</v>
      </c>
      <c r="D2763" t="s">
        <v>309</v>
      </c>
      <c r="E2763">
        <v>71</v>
      </c>
    </row>
    <row r="2764" spans="3:5" x14ac:dyDescent="0.25">
      <c r="C2764" s="248">
        <v>44003</v>
      </c>
      <c r="D2764" t="s">
        <v>307</v>
      </c>
      <c r="E2764">
        <v>122</v>
      </c>
    </row>
    <row r="2765" spans="3:5" x14ac:dyDescent="0.25">
      <c r="C2765" s="248">
        <v>43999</v>
      </c>
      <c r="D2765" t="s">
        <v>305</v>
      </c>
      <c r="E2765">
        <v>83</v>
      </c>
    </row>
    <row r="2766" spans="3:5" x14ac:dyDescent="0.25">
      <c r="C2766" s="248">
        <v>43995</v>
      </c>
      <c r="D2766" t="s">
        <v>305</v>
      </c>
      <c r="E2766">
        <v>65</v>
      </c>
    </row>
    <row r="2767" spans="3:5" x14ac:dyDescent="0.25">
      <c r="C2767" s="248">
        <v>43995</v>
      </c>
      <c r="D2767" t="s">
        <v>309</v>
      </c>
      <c r="E2767">
        <v>56</v>
      </c>
    </row>
    <row r="2768" spans="3:5" x14ac:dyDescent="0.25">
      <c r="C2768" s="248">
        <v>44010</v>
      </c>
      <c r="D2768" t="s">
        <v>312</v>
      </c>
      <c r="E2768">
        <v>42</v>
      </c>
    </row>
    <row r="2769" spans="3:5" x14ac:dyDescent="0.25">
      <c r="C2769" s="248">
        <v>44035</v>
      </c>
      <c r="D2769" t="s">
        <v>309</v>
      </c>
      <c r="E2769">
        <v>89</v>
      </c>
    </row>
    <row r="2770" spans="3:5" x14ac:dyDescent="0.25">
      <c r="C2770" s="248">
        <v>44002</v>
      </c>
      <c r="D2770" t="s">
        <v>308</v>
      </c>
      <c r="E2770">
        <v>37</v>
      </c>
    </row>
    <row r="2771" spans="3:5" x14ac:dyDescent="0.25">
      <c r="C2771" s="248">
        <v>43988</v>
      </c>
      <c r="D2771" t="s">
        <v>311</v>
      </c>
      <c r="E2771">
        <v>22</v>
      </c>
    </row>
    <row r="2772" spans="3:5" x14ac:dyDescent="0.25">
      <c r="C2772" s="248">
        <v>43991</v>
      </c>
      <c r="D2772" t="s">
        <v>310</v>
      </c>
      <c r="E2772">
        <v>123</v>
      </c>
    </row>
    <row r="2773" spans="3:5" x14ac:dyDescent="0.25">
      <c r="C2773" s="248">
        <v>44012</v>
      </c>
      <c r="D2773" t="s">
        <v>307</v>
      </c>
      <c r="E2773">
        <v>247</v>
      </c>
    </row>
    <row r="2774" spans="3:5" x14ac:dyDescent="0.25">
      <c r="C2774" s="248">
        <v>43996</v>
      </c>
      <c r="D2774" t="s">
        <v>305</v>
      </c>
      <c r="E2774">
        <v>43</v>
      </c>
    </row>
    <row r="2775" spans="3:5" x14ac:dyDescent="0.25">
      <c r="C2775" s="248">
        <v>44028</v>
      </c>
      <c r="D2775" t="s">
        <v>304</v>
      </c>
      <c r="E2775">
        <v>309</v>
      </c>
    </row>
    <row r="2776" spans="3:5" x14ac:dyDescent="0.25">
      <c r="C2776" s="248">
        <v>43988</v>
      </c>
      <c r="D2776" t="s">
        <v>310</v>
      </c>
      <c r="E2776">
        <v>52</v>
      </c>
    </row>
    <row r="2777" spans="3:5" x14ac:dyDescent="0.25">
      <c r="C2777" s="248">
        <v>43996</v>
      </c>
      <c r="D2777" t="s">
        <v>309</v>
      </c>
      <c r="E2777">
        <v>44</v>
      </c>
    </row>
    <row r="2778" spans="3:5" x14ac:dyDescent="0.25">
      <c r="C2778" s="248">
        <v>43988</v>
      </c>
      <c r="D2778" t="s">
        <v>304</v>
      </c>
      <c r="E2778">
        <v>90</v>
      </c>
    </row>
    <row r="2779" spans="3:5" x14ac:dyDescent="0.25">
      <c r="C2779" s="248">
        <v>43996</v>
      </c>
      <c r="D2779" t="s">
        <v>312</v>
      </c>
      <c r="E2779">
        <v>32</v>
      </c>
    </row>
    <row r="2780" spans="3:5" x14ac:dyDescent="0.25">
      <c r="C2780" s="248">
        <v>43989</v>
      </c>
      <c r="D2780" t="s">
        <v>304</v>
      </c>
      <c r="E2780">
        <v>95</v>
      </c>
    </row>
    <row r="2781" spans="3:5" x14ac:dyDescent="0.25">
      <c r="C2781" s="248">
        <v>43997</v>
      </c>
      <c r="D2781" t="s">
        <v>311</v>
      </c>
      <c r="E2781">
        <v>35</v>
      </c>
    </row>
    <row r="2782" spans="3:5" x14ac:dyDescent="0.25">
      <c r="C2782" s="248">
        <v>44006</v>
      </c>
      <c r="D2782" t="s">
        <v>305</v>
      </c>
      <c r="E2782">
        <v>82</v>
      </c>
    </row>
    <row r="2783" spans="3:5" x14ac:dyDescent="0.25">
      <c r="C2783" s="248">
        <v>44006</v>
      </c>
      <c r="D2783" t="s">
        <v>312</v>
      </c>
      <c r="E2783">
        <v>54</v>
      </c>
    </row>
    <row r="2784" spans="3:5" x14ac:dyDescent="0.25">
      <c r="C2784" s="248">
        <v>44185</v>
      </c>
      <c r="D2784" t="s">
        <v>305</v>
      </c>
      <c r="E2784">
        <v>60</v>
      </c>
    </row>
    <row r="2785" spans="3:5" x14ac:dyDescent="0.25">
      <c r="C2785" s="248">
        <v>43989</v>
      </c>
      <c r="D2785" t="s">
        <v>309</v>
      </c>
      <c r="E2785">
        <v>36</v>
      </c>
    </row>
    <row r="2786" spans="3:5" x14ac:dyDescent="0.25">
      <c r="C2786" s="248">
        <v>43990</v>
      </c>
      <c r="D2786" t="s">
        <v>305</v>
      </c>
      <c r="E2786">
        <v>62</v>
      </c>
    </row>
    <row r="2787" spans="3:5" x14ac:dyDescent="0.25">
      <c r="C2787" s="248">
        <v>43997</v>
      </c>
      <c r="D2787" t="s">
        <v>309</v>
      </c>
      <c r="E2787">
        <v>37</v>
      </c>
    </row>
    <row r="2788" spans="3:5" x14ac:dyDescent="0.25">
      <c r="C2788" s="248">
        <v>44167</v>
      </c>
      <c r="D2788" t="s">
        <v>307</v>
      </c>
      <c r="E2788">
        <v>93</v>
      </c>
    </row>
    <row r="2789" spans="3:5" x14ac:dyDescent="0.25">
      <c r="C2789" s="248">
        <v>43958</v>
      </c>
      <c r="D2789" t="s">
        <v>310</v>
      </c>
      <c r="E2789">
        <v>15</v>
      </c>
    </row>
    <row r="2790" spans="3:5" x14ac:dyDescent="0.25">
      <c r="C2790" s="248">
        <v>44023</v>
      </c>
      <c r="D2790" t="s">
        <v>304</v>
      </c>
      <c r="E2790">
        <v>195</v>
      </c>
    </row>
    <row r="2791" spans="3:5" x14ac:dyDescent="0.25">
      <c r="C2791" s="248">
        <v>44035</v>
      </c>
      <c r="D2791" t="s">
        <v>308</v>
      </c>
      <c r="E2791">
        <v>70</v>
      </c>
    </row>
    <row r="2792" spans="3:5" x14ac:dyDescent="0.25">
      <c r="C2792" s="248">
        <v>43983</v>
      </c>
      <c r="D2792" t="s">
        <v>304</v>
      </c>
      <c r="E2792">
        <v>89</v>
      </c>
    </row>
    <row r="2793" spans="3:5" x14ac:dyDescent="0.25">
      <c r="C2793" s="248">
        <v>43984</v>
      </c>
      <c r="D2793" t="s">
        <v>311</v>
      </c>
      <c r="E2793">
        <v>36</v>
      </c>
    </row>
    <row r="2794" spans="3:5" x14ac:dyDescent="0.25">
      <c r="C2794" s="248">
        <v>43988</v>
      </c>
      <c r="D2794" t="s">
        <v>308</v>
      </c>
      <c r="E2794">
        <v>22</v>
      </c>
    </row>
    <row r="2795" spans="3:5" x14ac:dyDescent="0.25">
      <c r="C2795" s="248">
        <v>43986</v>
      </c>
      <c r="D2795" t="s">
        <v>304</v>
      </c>
      <c r="E2795">
        <v>109</v>
      </c>
    </row>
    <row r="2796" spans="3:5" x14ac:dyDescent="0.25">
      <c r="C2796" s="248">
        <v>43987</v>
      </c>
      <c r="D2796" t="s">
        <v>308</v>
      </c>
      <c r="E2796">
        <v>23</v>
      </c>
    </row>
    <row r="2797" spans="3:5" x14ac:dyDescent="0.25">
      <c r="C2797" s="248">
        <v>43982</v>
      </c>
      <c r="D2797" t="s">
        <v>307</v>
      </c>
      <c r="E2797">
        <v>60</v>
      </c>
    </row>
    <row r="2798" spans="3:5" x14ac:dyDescent="0.25">
      <c r="C2798" s="248">
        <v>43968</v>
      </c>
      <c r="D2798" t="s">
        <v>310</v>
      </c>
      <c r="E2798">
        <v>34</v>
      </c>
    </row>
    <row r="2799" spans="3:5" x14ac:dyDescent="0.25">
      <c r="C2799" s="248">
        <v>43978</v>
      </c>
      <c r="D2799" t="s">
        <v>307</v>
      </c>
      <c r="E2799">
        <v>81</v>
      </c>
    </row>
    <row r="2800" spans="3:5" x14ac:dyDescent="0.25">
      <c r="C2800" s="248">
        <v>43991</v>
      </c>
      <c r="D2800" t="s">
        <v>312</v>
      </c>
      <c r="E2800">
        <v>39</v>
      </c>
    </row>
    <row r="2801" spans="3:5" x14ac:dyDescent="0.25">
      <c r="C2801" s="248">
        <v>43993</v>
      </c>
      <c r="D2801" t="s">
        <v>311</v>
      </c>
      <c r="E2801">
        <v>46</v>
      </c>
    </row>
    <row r="2802" spans="3:5" x14ac:dyDescent="0.25">
      <c r="C2802" s="248">
        <v>44003</v>
      </c>
      <c r="D2802" t="s">
        <v>305</v>
      </c>
      <c r="E2802">
        <v>67</v>
      </c>
    </row>
    <row r="2803" spans="3:5" x14ac:dyDescent="0.25">
      <c r="C2803" s="248">
        <v>44000</v>
      </c>
      <c r="D2803" t="s">
        <v>308</v>
      </c>
      <c r="E2803">
        <v>38</v>
      </c>
    </row>
    <row r="2804" spans="3:5" x14ac:dyDescent="0.25">
      <c r="C2804" s="248">
        <v>43967</v>
      </c>
      <c r="D2804" t="s">
        <v>306</v>
      </c>
      <c r="E2804">
        <v>51</v>
      </c>
    </row>
    <row r="2805" spans="3:5" x14ac:dyDescent="0.25">
      <c r="C2805" s="248">
        <v>43985</v>
      </c>
      <c r="D2805" t="s">
        <v>305</v>
      </c>
      <c r="E2805">
        <v>41</v>
      </c>
    </row>
    <row r="2806" spans="3:5" x14ac:dyDescent="0.25">
      <c r="C2806" s="248">
        <v>43986</v>
      </c>
      <c r="D2806" t="s">
        <v>307</v>
      </c>
      <c r="E2806">
        <v>71</v>
      </c>
    </row>
    <row r="2807" spans="3:5" x14ac:dyDescent="0.25">
      <c r="C2807" s="248">
        <v>44022</v>
      </c>
      <c r="D2807" t="s">
        <v>312</v>
      </c>
      <c r="E2807">
        <v>82</v>
      </c>
    </row>
    <row r="2808" spans="3:5" x14ac:dyDescent="0.25">
      <c r="C2808" s="248">
        <v>43961</v>
      </c>
      <c r="D2808" t="s">
        <v>310</v>
      </c>
      <c r="E2808">
        <v>32</v>
      </c>
    </row>
    <row r="2809" spans="3:5" x14ac:dyDescent="0.25">
      <c r="C2809" s="248">
        <v>43979</v>
      </c>
      <c r="D2809" t="s">
        <v>307</v>
      </c>
      <c r="E2809">
        <v>80</v>
      </c>
    </row>
    <row r="2810" spans="3:5" x14ac:dyDescent="0.25">
      <c r="C2810" s="248">
        <v>43979</v>
      </c>
      <c r="D2810" t="s">
        <v>310</v>
      </c>
      <c r="E2810">
        <v>57</v>
      </c>
    </row>
    <row r="2811" spans="3:5" x14ac:dyDescent="0.25">
      <c r="C2811" s="248">
        <v>43969</v>
      </c>
      <c r="D2811" t="s">
        <v>306</v>
      </c>
      <c r="E2811">
        <v>96</v>
      </c>
    </row>
    <row r="2812" spans="3:5" x14ac:dyDescent="0.25">
      <c r="C2812" s="248">
        <v>43992</v>
      </c>
      <c r="D2812" t="s">
        <v>309</v>
      </c>
      <c r="E2812">
        <v>43</v>
      </c>
    </row>
    <row r="2813" spans="3:5" x14ac:dyDescent="0.25">
      <c r="C2813" s="248">
        <v>43981</v>
      </c>
      <c r="D2813" t="s">
        <v>311</v>
      </c>
      <c r="E2813">
        <v>15</v>
      </c>
    </row>
    <row r="2814" spans="3:5" x14ac:dyDescent="0.25">
      <c r="C2814" s="248">
        <v>43967</v>
      </c>
      <c r="D2814" t="s">
        <v>312</v>
      </c>
      <c r="E2814">
        <v>12</v>
      </c>
    </row>
    <row r="2815" spans="3:5" x14ac:dyDescent="0.25">
      <c r="C2815" s="248">
        <v>43985</v>
      </c>
      <c r="D2815" t="s">
        <v>306</v>
      </c>
      <c r="E2815">
        <v>131</v>
      </c>
    </row>
    <row r="2816" spans="3:5" x14ac:dyDescent="0.25">
      <c r="C2816" s="248">
        <v>43972</v>
      </c>
      <c r="D2816" t="s">
        <v>310</v>
      </c>
      <c r="E2816">
        <v>56</v>
      </c>
    </row>
    <row r="2817" spans="3:5" x14ac:dyDescent="0.25">
      <c r="C2817" s="248">
        <v>43983</v>
      </c>
      <c r="D2817" t="s">
        <v>308</v>
      </c>
      <c r="E2817">
        <v>19</v>
      </c>
    </row>
    <row r="2818" spans="3:5" x14ac:dyDescent="0.25">
      <c r="C2818" s="248">
        <v>43976</v>
      </c>
      <c r="D2818" t="s">
        <v>307</v>
      </c>
      <c r="E2818">
        <v>52</v>
      </c>
    </row>
    <row r="2819" spans="3:5" x14ac:dyDescent="0.25">
      <c r="C2819" s="248">
        <v>43975</v>
      </c>
      <c r="D2819" t="s">
        <v>304</v>
      </c>
      <c r="E2819">
        <v>61</v>
      </c>
    </row>
    <row r="2820" spans="3:5" x14ac:dyDescent="0.25">
      <c r="C2820" s="248">
        <v>43979</v>
      </c>
      <c r="D2820" t="s">
        <v>306</v>
      </c>
      <c r="E2820">
        <v>105</v>
      </c>
    </row>
    <row r="2821" spans="3:5" x14ac:dyDescent="0.25">
      <c r="C2821" s="248">
        <v>43980</v>
      </c>
      <c r="D2821" t="s">
        <v>304</v>
      </c>
      <c r="E2821">
        <v>103</v>
      </c>
    </row>
    <row r="2822" spans="3:5" x14ac:dyDescent="0.25">
      <c r="C2822" s="248">
        <v>44012</v>
      </c>
      <c r="D2822" t="s">
        <v>311</v>
      </c>
      <c r="E2822">
        <v>75</v>
      </c>
    </row>
    <row r="2823" spans="3:5" x14ac:dyDescent="0.25">
      <c r="C2823" s="248">
        <v>44206</v>
      </c>
      <c r="D2823" t="s">
        <v>309</v>
      </c>
      <c r="E2823">
        <v>26</v>
      </c>
    </row>
    <row r="2824" spans="3:5" x14ac:dyDescent="0.25">
      <c r="C2824" s="248">
        <v>43988</v>
      </c>
      <c r="D2824" t="s">
        <v>305</v>
      </c>
      <c r="E2824">
        <v>41</v>
      </c>
    </row>
    <row r="2825" spans="3:5" x14ac:dyDescent="0.25">
      <c r="C2825" s="248">
        <v>43974</v>
      </c>
      <c r="D2825" t="s">
        <v>306</v>
      </c>
      <c r="E2825">
        <v>77</v>
      </c>
    </row>
    <row r="2826" spans="3:5" x14ac:dyDescent="0.25">
      <c r="C2826" s="248">
        <v>44005</v>
      </c>
      <c r="D2826" t="s">
        <v>305</v>
      </c>
      <c r="E2826">
        <v>96</v>
      </c>
    </row>
    <row r="2827" spans="3:5" x14ac:dyDescent="0.25">
      <c r="C2827" s="248">
        <v>43989</v>
      </c>
      <c r="D2827" t="s">
        <v>312</v>
      </c>
      <c r="E2827">
        <v>29</v>
      </c>
    </row>
    <row r="2828" spans="3:5" x14ac:dyDescent="0.25">
      <c r="C2828" s="248">
        <v>43969</v>
      </c>
      <c r="D2828" t="s">
        <v>312</v>
      </c>
      <c r="E2828">
        <v>16</v>
      </c>
    </row>
    <row r="2829" spans="3:5" x14ac:dyDescent="0.25">
      <c r="C2829" s="248">
        <v>43969</v>
      </c>
      <c r="D2829" t="s">
        <v>307</v>
      </c>
      <c r="E2829">
        <v>66</v>
      </c>
    </row>
    <row r="2830" spans="3:5" x14ac:dyDescent="0.25">
      <c r="C2830" s="248">
        <v>43980</v>
      </c>
      <c r="D2830" t="s">
        <v>311</v>
      </c>
      <c r="E2830">
        <v>26</v>
      </c>
    </row>
    <row r="2831" spans="3:5" x14ac:dyDescent="0.25">
      <c r="C2831" s="248">
        <v>43967</v>
      </c>
      <c r="D2831" t="s">
        <v>305</v>
      </c>
      <c r="E2831">
        <v>22</v>
      </c>
    </row>
    <row r="2832" spans="3:5" x14ac:dyDescent="0.25">
      <c r="C2832" s="248">
        <v>44026</v>
      </c>
      <c r="D2832" t="s">
        <v>308</v>
      </c>
      <c r="E2832">
        <v>64</v>
      </c>
    </row>
    <row r="2833" spans="3:5" x14ac:dyDescent="0.25">
      <c r="C2833" s="248">
        <v>44015</v>
      </c>
      <c r="D2833" t="s">
        <v>312</v>
      </c>
      <c r="E2833">
        <v>78</v>
      </c>
    </row>
    <row r="2834" spans="3:5" x14ac:dyDescent="0.25">
      <c r="C2834" s="248">
        <v>44018</v>
      </c>
      <c r="D2834" t="s">
        <v>308</v>
      </c>
      <c r="E2834">
        <v>75</v>
      </c>
    </row>
    <row r="2835" spans="3:5" x14ac:dyDescent="0.25">
      <c r="C2835" s="248">
        <v>44027</v>
      </c>
      <c r="D2835" t="s">
        <v>304</v>
      </c>
      <c r="E2835">
        <v>324</v>
      </c>
    </row>
    <row r="2836" spans="3:5" x14ac:dyDescent="0.25">
      <c r="C2836" s="248">
        <v>43995</v>
      </c>
      <c r="D2836" t="s">
        <v>308</v>
      </c>
      <c r="E2836">
        <v>27</v>
      </c>
    </row>
    <row r="2837" spans="3:5" x14ac:dyDescent="0.25">
      <c r="C2837" s="248">
        <v>44028</v>
      </c>
      <c r="D2837" t="s">
        <v>310</v>
      </c>
      <c r="E2837">
        <v>244</v>
      </c>
    </row>
    <row r="2838" spans="3:5" x14ac:dyDescent="0.25">
      <c r="C2838" s="248">
        <v>44028</v>
      </c>
      <c r="D2838" t="s">
        <v>309</v>
      </c>
      <c r="E2838">
        <v>90</v>
      </c>
    </row>
    <row r="2839" spans="3:5" x14ac:dyDescent="0.25">
      <c r="C2839" s="248">
        <v>43949</v>
      </c>
      <c r="D2839" t="s">
        <v>308</v>
      </c>
      <c r="E2839">
        <v>4</v>
      </c>
    </row>
    <row r="2840" spans="3:5" x14ac:dyDescent="0.25">
      <c r="C2840" s="248">
        <v>43977</v>
      </c>
      <c r="D2840" t="s">
        <v>311</v>
      </c>
      <c r="E2840">
        <v>22</v>
      </c>
    </row>
    <row r="2841" spans="3:5" x14ac:dyDescent="0.25">
      <c r="C2841" s="248">
        <v>44008</v>
      </c>
      <c r="D2841" t="s">
        <v>308</v>
      </c>
      <c r="E2841">
        <v>39</v>
      </c>
    </row>
    <row r="2842" spans="3:5" x14ac:dyDescent="0.25">
      <c r="C2842" s="248">
        <v>44005</v>
      </c>
      <c r="D2842" t="s">
        <v>308</v>
      </c>
      <c r="E2842">
        <v>40</v>
      </c>
    </row>
    <row r="2843" spans="3:5" x14ac:dyDescent="0.25">
      <c r="C2843" s="248">
        <v>43964</v>
      </c>
      <c r="D2843" t="s">
        <v>304</v>
      </c>
      <c r="E2843">
        <v>46</v>
      </c>
    </row>
    <row r="2844" spans="3:5" x14ac:dyDescent="0.25">
      <c r="C2844" s="248">
        <v>44040</v>
      </c>
      <c r="D2844" t="s">
        <v>305</v>
      </c>
      <c r="E2844">
        <v>124</v>
      </c>
    </row>
    <row r="2845" spans="3:5" x14ac:dyDescent="0.25">
      <c r="C2845" s="248">
        <v>44009</v>
      </c>
      <c r="D2845" t="s">
        <v>308</v>
      </c>
      <c r="E2845">
        <v>28</v>
      </c>
    </row>
    <row r="2846" spans="3:5" x14ac:dyDescent="0.25">
      <c r="C2846" s="248">
        <v>44022</v>
      </c>
      <c r="D2846" t="s">
        <v>309</v>
      </c>
      <c r="E2846">
        <v>71</v>
      </c>
    </row>
    <row r="2847" spans="3:5" x14ac:dyDescent="0.25">
      <c r="C2847" s="248">
        <v>43994</v>
      </c>
      <c r="D2847" t="s">
        <v>312</v>
      </c>
      <c r="E2847">
        <v>21</v>
      </c>
    </row>
    <row r="2848" spans="3:5" x14ac:dyDescent="0.25">
      <c r="C2848" s="248">
        <v>43970</v>
      </c>
      <c r="D2848" t="s">
        <v>311</v>
      </c>
      <c r="E2848">
        <v>16</v>
      </c>
    </row>
    <row r="2849" spans="3:5" x14ac:dyDescent="0.25">
      <c r="C2849" s="248">
        <v>43985</v>
      </c>
      <c r="D2849" t="s">
        <v>304</v>
      </c>
      <c r="E2849">
        <v>102</v>
      </c>
    </row>
    <row r="2850" spans="3:5" x14ac:dyDescent="0.25">
      <c r="C2850" s="248">
        <v>43984</v>
      </c>
      <c r="D2850" t="s">
        <v>305</v>
      </c>
      <c r="E2850">
        <v>64</v>
      </c>
    </row>
    <row r="2851" spans="3:5" x14ac:dyDescent="0.25">
      <c r="C2851" s="248">
        <v>43984</v>
      </c>
      <c r="D2851" t="s">
        <v>309</v>
      </c>
      <c r="E2851">
        <v>44</v>
      </c>
    </row>
    <row r="2852" spans="3:5" x14ac:dyDescent="0.25">
      <c r="C2852" s="248">
        <v>44028</v>
      </c>
      <c r="D2852" t="s">
        <v>308</v>
      </c>
      <c r="E2852">
        <v>75</v>
      </c>
    </row>
    <row r="2853" spans="3:5" x14ac:dyDescent="0.25">
      <c r="C2853" s="248">
        <v>44029</v>
      </c>
      <c r="D2853" t="s">
        <v>308</v>
      </c>
      <c r="E2853">
        <v>73</v>
      </c>
    </row>
    <row r="2854" spans="3:5" x14ac:dyDescent="0.25">
      <c r="C2854" s="248">
        <v>44030</v>
      </c>
      <c r="D2854" t="s">
        <v>309</v>
      </c>
      <c r="E2854">
        <v>82</v>
      </c>
    </row>
    <row r="2855" spans="3:5" x14ac:dyDescent="0.25">
      <c r="C2855" s="248">
        <v>44036</v>
      </c>
      <c r="D2855" t="s">
        <v>309</v>
      </c>
      <c r="E2855">
        <v>98</v>
      </c>
    </row>
    <row r="2856" spans="3:5" x14ac:dyDescent="0.25">
      <c r="C2856" s="248">
        <v>44030</v>
      </c>
      <c r="D2856" t="s">
        <v>308</v>
      </c>
      <c r="E2856">
        <v>76</v>
      </c>
    </row>
    <row r="2857" spans="3:5" x14ac:dyDescent="0.25">
      <c r="C2857" s="248">
        <v>44018</v>
      </c>
      <c r="D2857" t="s">
        <v>305</v>
      </c>
      <c r="E2857">
        <v>91</v>
      </c>
    </row>
    <row r="2858" spans="3:5" x14ac:dyDescent="0.25">
      <c r="C2858" s="248">
        <v>44005</v>
      </c>
      <c r="D2858" t="s">
        <v>309</v>
      </c>
      <c r="E2858">
        <v>69</v>
      </c>
    </row>
    <row r="2859" spans="3:5" x14ac:dyDescent="0.25">
      <c r="C2859" s="248">
        <v>43989</v>
      </c>
      <c r="D2859" t="s">
        <v>305</v>
      </c>
      <c r="E2859">
        <v>34</v>
      </c>
    </row>
    <row r="2860" spans="3:5" x14ac:dyDescent="0.25">
      <c r="C2860" s="248">
        <v>44003</v>
      </c>
      <c r="D2860" t="s">
        <v>304</v>
      </c>
      <c r="E2860">
        <v>125</v>
      </c>
    </row>
    <row r="2861" spans="3:5" x14ac:dyDescent="0.25">
      <c r="C2861" s="248">
        <v>43974</v>
      </c>
      <c r="D2861" t="s">
        <v>307</v>
      </c>
      <c r="E2861">
        <v>65</v>
      </c>
    </row>
    <row r="2862" spans="3:5" x14ac:dyDescent="0.25">
      <c r="C2862" s="248">
        <v>43970</v>
      </c>
      <c r="D2862" t="s">
        <v>308</v>
      </c>
      <c r="E2862">
        <v>7</v>
      </c>
    </row>
    <row r="2863" spans="3:5" x14ac:dyDescent="0.25">
      <c r="C2863" s="248">
        <v>44027</v>
      </c>
      <c r="D2863" t="s">
        <v>309</v>
      </c>
      <c r="E2863">
        <v>88</v>
      </c>
    </row>
    <row r="2864" spans="3:5" x14ac:dyDescent="0.25">
      <c r="C2864" s="248">
        <v>43982</v>
      </c>
      <c r="D2864" t="s">
        <v>306</v>
      </c>
      <c r="E2864">
        <v>65</v>
      </c>
    </row>
    <row r="2865" spans="3:5" x14ac:dyDescent="0.25">
      <c r="C2865" s="248">
        <v>44029</v>
      </c>
      <c r="D2865" t="s">
        <v>305</v>
      </c>
      <c r="E2865">
        <v>95</v>
      </c>
    </row>
    <row r="2866" spans="3:5" x14ac:dyDescent="0.25">
      <c r="C2866" s="248">
        <v>43985</v>
      </c>
      <c r="D2866" t="s">
        <v>307</v>
      </c>
      <c r="E2866">
        <v>93</v>
      </c>
    </row>
    <row r="2867" spans="3:5" x14ac:dyDescent="0.25">
      <c r="C2867" s="248">
        <v>44021</v>
      </c>
      <c r="D2867" t="s">
        <v>304</v>
      </c>
      <c r="E2867">
        <v>227</v>
      </c>
    </row>
    <row r="2868" spans="3:5" x14ac:dyDescent="0.25">
      <c r="C2868" s="248">
        <v>43962</v>
      </c>
      <c r="D2868" t="s">
        <v>304</v>
      </c>
      <c r="E2868">
        <v>25</v>
      </c>
    </row>
    <row r="2869" spans="3:5" x14ac:dyDescent="0.25">
      <c r="C2869" s="248">
        <v>44010</v>
      </c>
      <c r="D2869" t="s">
        <v>309</v>
      </c>
      <c r="E2869">
        <v>55</v>
      </c>
    </row>
    <row r="2870" spans="3:5" x14ac:dyDescent="0.25">
      <c r="C2870" s="248">
        <v>43971</v>
      </c>
      <c r="D2870" t="s">
        <v>304</v>
      </c>
      <c r="E2870">
        <v>101</v>
      </c>
    </row>
    <row r="2871" spans="3:5" x14ac:dyDescent="0.25">
      <c r="C2871" s="248">
        <v>43985</v>
      </c>
      <c r="D2871" t="s">
        <v>309</v>
      </c>
      <c r="E2871">
        <v>40</v>
      </c>
    </row>
    <row r="2872" spans="3:5" x14ac:dyDescent="0.25">
      <c r="C2872" s="248">
        <v>44023</v>
      </c>
      <c r="D2872" t="s">
        <v>309</v>
      </c>
      <c r="E2872">
        <v>58</v>
      </c>
    </row>
    <row r="2873" spans="3:5" x14ac:dyDescent="0.25">
      <c r="C2873" s="248">
        <v>44021</v>
      </c>
      <c r="D2873" t="s">
        <v>305</v>
      </c>
      <c r="E2873">
        <v>88</v>
      </c>
    </row>
    <row r="2874" spans="3:5" x14ac:dyDescent="0.25">
      <c r="C2874" s="248">
        <v>43976</v>
      </c>
      <c r="D2874" t="s">
        <v>305</v>
      </c>
      <c r="E2874">
        <v>35</v>
      </c>
    </row>
    <row r="2875" spans="3:5" x14ac:dyDescent="0.25">
      <c r="C2875" s="248">
        <v>43976</v>
      </c>
      <c r="D2875" t="s">
        <v>312</v>
      </c>
      <c r="E2875">
        <v>12</v>
      </c>
    </row>
    <row r="2876" spans="3:5" x14ac:dyDescent="0.25">
      <c r="C2876" s="248">
        <v>44052</v>
      </c>
      <c r="D2876" t="s">
        <v>309</v>
      </c>
      <c r="E2876">
        <v>63</v>
      </c>
    </row>
    <row r="2877" spans="3:5" x14ac:dyDescent="0.25">
      <c r="C2877" s="248">
        <v>43997</v>
      </c>
      <c r="D2877" t="s">
        <v>308</v>
      </c>
      <c r="E2877">
        <v>13</v>
      </c>
    </row>
    <row r="2878" spans="3:5" x14ac:dyDescent="0.25">
      <c r="C2878" s="248">
        <v>43962</v>
      </c>
      <c r="D2878" t="s">
        <v>308</v>
      </c>
      <c r="E2878">
        <v>4</v>
      </c>
    </row>
    <row r="2879" spans="3:5" x14ac:dyDescent="0.25">
      <c r="C2879" s="248">
        <v>43984</v>
      </c>
      <c r="D2879" t="s">
        <v>312</v>
      </c>
      <c r="E2879">
        <v>43</v>
      </c>
    </row>
    <row r="2880" spans="3:5" x14ac:dyDescent="0.25">
      <c r="C2880" s="248">
        <v>43974</v>
      </c>
      <c r="D2880" t="s">
        <v>308</v>
      </c>
      <c r="E2880">
        <v>6</v>
      </c>
    </row>
    <row r="2881" spans="3:5" x14ac:dyDescent="0.25">
      <c r="C2881" s="248">
        <v>43979</v>
      </c>
      <c r="D2881" t="s">
        <v>304</v>
      </c>
      <c r="E2881">
        <v>104</v>
      </c>
    </row>
    <row r="2882" spans="3:5" x14ac:dyDescent="0.25">
      <c r="C2882" s="248">
        <v>43980</v>
      </c>
      <c r="D2882" t="s">
        <v>309</v>
      </c>
      <c r="E2882">
        <v>55</v>
      </c>
    </row>
    <row r="2883" spans="3:5" x14ac:dyDescent="0.25">
      <c r="C2883" s="248">
        <v>43977</v>
      </c>
      <c r="D2883" t="s">
        <v>306</v>
      </c>
      <c r="E2883">
        <v>103</v>
      </c>
    </row>
    <row r="2884" spans="3:5" x14ac:dyDescent="0.25">
      <c r="C2884" s="248">
        <v>43913</v>
      </c>
      <c r="D2884" t="s">
        <v>307</v>
      </c>
      <c r="E2884">
        <v>7</v>
      </c>
    </row>
    <row r="2885" spans="3:5" x14ac:dyDescent="0.25">
      <c r="C2885" s="248">
        <v>43976</v>
      </c>
      <c r="D2885" t="s">
        <v>306</v>
      </c>
      <c r="E2885">
        <v>80</v>
      </c>
    </row>
    <row r="2886" spans="3:5" x14ac:dyDescent="0.25">
      <c r="C2886" s="248">
        <v>43949</v>
      </c>
      <c r="D2886" t="s">
        <v>307</v>
      </c>
      <c r="E2886">
        <v>10</v>
      </c>
    </row>
    <row r="2887" spans="3:5" x14ac:dyDescent="0.25">
      <c r="C2887" s="248">
        <v>44011</v>
      </c>
      <c r="D2887" t="s">
        <v>312</v>
      </c>
      <c r="E2887">
        <v>80</v>
      </c>
    </row>
    <row r="2888" spans="3:5" x14ac:dyDescent="0.25">
      <c r="C2888" s="248">
        <v>43978</v>
      </c>
      <c r="D2888" t="s">
        <v>308</v>
      </c>
      <c r="E2888">
        <v>15</v>
      </c>
    </row>
    <row r="2889" spans="3:5" x14ac:dyDescent="0.25">
      <c r="C2889" s="248">
        <v>43985</v>
      </c>
      <c r="D2889" t="s">
        <v>308</v>
      </c>
      <c r="E2889">
        <v>24</v>
      </c>
    </row>
    <row r="2890" spans="3:5" x14ac:dyDescent="0.25">
      <c r="C2890" s="248">
        <v>43988</v>
      </c>
      <c r="D2890" t="s">
        <v>312</v>
      </c>
      <c r="E2890">
        <v>32</v>
      </c>
    </row>
    <row r="2891" spans="3:5" x14ac:dyDescent="0.25">
      <c r="C2891" s="248">
        <v>44017</v>
      </c>
      <c r="D2891" t="s">
        <v>312</v>
      </c>
      <c r="E2891">
        <v>81</v>
      </c>
    </row>
    <row r="2892" spans="3:5" x14ac:dyDescent="0.25">
      <c r="C2892" s="248">
        <v>43972</v>
      </c>
      <c r="D2892" t="s">
        <v>312</v>
      </c>
      <c r="E2892">
        <v>10</v>
      </c>
    </row>
    <row r="2893" spans="3:5" x14ac:dyDescent="0.25">
      <c r="C2893" s="248">
        <v>43976</v>
      </c>
      <c r="D2893" t="s">
        <v>308</v>
      </c>
      <c r="E2893">
        <v>15</v>
      </c>
    </row>
    <row r="2894" spans="3:5" x14ac:dyDescent="0.25">
      <c r="C2894" s="248">
        <v>44026</v>
      </c>
      <c r="D2894" t="s">
        <v>305</v>
      </c>
      <c r="E2894">
        <v>106</v>
      </c>
    </row>
    <row r="2895" spans="3:5" x14ac:dyDescent="0.25">
      <c r="C2895" s="248">
        <v>43986</v>
      </c>
      <c r="D2895" t="s">
        <v>311</v>
      </c>
      <c r="E2895">
        <v>33</v>
      </c>
    </row>
    <row r="2896" spans="3:5" x14ac:dyDescent="0.25">
      <c r="C2896" s="248">
        <v>43979</v>
      </c>
      <c r="D2896" t="s">
        <v>308</v>
      </c>
      <c r="E2896">
        <v>15</v>
      </c>
    </row>
    <row r="2897" spans="3:5" x14ac:dyDescent="0.25">
      <c r="C2897" s="248">
        <v>43972</v>
      </c>
      <c r="D2897" t="s">
        <v>304</v>
      </c>
      <c r="E2897">
        <v>82</v>
      </c>
    </row>
    <row r="2898" spans="3:5" x14ac:dyDescent="0.25">
      <c r="C2898" s="248">
        <v>43929</v>
      </c>
      <c r="D2898" t="s">
        <v>306</v>
      </c>
      <c r="E2898">
        <v>8</v>
      </c>
    </row>
    <row r="2899" spans="3:5" x14ac:dyDescent="0.25">
      <c r="C2899" s="248">
        <v>43956</v>
      </c>
      <c r="D2899" t="s">
        <v>312</v>
      </c>
      <c r="E2899">
        <v>27</v>
      </c>
    </row>
    <row r="2900" spans="3:5" x14ac:dyDescent="0.25">
      <c r="C2900" s="248">
        <v>44023</v>
      </c>
      <c r="D2900" t="s">
        <v>308</v>
      </c>
      <c r="E2900">
        <v>54</v>
      </c>
    </row>
    <row r="2901" spans="3:5" x14ac:dyDescent="0.25">
      <c r="C2901" s="248">
        <v>43972</v>
      </c>
      <c r="D2901" t="s">
        <v>308</v>
      </c>
      <c r="E2901">
        <v>13</v>
      </c>
    </row>
    <row r="2902" spans="3:5" x14ac:dyDescent="0.25">
      <c r="C2902" s="248">
        <v>43983</v>
      </c>
      <c r="D2902" t="s">
        <v>306</v>
      </c>
      <c r="E2902">
        <v>111</v>
      </c>
    </row>
    <row r="2903" spans="3:5" x14ac:dyDescent="0.25">
      <c r="C2903" s="248">
        <v>43983</v>
      </c>
      <c r="D2903" t="s">
        <v>305</v>
      </c>
      <c r="E2903">
        <v>44</v>
      </c>
    </row>
    <row r="2904" spans="3:5" x14ac:dyDescent="0.25">
      <c r="C2904" s="248">
        <v>44037</v>
      </c>
      <c r="D2904" t="s">
        <v>309</v>
      </c>
      <c r="E2904">
        <v>57</v>
      </c>
    </row>
    <row r="2905" spans="3:5" x14ac:dyDescent="0.25">
      <c r="C2905" s="248">
        <v>43967</v>
      </c>
      <c r="D2905" t="s">
        <v>304</v>
      </c>
      <c r="E2905">
        <v>46</v>
      </c>
    </row>
    <row r="2906" spans="3:5" x14ac:dyDescent="0.25">
      <c r="C2906" s="248">
        <v>43971</v>
      </c>
      <c r="D2906" t="s">
        <v>306</v>
      </c>
      <c r="E2906">
        <v>89</v>
      </c>
    </row>
    <row r="2907" spans="3:5" x14ac:dyDescent="0.25">
      <c r="C2907" s="248">
        <v>43941</v>
      </c>
      <c r="D2907" t="s">
        <v>312</v>
      </c>
      <c r="E2907">
        <v>8</v>
      </c>
    </row>
    <row r="2908" spans="3:5" x14ac:dyDescent="0.25">
      <c r="C2908" s="248">
        <v>43990</v>
      </c>
      <c r="D2908" t="s">
        <v>309</v>
      </c>
      <c r="E2908">
        <v>69</v>
      </c>
    </row>
    <row r="2909" spans="3:5" x14ac:dyDescent="0.25">
      <c r="C2909" s="248">
        <v>44039</v>
      </c>
      <c r="D2909" t="s">
        <v>309</v>
      </c>
      <c r="E2909">
        <v>76</v>
      </c>
    </row>
    <row r="2910" spans="3:5" x14ac:dyDescent="0.25">
      <c r="C2910" s="248">
        <v>43983</v>
      </c>
      <c r="D2910" t="s">
        <v>309</v>
      </c>
      <c r="E2910">
        <v>40</v>
      </c>
    </row>
    <row r="2911" spans="3:5" x14ac:dyDescent="0.25">
      <c r="C2911" s="248">
        <v>43981</v>
      </c>
      <c r="D2911" t="s">
        <v>305</v>
      </c>
      <c r="E2911">
        <v>49</v>
      </c>
    </row>
    <row r="2912" spans="3:5" x14ac:dyDescent="0.25">
      <c r="C2912" s="248">
        <v>43958</v>
      </c>
      <c r="D2912" t="s">
        <v>308</v>
      </c>
      <c r="E2912">
        <v>2</v>
      </c>
    </row>
    <row r="2913" spans="3:5" x14ac:dyDescent="0.25">
      <c r="C2913" s="248">
        <v>44052</v>
      </c>
      <c r="D2913" t="s">
        <v>305</v>
      </c>
      <c r="E2913">
        <v>104</v>
      </c>
    </row>
    <row r="2914" spans="3:5" x14ac:dyDescent="0.25">
      <c r="C2914" s="248">
        <v>43980</v>
      </c>
      <c r="D2914" t="s">
        <v>307</v>
      </c>
      <c r="E2914">
        <v>62</v>
      </c>
    </row>
    <row r="2915" spans="3:5" x14ac:dyDescent="0.25">
      <c r="C2915" s="248">
        <v>43978</v>
      </c>
      <c r="D2915" t="s">
        <v>304</v>
      </c>
      <c r="E2915">
        <v>121</v>
      </c>
    </row>
    <row r="2916" spans="3:5" x14ac:dyDescent="0.25">
      <c r="C2916" s="248">
        <v>43964</v>
      </c>
      <c r="D2916" t="s">
        <v>307</v>
      </c>
      <c r="E2916">
        <v>36</v>
      </c>
    </row>
    <row r="2917" spans="3:5" x14ac:dyDescent="0.25">
      <c r="C2917" s="248">
        <v>43971</v>
      </c>
      <c r="D2917" t="s">
        <v>308</v>
      </c>
      <c r="E2917">
        <v>8</v>
      </c>
    </row>
    <row r="2918" spans="3:5" x14ac:dyDescent="0.25">
      <c r="C2918" s="248">
        <v>43980</v>
      </c>
      <c r="D2918" t="s">
        <v>305</v>
      </c>
      <c r="E2918">
        <v>51</v>
      </c>
    </row>
    <row r="2919" spans="3:5" x14ac:dyDescent="0.25">
      <c r="C2919" s="248">
        <v>43966</v>
      </c>
      <c r="D2919" t="s">
        <v>307</v>
      </c>
      <c r="E2919">
        <v>44</v>
      </c>
    </row>
    <row r="2920" spans="3:5" x14ac:dyDescent="0.25">
      <c r="C2920" s="248">
        <v>43969</v>
      </c>
      <c r="D2920" t="s">
        <v>305</v>
      </c>
      <c r="E2920">
        <v>38</v>
      </c>
    </row>
    <row r="2921" spans="3:5" x14ac:dyDescent="0.25">
      <c r="C2921" s="248">
        <v>44024</v>
      </c>
      <c r="D2921" t="s">
        <v>309</v>
      </c>
      <c r="E2921">
        <v>57</v>
      </c>
    </row>
    <row r="2922" spans="3:5" x14ac:dyDescent="0.25">
      <c r="C2922" s="248">
        <v>43963</v>
      </c>
      <c r="D2922" t="s">
        <v>306</v>
      </c>
      <c r="E2922">
        <v>54</v>
      </c>
    </row>
    <row r="2923" spans="3:5" x14ac:dyDescent="0.25">
      <c r="C2923" s="248">
        <v>44024</v>
      </c>
      <c r="D2923" t="s">
        <v>305</v>
      </c>
      <c r="E2923">
        <v>60</v>
      </c>
    </row>
    <row r="2924" spans="3:5" x14ac:dyDescent="0.25">
      <c r="C2924" s="248">
        <v>44011</v>
      </c>
      <c r="D2924" t="s">
        <v>308</v>
      </c>
      <c r="E2924">
        <v>43</v>
      </c>
    </row>
    <row r="2925" spans="3:5" x14ac:dyDescent="0.25">
      <c r="C2925" s="248">
        <v>43941</v>
      </c>
      <c r="D2925" t="s">
        <v>311</v>
      </c>
      <c r="E2925">
        <v>3</v>
      </c>
    </row>
    <row r="2926" spans="3:5" x14ac:dyDescent="0.25">
      <c r="C2926" s="248">
        <v>43974</v>
      </c>
      <c r="D2926" t="s">
        <v>304</v>
      </c>
      <c r="E2926">
        <v>71</v>
      </c>
    </row>
    <row r="2927" spans="3:5" x14ac:dyDescent="0.25">
      <c r="C2927" s="248">
        <v>43982</v>
      </c>
      <c r="D2927" t="s">
        <v>311</v>
      </c>
      <c r="E2927">
        <v>20</v>
      </c>
    </row>
    <row r="2928" spans="3:5" x14ac:dyDescent="0.25">
      <c r="C2928" s="248">
        <v>43961</v>
      </c>
      <c r="D2928" t="s">
        <v>305</v>
      </c>
      <c r="E2928">
        <v>13</v>
      </c>
    </row>
    <row r="2929" spans="3:5" x14ac:dyDescent="0.25">
      <c r="C2929" s="248">
        <v>43962</v>
      </c>
      <c r="D2929" t="s">
        <v>306</v>
      </c>
      <c r="E2929">
        <v>44</v>
      </c>
    </row>
    <row r="2930" spans="3:5" x14ac:dyDescent="0.25">
      <c r="C2930" s="248">
        <v>43977</v>
      </c>
      <c r="D2930" t="s">
        <v>305</v>
      </c>
      <c r="E2930">
        <v>46</v>
      </c>
    </row>
    <row r="2931" spans="3:5" x14ac:dyDescent="0.25">
      <c r="C2931" s="248">
        <v>43982</v>
      </c>
      <c r="D2931" t="s">
        <v>309</v>
      </c>
      <c r="E2931">
        <v>19</v>
      </c>
    </row>
    <row r="2932" spans="3:5" x14ac:dyDescent="0.25">
      <c r="C2932" s="248">
        <v>43979</v>
      </c>
      <c r="D2932" t="s">
        <v>309</v>
      </c>
      <c r="E2932">
        <v>41</v>
      </c>
    </row>
    <row r="2933" spans="3:5" x14ac:dyDescent="0.25">
      <c r="C2933" s="248">
        <v>43986</v>
      </c>
      <c r="D2933" t="s">
        <v>308</v>
      </c>
      <c r="E2933">
        <v>10</v>
      </c>
    </row>
    <row r="2934" spans="3:5" x14ac:dyDescent="0.25">
      <c r="C2934" s="248">
        <v>43975</v>
      </c>
      <c r="D2934" t="s">
        <v>306</v>
      </c>
      <c r="E2934">
        <v>70</v>
      </c>
    </row>
    <row r="2935" spans="3:5" x14ac:dyDescent="0.25">
      <c r="C2935" s="248">
        <v>43972</v>
      </c>
      <c r="D2935" t="s">
        <v>311</v>
      </c>
      <c r="E2935">
        <v>21</v>
      </c>
    </row>
    <row r="2936" spans="3:5" x14ac:dyDescent="0.25">
      <c r="C2936" s="248">
        <v>43989</v>
      </c>
      <c r="D2936" t="s">
        <v>311</v>
      </c>
      <c r="E2936">
        <v>23</v>
      </c>
    </row>
    <row r="2937" spans="3:5" x14ac:dyDescent="0.25">
      <c r="C2937" s="248">
        <v>43978</v>
      </c>
      <c r="D2937" t="s">
        <v>311</v>
      </c>
      <c r="E2937">
        <v>21</v>
      </c>
    </row>
    <row r="2938" spans="3:5" x14ac:dyDescent="0.25">
      <c r="C2938" s="248">
        <v>43965</v>
      </c>
      <c r="D2938" t="s">
        <v>304</v>
      </c>
      <c r="E2938">
        <v>55</v>
      </c>
    </row>
    <row r="2939" spans="3:5" x14ac:dyDescent="0.25">
      <c r="C2939" s="248">
        <v>43983</v>
      </c>
      <c r="D2939" t="s">
        <v>312</v>
      </c>
      <c r="E2939">
        <v>19</v>
      </c>
    </row>
    <row r="2940" spans="3:5" x14ac:dyDescent="0.25">
      <c r="C2940" s="248">
        <v>43967</v>
      </c>
      <c r="D2940" t="s">
        <v>309</v>
      </c>
      <c r="E2940">
        <v>22</v>
      </c>
    </row>
    <row r="2941" spans="3:5" x14ac:dyDescent="0.25">
      <c r="C2941" s="248">
        <v>43969</v>
      </c>
      <c r="D2941" t="s">
        <v>310</v>
      </c>
      <c r="E2941">
        <v>53</v>
      </c>
    </row>
    <row r="2942" spans="3:5" x14ac:dyDescent="0.25">
      <c r="C2942" s="248">
        <v>43977</v>
      </c>
      <c r="D2942" t="s">
        <v>310</v>
      </c>
      <c r="E2942">
        <v>72</v>
      </c>
    </row>
    <row r="2943" spans="3:5" x14ac:dyDescent="0.25">
      <c r="C2943" s="248">
        <v>43960</v>
      </c>
      <c r="D2943" t="s">
        <v>304</v>
      </c>
      <c r="E2943">
        <v>20</v>
      </c>
    </row>
    <row r="2944" spans="3:5" x14ac:dyDescent="0.25">
      <c r="C2944" s="248">
        <v>43948</v>
      </c>
      <c r="D2944" t="s">
        <v>304</v>
      </c>
      <c r="E2944">
        <v>11</v>
      </c>
    </row>
    <row r="2945" spans="3:5" x14ac:dyDescent="0.25">
      <c r="C2945" s="248">
        <v>43963</v>
      </c>
      <c r="D2945" t="s">
        <v>311</v>
      </c>
      <c r="E2945">
        <v>15</v>
      </c>
    </row>
    <row r="2946" spans="3:5" x14ac:dyDescent="0.25">
      <c r="C2946" s="248">
        <v>43981</v>
      </c>
      <c r="D2946" t="s">
        <v>312</v>
      </c>
      <c r="E2946">
        <v>9</v>
      </c>
    </row>
    <row r="2947" spans="3:5" x14ac:dyDescent="0.25">
      <c r="C2947" s="248">
        <v>43970</v>
      </c>
      <c r="D2947" t="s">
        <v>307</v>
      </c>
      <c r="E2947">
        <v>74</v>
      </c>
    </row>
    <row r="2948" spans="3:5" x14ac:dyDescent="0.25">
      <c r="C2948" s="248">
        <v>43964</v>
      </c>
      <c r="D2948" t="s">
        <v>310</v>
      </c>
      <c r="E2948">
        <v>25</v>
      </c>
    </row>
    <row r="2949" spans="3:5" x14ac:dyDescent="0.25">
      <c r="C2949" s="248">
        <v>43946</v>
      </c>
      <c r="D2949" t="s">
        <v>304</v>
      </c>
      <c r="E2949">
        <v>5</v>
      </c>
    </row>
    <row r="2950" spans="3:5" x14ac:dyDescent="0.25">
      <c r="C2950" s="248">
        <v>43945</v>
      </c>
      <c r="D2950" t="s">
        <v>311</v>
      </c>
      <c r="E2950">
        <v>6</v>
      </c>
    </row>
    <row r="2951" spans="3:5" x14ac:dyDescent="0.25">
      <c r="C2951" s="248">
        <v>43967</v>
      </c>
      <c r="D2951" t="s">
        <v>307</v>
      </c>
      <c r="E2951">
        <v>47</v>
      </c>
    </row>
    <row r="2952" spans="3:5" x14ac:dyDescent="0.25">
      <c r="C2952" s="248">
        <v>43973</v>
      </c>
      <c r="D2952" t="s">
        <v>312</v>
      </c>
      <c r="E2952">
        <v>7</v>
      </c>
    </row>
    <row r="2953" spans="3:5" x14ac:dyDescent="0.25">
      <c r="C2953" s="248">
        <v>43965</v>
      </c>
      <c r="D2953" t="s">
        <v>307</v>
      </c>
      <c r="E2953">
        <v>40</v>
      </c>
    </row>
    <row r="2954" spans="3:5" x14ac:dyDescent="0.25">
      <c r="C2954" s="248">
        <v>43955</v>
      </c>
      <c r="D2954" t="s">
        <v>306</v>
      </c>
      <c r="E2954">
        <v>22</v>
      </c>
    </row>
    <row r="2955" spans="3:5" x14ac:dyDescent="0.25">
      <c r="C2955" s="248">
        <v>43967</v>
      </c>
      <c r="D2955" t="s">
        <v>310</v>
      </c>
      <c r="E2955">
        <v>28</v>
      </c>
    </row>
    <row r="2956" spans="3:5" x14ac:dyDescent="0.25">
      <c r="C2956" s="248">
        <v>43972</v>
      </c>
      <c r="D2956" t="s">
        <v>307</v>
      </c>
      <c r="E2956">
        <v>75</v>
      </c>
    </row>
    <row r="2957" spans="3:5" x14ac:dyDescent="0.25">
      <c r="C2957" s="248">
        <v>43923</v>
      </c>
      <c r="D2957" t="s">
        <v>312</v>
      </c>
      <c r="E2957">
        <v>10</v>
      </c>
    </row>
    <row r="2958" spans="3:5" x14ac:dyDescent="0.25">
      <c r="C2958" s="248">
        <v>43982</v>
      </c>
      <c r="D2958" t="s">
        <v>308</v>
      </c>
      <c r="E2958">
        <v>10</v>
      </c>
    </row>
    <row r="2959" spans="3:5" x14ac:dyDescent="0.25">
      <c r="C2959" s="248">
        <v>43952</v>
      </c>
      <c r="D2959" t="s">
        <v>311</v>
      </c>
      <c r="E2959">
        <v>4</v>
      </c>
    </row>
    <row r="2960" spans="3:5" x14ac:dyDescent="0.25">
      <c r="C2960" s="248">
        <v>43978</v>
      </c>
      <c r="D2960" t="s">
        <v>305</v>
      </c>
      <c r="E2960">
        <v>43</v>
      </c>
    </row>
    <row r="2961" spans="3:5" x14ac:dyDescent="0.25">
      <c r="C2961" s="248">
        <v>43975</v>
      </c>
      <c r="D2961" t="s">
        <v>310</v>
      </c>
      <c r="E2961">
        <v>41</v>
      </c>
    </row>
    <row r="2962" spans="3:5" x14ac:dyDescent="0.25">
      <c r="C2962" s="248">
        <v>43943</v>
      </c>
      <c r="D2962" t="s">
        <v>306</v>
      </c>
      <c r="E2962">
        <v>15</v>
      </c>
    </row>
    <row r="2963" spans="3:5" x14ac:dyDescent="0.25">
      <c r="C2963" s="248">
        <v>43960</v>
      </c>
      <c r="D2963" t="s">
        <v>310</v>
      </c>
      <c r="E2963">
        <v>13</v>
      </c>
    </row>
    <row r="2964" spans="3:5" x14ac:dyDescent="0.25">
      <c r="C2964" s="248">
        <v>43949</v>
      </c>
      <c r="D2964" t="s">
        <v>306</v>
      </c>
      <c r="E2964">
        <v>14</v>
      </c>
    </row>
    <row r="2965" spans="3:5" x14ac:dyDescent="0.25">
      <c r="C2965" s="248">
        <v>43963</v>
      </c>
      <c r="D2965" t="s">
        <v>304</v>
      </c>
      <c r="E2965">
        <v>51</v>
      </c>
    </row>
    <row r="2966" spans="3:5" x14ac:dyDescent="0.25">
      <c r="C2966" s="248">
        <v>43977</v>
      </c>
      <c r="D2966" t="s">
        <v>304</v>
      </c>
      <c r="E2966">
        <v>98</v>
      </c>
    </row>
    <row r="2967" spans="3:5" x14ac:dyDescent="0.25">
      <c r="C2967" s="248">
        <v>43951</v>
      </c>
      <c r="D2967" t="s">
        <v>304</v>
      </c>
      <c r="E2967">
        <v>6</v>
      </c>
    </row>
    <row r="2968" spans="3:5" x14ac:dyDescent="0.25">
      <c r="C2968" s="248">
        <v>43977</v>
      </c>
      <c r="D2968" t="s">
        <v>308</v>
      </c>
      <c r="E2968">
        <v>10</v>
      </c>
    </row>
    <row r="2969" spans="3:5" x14ac:dyDescent="0.25">
      <c r="C2969" s="248">
        <v>43968</v>
      </c>
      <c r="D2969" t="s">
        <v>304</v>
      </c>
      <c r="E2969">
        <v>52</v>
      </c>
    </row>
    <row r="2970" spans="3:5" x14ac:dyDescent="0.25">
      <c r="C2970" s="248">
        <v>43977</v>
      </c>
      <c r="D2970" t="s">
        <v>309</v>
      </c>
      <c r="E2970">
        <v>38</v>
      </c>
    </row>
    <row r="2971" spans="3:5" x14ac:dyDescent="0.25">
      <c r="C2971" s="248">
        <v>43971</v>
      </c>
      <c r="D2971" t="s">
        <v>312</v>
      </c>
      <c r="E2971">
        <v>9</v>
      </c>
    </row>
    <row r="2972" spans="3:5" x14ac:dyDescent="0.25">
      <c r="C2972" s="248">
        <v>43946</v>
      </c>
      <c r="D2972" t="s">
        <v>310</v>
      </c>
      <c r="E2972">
        <v>3</v>
      </c>
    </row>
    <row r="2973" spans="3:5" x14ac:dyDescent="0.25">
      <c r="C2973" s="248">
        <v>43959</v>
      </c>
      <c r="D2973" t="s">
        <v>308</v>
      </c>
      <c r="E2973">
        <v>6</v>
      </c>
    </row>
    <row r="2974" spans="3:5" x14ac:dyDescent="0.25">
      <c r="C2974" s="248">
        <v>43968</v>
      </c>
      <c r="D2974" t="s">
        <v>308</v>
      </c>
      <c r="E2974">
        <v>5</v>
      </c>
    </row>
    <row r="2975" spans="3:5" x14ac:dyDescent="0.25">
      <c r="C2975" s="248">
        <v>43964</v>
      </c>
      <c r="D2975" t="s">
        <v>306</v>
      </c>
      <c r="E2975">
        <v>47</v>
      </c>
    </row>
    <row r="2976" spans="3:5" x14ac:dyDescent="0.25">
      <c r="C2976" s="248">
        <v>43976</v>
      </c>
      <c r="D2976" t="s">
        <v>309</v>
      </c>
      <c r="E2976">
        <v>38</v>
      </c>
    </row>
    <row r="2977" spans="3:5" x14ac:dyDescent="0.25">
      <c r="C2977" s="248">
        <v>43973</v>
      </c>
      <c r="D2977" t="s">
        <v>308</v>
      </c>
      <c r="E2977">
        <v>9</v>
      </c>
    </row>
    <row r="2978" spans="3:5" x14ac:dyDescent="0.25">
      <c r="C2978" s="248">
        <v>43959</v>
      </c>
      <c r="D2978" t="s">
        <v>311</v>
      </c>
      <c r="E2978">
        <v>11</v>
      </c>
    </row>
    <row r="2979" spans="3:5" x14ac:dyDescent="0.25">
      <c r="C2979" s="248">
        <v>43960</v>
      </c>
      <c r="D2979" t="s">
        <v>307</v>
      </c>
      <c r="E2979">
        <v>21</v>
      </c>
    </row>
    <row r="2980" spans="3:5" x14ac:dyDescent="0.25">
      <c r="C2980" s="248">
        <v>43912</v>
      </c>
      <c r="D2980" t="s">
        <v>308</v>
      </c>
      <c r="E2980">
        <v>3</v>
      </c>
    </row>
    <row r="2981" spans="3:5" x14ac:dyDescent="0.25">
      <c r="C2981" s="248">
        <v>43962</v>
      </c>
      <c r="D2981" t="s">
        <v>312</v>
      </c>
      <c r="E2981">
        <v>5</v>
      </c>
    </row>
    <row r="2982" spans="3:5" x14ac:dyDescent="0.25">
      <c r="C2982" s="248">
        <v>43956</v>
      </c>
      <c r="D2982" t="s">
        <v>304</v>
      </c>
      <c r="E2982">
        <v>32</v>
      </c>
    </row>
    <row r="2983" spans="3:5" x14ac:dyDescent="0.25">
      <c r="C2983" s="248">
        <v>43960</v>
      </c>
      <c r="D2983" t="s">
        <v>308</v>
      </c>
      <c r="E2983">
        <v>3</v>
      </c>
    </row>
    <row r="2984" spans="3:5" x14ac:dyDescent="0.25">
      <c r="C2984" s="248">
        <v>43925</v>
      </c>
      <c r="D2984" t="s">
        <v>307</v>
      </c>
      <c r="E2984">
        <v>3</v>
      </c>
    </row>
    <row r="2985" spans="3:5" x14ac:dyDescent="0.25">
      <c r="C2985" s="248">
        <v>43915</v>
      </c>
      <c r="D2985" t="s">
        <v>308</v>
      </c>
      <c r="E2985">
        <v>4</v>
      </c>
    </row>
    <row r="2986" spans="3:5" x14ac:dyDescent="0.25">
      <c r="C2986" s="248">
        <v>43933</v>
      </c>
      <c r="D2986" t="s">
        <v>307</v>
      </c>
      <c r="E2986">
        <v>2</v>
      </c>
    </row>
    <row r="2987" spans="3:5" x14ac:dyDescent="0.25">
      <c r="C2987" s="248">
        <v>43920</v>
      </c>
      <c r="D2987" t="s">
        <v>308</v>
      </c>
      <c r="E2987">
        <v>8</v>
      </c>
    </row>
    <row r="2988" spans="3:5" x14ac:dyDescent="0.25">
      <c r="C2988" s="248">
        <v>43926</v>
      </c>
      <c r="D2988" t="s">
        <v>307</v>
      </c>
      <c r="E2988">
        <v>5</v>
      </c>
    </row>
    <row r="2989" spans="3:5" x14ac:dyDescent="0.25">
      <c r="C2989" s="248">
        <v>43930</v>
      </c>
      <c r="D2989" t="s">
        <v>307</v>
      </c>
      <c r="E2989">
        <v>2</v>
      </c>
    </row>
    <row r="2990" spans="3:5" x14ac:dyDescent="0.25">
      <c r="C2990" s="248">
        <v>43933</v>
      </c>
      <c r="D2990" t="s">
        <v>310</v>
      </c>
      <c r="E2990">
        <v>2</v>
      </c>
    </row>
    <row r="2991" spans="3:5" x14ac:dyDescent="0.25">
      <c r="C2991" s="248">
        <v>43934</v>
      </c>
      <c r="D2991" t="s">
        <v>307</v>
      </c>
      <c r="E2991">
        <v>7</v>
      </c>
    </row>
    <row r="2992" spans="3:5" x14ac:dyDescent="0.25">
      <c r="C2992" s="248">
        <v>43919</v>
      </c>
      <c r="D2992" t="s">
        <v>306</v>
      </c>
      <c r="E2992">
        <v>13</v>
      </c>
    </row>
    <row r="2993" spans="3:5" x14ac:dyDescent="0.25">
      <c r="C2993" s="248">
        <v>43919</v>
      </c>
      <c r="D2993" t="s">
        <v>308</v>
      </c>
      <c r="E2993">
        <v>5</v>
      </c>
    </row>
    <row r="2994" spans="3:5" x14ac:dyDescent="0.25">
      <c r="C2994" s="248">
        <v>43911</v>
      </c>
      <c r="D2994" t="s">
        <v>310</v>
      </c>
      <c r="E2994">
        <v>5</v>
      </c>
    </row>
    <row r="2995" spans="3:5" x14ac:dyDescent="0.25">
      <c r="C2995" s="248">
        <v>43908</v>
      </c>
      <c r="D2995" t="s">
        <v>310</v>
      </c>
      <c r="E2995">
        <v>3</v>
      </c>
    </row>
    <row r="2996" spans="3:5" x14ac:dyDescent="0.25">
      <c r="C2996" s="248">
        <v>43915</v>
      </c>
      <c r="D2996" t="s">
        <v>304</v>
      </c>
      <c r="E2996">
        <v>6</v>
      </c>
    </row>
    <row r="2997" spans="3:5" x14ac:dyDescent="0.25">
      <c r="C2997" s="248">
        <v>43908</v>
      </c>
      <c r="D2997" t="s">
        <v>306</v>
      </c>
      <c r="E2997">
        <v>7</v>
      </c>
    </row>
    <row r="2998" spans="3:5" x14ac:dyDescent="0.25">
      <c r="C2998" s="248">
        <v>43907</v>
      </c>
      <c r="D2998" t="s">
        <v>304</v>
      </c>
      <c r="E2998">
        <v>4</v>
      </c>
    </row>
    <row r="2999" spans="3:5" x14ac:dyDescent="0.25">
      <c r="C2999" s="248">
        <v>43908</v>
      </c>
      <c r="D2999" t="s">
        <v>311</v>
      </c>
      <c r="E2999">
        <v>1</v>
      </c>
    </row>
    <row r="3000" spans="3:5" x14ac:dyDescent="0.25">
      <c r="C3000" s="248">
        <v>43909</v>
      </c>
      <c r="D3000" t="s">
        <v>306</v>
      </c>
      <c r="E3000">
        <v>5</v>
      </c>
    </row>
    <row r="3001" spans="3:5" x14ac:dyDescent="0.25">
      <c r="C3001" s="248">
        <v>43907</v>
      </c>
      <c r="D3001" t="s">
        <v>306</v>
      </c>
      <c r="E3001">
        <v>4</v>
      </c>
    </row>
    <row r="3002" spans="3:5" x14ac:dyDescent="0.25">
      <c r="C3002" s="248">
        <v>43910</v>
      </c>
      <c r="D3002" t="s">
        <v>304</v>
      </c>
      <c r="E3002">
        <v>6</v>
      </c>
    </row>
    <row r="3003" spans="3:5" x14ac:dyDescent="0.25">
      <c r="C3003" s="248">
        <v>43910</v>
      </c>
      <c r="D3003" t="s">
        <v>311</v>
      </c>
      <c r="E3003">
        <v>2</v>
      </c>
    </row>
    <row r="3004" spans="3:5" x14ac:dyDescent="0.25">
      <c r="C3004" s="248">
        <v>43906</v>
      </c>
      <c r="D3004" t="s">
        <v>307</v>
      </c>
      <c r="E3004">
        <v>1</v>
      </c>
    </row>
    <row r="3005" spans="3:5" x14ac:dyDescent="0.25">
      <c r="C3005" s="248">
        <v>43909</v>
      </c>
      <c r="D3005" t="s">
        <v>308</v>
      </c>
      <c r="E3005">
        <v>4</v>
      </c>
    </row>
    <row r="3006" spans="3:5" x14ac:dyDescent="0.25">
      <c r="C3006" s="248">
        <v>43909</v>
      </c>
      <c r="D3006" t="s">
        <v>305</v>
      </c>
      <c r="E3006">
        <v>1</v>
      </c>
    </row>
    <row r="3007" spans="3:5" x14ac:dyDescent="0.25">
      <c r="C3007" s="248">
        <v>43909</v>
      </c>
      <c r="D3007" t="s">
        <v>307</v>
      </c>
      <c r="E3007">
        <v>5</v>
      </c>
    </row>
    <row r="3008" spans="3:5" x14ac:dyDescent="0.25">
      <c r="C3008" s="248">
        <v>43909</v>
      </c>
      <c r="D3008" t="s">
        <v>304</v>
      </c>
      <c r="E3008">
        <v>2</v>
      </c>
    </row>
    <row r="3009" spans="3:5" x14ac:dyDescent="0.25">
      <c r="C3009" s="248">
        <v>43908</v>
      </c>
      <c r="D3009" t="s">
        <v>304</v>
      </c>
      <c r="E3009">
        <v>6</v>
      </c>
    </row>
    <row r="3010" spans="3:5" x14ac:dyDescent="0.25">
      <c r="C3010" s="248">
        <v>43911</v>
      </c>
      <c r="D3010" t="s">
        <v>304</v>
      </c>
      <c r="E3010">
        <v>5</v>
      </c>
    </row>
    <row r="3011" spans="3:5" x14ac:dyDescent="0.25">
      <c r="C3011" s="248">
        <v>43903</v>
      </c>
      <c r="D3011" t="s">
        <v>307</v>
      </c>
      <c r="E3011">
        <v>3</v>
      </c>
    </row>
    <row r="3012" spans="3:5" x14ac:dyDescent="0.25">
      <c r="C3012" s="248">
        <v>43906</v>
      </c>
      <c r="D3012" t="s">
        <v>306</v>
      </c>
      <c r="E3012">
        <v>4</v>
      </c>
    </row>
    <row r="3013" spans="3:5" x14ac:dyDescent="0.25">
      <c r="C3013" s="248">
        <v>43906</v>
      </c>
      <c r="D3013" t="s">
        <v>310</v>
      </c>
      <c r="E3013">
        <v>1</v>
      </c>
    </row>
    <row r="3014" spans="3:5" x14ac:dyDescent="0.25">
      <c r="C3014" s="248">
        <v>43912</v>
      </c>
      <c r="D3014" t="s">
        <v>310</v>
      </c>
      <c r="E3014">
        <v>7</v>
      </c>
    </row>
    <row r="3015" spans="3:5" x14ac:dyDescent="0.25">
      <c r="C3015" s="248">
        <v>43899</v>
      </c>
      <c r="D3015" t="s">
        <v>311</v>
      </c>
      <c r="E3015">
        <v>2</v>
      </c>
    </row>
    <row r="3016" spans="3:5" x14ac:dyDescent="0.25">
      <c r="C3016" s="248">
        <v>43975</v>
      </c>
      <c r="D3016" t="s">
        <v>305</v>
      </c>
      <c r="E3016">
        <v>18</v>
      </c>
    </row>
    <row r="3017" spans="3:5" x14ac:dyDescent="0.25">
      <c r="C3017" s="248">
        <v>43965</v>
      </c>
      <c r="D3017" t="s">
        <v>305</v>
      </c>
      <c r="E3017">
        <v>42</v>
      </c>
    </row>
    <row r="3018" spans="3:5" x14ac:dyDescent="0.25">
      <c r="C3018" s="248">
        <v>43966</v>
      </c>
      <c r="D3018" t="s">
        <v>305</v>
      </c>
      <c r="E3018">
        <v>24</v>
      </c>
    </row>
    <row r="3019" spans="3:5" x14ac:dyDescent="0.25">
      <c r="C3019" s="248">
        <v>43968</v>
      </c>
      <c r="D3019" t="s">
        <v>309</v>
      </c>
      <c r="E3019">
        <v>22</v>
      </c>
    </row>
    <row r="3020" spans="3:5" x14ac:dyDescent="0.25">
      <c r="C3020" s="248">
        <v>43966</v>
      </c>
      <c r="D3020" t="s">
        <v>309</v>
      </c>
      <c r="E3020">
        <v>30</v>
      </c>
    </row>
    <row r="3021" spans="3:5" x14ac:dyDescent="0.25">
      <c r="C3021" s="248">
        <v>43968</v>
      </c>
      <c r="D3021" t="s">
        <v>312</v>
      </c>
      <c r="E3021">
        <v>12</v>
      </c>
    </row>
    <row r="3022" spans="3:5" x14ac:dyDescent="0.25">
      <c r="C3022" s="248">
        <v>43962</v>
      </c>
      <c r="D3022" t="s">
        <v>305</v>
      </c>
      <c r="E3022">
        <v>9</v>
      </c>
    </row>
    <row r="3023" spans="3:5" x14ac:dyDescent="0.25">
      <c r="C3023" s="248">
        <v>43963</v>
      </c>
      <c r="D3023" t="s">
        <v>310</v>
      </c>
      <c r="E3023">
        <v>28</v>
      </c>
    </row>
    <row r="3024" spans="3:5" x14ac:dyDescent="0.25">
      <c r="C3024" s="248">
        <v>43966</v>
      </c>
      <c r="D3024" t="s">
        <v>306</v>
      </c>
      <c r="E3024">
        <v>66</v>
      </c>
    </row>
    <row r="3025" spans="3:5" x14ac:dyDescent="0.25">
      <c r="C3025" s="248">
        <v>43966</v>
      </c>
      <c r="D3025" t="s">
        <v>304</v>
      </c>
      <c r="E3025">
        <v>44</v>
      </c>
    </row>
    <row r="3026" spans="3:5" x14ac:dyDescent="0.25">
      <c r="C3026" s="248">
        <v>43970</v>
      </c>
      <c r="D3026" t="s">
        <v>309</v>
      </c>
      <c r="E3026">
        <v>47</v>
      </c>
    </row>
    <row r="3027" spans="3:5" x14ac:dyDescent="0.25">
      <c r="C3027" s="248">
        <v>43970</v>
      </c>
      <c r="D3027" t="s">
        <v>304</v>
      </c>
      <c r="E3027">
        <v>80</v>
      </c>
    </row>
    <row r="3028" spans="3:5" x14ac:dyDescent="0.25">
      <c r="C3028" s="248">
        <v>43957</v>
      </c>
      <c r="D3028" t="s">
        <v>305</v>
      </c>
      <c r="E3028">
        <v>12</v>
      </c>
    </row>
    <row r="3029" spans="3:5" x14ac:dyDescent="0.25">
      <c r="C3029" s="248">
        <v>43969</v>
      </c>
      <c r="D3029" t="s">
        <v>308</v>
      </c>
      <c r="E3029">
        <v>16</v>
      </c>
    </row>
    <row r="3030" spans="3:5" x14ac:dyDescent="0.25">
      <c r="C3030" s="248">
        <v>43974</v>
      </c>
      <c r="D3030" t="s">
        <v>305</v>
      </c>
      <c r="E3030">
        <v>46</v>
      </c>
    </row>
    <row r="3031" spans="3:5" x14ac:dyDescent="0.25">
      <c r="C3031" s="248">
        <v>43973</v>
      </c>
      <c r="D3031" t="s">
        <v>307</v>
      </c>
      <c r="E3031">
        <v>80</v>
      </c>
    </row>
    <row r="3032" spans="3:5" x14ac:dyDescent="0.25">
      <c r="C3032" s="248">
        <v>43971</v>
      </c>
      <c r="D3032" t="s">
        <v>309</v>
      </c>
      <c r="E3032">
        <v>32</v>
      </c>
    </row>
    <row r="3033" spans="3:5" x14ac:dyDescent="0.25">
      <c r="C3033" s="248">
        <v>43972</v>
      </c>
      <c r="D3033" t="s">
        <v>305</v>
      </c>
      <c r="E3033">
        <v>49</v>
      </c>
    </row>
    <row r="3034" spans="3:5" x14ac:dyDescent="0.25">
      <c r="C3034" s="248">
        <v>43972</v>
      </c>
      <c r="D3034" t="s">
        <v>309</v>
      </c>
      <c r="E3034">
        <v>33</v>
      </c>
    </row>
    <row r="3035" spans="3:5" x14ac:dyDescent="0.25">
      <c r="C3035" s="248">
        <v>43971</v>
      </c>
      <c r="D3035" t="s">
        <v>305</v>
      </c>
      <c r="E3035">
        <v>36</v>
      </c>
    </row>
    <row r="3036" spans="3:5" x14ac:dyDescent="0.25">
      <c r="C3036" s="248">
        <v>43971</v>
      </c>
      <c r="D3036" t="s">
        <v>311</v>
      </c>
      <c r="E3036">
        <v>27</v>
      </c>
    </row>
    <row r="3037" spans="3:5" x14ac:dyDescent="0.25">
      <c r="C3037" s="248">
        <v>43975</v>
      </c>
      <c r="D3037" t="s">
        <v>307</v>
      </c>
      <c r="E3037">
        <v>51</v>
      </c>
    </row>
    <row r="3038" spans="3:5" x14ac:dyDescent="0.25">
      <c r="C3038" s="248">
        <v>43917</v>
      </c>
      <c r="D3038" t="s">
        <v>307</v>
      </c>
      <c r="E3038">
        <v>6</v>
      </c>
    </row>
    <row r="3039" spans="3:5" x14ac:dyDescent="0.25">
      <c r="C3039" s="248">
        <v>43963</v>
      </c>
      <c r="D3039" t="s">
        <v>312</v>
      </c>
      <c r="E3039">
        <v>8</v>
      </c>
    </row>
    <row r="3040" spans="3:5" x14ac:dyDescent="0.25">
      <c r="C3040" s="248">
        <v>43963</v>
      </c>
      <c r="D3040" t="s">
        <v>308</v>
      </c>
      <c r="E3040">
        <v>8</v>
      </c>
    </row>
    <row r="3041" spans="3:5" x14ac:dyDescent="0.25">
      <c r="C3041" s="248">
        <v>43964</v>
      </c>
      <c r="D3041" t="s">
        <v>312</v>
      </c>
      <c r="E3041">
        <v>8</v>
      </c>
    </row>
    <row r="3042" spans="3:5" x14ac:dyDescent="0.25">
      <c r="C3042" s="248">
        <v>43965</v>
      </c>
      <c r="D3042" t="s">
        <v>311</v>
      </c>
      <c r="E3042">
        <v>12</v>
      </c>
    </row>
    <row r="3043" spans="3:5" x14ac:dyDescent="0.25">
      <c r="C3043" s="248">
        <v>43965</v>
      </c>
      <c r="D3043" t="s">
        <v>309</v>
      </c>
      <c r="E3043">
        <v>34</v>
      </c>
    </row>
    <row r="3044" spans="3:5" x14ac:dyDescent="0.25">
      <c r="C3044" s="248">
        <v>43967</v>
      </c>
      <c r="D3044" t="s">
        <v>311</v>
      </c>
      <c r="E3044">
        <v>11</v>
      </c>
    </row>
    <row r="3045" spans="3:5" x14ac:dyDescent="0.25">
      <c r="C3045" s="248">
        <v>43969</v>
      </c>
      <c r="D3045" t="s">
        <v>311</v>
      </c>
      <c r="E3045">
        <v>19</v>
      </c>
    </row>
    <row r="3046" spans="3:5" x14ac:dyDescent="0.25">
      <c r="C3046" s="248">
        <v>43935</v>
      </c>
      <c r="D3046" t="s">
        <v>312</v>
      </c>
      <c r="E3046">
        <v>3</v>
      </c>
    </row>
    <row r="3047" spans="3:5" x14ac:dyDescent="0.25">
      <c r="C3047" s="248">
        <v>43959</v>
      </c>
      <c r="D3047" t="s">
        <v>312</v>
      </c>
      <c r="E3047">
        <v>7</v>
      </c>
    </row>
    <row r="3048" spans="3:5" x14ac:dyDescent="0.25">
      <c r="C3048" s="248">
        <v>43961</v>
      </c>
      <c r="D3048" t="s">
        <v>311</v>
      </c>
      <c r="E3048">
        <v>14</v>
      </c>
    </row>
    <row r="3049" spans="3:5" x14ac:dyDescent="0.25">
      <c r="C3049" s="248">
        <v>43964</v>
      </c>
      <c r="D3049" t="s">
        <v>311</v>
      </c>
      <c r="E3049">
        <v>18</v>
      </c>
    </row>
    <row r="3050" spans="3:5" x14ac:dyDescent="0.25">
      <c r="C3050" s="248">
        <v>43965</v>
      </c>
      <c r="D3050" t="s">
        <v>308</v>
      </c>
      <c r="E3050">
        <v>2</v>
      </c>
    </row>
    <row r="3051" spans="3:5" x14ac:dyDescent="0.25">
      <c r="C3051" s="248">
        <v>43968</v>
      </c>
      <c r="D3051" t="s">
        <v>305</v>
      </c>
      <c r="E3051">
        <v>31</v>
      </c>
    </row>
    <row r="3052" spans="3:5" x14ac:dyDescent="0.25">
      <c r="C3052" s="248">
        <v>43942</v>
      </c>
      <c r="D3052" t="s">
        <v>304</v>
      </c>
      <c r="E3052">
        <v>7</v>
      </c>
    </row>
    <row r="3053" spans="3:5" x14ac:dyDescent="0.25">
      <c r="C3053" s="248">
        <v>43960</v>
      </c>
      <c r="D3053" t="s">
        <v>311</v>
      </c>
      <c r="E3053">
        <v>12</v>
      </c>
    </row>
    <row r="3054" spans="3:5" x14ac:dyDescent="0.25">
      <c r="C3054" s="248">
        <v>43951</v>
      </c>
      <c r="D3054" t="s">
        <v>306</v>
      </c>
      <c r="E3054">
        <v>13</v>
      </c>
    </row>
    <row r="3055" spans="3:5" x14ac:dyDescent="0.25">
      <c r="C3055" s="248">
        <v>43958</v>
      </c>
      <c r="D3055" t="s">
        <v>307</v>
      </c>
      <c r="E3055">
        <v>23</v>
      </c>
    </row>
    <row r="3056" spans="3:5" x14ac:dyDescent="0.25">
      <c r="C3056" s="248">
        <v>43961</v>
      </c>
      <c r="D3056" t="s">
        <v>304</v>
      </c>
      <c r="E3056">
        <v>27</v>
      </c>
    </row>
    <row r="3057" spans="3:5" x14ac:dyDescent="0.25">
      <c r="C3057" s="248">
        <v>43961</v>
      </c>
      <c r="D3057" t="s">
        <v>309</v>
      </c>
      <c r="E3057">
        <v>7</v>
      </c>
    </row>
    <row r="3058" spans="3:5" x14ac:dyDescent="0.25">
      <c r="C3058" s="248">
        <v>43958</v>
      </c>
      <c r="D3058" t="s">
        <v>306</v>
      </c>
      <c r="E3058">
        <v>32</v>
      </c>
    </row>
    <row r="3059" spans="3:5" x14ac:dyDescent="0.25">
      <c r="C3059" s="248">
        <v>43945</v>
      </c>
      <c r="D3059" t="s">
        <v>304</v>
      </c>
      <c r="E3059">
        <v>9</v>
      </c>
    </row>
    <row r="3060" spans="3:5" x14ac:dyDescent="0.25">
      <c r="C3060" s="248">
        <v>43947</v>
      </c>
      <c r="D3060" t="s">
        <v>307</v>
      </c>
      <c r="E3060">
        <v>5</v>
      </c>
    </row>
    <row r="3061" spans="3:5" x14ac:dyDescent="0.25">
      <c r="C3061" s="248">
        <v>43948</v>
      </c>
      <c r="D3061" t="s">
        <v>312</v>
      </c>
      <c r="E3061">
        <v>9</v>
      </c>
    </row>
    <row r="3062" spans="3:5" x14ac:dyDescent="0.25">
      <c r="C3062" s="248">
        <v>43942</v>
      </c>
      <c r="D3062" t="s">
        <v>312</v>
      </c>
      <c r="E3062">
        <v>11</v>
      </c>
    </row>
    <row r="3063" spans="3:5" x14ac:dyDescent="0.25">
      <c r="C3063" s="248">
        <v>43949</v>
      </c>
      <c r="D3063" t="s">
        <v>310</v>
      </c>
      <c r="E3063">
        <v>2</v>
      </c>
    </row>
    <row r="3064" spans="3:5" x14ac:dyDescent="0.25">
      <c r="C3064" s="248">
        <v>43953</v>
      </c>
      <c r="D3064" t="s">
        <v>306</v>
      </c>
      <c r="E3064">
        <v>13</v>
      </c>
    </row>
    <row r="3065" spans="3:5" x14ac:dyDescent="0.25">
      <c r="C3065" s="248">
        <v>43959</v>
      </c>
      <c r="D3065" t="s">
        <v>307</v>
      </c>
      <c r="E3065">
        <v>33</v>
      </c>
    </row>
    <row r="3066" spans="3:5" x14ac:dyDescent="0.25">
      <c r="C3066" s="248">
        <v>43962</v>
      </c>
      <c r="D3066" t="s">
        <v>310</v>
      </c>
      <c r="E3066">
        <v>18</v>
      </c>
    </row>
    <row r="3067" spans="3:5" x14ac:dyDescent="0.25">
      <c r="C3067" s="248">
        <v>43959</v>
      </c>
      <c r="D3067" t="s">
        <v>306</v>
      </c>
      <c r="E3067">
        <v>43</v>
      </c>
    </row>
    <row r="3068" spans="3:5" x14ac:dyDescent="0.25">
      <c r="C3068" s="248">
        <v>43963</v>
      </c>
      <c r="D3068" t="s">
        <v>307</v>
      </c>
      <c r="E3068">
        <v>36</v>
      </c>
    </row>
    <row r="3069" spans="3:5" x14ac:dyDescent="0.25">
      <c r="C3069" s="248">
        <v>43966</v>
      </c>
      <c r="D3069" t="s">
        <v>308</v>
      </c>
      <c r="E3069">
        <v>5</v>
      </c>
    </row>
    <row r="3070" spans="3:5" x14ac:dyDescent="0.25">
      <c r="C3070" s="248">
        <v>43959</v>
      </c>
      <c r="D3070" t="s">
        <v>305</v>
      </c>
      <c r="E3070">
        <v>19</v>
      </c>
    </row>
    <row r="3071" spans="3:5" x14ac:dyDescent="0.25">
      <c r="C3071" s="248">
        <v>43959</v>
      </c>
      <c r="D3071" t="s">
        <v>304</v>
      </c>
      <c r="E3071">
        <v>37</v>
      </c>
    </row>
    <row r="3072" spans="3:5" x14ac:dyDescent="0.25">
      <c r="C3072" s="248">
        <v>43957</v>
      </c>
      <c r="D3072" t="s">
        <v>306</v>
      </c>
      <c r="E3072">
        <v>27</v>
      </c>
    </row>
    <row r="3073" spans="3:5" x14ac:dyDescent="0.25">
      <c r="C3073" s="248">
        <v>43957</v>
      </c>
      <c r="D3073" t="s">
        <v>307</v>
      </c>
      <c r="E3073">
        <v>17</v>
      </c>
    </row>
    <row r="3074" spans="3:5" x14ac:dyDescent="0.25">
      <c r="C3074" s="248">
        <v>43960</v>
      </c>
      <c r="D3074" t="s">
        <v>305</v>
      </c>
      <c r="E3074">
        <v>8</v>
      </c>
    </row>
    <row r="3075" spans="3:5" x14ac:dyDescent="0.25">
      <c r="C3075" s="248">
        <v>43960</v>
      </c>
      <c r="D3075" t="s">
        <v>306</v>
      </c>
      <c r="E3075">
        <v>31</v>
      </c>
    </row>
    <row r="3076" spans="3:5" x14ac:dyDescent="0.25">
      <c r="C3076" s="248">
        <v>43935</v>
      </c>
      <c r="D3076" t="s">
        <v>307</v>
      </c>
      <c r="E3076">
        <v>6</v>
      </c>
    </row>
    <row r="3077" spans="3:5" x14ac:dyDescent="0.25">
      <c r="C3077" s="248">
        <v>43949</v>
      </c>
      <c r="D3077" t="s">
        <v>305</v>
      </c>
      <c r="E3077">
        <v>3</v>
      </c>
    </row>
    <row r="3078" spans="3:5" x14ac:dyDescent="0.25">
      <c r="C3078" s="248">
        <v>43959</v>
      </c>
      <c r="D3078" t="s">
        <v>309</v>
      </c>
      <c r="E3078">
        <v>18</v>
      </c>
    </row>
    <row r="3079" spans="3:5" x14ac:dyDescent="0.25">
      <c r="C3079" s="248">
        <v>43958</v>
      </c>
      <c r="D3079" t="s">
        <v>309</v>
      </c>
      <c r="E3079">
        <v>11</v>
      </c>
    </row>
    <row r="3080" spans="3:5" x14ac:dyDescent="0.25">
      <c r="C3080" s="248">
        <v>43952</v>
      </c>
      <c r="D3080" t="s">
        <v>307</v>
      </c>
      <c r="E3080">
        <v>7</v>
      </c>
    </row>
    <row r="3081" spans="3:5" x14ac:dyDescent="0.25">
      <c r="C3081" s="248">
        <v>43956</v>
      </c>
      <c r="D3081" t="s">
        <v>306</v>
      </c>
      <c r="E3081">
        <v>31</v>
      </c>
    </row>
    <row r="3082" spans="3:5" x14ac:dyDescent="0.25">
      <c r="C3082" s="248">
        <v>43950</v>
      </c>
      <c r="D3082" t="s">
        <v>306</v>
      </c>
      <c r="E3082">
        <v>6</v>
      </c>
    </row>
    <row r="3083" spans="3:5" x14ac:dyDescent="0.25">
      <c r="C3083" s="248">
        <v>43957</v>
      </c>
      <c r="D3083" t="s">
        <v>309</v>
      </c>
      <c r="E3083">
        <v>5</v>
      </c>
    </row>
    <row r="3084" spans="3:5" x14ac:dyDescent="0.25">
      <c r="C3084" s="248">
        <v>43930</v>
      </c>
      <c r="D3084" t="s">
        <v>310</v>
      </c>
      <c r="E3084">
        <v>3</v>
      </c>
    </row>
    <row r="3085" spans="3:5" x14ac:dyDescent="0.25">
      <c r="C3085" s="248">
        <v>43922</v>
      </c>
      <c r="D3085" t="s">
        <v>306</v>
      </c>
      <c r="E3085">
        <v>13</v>
      </c>
    </row>
    <row r="3086" spans="3:5" x14ac:dyDescent="0.25">
      <c r="C3086" s="248">
        <v>43940</v>
      </c>
      <c r="D3086" t="s">
        <v>307</v>
      </c>
      <c r="E3086">
        <v>4</v>
      </c>
    </row>
    <row r="3087" spans="3:5" x14ac:dyDescent="0.25">
      <c r="C3087" s="248">
        <v>43938</v>
      </c>
      <c r="D3087" t="s">
        <v>310</v>
      </c>
      <c r="E3087">
        <v>3</v>
      </c>
    </row>
    <row r="3088" spans="3:5" x14ac:dyDescent="0.25">
      <c r="C3088" s="248">
        <v>43921</v>
      </c>
      <c r="D3088" t="s">
        <v>310</v>
      </c>
      <c r="E3088">
        <v>8</v>
      </c>
    </row>
    <row r="3089" spans="3:5" x14ac:dyDescent="0.25">
      <c r="C3089" s="248">
        <v>43921</v>
      </c>
      <c r="D3089" t="s">
        <v>312</v>
      </c>
      <c r="E3089">
        <v>4</v>
      </c>
    </row>
    <row r="3090" spans="3:5" x14ac:dyDescent="0.25">
      <c r="C3090" s="248">
        <v>43929</v>
      </c>
      <c r="D3090" t="s">
        <v>304</v>
      </c>
      <c r="E3090">
        <v>4</v>
      </c>
    </row>
    <row r="3091" spans="3:5" x14ac:dyDescent="0.25">
      <c r="C3091" s="248">
        <v>43940</v>
      </c>
      <c r="D3091" t="s">
        <v>304</v>
      </c>
      <c r="E3091">
        <v>2</v>
      </c>
    </row>
    <row r="3092" spans="3:5" x14ac:dyDescent="0.25">
      <c r="C3092" s="248">
        <v>43929</v>
      </c>
      <c r="D3092" t="s">
        <v>311</v>
      </c>
      <c r="E3092">
        <v>2</v>
      </c>
    </row>
    <row r="3093" spans="3:5" x14ac:dyDescent="0.25">
      <c r="C3093" s="248">
        <v>43935</v>
      </c>
      <c r="D3093" t="s">
        <v>306</v>
      </c>
      <c r="E3093">
        <v>9</v>
      </c>
    </row>
    <row r="3094" spans="3:5" x14ac:dyDescent="0.25">
      <c r="C3094" s="248">
        <v>43931</v>
      </c>
      <c r="D3094" t="s">
        <v>306</v>
      </c>
      <c r="E3094">
        <v>8</v>
      </c>
    </row>
    <row r="3095" spans="3:5" x14ac:dyDescent="0.25">
      <c r="C3095" s="248">
        <v>43918</v>
      </c>
      <c r="D3095" t="s">
        <v>308</v>
      </c>
      <c r="E3095">
        <v>4</v>
      </c>
    </row>
    <row r="3096" spans="3:5" x14ac:dyDescent="0.25">
      <c r="C3096" s="248">
        <v>43933</v>
      </c>
      <c r="D3096" t="s">
        <v>306</v>
      </c>
      <c r="E3096">
        <v>7</v>
      </c>
    </row>
    <row r="3097" spans="3:5" x14ac:dyDescent="0.25">
      <c r="C3097" s="248">
        <v>43952</v>
      </c>
      <c r="D3097" t="s">
        <v>309</v>
      </c>
      <c r="E3097">
        <v>6</v>
      </c>
    </row>
    <row r="3098" spans="3:5" x14ac:dyDescent="0.25">
      <c r="C3098" s="248">
        <v>43955</v>
      </c>
      <c r="D3098" t="s">
        <v>312</v>
      </c>
      <c r="E3098">
        <v>4</v>
      </c>
    </row>
    <row r="3099" spans="3:5" x14ac:dyDescent="0.25">
      <c r="C3099" s="248">
        <v>44212</v>
      </c>
      <c r="D3099" t="s">
        <v>309</v>
      </c>
      <c r="E3099">
        <v>20</v>
      </c>
    </row>
    <row r="3100" spans="3:5" x14ac:dyDescent="0.25">
      <c r="C3100" s="248">
        <v>44240</v>
      </c>
      <c r="D3100" t="s">
        <v>309</v>
      </c>
      <c r="E3100">
        <v>23</v>
      </c>
    </row>
    <row r="3101" spans="3:5" x14ac:dyDescent="0.25">
      <c r="C3101" s="248">
        <v>43920</v>
      </c>
      <c r="D3101" t="s">
        <v>306</v>
      </c>
      <c r="E3101">
        <v>8</v>
      </c>
    </row>
    <row r="3102" spans="3:5" x14ac:dyDescent="0.25">
      <c r="C3102" s="248">
        <v>43927</v>
      </c>
      <c r="D3102" t="s">
        <v>306</v>
      </c>
      <c r="E3102">
        <v>11</v>
      </c>
    </row>
    <row r="3103" spans="3:5" x14ac:dyDescent="0.25">
      <c r="C3103" s="248">
        <v>43950</v>
      </c>
      <c r="D3103" t="s">
        <v>312</v>
      </c>
      <c r="E3103">
        <v>6</v>
      </c>
    </row>
    <row r="3104" spans="3:5" x14ac:dyDescent="0.25">
      <c r="C3104" s="248">
        <v>43937</v>
      </c>
      <c r="D3104" t="s">
        <v>312</v>
      </c>
      <c r="E3104">
        <v>9</v>
      </c>
    </row>
    <row r="3105" spans="3:5" x14ac:dyDescent="0.25">
      <c r="C3105" s="248">
        <v>43954</v>
      </c>
      <c r="D3105" t="s">
        <v>306</v>
      </c>
      <c r="E3105">
        <v>13</v>
      </c>
    </row>
    <row r="3106" spans="3:5" x14ac:dyDescent="0.25">
      <c r="C3106" s="248">
        <v>43956</v>
      </c>
      <c r="D3106" t="s">
        <v>307</v>
      </c>
      <c r="E3106">
        <v>29</v>
      </c>
    </row>
    <row r="3107" spans="3:5" x14ac:dyDescent="0.25">
      <c r="C3107" s="248">
        <v>43956</v>
      </c>
      <c r="D3107" t="s">
        <v>310</v>
      </c>
      <c r="E3107">
        <v>18</v>
      </c>
    </row>
    <row r="3108" spans="3:5" x14ac:dyDescent="0.25">
      <c r="C3108" s="248">
        <v>43956</v>
      </c>
      <c r="D3108" t="s">
        <v>309</v>
      </c>
      <c r="E3108">
        <v>10</v>
      </c>
    </row>
    <row r="3109" spans="3:5" x14ac:dyDescent="0.25">
      <c r="C3109" s="248">
        <v>43958</v>
      </c>
      <c r="D3109" t="s">
        <v>305</v>
      </c>
      <c r="E3109">
        <v>8</v>
      </c>
    </row>
    <row r="3110" spans="3:5" x14ac:dyDescent="0.25">
      <c r="C3110" s="248">
        <v>43961</v>
      </c>
      <c r="D3110" t="s">
        <v>307</v>
      </c>
      <c r="E3110">
        <v>41</v>
      </c>
    </row>
    <row r="3111" spans="3:5" x14ac:dyDescent="0.25">
      <c r="C3111" s="248">
        <v>43962</v>
      </c>
      <c r="D3111" t="s">
        <v>309</v>
      </c>
      <c r="E3111">
        <v>17</v>
      </c>
    </row>
    <row r="3112" spans="3:5" x14ac:dyDescent="0.25">
      <c r="C3112" s="248">
        <v>43957</v>
      </c>
      <c r="D3112" t="s">
        <v>312</v>
      </c>
      <c r="E3112">
        <v>7</v>
      </c>
    </row>
    <row r="3113" spans="3:5" x14ac:dyDescent="0.25">
      <c r="C3113" s="248">
        <v>43958</v>
      </c>
      <c r="D3113" t="s">
        <v>312</v>
      </c>
      <c r="E3113">
        <v>7</v>
      </c>
    </row>
    <row r="3114" spans="3:5" x14ac:dyDescent="0.25">
      <c r="C3114" s="248">
        <v>43957</v>
      </c>
      <c r="D3114" t="s">
        <v>311</v>
      </c>
      <c r="E3114">
        <v>3</v>
      </c>
    </row>
    <row r="3115" spans="3:5" x14ac:dyDescent="0.25">
      <c r="C3115" s="248">
        <v>43957</v>
      </c>
      <c r="D3115" t="s">
        <v>308</v>
      </c>
      <c r="E3115">
        <v>3</v>
      </c>
    </row>
    <row r="3116" spans="3:5" x14ac:dyDescent="0.25">
      <c r="C3116" s="248">
        <v>43952</v>
      </c>
      <c r="D3116" t="s">
        <v>312</v>
      </c>
      <c r="E3116">
        <v>2</v>
      </c>
    </row>
    <row r="3117" spans="3:5" x14ac:dyDescent="0.25">
      <c r="C3117" s="248">
        <v>43949</v>
      </c>
      <c r="D3117" t="s">
        <v>312</v>
      </c>
      <c r="E3117">
        <v>9</v>
      </c>
    </row>
    <row r="3118" spans="3:5" x14ac:dyDescent="0.25">
      <c r="C3118" s="248">
        <v>43977</v>
      </c>
      <c r="D3118" t="s">
        <v>312</v>
      </c>
      <c r="E3118">
        <v>18</v>
      </c>
    </row>
    <row r="3119" spans="3:5" x14ac:dyDescent="0.25">
      <c r="C3119" s="248">
        <v>43981</v>
      </c>
      <c r="D3119" t="s">
        <v>308</v>
      </c>
      <c r="E3119">
        <v>11</v>
      </c>
    </row>
    <row r="3120" spans="3:5" x14ac:dyDescent="0.25">
      <c r="C3120" s="248">
        <v>43960</v>
      </c>
      <c r="D3120" t="s">
        <v>312</v>
      </c>
      <c r="E3120">
        <v>1</v>
      </c>
    </row>
    <row r="3121" spans="3:5" x14ac:dyDescent="0.25">
      <c r="C3121" s="248">
        <v>43930</v>
      </c>
      <c r="D3121" t="s">
        <v>304</v>
      </c>
      <c r="E3121">
        <v>3</v>
      </c>
    </row>
    <row r="3122" spans="3:5" x14ac:dyDescent="0.25">
      <c r="C3122" s="248">
        <v>43928</v>
      </c>
      <c r="D3122" t="s">
        <v>306</v>
      </c>
      <c r="E3122">
        <v>9</v>
      </c>
    </row>
    <row r="3123" spans="3:5" x14ac:dyDescent="0.25">
      <c r="C3123" s="248">
        <v>43942</v>
      </c>
      <c r="D3123" t="s">
        <v>306</v>
      </c>
      <c r="E3123">
        <v>10</v>
      </c>
    </row>
    <row r="3124" spans="3:5" x14ac:dyDescent="0.25">
      <c r="C3124" s="248">
        <v>43943</v>
      </c>
      <c r="D3124" t="s">
        <v>304</v>
      </c>
      <c r="E3124">
        <v>14</v>
      </c>
    </row>
    <row r="3125" spans="3:5" x14ac:dyDescent="0.25">
      <c r="C3125" s="248">
        <v>43944</v>
      </c>
      <c r="D3125" t="s">
        <v>305</v>
      </c>
      <c r="E3125">
        <v>5</v>
      </c>
    </row>
    <row r="3126" spans="3:5" x14ac:dyDescent="0.25">
      <c r="C3126" s="248">
        <v>43944</v>
      </c>
      <c r="D3126" t="s">
        <v>306</v>
      </c>
      <c r="E3126">
        <v>13</v>
      </c>
    </row>
    <row r="3127" spans="3:5" x14ac:dyDescent="0.25">
      <c r="C3127" s="248">
        <v>43944</v>
      </c>
      <c r="D3127" t="s">
        <v>307</v>
      </c>
      <c r="E3127">
        <v>13</v>
      </c>
    </row>
    <row r="3128" spans="3:5" x14ac:dyDescent="0.25">
      <c r="C3128" s="248">
        <v>43945</v>
      </c>
      <c r="D3128" t="s">
        <v>310</v>
      </c>
      <c r="E3128">
        <v>10</v>
      </c>
    </row>
    <row r="3129" spans="3:5" x14ac:dyDescent="0.25">
      <c r="C3129" s="248">
        <v>43949</v>
      </c>
      <c r="D3129" t="s">
        <v>304</v>
      </c>
      <c r="E3129">
        <v>7</v>
      </c>
    </row>
    <row r="3130" spans="3:5" x14ac:dyDescent="0.25">
      <c r="C3130" s="248">
        <v>43941</v>
      </c>
      <c r="D3130" t="s">
        <v>310</v>
      </c>
      <c r="E3130">
        <v>13</v>
      </c>
    </row>
    <row r="3131" spans="3:5" x14ac:dyDescent="0.25">
      <c r="C3131" s="248">
        <v>43952</v>
      </c>
      <c r="D3131" t="s">
        <v>306</v>
      </c>
      <c r="E3131">
        <v>9</v>
      </c>
    </row>
    <row r="3132" spans="3:5" x14ac:dyDescent="0.25">
      <c r="C3132" s="248">
        <v>43894</v>
      </c>
      <c r="D3132" t="s">
        <v>312</v>
      </c>
      <c r="E3132">
        <v>1</v>
      </c>
    </row>
    <row r="3133" spans="3:5" x14ac:dyDescent="0.25">
      <c r="C3133" s="248">
        <v>43939</v>
      </c>
      <c r="D3133" t="s">
        <v>308</v>
      </c>
      <c r="E3133">
        <v>2</v>
      </c>
    </row>
    <row r="3134" spans="3:5" x14ac:dyDescent="0.25">
      <c r="C3134" s="248">
        <v>43934</v>
      </c>
      <c r="D3134" t="s">
        <v>312</v>
      </c>
      <c r="E3134">
        <v>2</v>
      </c>
    </row>
    <row r="3135" spans="3:5" x14ac:dyDescent="0.25">
      <c r="C3135" s="248">
        <v>43923</v>
      </c>
      <c r="D3135" t="s">
        <v>304</v>
      </c>
      <c r="E3135">
        <v>2</v>
      </c>
    </row>
    <row r="3136" spans="3:5" x14ac:dyDescent="0.25">
      <c r="C3136" s="248">
        <v>43909</v>
      </c>
      <c r="D3136" t="s">
        <v>312</v>
      </c>
      <c r="E3136">
        <v>1</v>
      </c>
    </row>
    <row r="3137" spans="3:5" x14ac:dyDescent="0.25">
      <c r="C3137" s="248">
        <v>43930</v>
      </c>
      <c r="D3137" t="s">
        <v>305</v>
      </c>
      <c r="E3137">
        <v>1</v>
      </c>
    </row>
    <row r="3138" spans="3:5" x14ac:dyDescent="0.25">
      <c r="C3138" s="248">
        <v>43934</v>
      </c>
      <c r="D3138" t="s">
        <v>304</v>
      </c>
      <c r="E3138">
        <v>5</v>
      </c>
    </row>
    <row r="3139" spans="3:5" x14ac:dyDescent="0.25">
      <c r="C3139" s="248">
        <v>43907</v>
      </c>
      <c r="D3139" t="s">
        <v>311</v>
      </c>
      <c r="E3139">
        <v>3</v>
      </c>
    </row>
    <row r="3140" spans="3:5" x14ac:dyDescent="0.25">
      <c r="C3140" s="248">
        <v>43920</v>
      </c>
      <c r="D3140" t="s">
        <v>311</v>
      </c>
      <c r="E3140">
        <v>6</v>
      </c>
    </row>
    <row r="3141" spans="3:5" x14ac:dyDescent="0.25">
      <c r="C3141" s="248">
        <v>43922</v>
      </c>
      <c r="D3141" t="s">
        <v>310</v>
      </c>
      <c r="E3141">
        <v>9</v>
      </c>
    </row>
    <row r="3142" spans="3:5" x14ac:dyDescent="0.25">
      <c r="C3142" s="248">
        <v>43922</v>
      </c>
      <c r="D3142" t="s">
        <v>307</v>
      </c>
      <c r="E3142">
        <v>9</v>
      </c>
    </row>
    <row r="3143" spans="3:5" x14ac:dyDescent="0.25">
      <c r="C3143" s="248">
        <v>43926</v>
      </c>
      <c r="D3143" t="s">
        <v>306</v>
      </c>
      <c r="E3143">
        <v>3</v>
      </c>
    </row>
    <row r="3144" spans="3:5" x14ac:dyDescent="0.25">
      <c r="C3144" s="248">
        <v>43930</v>
      </c>
      <c r="D3144" t="s">
        <v>306</v>
      </c>
      <c r="E3144">
        <v>6</v>
      </c>
    </row>
    <row r="3145" spans="3:5" x14ac:dyDescent="0.25">
      <c r="C3145" s="248">
        <v>43933</v>
      </c>
      <c r="D3145" t="s">
        <v>304</v>
      </c>
      <c r="E3145">
        <v>3</v>
      </c>
    </row>
    <row r="3146" spans="3:5" x14ac:dyDescent="0.25">
      <c r="C3146" s="248">
        <v>43917</v>
      </c>
      <c r="D3146" t="s">
        <v>310</v>
      </c>
      <c r="E3146">
        <v>2</v>
      </c>
    </row>
    <row r="3147" spans="3:5" x14ac:dyDescent="0.25">
      <c r="C3147" s="248">
        <v>43929</v>
      </c>
      <c r="D3147" t="s">
        <v>308</v>
      </c>
      <c r="E3147">
        <v>3</v>
      </c>
    </row>
    <row r="3148" spans="3:5" x14ac:dyDescent="0.25">
      <c r="C3148" s="248">
        <v>43934</v>
      </c>
      <c r="D3148" t="s">
        <v>309</v>
      </c>
      <c r="E3148">
        <v>1</v>
      </c>
    </row>
    <row r="3149" spans="3:5" x14ac:dyDescent="0.25">
      <c r="C3149" s="248">
        <v>43916</v>
      </c>
      <c r="D3149" t="s">
        <v>306</v>
      </c>
      <c r="E3149">
        <v>4</v>
      </c>
    </row>
    <row r="3150" spans="3:5" x14ac:dyDescent="0.25">
      <c r="C3150" s="248">
        <v>43916</v>
      </c>
      <c r="D3150" t="s">
        <v>308</v>
      </c>
      <c r="E3150">
        <v>3</v>
      </c>
    </row>
    <row r="3151" spans="3:5" x14ac:dyDescent="0.25">
      <c r="C3151" s="248">
        <v>43916</v>
      </c>
      <c r="D3151" t="s">
        <v>310</v>
      </c>
      <c r="E3151">
        <v>8</v>
      </c>
    </row>
    <row r="3152" spans="3:5" x14ac:dyDescent="0.25">
      <c r="C3152" s="248">
        <v>43923</v>
      </c>
      <c r="D3152" t="s">
        <v>311</v>
      </c>
      <c r="E3152">
        <v>4</v>
      </c>
    </row>
    <row r="3153" spans="3:5" x14ac:dyDescent="0.25">
      <c r="C3153" s="248">
        <v>43904</v>
      </c>
      <c r="D3153" t="s">
        <v>307</v>
      </c>
      <c r="E3153">
        <v>4</v>
      </c>
    </row>
    <row r="3154" spans="3:5" x14ac:dyDescent="0.25">
      <c r="C3154" s="248">
        <v>43904</v>
      </c>
      <c r="D3154" t="s">
        <v>304</v>
      </c>
      <c r="E3154">
        <v>3</v>
      </c>
    </row>
    <row r="3155" spans="3:5" x14ac:dyDescent="0.25">
      <c r="C3155" s="248">
        <v>43898</v>
      </c>
      <c r="D3155" t="s">
        <v>304</v>
      </c>
      <c r="E3155">
        <v>1</v>
      </c>
    </row>
    <row r="3156" spans="3:5" x14ac:dyDescent="0.25">
      <c r="C3156" s="248">
        <v>43901</v>
      </c>
      <c r="D3156" t="s">
        <v>307</v>
      </c>
      <c r="E3156">
        <v>2</v>
      </c>
    </row>
    <row r="3157" spans="3:5" x14ac:dyDescent="0.25">
      <c r="C3157" s="248">
        <v>43907</v>
      </c>
      <c r="D3157" t="s">
        <v>307</v>
      </c>
      <c r="E3157">
        <v>2</v>
      </c>
    </row>
    <row r="3158" spans="3:5" x14ac:dyDescent="0.25">
      <c r="C3158" s="248">
        <v>43906</v>
      </c>
      <c r="D3158" t="s">
        <v>304</v>
      </c>
      <c r="E3158">
        <v>4</v>
      </c>
    </row>
    <row r="3159" spans="3:5" x14ac:dyDescent="0.25">
      <c r="C3159" s="248">
        <v>43903</v>
      </c>
      <c r="D3159" t="s">
        <v>306</v>
      </c>
      <c r="E3159">
        <v>2</v>
      </c>
    </row>
    <row r="3160" spans="3:5" x14ac:dyDescent="0.25">
      <c r="C3160" s="248">
        <v>43903</v>
      </c>
      <c r="D3160" t="s">
        <v>304</v>
      </c>
      <c r="E3160">
        <v>3</v>
      </c>
    </row>
    <row r="3161" spans="3:5" x14ac:dyDescent="0.25">
      <c r="C3161" s="248">
        <v>43957</v>
      </c>
      <c r="D3161" t="s">
        <v>304</v>
      </c>
      <c r="E3161">
        <v>16</v>
      </c>
    </row>
    <row r="3162" spans="3:5" x14ac:dyDescent="0.25">
      <c r="C3162" s="248">
        <v>43900</v>
      </c>
      <c r="D3162" t="s">
        <v>311</v>
      </c>
      <c r="E3162">
        <v>1</v>
      </c>
    </row>
    <row r="3163" spans="3:5" x14ac:dyDescent="0.25">
      <c r="C3163" s="248">
        <v>43901</v>
      </c>
      <c r="D3163" t="s">
        <v>304</v>
      </c>
      <c r="E3163">
        <v>3</v>
      </c>
    </row>
    <row r="3164" spans="3:5" x14ac:dyDescent="0.25">
      <c r="C3164" s="248">
        <v>43905</v>
      </c>
      <c r="D3164" t="s">
        <v>304</v>
      </c>
      <c r="E3164">
        <v>1</v>
      </c>
    </row>
    <row r="3165" spans="3:5" x14ac:dyDescent="0.25">
      <c r="C3165" s="248">
        <v>43903</v>
      </c>
      <c r="D3165" t="s">
        <v>310</v>
      </c>
      <c r="E3165">
        <v>2</v>
      </c>
    </row>
    <row r="3166" spans="3:5" x14ac:dyDescent="0.25">
      <c r="C3166" s="248">
        <v>43896</v>
      </c>
      <c r="D3166" t="s">
        <v>308</v>
      </c>
      <c r="E3166">
        <v>1</v>
      </c>
    </row>
    <row r="3167" spans="3:5" x14ac:dyDescent="0.25">
      <c r="C3167" s="248">
        <v>43900</v>
      </c>
      <c r="D3167" t="s">
        <v>310</v>
      </c>
      <c r="E3167">
        <v>2</v>
      </c>
    </row>
    <row r="3168" spans="3:5" x14ac:dyDescent="0.25">
      <c r="C3168" s="248">
        <v>43901</v>
      </c>
      <c r="D3168" t="s">
        <v>306</v>
      </c>
      <c r="E3168">
        <v>2</v>
      </c>
    </row>
    <row r="3169" spans="3:5" x14ac:dyDescent="0.25">
      <c r="C3169" s="248">
        <v>43902</v>
      </c>
      <c r="D3169" t="s">
        <v>304</v>
      </c>
      <c r="E3169">
        <v>1</v>
      </c>
    </row>
    <row r="3170" spans="3:5" x14ac:dyDescent="0.25">
      <c r="C3170" s="248">
        <v>43896</v>
      </c>
      <c r="D3170" t="s">
        <v>310</v>
      </c>
      <c r="E3170">
        <v>1</v>
      </c>
    </row>
    <row r="3171" spans="3:5" x14ac:dyDescent="0.25">
      <c r="C3171" s="248">
        <v>43975</v>
      </c>
      <c r="D3171" t="s">
        <v>308</v>
      </c>
      <c r="E3171">
        <v>5</v>
      </c>
    </row>
    <row r="3172" spans="3:5" x14ac:dyDescent="0.25">
      <c r="C3172" s="248">
        <v>43978</v>
      </c>
      <c r="D3172" t="s">
        <v>309</v>
      </c>
      <c r="E3172">
        <v>42</v>
      </c>
    </row>
    <row r="3173" spans="3:5" x14ac:dyDescent="0.25">
      <c r="C3173" s="248">
        <v>43974</v>
      </c>
      <c r="D3173" t="s">
        <v>309</v>
      </c>
      <c r="E3173">
        <v>41</v>
      </c>
    </row>
    <row r="3174" spans="3:5" x14ac:dyDescent="0.25">
      <c r="C3174" s="248">
        <v>43975</v>
      </c>
      <c r="D3174" t="s">
        <v>309</v>
      </c>
      <c r="E3174">
        <v>28</v>
      </c>
    </row>
    <row r="3175" spans="3:5" x14ac:dyDescent="0.25">
      <c r="C3175" s="248">
        <v>43970</v>
      </c>
      <c r="D3175" t="s">
        <v>305</v>
      </c>
      <c r="E3175">
        <v>42</v>
      </c>
    </row>
    <row r="3176" spans="3:5" x14ac:dyDescent="0.25">
      <c r="C3176" s="248">
        <v>43922</v>
      </c>
      <c r="D3176" t="s">
        <v>311</v>
      </c>
      <c r="E3176">
        <v>8</v>
      </c>
    </row>
    <row r="3177" spans="3:5" x14ac:dyDescent="0.25">
      <c r="C3177" s="248">
        <v>43955</v>
      </c>
      <c r="D3177" t="s">
        <v>309</v>
      </c>
      <c r="E3177">
        <v>7</v>
      </c>
    </row>
    <row r="3178" spans="3:5" x14ac:dyDescent="0.25">
      <c r="C3178" s="248">
        <v>43943</v>
      </c>
      <c r="D3178" t="s">
        <v>312</v>
      </c>
      <c r="E3178">
        <v>23</v>
      </c>
    </row>
    <row r="3179" spans="3:5" x14ac:dyDescent="0.25">
      <c r="C3179" s="248">
        <v>43964</v>
      </c>
      <c r="D3179" t="s">
        <v>308</v>
      </c>
      <c r="E3179">
        <v>2</v>
      </c>
    </row>
    <row r="3180" spans="3:5" x14ac:dyDescent="0.25">
      <c r="C3180" s="248">
        <v>43944</v>
      </c>
      <c r="D3180" t="s">
        <v>304</v>
      </c>
      <c r="E3180">
        <v>11</v>
      </c>
    </row>
    <row r="3181" spans="3:5" x14ac:dyDescent="0.25">
      <c r="C3181" s="248">
        <v>43963</v>
      </c>
      <c r="D3181" t="s">
        <v>305</v>
      </c>
      <c r="E3181">
        <v>18</v>
      </c>
    </row>
    <row r="3182" spans="3:5" x14ac:dyDescent="0.25">
      <c r="C3182" s="248">
        <v>43945</v>
      </c>
      <c r="D3182" t="s">
        <v>306</v>
      </c>
      <c r="E3182">
        <v>15</v>
      </c>
    </row>
    <row r="3183" spans="3:5" x14ac:dyDescent="0.25">
      <c r="C3183" s="248">
        <v>43950</v>
      </c>
      <c r="D3183" t="s">
        <v>307</v>
      </c>
      <c r="E3183">
        <v>11</v>
      </c>
    </row>
    <row r="3184" spans="3:5" x14ac:dyDescent="0.25">
      <c r="C3184" s="248">
        <v>43963</v>
      </c>
      <c r="D3184" t="s">
        <v>309</v>
      </c>
      <c r="E3184">
        <v>25</v>
      </c>
    </row>
    <row r="3185" spans="3:5" x14ac:dyDescent="0.25">
      <c r="C3185" s="248">
        <v>43937</v>
      </c>
      <c r="D3185" t="s">
        <v>308</v>
      </c>
      <c r="E3185">
        <v>3</v>
      </c>
    </row>
    <row r="3186" spans="3:5" x14ac:dyDescent="0.25">
      <c r="C3186" s="248">
        <v>43953</v>
      </c>
      <c r="D3186" t="s">
        <v>309</v>
      </c>
      <c r="E3186">
        <v>6</v>
      </c>
    </row>
    <row r="3187" spans="3:5" x14ac:dyDescent="0.25">
      <c r="C3187" s="248">
        <v>43953</v>
      </c>
      <c r="D3187" t="s">
        <v>312</v>
      </c>
      <c r="E3187">
        <v>1</v>
      </c>
    </row>
    <row r="3188" spans="3:5" x14ac:dyDescent="0.25">
      <c r="C3188" s="248">
        <v>43955</v>
      </c>
      <c r="D3188" t="s">
        <v>311</v>
      </c>
      <c r="E3188">
        <v>4</v>
      </c>
    </row>
    <row r="3189" spans="3:5" x14ac:dyDescent="0.25">
      <c r="C3189" s="248">
        <v>43955</v>
      </c>
      <c r="D3189" t="s">
        <v>305</v>
      </c>
      <c r="E3189">
        <v>6</v>
      </c>
    </row>
    <row r="3190" spans="3:5" x14ac:dyDescent="0.25">
      <c r="C3190" s="248">
        <v>43954</v>
      </c>
      <c r="D3190" t="s">
        <v>309</v>
      </c>
      <c r="E3190">
        <v>2</v>
      </c>
    </row>
    <row r="3191" spans="3:5" x14ac:dyDescent="0.25">
      <c r="C3191" s="248">
        <v>43958</v>
      </c>
      <c r="D3191" t="s">
        <v>311</v>
      </c>
      <c r="E3191">
        <v>6</v>
      </c>
    </row>
    <row r="3192" spans="3:5" x14ac:dyDescent="0.25">
      <c r="C3192" s="248">
        <v>43950</v>
      </c>
      <c r="D3192" t="s">
        <v>310</v>
      </c>
      <c r="E3192">
        <v>6</v>
      </c>
    </row>
    <row r="3193" spans="3:5" x14ac:dyDescent="0.25">
      <c r="C3193" s="248">
        <v>43946</v>
      </c>
      <c r="D3193" t="s">
        <v>306</v>
      </c>
      <c r="E3193">
        <v>5</v>
      </c>
    </row>
    <row r="3194" spans="3:5" x14ac:dyDescent="0.25">
      <c r="C3194" s="248">
        <v>43952</v>
      </c>
      <c r="D3194" t="s">
        <v>310</v>
      </c>
      <c r="E3194">
        <v>6</v>
      </c>
    </row>
    <row r="3195" spans="3:5" x14ac:dyDescent="0.25">
      <c r="C3195" s="248">
        <v>43953</v>
      </c>
      <c r="D3195" t="s">
        <v>304</v>
      </c>
      <c r="E3195">
        <v>13</v>
      </c>
    </row>
    <row r="3196" spans="3:5" x14ac:dyDescent="0.25">
      <c r="C3196" s="248">
        <v>43941</v>
      </c>
      <c r="D3196" t="s">
        <v>306</v>
      </c>
      <c r="E3196">
        <v>6</v>
      </c>
    </row>
    <row r="3197" spans="3:5" x14ac:dyDescent="0.25">
      <c r="C3197" s="248">
        <v>43947</v>
      </c>
      <c r="D3197" t="s">
        <v>305</v>
      </c>
      <c r="E3197">
        <v>2</v>
      </c>
    </row>
    <row r="3198" spans="3:5" x14ac:dyDescent="0.25">
      <c r="C3198" s="248">
        <v>43914</v>
      </c>
      <c r="D3198" t="s">
        <v>308</v>
      </c>
      <c r="E3198">
        <v>2</v>
      </c>
    </row>
    <row r="3199" spans="3:5" x14ac:dyDescent="0.25">
      <c r="C3199" s="248">
        <v>43932</v>
      </c>
      <c r="D3199" t="s">
        <v>306</v>
      </c>
      <c r="E3199">
        <v>7</v>
      </c>
    </row>
    <row r="3200" spans="3:5" x14ac:dyDescent="0.25">
      <c r="C3200" s="248">
        <v>43925</v>
      </c>
      <c r="D3200" t="s">
        <v>312</v>
      </c>
      <c r="E3200">
        <v>2</v>
      </c>
    </row>
    <row r="3201" spans="3:5" x14ac:dyDescent="0.25">
      <c r="C3201" s="248">
        <v>43934</v>
      </c>
      <c r="D3201" t="s">
        <v>306</v>
      </c>
      <c r="E3201">
        <v>5</v>
      </c>
    </row>
    <row r="3202" spans="3:5" x14ac:dyDescent="0.25">
      <c r="C3202" s="248">
        <v>43924</v>
      </c>
      <c r="D3202" t="s">
        <v>308</v>
      </c>
      <c r="E3202">
        <v>4</v>
      </c>
    </row>
    <row r="3203" spans="3:5" x14ac:dyDescent="0.25">
      <c r="C3203" s="248">
        <v>43927</v>
      </c>
      <c r="D3203" t="s">
        <v>311</v>
      </c>
      <c r="E3203">
        <v>5</v>
      </c>
    </row>
    <row r="3204" spans="3:5" x14ac:dyDescent="0.25">
      <c r="C3204" s="248">
        <v>43931</v>
      </c>
      <c r="D3204" t="s">
        <v>304</v>
      </c>
      <c r="E3204">
        <v>1</v>
      </c>
    </row>
    <row r="3205" spans="3:5" x14ac:dyDescent="0.25">
      <c r="C3205" s="248">
        <v>43919</v>
      </c>
      <c r="D3205" t="s">
        <v>312</v>
      </c>
      <c r="E3205">
        <v>2</v>
      </c>
    </row>
    <row r="3206" spans="3:5" x14ac:dyDescent="0.25">
      <c r="C3206" s="248">
        <v>43921</v>
      </c>
      <c r="D3206" t="s">
        <v>308</v>
      </c>
      <c r="E3206">
        <v>10</v>
      </c>
    </row>
    <row r="3207" spans="3:5" x14ac:dyDescent="0.25">
      <c r="C3207" s="248">
        <v>43926</v>
      </c>
      <c r="D3207" t="s">
        <v>310</v>
      </c>
      <c r="E3207">
        <v>3</v>
      </c>
    </row>
    <row r="3208" spans="3:5" x14ac:dyDescent="0.25">
      <c r="C3208" s="248">
        <v>43927</v>
      </c>
      <c r="D3208" t="s">
        <v>312</v>
      </c>
      <c r="E3208">
        <v>1</v>
      </c>
    </row>
    <row r="3209" spans="3:5" x14ac:dyDescent="0.25">
      <c r="C3209" s="248">
        <v>43922</v>
      </c>
      <c r="D3209" t="s">
        <v>304</v>
      </c>
      <c r="E3209">
        <v>7</v>
      </c>
    </row>
    <row r="3210" spans="3:5" x14ac:dyDescent="0.25">
      <c r="C3210" s="248">
        <v>43929</v>
      </c>
      <c r="D3210" t="s">
        <v>310</v>
      </c>
      <c r="E3210">
        <v>3</v>
      </c>
    </row>
    <row r="3211" spans="3:5" x14ac:dyDescent="0.25">
      <c r="C3211" s="248">
        <v>43911</v>
      </c>
      <c r="D3211" t="s">
        <v>311</v>
      </c>
      <c r="E3211">
        <v>4</v>
      </c>
    </row>
    <row r="3212" spans="3:5" x14ac:dyDescent="0.25">
      <c r="C3212" s="248">
        <v>43907</v>
      </c>
      <c r="D3212" t="s">
        <v>310</v>
      </c>
      <c r="E3212">
        <v>4</v>
      </c>
    </row>
    <row r="3213" spans="3:5" x14ac:dyDescent="0.25">
      <c r="C3213" s="248">
        <v>43911</v>
      </c>
      <c r="D3213" t="s">
        <v>307</v>
      </c>
      <c r="E3213">
        <v>4</v>
      </c>
    </row>
    <row r="3214" spans="3:5" x14ac:dyDescent="0.25">
      <c r="C3214" s="248">
        <v>43905</v>
      </c>
      <c r="D3214" t="s">
        <v>305</v>
      </c>
      <c r="E3214">
        <v>1</v>
      </c>
    </row>
    <row r="3215" spans="3:5" x14ac:dyDescent="0.25">
      <c r="C3215" s="248">
        <v>43902</v>
      </c>
      <c r="D3215" t="s">
        <v>311</v>
      </c>
      <c r="E3215">
        <v>1</v>
      </c>
    </row>
    <row r="3216" spans="3:5" x14ac:dyDescent="0.25">
      <c r="C3216" s="248">
        <v>43910</v>
      </c>
      <c r="D3216" t="s">
        <v>307</v>
      </c>
      <c r="E3216">
        <v>4</v>
      </c>
    </row>
    <row r="3217" spans="3:5" x14ac:dyDescent="0.25">
      <c r="C3217" s="248">
        <v>43905</v>
      </c>
      <c r="D3217" t="s">
        <v>306</v>
      </c>
      <c r="E3217">
        <v>2</v>
      </c>
    </row>
    <row r="3218" spans="3:5" x14ac:dyDescent="0.25">
      <c r="C3218" s="248">
        <v>43903</v>
      </c>
      <c r="D3218" t="s">
        <v>311</v>
      </c>
      <c r="E3218">
        <v>1</v>
      </c>
    </row>
    <row r="3219" spans="3:5" x14ac:dyDescent="0.25">
      <c r="C3219" s="248">
        <v>43905</v>
      </c>
      <c r="D3219" t="s">
        <v>307</v>
      </c>
      <c r="E3219">
        <v>3</v>
      </c>
    </row>
    <row r="3220" spans="3:5" x14ac:dyDescent="0.25">
      <c r="C3220" s="248">
        <v>43912</v>
      </c>
      <c r="D3220" t="s">
        <v>307</v>
      </c>
      <c r="E3220">
        <v>7</v>
      </c>
    </row>
    <row r="3221" spans="3:5" x14ac:dyDescent="0.25">
      <c r="C3221" s="248">
        <v>43902</v>
      </c>
      <c r="D3221" t="s">
        <v>310</v>
      </c>
      <c r="E3221">
        <v>1</v>
      </c>
    </row>
    <row r="3222" spans="3:5" x14ac:dyDescent="0.25">
      <c r="C3222" s="248">
        <v>43902</v>
      </c>
      <c r="D3222" t="s">
        <v>305</v>
      </c>
      <c r="E3222">
        <v>1</v>
      </c>
    </row>
    <row r="3223" spans="3:5" x14ac:dyDescent="0.25">
      <c r="C3223" s="248">
        <v>43950</v>
      </c>
      <c r="D3223" t="s">
        <v>309</v>
      </c>
      <c r="E3223">
        <v>2</v>
      </c>
    </row>
    <row r="3224" spans="3:5" x14ac:dyDescent="0.25">
      <c r="C3224" s="248">
        <v>43950</v>
      </c>
      <c r="D3224" t="s">
        <v>308</v>
      </c>
      <c r="E3224">
        <v>6</v>
      </c>
    </row>
    <row r="3225" spans="3:5" x14ac:dyDescent="0.25">
      <c r="C3225" s="248">
        <v>43965</v>
      </c>
      <c r="D3225" t="s">
        <v>312</v>
      </c>
      <c r="E3225">
        <v>4</v>
      </c>
    </row>
    <row r="3226" spans="3:5" x14ac:dyDescent="0.25">
      <c r="C3226" s="248">
        <v>43966</v>
      </c>
      <c r="D3226" t="s">
        <v>312</v>
      </c>
      <c r="E3226">
        <v>4</v>
      </c>
    </row>
    <row r="3227" spans="3:5" x14ac:dyDescent="0.25">
      <c r="C3227" s="248">
        <v>43967</v>
      </c>
      <c r="D3227" t="s">
        <v>308</v>
      </c>
      <c r="E3227">
        <v>5</v>
      </c>
    </row>
    <row r="3228" spans="3:5" x14ac:dyDescent="0.25">
      <c r="C3228" s="248">
        <v>43945</v>
      </c>
      <c r="D3228" t="s">
        <v>307</v>
      </c>
      <c r="E3228">
        <v>7</v>
      </c>
    </row>
    <row r="3229" spans="3:5" x14ac:dyDescent="0.25">
      <c r="C3229" s="248">
        <v>43956</v>
      </c>
      <c r="D3229" t="s">
        <v>308</v>
      </c>
      <c r="E3229">
        <v>7</v>
      </c>
    </row>
    <row r="3230" spans="3:5" x14ac:dyDescent="0.25">
      <c r="C3230" s="248">
        <v>43968</v>
      </c>
      <c r="D3230" t="s">
        <v>311</v>
      </c>
      <c r="E3230">
        <v>16</v>
      </c>
    </row>
    <row r="3231" spans="3:5" x14ac:dyDescent="0.25">
      <c r="C3231" s="248">
        <v>43956</v>
      </c>
      <c r="D3231" t="s">
        <v>311</v>
      </c>
      <c r="E3231">
        <v>4</v>
      </c>
    </row>
    <row r="3232" spans="3:5" x14ac:dyDescent="0.25">
      <c r="C3232" s="248">
        <v>43966</v>
      </c>
      <c r="D3232" t="s">
        <v>311</v>
      </c>
      <c r="E3232">
        <v>4</v>
      </c>
    </row>
    <row r="3233" spans="3:5" x14ac:dyDescent="0.25">
      <c r="C3233" s="248">
        <v>43970</v>
      </c>
      <c r="D3233" t="s">
        <v>312</v>
      </c>
      <c r="E3233">
        <v>12</v>
      </c>
    </row>
    <row r="3234" spans="3:5" x14ac:dyDescent="0.25">
      <c r="C3234" s="248">
        <v>43924</v>
      </c>
      <c r="D3234" t="s">
        <v>310</v>
      </c>
      <c r="E3234">
        <v>7</v>
      </c>
    </row>
    <row r="3235" spans="3:5" x14ac:dyDescent="0.25">
      <c r="C3235" s="248">
        <v>43927</v>
      </c>
      <c r="D3235" t="s">
        <v>307</v>
      </c>
      <c r="E3235">
        <v>2</v>
      </c>
    </row>
    <row r="3236" spans="3:5" x14ac:dyDescent="0.25">
      <c r="C3236" s="248">
        <v>43927</v>
      </c>
      <c r="D3236" t="s">
        <v>304</v>
      </c>
      <c r="E3236">
        <v>4</v>
      </c>
    </row>
    <row r="3237" spans="3:5" x14ac:dyDescent="0.25">
      <c r="C3237" s="248">
        <v>43934</v>
      </c>
      <c r="D3237" t="s">
        <v>310</v>
      </c>
      <c r="E3237">
        <v>9</v>
      </c>
    </row>
    <row r="3238" spans="3:5" x14ac:dyDescent="0.25">
      <c r="C3238" s="248">
        <v>43938</v>
      </c>
      <c r="D3238" t="s">
        <v>312</v>
      </c>
      <c r="E3238">
        <v>8</v>
      </c>
    </row>
    <row r="3239" spans="3:5" x14ac:dyDescent="0.25">
      <c r="C3239" s="248">
        <v>43941</v>
      </c>
      <c r="D3239" t="s">
        <v>307</v>
      </c>
      <c r="E3239">
        <v>6</v>
      </c>
    </row>
    <row r="3240" spans="3:5" x14ac:dyDescent="0.25">
      <c r="C3240" s="248">
        <v>43941</v>
      </c>
      <c r="D3240" t="s">
        <v>308</v>
      </c>
      <c r="E3240">
        <v>1</v>
      </c>
    </row>
    <row r="3241" spans="3:5" x14ac:dyDescent="0.25">
      <c r="C3241" s="248">
        <v>43942</v>
      </c>
      <c r="D3241" t="s">
        <v>311</v>
      </c>
      <c r="E3241">
        <v>5</v>
      </c>
    </row>
    <row r="3242" spans="3:5" x14ac:dyDescent="0.25">
      <c r="C3242" s="248">
        <v>43946</v>
      </c>
      <c r="D3242" t="s">
        <v>308</v>
      </c>
      <c r="E3242">
        <v>2</v>
      </c>
    </row>
    <row r="3243" spans="3:5" x14ac:dyDescent="0.25">
      <c r="C3243" s="248">
        <v>43947</v>
      </c>
      <c r="D3243" t="s">
        <v>304</v>
      </c>
      <c r="E3243">
        <v>4</v>
      </c>
    </row>
    <row r="3244" spans="3:5" x14ac:dyDescent="0.25">
      <c r="C3244" s="248">
        <v>43948</v>
      </c>
      <c r="D3244" t="s">
        <v>309</v>
      </c>
      <c r="E3244">
        <v>5</v>
      </c>
    </row>
    <row r="3245" spans="3:5" x14ac:dyDescent="0.25">
      <c r="C3245" s="248">
        <v>43948</v>
      </c>
      <c r="D3245" t="s">
        <v>311</v>
      </c>
      <c r="E3245">
        <v>4</v>
      </c>
    </row>
    <row r="3246" spans="3:5" x14ac:dyDescent="0.25">
      <c r="C3246" s="248">
        <v>43936</v>
      </c>
      <c r="D3246" t="s">
        <v>307</v>
      </c>
      <c r="E3246">
        <v>5</v>
      </c>
    </row>
    <row r="3247" spans="3:5" x14ac:dyDescent="0.25">
      <c r="C3247" s="248">
        <v>43948</v>
      </c>
      <c r="D3247" t="s">
        <v>307</v>
      </c>
      <c r="E3247">
        <v>17</v>
      </c>
    </row>
    <row r="3248" spans="3:5" x14ac:dyDescent="0.25">
      <c r="C3248" s="248">
        <v>43943</v>
      </c>
      <c r="D3248" t="s">
        <v>310</v>
      </c>
      <c r="E3248">
        <v>9</v>
      </c>
    </row>
    <row r="3249" spans="3:5" x14ac:dyDescent="0.25">
      <c r="C3249" s="248">
        <v>43943</v>
      </c>
      <c r="D3249" t="s">
        <v>307</v>
      </c>
      <c r="E3249">
        <v>10</v>
      </c>
    </row>
    <row r="3250" spans="3:5" x14ac:dyDescent="0.25">
      <c r="C3250" s="248">
        <v>43944</v>
      </c>
      <c r="D3250" t="s">
        <v>310</v>
      </c>
      <c r="E3250">
        <v>2</v>
      </c>
    </row>
    <row r="3251" spans="3:5" x14ac:dyDescent="0.25">
      <c r="C3251" s="248">
        <v>43948</v>
      </c>
      <c r="D3251" t="s">
        <v>306</v>
      </c>
      <c r="E3251">
        <v>20</v>
      </c>
    </row>
    <row r="3252" spans="3:5" x14ac:dyDescent="0.25">
      <c r="C3252" s="248">
        <v>43952</v>
      </c>
      <c r="D3252" t="s">
        <v>305</v>
      </c>
      <c r="E3252">
        <v>6</v>
      </c>
    </row>
    <row r="3253" spans="3:5" x14ac:dyDescent="0.25">
      <c r="C3253" s="248">
        <v>43952</v>
      </c>
      <c r="D3253" t="s">
        <v>304</v>
      </c>
      <c r="E3253">
        <v>12</v>
      </c>
    </row>
    <row r="3254" spans="3:5" x14ac:dyDescent="0.25">
      <c r="C3254" s="248">
        <v>43940</v>
      </c>
      <c r="D3254" t="s">
        <v>306</v>
      </c>
      <c r="E3254">
        <v>10</v>
      </c>
    </row>
    <row r="3255" spans="3:5" x14ac:dyDescent="0.25">
      <c r="C3255" s="248">
        <v>43941</v>
      </c>
      <c r="D3255" t="s">
        <v>304</v>
      </c>
      <c r="E3255">
        <v>4</v>
      </c>
    </row>
    <row r="3256" spans="3:5" x14ac:dyDescent="0.25">
      <c r="C3256" s="248">
        <v>43950</v>
      </c>
      <c r="D3256" t="s">
        <v>304</v>
      </c>
      <c r="E3256">
        <v>5</v>
      </c>
    </row>
    <row r="3257" spans="3:5" x14ac:dyDescent="0.25">
      <c r="C3257" s="248">
        <v>43953</v>
      </c>
      <c r="D3257" t="s">
        <v>310</v>
      </c>
      <c r="E3257">
        <v>3</v>
      </c>
    </row>
    <row r="3258" spans="3:5" x14ac:dyDescent="0.25">
      <c r="C3258" s="248">
        <v>43932</v>
      </c>
      <c r="D3258" t="s">
        <v>307</v>
      </c>
      <c r="E3258">
        <v>3</v>
      </c>
    </row>
    <row r="3259" spans="3:5" x14ac:dyDescent="0.25">
      <c r="C3259" s="248">
        <v>43928</v>
      </c>
      <c r="D3259" t="s">
        <v>310</v>
      </c>
      <c r="E3259">
        <v>6</v>
      </c>
    </row>
    <row r="3260" spans="3:5" x14ac:dyDescent="0.25">
      <c r="C3260" s="248">
        <v>43913</v>
      </c>
      <c r="D3260" t="s">
        <v>306</v>
      </c>
      <c r="E3260">
        <v>7</v>
      </c>
    </row>
    <row r="3261" spans="3:5" x14ac:dyDescent="0.25">
      <c r="C3261" s="248">
        <v>43921</v>
      </c>
      <c r="D3261" t="s">
        <v>306</v>
      </c>
      <c r="E3261">
        <v>6</v>
      </c>
    </row>
    <row r="3262" spans="3:5" x14ac:dyDescent="0.25">
      <c r="C3262" s="248">
        <v>43914</v>
      </c>
      <c r="D3262" t="s">
        <v>304</v>
      </c>
      <c r="E3262">
        <v>10</v>
      </c>
    </row>
    <row r="3263" spans="3:5" x14ac:dyDescent="0.25">
      <c r="C3263" s="248">
        <v>43923</v>
      </c>
      <c r="D3263" t="s">
        <v>310</v>
      </c>
      <c r="E3263">
        <v>5</v>
      </c>
    </row>
    <row r="3264" spans="3:5" x14ac:dyDescent="0.25">
      <c r="C3264" s="248">
        <v>43912</v>
      </c>
      <c r="D3264" t="s">
        <v>306</v>
      </c>
      <c r="E3264">
        <v>8</v>
      </c>
    </row>
    <row r="3265" spans="3:5" x14ac:dyDescent="0.25">
      <c r="C3265" s="248">
        <v>43924</v>
      </c>
      <c r="D3265" t="s">
        <v>306</v>
      </c>
      <c r="E3265">
        <v>7</v>
      </c>
    </row>
    <row r="3266" spans="3:5" x14ac:dyDescent="0.25">
      <c r="C3266" s="248">
        <v>43926</v>
      </c>
      <c r="D3266" t="s">
        <v>309</v>
      </c>
      <c r="E3266">
        <v>1</v>
      </c>
    </row>
    <row r="3267" spans="3:5" x14ac:dyDescent="0.25">
      <c r="C3267" s="248">
        <v>43929</v>
      </c>
      <c r="D3267" t="s">
        <v>307</v>
      </c>
      <c r="E3267">
        <v>6</v>
      </c>
    </row>
    <row r="3268" spans="3:5" x14ac:dyDescent="0.25">
      <c r="C3268" s="248">
        <v>43925</v>
      </c>
      <c r="D3268" t="s">
        <v>306</v>
      </c>
      <c r="E3268">
        <v>3</v>
      </c>
    </row>
    <row r="3269" spans="3:5" x14ac:dyDescent="0.25">
      <c r="C3269" s="248">
        <v>43927</v>
      </c>
      <c r="D3269" t="s">
        <v>308</v>
      </c>
      <c r="E3269">
        <v>4</v>
      </c>
    </row>
    <row r="3270" spans="3:5" x14ac:dyDescent="0.25">
      <c r="C3270" s="248">
        <v>43930</v>
      </c>
      <c r="D3270" t="s">
        <v>311</v>
      </c>
      <c r="E3270">
        <v>1</v>
      </c>
    </row>
    <row r="3271" spans="3:5" x14ac:dyDescent="0.25">
      <c r="C3271" s="248">
        <v>43918</v>
      </c>
      <c r="D3271" t="s">
        <v>304</v>
      </c>
      <c r="E3271">
        <v>2</v>
      </c>
    </row>
    <row r="3272" spans="3:5" x14ac:dyDescent="0.25">
      <c r="C3272" s="248">
        <v>43921</v>
      </c>
      <c r="D3272" t="s">
        <v>304</v>
      </c>
      <c r="E3272">
        <v>8</v>
      </c>
    </row>
    <row r="3273" spans="3:5" x14ac:dyDescent="0.25">
      <c r="C3273" s="248">
        <v>43919</v>
      </c>
      <c r="D3273" t="s">
        <v>305</v>
      </c>
      <c r="E3273">
        <v>1</v>
      </c>
    </row>
    <row r="3274" spans="3:5" x14ac:dyDescent="0.25">
      <c r="C3274" s="248">
        <v>43935</v>
      </c>
      <c r="D3274" t="s">
        <v>310</v>
      </c>
      <c r="E3274">
        <v>3</v>
      </c>
    </row>
    <row r="3275" spans="3:5" x14ac:dyDescent="0.25">
      <c r="C3275" s="248">
        <v>43942</v>
      </c>
      <c r="D3275" t="s">
        <v>307</v>
      </c>
      <c r="E3275">
        <v>7</v>
      </c>
    </row>
    <row r="3276" spans="3:5" x14ac:dyDescent="0.25">
      <c r="C3276" s="248">
        <v>43949</v>
      </c>
      <c r="D3276" t="s">
        <v>311</v>
      </c>
      <c r="E3276">
        <v>5</v>
      </c>
    </row>
    <row r="3277" spans="3:5" x14ac:dyDescent="0.25">
      <c r="C3277" s="248">
        <v>43938</v>
      </c>
      <c r="D3277" t="s">
        <v>307</v>
      </c>
      <c r="E3277">
        <v>5</v>
      </c>
    </row>
    <row r="3278" spans="3:5" x14ac:dyDescent="0.25">
      <c r="C3278" s="248">
        <v>43937</v>
      </c>
      <c r="D3278" t="s">
        <v>307</v>
      </c>
      <c r="E3278">
        <v>4</v>
      </c>
    </row>
    <row r="3279" spans="3:5" x14ac:dyDescent="0.25">
      <c r="C3279" s="248">
        <v>43939</v>
      </c>
      <c r="D3279" t="s">
        <v>311</v>
      </c>
      <c r="E3279">
        <v>4</v>
      </c>
    </row>
    <row r="3280" spans="3:5" x14ac:dyDescent="0.25">
      <c r="C3280" s="248">
        <v>43939</v>
      </c>
      <c r="D3280" t="s">
        <v>312</v>
      </c>
      <c r="E3280">
        <v>9</v>
      </c>
    </row>
    <row r="3281" spans="3:5" x14ac:dyDescent="0.25">
      <c r="C3281" s="248">
        <v>43940</v>
      </c>
      <c r="D3281" t="s">
        <v>308</v>
      </c>
      <c r="E3281">
        <v>5</v>
      </c>
    </row>
    <row r="3282" spans="3:5" x14ac:dyDescent="0.25">
      <c r="C3282" s="248">
        <v>43942</v>
      </c>
      <c r="D3282" t="s">
        <v>309</v>
      </c>
      <c r="E3282">
        <v>5</v>
      </c>
    </row>
    <row r="3283" spans="3:5" x14ac:dyDescent="0.25">
      <c r="C3283" s="248">
        <v>43942</v>
      </c>
      <c r="D3283" t="s">
        <v>308</v>
      </c>
      <c r="E3283">
        <v>4</v>
      </c>
    </row>
    <row r="3284" spans="3:5" x14ac:dyDescent="0.25">
      <c r="C3284" s="248">
        <v>43975</v>
      </c>
      <c r="D3284" t="s">
        <v>312</v>
      </c>
      <c r="E3284">
        <v>7</v>
      </c>
    </row>
    <row r="3285" spans="3:5" x14ac:dyDescent="0.25">
      <c r="C3285" s="248">
        <v>43955</v>
      </c>
      <c r="D3285" t="s">
        <v>307</v>
      </c>
      <c r="E3285">
        <v>12</v>
      </c>
    </row>
    <row r="3286" spans="3:5" x14ac:dyDescent="0.25">
      <c r="C3286" s="248">
        <v>44162</v>
      </c>
      <c r="D3286" t="s">
        <v>305</v>
      </c>
      <c r="E3286">
        <v>41</v>
      </c>
    </row>
    <row r="3287" spans="3:5" x14ac:dyDescent="0.25">
      <c r="C3287" s="248">
        <v>43962</v>
      </c>
      <c r="D3287" t="s">
        <v>311</v>
      </c>
      <c r="E3287">
        <v>7</v>
      </c>
    </row>
    <row r="3288" spans="3:5" x14ac:dyDescent="0.25">
      <c r="C3288" s="248">
        <v>43964</v>
      </c>
      <c r="D3288" t="s">
        <v>305</v>
      </c>
      <c r="E3288">
        <v>19</v>
      </c>
    </row>
    <row r="3289" spans="3:5" x14ac:dyDescent="0.25">
      <c r="C3289" s="248">
        <v>43964</v>
      </c>
      <c r="D3289" t="s">
        <v>309</v>
      </c>
      <c r="E3289">
        <v>14</v>
      </c>
    </row>
    <row r="3290" spans="3:5" x14ac:dyDescent="0.25">
      <c r="C3290" s="248">
        <v>43921</v>
      </c>
      <c r="D3290" t="s">
        <v>311</v>
      </c>
      <c r="E3290">
        <v>3</v>
      </c>
    </row>
    <row r="3291" spans="3:5" x14ac:dyDescent="0.25">
      <c r="C3291" s="248">
        <v>43919</v>
      </c>
      <c r="D3291" t="s">
        <v>311</v>
      </c>
      <c r="E3291">
        <v>7</v>
      </c>
    </row>
    <row r="3292" spans="3:5" x14ac:dyDescent="0.25">
      <c r="C3292" s="248">
        <v>43919</v>
      </c>
      <c r="D3292" t="s">
        <v>310</v>
      </c>
      <c r="E3292">
        <v>3</v>
      </c>
    </row>
    <row r="3293" spans="3:5" x14ac:dyDescent="0.25">
      <c r="C3293" s="248">
        <v>43920</v>
      </c>
      <c r="D3293" t="s">
        <v>304</v>
      </c>
      <c r="E3293">
        <v>6</v>
      </c>
    </row>
    <row r="3294" spans="3:5" x14ac:dyDescent="0.25">
      <c r="C3294" s="248">
        <v>43912</v>
      </c>
      <c r="D3294" t="s">
        <v>304</v>
      </c>
      <c r="E3294">
        <v>2</v>
      </c>
    </row>
    <row r="3295" spans="3:5" x14ac:dyDescent="0.25">
      <c r="C3295" s="248">
        <v>43914</v>
      </c>
      <c r="D3295" t="s">
        <v>307</v>
      </c>
      <c r="E3295">
        <v>5</v>
      </c>
    </row>
    <row r="3296" spans="3:5" x14ac:dyDescent="0.25">
      <c r="C3296" s="248">
        <v>43918</v>
      </c>
      <c r="D3296" t="s">
        <v>310</v>
      </c>
      <c r="E3296">
        <v>4</v>
      </c>
    </row>
    <row r="3297" spans="3:5" x14ac:dyDescent="0.25">
      <c r="C3297" s="248">
        <v>43922</v>
      </c>
      <c r="D3297" t="s">
        <v>312</v>
      </c>
      <c r="E3297">
        <v>2</v>
      </c>
    </row>
    <row r="3298" spans="3:5" x14ac:dyDescent="0.25">
      <c r="C3298" s="248">
        <v>43928</v>
      </c>
      <c r="D3298" t="s">
        <v>311</v>
      </c>
      <c r="E3298">
        <v>3</v>
      </c>
    </row>
    <row r="3299" spans="3:5" x14ac:dyDescent="0.25">
      <c r="C3299" s="248">
        <v>43951</v>
      </c>
      <c r="D3299" t="s">
        <v>309</v>
      </c>
      <c r="E3299">
        <v>3</v>
      </c>
    </row>
    <row r="3300" spans="3:5" x14ac:dyDescent="0.25">
      <c r="C3300" s="248">
        <v>43954</v>
      </c>
      <c r="D3300" t="s">
        <v>310</v>
      </c>
      <c r="E3300">
        <v>4</v>
      </c>
    </row>
    <row r="3301" spans="3:5" x14ac:dyDescent="0.25">
      <c r="C3301" s="248">
        <v>43946</v>
      </c>
      <c r="D3301" t="s">
        <v>307</v>
      </c>
      <c r="E3301">
        <v>11</v>
      </c>
    </row>
    <row r="3302" spans="3:5" x14ac:dyDescent="0.25">
      <c r="C3302" s="248">
        <v>43928</v>
      </c>
      <c r="D3302" t="s">
        <v>307</v>
      </c>
      <c r="E3302">
        <v>2</v>
      </c>
    </row>
    <row r="3303" spans="3:5" x14ac:dyDescent="0.25">
      <c r="C3303" s="248">
        <v>43927</v>
      </c>
      <c r="D3303" t="s">
        <v>310</v>
      </c>
      <c r="E3303">
        <v>7</v>
      </c>
    </row>
    <row r="3304" spans="3:5" x14ac:dyDescent="0.25">
      <c r="C3304" s="248">
        <v>43924</v>
      </c>
      <c r="D3304" t="s">
        <v>304</v>
      </c>
      <c r="E3304">
        <v>4</v>
      </c>
    </row>
    <row r="3305" spans="3:5" x14ac:dyDescent="0.25">
      <c r="C3305" s="248">
        <v>43924</v>
      </c>
      <c r="D3305" t="s">
        <v>311</v>
      </c>
      <c r="E3305">
        <v>5</v>
      </c>
    </row>
    <row r="3306" spans="3:5" x14ac:dyDescent="0.25">
      <c r="C3306" s="248">
        <v>43933</v>
      </c>
      <c r="D3306" t="s">
        <v>312</v>
      </c>
      <c r="E3306">
        <v>2</v>
      </c>
    </row>
    <row r="3307" spans="3:5" x14ac:dyDescent="0.25">
      <c r="C3307" s="248">
        <v>43950</v>
      </c>
      <c r="D3307" t="s">
        <v>311</v>
      </c>
      <c r="E3307">
        <v>5</v>
      </c>
    </row>
    <row r="3308" spans="3:5" x14ac:dyDescent="0.25">
      <c r="C3308" s="248">
        <v>43936</v>
      </c>
      <c r="D3308" t="s">
        <v>306</v>
      </c>
      <c r="E3308">
        <v>4</v>
      </c>
    </row>
    <row r="3309" spans="3:5" x14ac:dyDescent="0.25">
      <c r="C3309" s="248">
        <v>43936</v>
      </c>
      <c r="D3309" t="s">
        <v>304</v>
      </c>
      <c r="E3309">
        <v>1</v>
      </c>
    </row>
    <row r="3310" spans="3:5" x14ac:dyDescent="0.25">
      <c r="C3310" s="248">
        <v>43951</v>
      </c>
      <c r="D3310" t="s">
        <v>305</v>
      </c>
      <c r="E3310">
        <v>3</v>
      </c>
    </row>
    <row r="3311" spans="3:5" x14ac:dyDescent="0.25">
      <c r="C3311" s="248">
        <v>43937</v>
      </c>
      <c r="D3311" t="s">
        <v>306</v>
      </c>
      <c r="E3311">
        <v>5</v>
      </c>
    </row>
    <row r="3312" spans="3:5" x14ac:dyDescent="0.25">
      <c r="C3312" s="248">
        <v>43951</v>
      </c>
      <c r="D3312" t="s">
        <v>307</v>
      </c>
      <c r="E3312">
        <v>7</v>
      </c>
    </row>
    <row r="3313" spans="3:5" x14ac:dyDescent="0.25">
      <c r="C3313" s="248">
        <v>43951</v>
      </c>
      <c r="D3313" t="s">
        <v>310</v>
      </c>
      <c r="E3313">
        <v>6</v>
      </c>
    </row>
    <row r="3314" spans="3:5" x14ac:dyDescent="0.25">
      <c r="C3314" s="248">
        <v>43928</v>
      </c>
      <c r="D3314" t="s">
        <v>304</v>
      </c>
      <c r="E3314">
        <v>4</v>
      </c>
    </row>
    <row r="3315" spans="3:5" x14ac:dyDescent="0.25">
      <c r="C3315" s="248">
        <v>43923</v>
      </c>
      <c r="D3315" t="s">
        <v>306</v>
      </c>
      <c r="E3315">
        <v>5</v>
      </c>
    </row>
    <row r="3316" spans="3:5" x14ac:dyDescent="0.25">
      <c r="C3316" s="248">
        <v>43931</v>
      </c>
      <c r="D3316" t="s">
        <v>305</v>
      </c>
      <c r="E3316">
        <v>1</v>
      </c>
    </row>
    <row r="3317" spans="3:5" x14ac:dyDescent="0.25">
      <c r="C3317" s="248">
        <v>43916</v>
      </c>
      <c r="D3317" t="s">
        <v>304</v>
      </c>
      <c r="E3317">
        <v>3</v>
      </c>
    </row>
    <row r="3318" spans="3:5" x14ac:dyDescent="0.25">
      <c r="C3318" s="248">
        <v>43920</v>
      </c>
      <c r="D3318" t="s">
        <v>307</v>
      </c>
      <c r="E3318">
        <v>5</v>
      </c>
    </row>
    <row r="3319" spans="3:5" x14ac:dyDescent="0.25">
      <c r="C3319" s="248">
        <v>43920</v>
      </c>
      <c r="D3319" t="s">
        <v>310</v>
      </c>
      <c r="E3319">
        <v>8</v>
      </c>
    </row>
    <row r="3320" spans="3:5" x14ac:dyDescent="0.25">
      <c r="C3320" s="248">
        <v>43923</v>
      </c>
      <c r="D3320" t="s">
        <v>308</v>
      </c>
      <c r="E3320">
        <v>9</v>
      </c>
    </row>
    <row r="3321" spans="3:5" x14ac:dyDescent="0.25">
      <c r="C3321" s="248">
        <v>43914</v>
      </c>
      <c r="D3321" t="s">
        <v>306</v>
      </c>
      <c r="E3321">
        <v>9</v>
      </c>
    </row>
    <row r="3322" spans="3:5" x14ac:dyDescent="0.25">
      <c r="C3322" s="248">
        <v>43915</v>
      </c>
      <c r="D3322" t="s">
        <v>306</v>
      </c>
      <c r="E3322">
        <v>9</v>
      </c>
    </row>
    <row r="3323" spans="3:5" x14ac:dyDescent="0.25">
      <c r="C3323" s="248">
        <v>44189</v>
      </c>
      <c r="D3323" t="s">
        <v>305</v>
      </c>
      <c r="E3323">
        <v>41</v>
      </c>
    </row>
    <row r="3324" spans="3:5" x14ac:dyDescent="0.25">
      <c r="C3324" s="248">
        <v>43899</v>
      </c>
      <c r="D3324" t="s">
        <v>307</v>
      </c>
      <c r="E3324">
        <v>2</v>
      </c>
    </row>
    <row r="3325" spans="3:5" x14ac:dyDescent="0.25">
      <c r="C3325" s="248">
        <v>43894</v>
      </c>
      <c r="D3325" t="s">
        <v>311</v>
      </c>
      <c r="E3325">
        <v>1</v>
      </c>
    </row>
    <row r="3326" spans="3:5" x14ac:dyDescent="0.25">
      <c r="C3326" s="248">
        <v>43898</v>
      </c>
      <c r="D3326" t="s">
        <v>310</v>
      </c>
      <c r="E3326">
        <v>1</v>
      </c>
    </row>
    <row r="3327" spans="3:5" x14ac:dyDescent="0.25">
      <c r="C3327" s="248">
        <v>43895</v>
      </c>
      <c r="D3327" t="s">
        <v>308</v>
      </c>
      <c r="E3327">
        <v>1</v>
      </c>
    </row>
    <row r="3328" spans="3:5" x14ac:dyDescent="0.25">
      <c r="C3328" s="248">
        <v>43891</v>
      </c>
      <c r="D3328" t="s">
        <v>307</v>
      </c>
      <c r="E3328">
        <v>1</v>
      </c>
    </row>
    <row r="3329" spans="3:5" x14ac:dyDescent="0.25">
      <c r="C3329" s="248">
        <v>43895</v>
      </c>
      <c r="D3329" t="s">
        <v>304</v>
      </c>
      <c r="E3329">
        <v>1</v>
      </c>
    </row>
    <row r="3330" spans="3:5" x14ac:dyDescent="0.25">
      <c r="C3330" s="248">
        <v>43893</v>
      </c>
      <c r="D3330" t="s">
        <v>307</v>
      </c>
      <c r="E3330">
        <v>1</v>
      </c>
    </row>
    <row r="3331" spans="3:5" x14ac:dyDescent="0.25">
      <c r="C3331" s="248">
        <v>44226</v>
      </c>
      <c r="D3331" t="s">
        <v>309</v>
      </c>
      <c r="E3331">
        <v>24</v>
      </c>
    </row>
    <row r="3332" spans="3:5" x14ac:dyDescent="0.25">
      <c r="C3332" s="248">
        <v>43925</v>
      </c>
      <c r="D3332" t="s">
        <v>309</v>
      </c>
      <c r="E3332">
        <v>2</v>
      </c>
    </row>
    <row r="3333" spans="3:5" x14ac:dyDescent="0.25">
      <c r="C3333" s="248">
        <v>43902</v>
      </c>
      <c r="D3333" t="s">
        <v>306</v>
      </c>
      <c r="E3333">
        <v>1</v>
      </c>
    </row>
    <row r="3334" spans="3:5" x14ac:dyDescent="0.25">
      <c r="C3334" s="248">
        <v>43907</v>
      </c>
      <c r="D3334" t="s">
        <v>308</v>
      </c>
      <c r="E3334">
        <v>2</v>
      </c>
    </row>
    <row r="3335" spans="3:5" x14ac:dyDescent="0.25">
      <c r="C3335" s="248">
        <v>43908</v>
      </c>
      <c r="D3335" t="s">
        <v>307</v>
      </c>
      <c r="E3335">
        <v>3</v>
      </c>
    </row>
    <row r="3336" spans="3:5" x14ac:dyDescent="0.25">
      <c r="C3336" s="248">
        <v>43909</v>
      </c>
      <c r="D3336" t="s">
        <v>310</v>
      </c>
      <c r="E3336">
        <v>5</v>
      </c>
    </row>
    <row r="3337" spans="3:5" x14ac:dyDescent="0.25">
      <c r="C3337" s="248">
        <v>43913</v>
      </c>
      <c r="D3337" t="s">
        <v>310</v>
      </c>
      <c r="E3337">
        <v>6</v>
      </c>
    </row>
    <row r="3338" spans="3:5" x14ac:dyDescent="0.25">
      <c r="C3338" s="248">
        <v>43914</v>
      </c>
      <c r="D3338" t="s">
        <v>312</v>
      </c>
      <c r="E3338">
        <v>1</v>
      </c>
    </row>
    <row r="3339" spans="3:5" x14ac:dyDescent="0.25">
      <c r="C3339" s="248">
        <v>43915</v>
      </c>
      <c r="D3339" t="s">
        <v>307</v>
      </c>
      <c r="E3339">
        <v>4</v>
      </c>
    </row>
    <row r="3340" spans="3:5" x14ac:dyDescent="0.25">
      <c r="C3340" s="248">
        <v>43916</v>
      </c>
      <c r="D3340" t="s">
        <v>312</v>
      </c>
      <c r="E3340">
        <v>1</v>
      </c>
    </row>
    <row r="3341" spans="3:5" x14ac:dyDescent="0.25">
      <c r="C3341" s="248">
        <v>43917</v>
      </c>
      <c r="D3341" t="s">
        <v>304</v>
      </c>
      <c r="E3341">
        <v>2</v>
      </c>
    </row>
    <row r="3342" spans="3:5" x14ac:dyDescent="0.25">
      <c r="C3342" s="248">
        <v>43961</v>
      </c>
      <c r="D3342" t="s">
        <v>308</v>
      </c>
      <c r="E3342">
        <v>3</v>
      </c>
    </row>
    <row r="3343" spans="3:5" x14ac:dyDescent="0.25">
      <c r="C3343" s="248">
        <v>43936</v>
      </c>
      <c r="D3343" t="s">
        <v>312</v>
      </c>
      <c r="E3343">
        <v>2</v>
      </c>
    </row>
    <row r="3344" spans="3:5" x14ac:dyDescent="0.25">
      <c r="C3344" s="248">
        <v>43937</v>
      </c>
      <c r="D3344" t="s">
        <v>310</v>
      </c>
      <c r="E3344">
        <v>3</v>
      </c>
    </row>
    <row r="3345" spans="3:5" x14ac:dyDescent="0.25">
      <c r="C3345" s="248">
        <v>43937</v>
      </c>
      <c r="D3345" t="s">
        <v>304</v>
      </c>
      <c r="E3345">
        <v>2</v>
      </c>
    </row>
    <row r="3346" spans="3:5" x14ac:dyDescent="0.25">
      <c r="C3346" s="248">
        <v>43935</v>
      </c>
      <c r="D3346" t="s">
        <v>304</v>
      </c>
      <c r="E3346">
        <v>4</v>
      </c>
    </row>
    <row r="3347" spans="3:5" x14ac:dyDescent="0.25">
      <c r="C3347" s="248">
        <v>43933</v>
      </c>
      <c r="D3347" t="s">
        <v>308</v>
      </c>
      <c r="E3347">
        <v>1</v>
      </c>
    </row>
    <row r="3348" spans="3:5" x14ac:dyDescent="0.25">
      <c r="C3348" s="248">
        <v>43938</v>
      </c>
      <c r="D3348" t="s">
        <v>306</v>
      </c>
      <c r="E3348">
        <v>7</v>
      </c>
    </row>
    <row r="3349" spans="3:5" x14ac:dyDescent="0.25">
      <c r="C3349" s="248">
        <v>43938</v>
      </c>
      <c r="D3349" t="s">
        <v>308</v>
      </c>
      <c r="E3349">
        <v>2</v>
      </c>
    </row>
    <row r="3350" spans="3:5" x14ac:dyDescent="0.25">
      <c r="C3350" s="248">
        <v>43939</v>
      </c>
      <c r="D3350" t="s">
        <v>309</v>
      </c>
      <c r="E3350">
        <v>2</v>
      </c>
    </row>
    <row r="3351" spans="3:5" x14ac:dyDescent="0.25">
      <c r="C3351" s="248">
        <v>43942</v>
      </c>
      <c r="D3351" t="s">
        <v>310</v>
      </c>
      <c r="E3351">
        <v>5</v>
      </c>
    </row>
    <row r="3352" spans="3:5" x14ac:dyDescent="0.25">
      <c r="C3352" s="248">
        <v>43954</v>
      </c>
      <c r="D3352" t="s">
        <v>312</v>
      </c>
      <c r="E3352">
        <v>3</v>
      </c>
    </row>
    <row r="3353" spans="3:5" x14ac:dyDescent="0.25">
      <c r="C3353" s="248">
        <v>43947</v>
      </c>
      <c r="D3353" t="s">
        <v>312</v>
      </c>
      <c r="E3353">
        <v>4</v>
      </c>
    </row>
    <row r="3354" spans="3:5" x14ac:dyDescent="0.25">
      <c r="C3354" s="248">
        <v>43953</v>
      </c>
      <c r="D3354" t="s">
        <v>307</v>
      </c>
      <c r="E3354">
        <v>4</v>
      </c>
    </row>
    <row r="3355" spans="3:5" x14ac:dyDescent="0.25">
      <c r="C3355" s="248">
        <v>43954</v>
      </c>
      <c r="D3355" t="s">
        <v>307</v>
      </c>
      <c r="E3355">
        <v>5</v>
      </c>
    </row>
    <row r="3356" spans="3:5" x14ac:dyDescent="0.25">
      <c r="C3356" s="248">
        <v>43956</v>
      </c>
      <c r="D3356" t="s">
        <v>305</v>
      </c>
      <c r="E3356">
        <v>9</v>
      </c>
    </row>
    <row r="3357" spans="3:5" x14ac:dyDescent="0.25">
      <c r="C3357" s="248">
        <v>43954</v>
      </c>
      <c r="D3357" t="s">
        <v>305</v>
      </c>
      <c r="E3357">
        <v>5</v>
      </c>
    </row>
    <row r="3358" spans="3:5" x14ac:dyDescent="0.25">
      <c r="C3358" s="248">
        <v>43948</v>
      </c>
      <c r="D3358" t="s">
        <v>310</v>
      </c>
      <c r="E3358">
        <v>6</v>
      </c>
    </row>
    <row r="3359" spans="3:5" x14ac:dyDescent="0.25">
      <c r="C3359" s="248">
        <v>43945</v>
      </c>
      <c r="D3359" t="s">
        <v>305</v>
      </c>
      <c r="E3359">
        <v>3</v>
      </c>
    </row>
    <row r="3360" spans="3:5" x14ac:dyDescent="0.25">
      <c r="C3360" s="248">
        <v>43935</v>
      </c>
      <c r="D3360" t="s">
        <v>311</v>
      </c>
      <c r="E3360">
        <v>4</v>
      </c>
    </row>
    <row r="3361" spans="3:5" x14ac:dyDescent="0.25">
      <c r="C3361" s="248">
        <v>43911</v>
      </c>
      <c r="D3361" t="s">
        <v>308</v>
      </c>
      <c r="E3361">
        <v>4</v>
      </c>
    </row>
    <row r="3362" spans="3:5" x14ac:dyDescent="0.25">
      <c r="C3362" s="248">
        <v>43923</v>
      </c>
      <c r="D3362" t="s">
        <v>307</v>
      </c>
      <c r="E3362">
        <v>8</v>
      </c>
    </row>
    <row r="3363" spans="3:5" x14ac:dyDescent="0.25">
      <c r="C3363" s="248">
        <v>43924</v>
      </c>
      <c r="D3363" t="s">
        <v>307</v>
      </c>
      <c r="E3363">
        <v>3</v>
      </c>
    </row>
    <row r="3364" spans="3:5" x14ac:dyDescent="0.25">
      <c r="C3364" s="248">
        <v>43918</v>
      </c>
      <c r="D3364" t="s">
        <v>307</v>
      </c>
      <c r="E3364">
        <v>4</v>
      </c>
    </row>
    <row r="3365" spans="3:5" x14ac:dyDescent="0.25">
      <c r="C3365" s="248">
        <v>43925</v>
      </c>
      <c r="D3365" t="s">
        <v>311</v>
      </c>
      <c r="E3365">
        <v>3</v>
      </c>
    </row>
    <row r="3366" spans="3:5" x14ac:dyDescent="0.25">
      <c r="C3366" s="248">
        <v>43913</v>
      </c>
      <c r="D3366" t="s">
        <v>308</v>
      </c>
      <c r="E3366">
        <v>6</v>
      </c>
    </row>
    <row r="3367" spans="3:5" x14ac:dyDescent="0.25">
      <c r="C3367" s="248">
        <v>43955</v>
      </c>
      <c r="D3367" t="s">
        <v>304</v>
      </c>
      <c r="E3367">
        <v>14</v>
      </c>
    </row>
    <row r="3368" spans="3:5" x14ac:dyDescent="0.25">
      <c r="C3368" s="248">
        <v>43943</v>
      </c>
      <c r="D3368" t="s">
        <v>311</v>
      </c>
      <c r="E3368">
        <v>5</v>
      </c>
    </row>
    <row r="3369" spans="3:5" x14ac:dyDescent="0.25">
      <c r="C3369" s="248">
        <v>43947</v>
      </c>
      <c r="D3369" t="s">
        <v>306</v>
      </c>
      <c r="E3369">
        <v>7</v>
      </c>
    </row>
    <row r="3370" spans="3:5" x14ac:dyDescent="0.25">
      <c r="C3370" s="248">
        <v>43951</v>
      </c>
      <c r="D3370" t="s">
        <v>311</v>
      </c>
      <c r="E3370">
        <v>5</v>
      </c>
    </row>
    <row r="3371" spans="3:5" x14ac:dyDescent="0.25">
      <c r="C3371" s="248">
        <v>43934</v>
      </c>
      <c r="D3371" t="s">
        <v>308</v>
      </c>
      <c r="E3371">
        <v>2</v>
      </c>
    </row>
    <row r="3372" spans="3:5" x14ac:dyDescent="0.25">
      <c r="C3372" s="248">
        <v>43944</v>
      </c>
      <c r="D3372" t="s">
        <v>311</v>
      </c>
      <c r="E3372">
        <v>7</v>
      </c>
    </row>
    <row r="3373" spans="3:5" x14ac:dyDescent="0.25">
      <c r="C3373" s="248">
        <v>43944</v>
      </c>
      <c r="D3373" t="s">
        <v>309</v>
      </c>
      <c r="E3373">
        <v>6</v>
      </c>
    </row>
    <row r="3374" spans="3:5" x14ac:dyDescent="0.25">
      <c r="C3374" s="248">
        <v>43946</v>
      </c>
      <c r="D3374" t="s">
        <v>309</v>
      </c>
      <c r="E3374">
        <v>4</v>
      </c>
    </row>
    <row r="3375" spans="3:5" x14ac:dyDescent="0.25">
      <c r="C3375" s="248">
        <v>43939</v>
      </c>
      <c r="D3375" t="s">
        <v>307</v>
      </c>
      <c r="E3375">
        <v>5</v>
      </c>
    </row>
    <row r="3376" spans="3:5" x14ac:dyDescent="0.25">
      <c r="C3376" s="248">
        <v>43954</v>
      </c>
      <c r="D3376" t="s">
        <v>311</v>
      </c>
      <c r="E3376">
        <v>5</v>
      </c>
    </row>
    <row r="3377" spans="3:5" x14ac:dyDescent="0.25">
      <c r="C3377" s="248">
        <v>43924</v>
      </c>
      <c r="D3377" t="s">
        <v>312</v>
      </c>
      <c r="E3377">
        <v>2</v>
      </c>
    </row>
    <row r="3378" spans="3:5" x14ac:dyDescent="0.25">
      <c r="C3378" s="248">
        <v>43944</v>
      </c>
      <c r="D3378" t="s">
        <v>308</v>
      </c>
      <c r="E3378">
        <v>6</v>
      </c>
    </row>
    <row r="3379" spans="3:5" x14ac:dyDescent="0.25">
      <c r="C3379" s="248">
        <v>43953</v>
      </c>
      <c r="D3379" t="s">
        <v>305</v>
      </c>
      <c r="E3379">
        <v>6</v>
      </c>
    </row>
    <row r="3380" spans="3:5" x14ac:dyDescent="0.25">
      <c r="C3380" s="248">
        <v>43954</v>
      </c>
      <c r="D3380" t="s">
        <v>304</v>
      </c>
      <c r="E3380">
        <v>11</v>
      </c>
    </row>
    <row r="3381" spans="3:5" x14ac:dyDescent="0.25">
      <c r="C3381" s="248">
        <v>43915</v>
      </c>
      <c r="D3381" t="s">
        <v>310</v>
      </c>
      <c r="E3381">
        <v>4</v>
      </c>
    </row>
    <row r="3382" spans="3:5" x14ac:dyDescent="0.25">
      <c r="C3382" s="248">
        <v>43918</v>
      </c>
      <c r="D3382" t="s">
        <v>306</v>
      </c>
      <c r="E3382">
        <v>6</v>
      </c>
    </row>
    <row r="3383" spans="3:5" x14ac:dyDescent="0.25">
      <c r="C3383" s="248">
        <v>43920</v>
      </c>
      <c r="D3383" t="s">
        <v>305</v>
      </c>
      <c r="E3383">
        <v>1</v>
      </c>
    </row>
    <row r="3384" spans="3:5" x14ac:dyDescent="0.25">
      <c r="C3384" s="248">
        <v>43925</v>
      </c>
      <c r="D3384" t="s">
        <v>304</v>
      </c>
      <c r="E3384">
        <v>2</v>
      </c>
    </row>
    <row r="3385" spans="3:5" x14ac:dyDescent="0.25">
      <c r="C3385" s="248">
        <v>43918</v>
      </c>
      <c r="D3385" t="s">
        <v>311</v>
      </c>
      <c r="E3385">
        <v>4</v>
      </c>
    </row>
    <row r="3386" spans="3:5" x14ac:dyDescent="0.25">
      <c r="C3386" s="248">
        <v>43932</v>
      </c>
      <c r="D3386" t="s">
        <v>310</v>
      </c>
      <c r="E3386">
        <v>2</v>
      </c>
    </row>
    <row r="3387" spans="3:5" x14ac:dyDescent="0.25">
      <c r="C3387" s="248">
        <v>43937</v>
      </c>
      <c r="D3387" t="s">
        <v>311</v>
      </c>
      <c r="E3387">
        <v>3</v>
      </c>
    </row>
    <row r="3388" spans="3:5" x14ac:dyDescent="0.25">
      <c r="C3388" s="248">
        <v>43938</v>
      </c>
      <c r="D3388" t="s">
        <v>311</v>
      </c>
      <c r="E3388">
        <v>3</v>
      </c>
    </row>
    <row r="3389" spans="3:5" x14ac:dyDescent="0.25">
      <c r="C3389" s="248">
        <v>43940</v>
      </c>
      <c r="D3389" t="s">
        <v>310</v>
      </c>
      <c r="E3389">
        <v>3</v>
      </c>
    </row>
    <row r="3390" spans="3:5" x14ac:dyDescent="0.25">
      <c r="C3390" s="248">
        <v>43943</v>
      </c>
      <c r="D3390" t="s">
        <v>308</v>
      </c>
      <c r="E3390">
        <v>9</v>
      </c>
    </row>
    <row r="3391" spans="3:5" x14ac:dyDescent="0.25">
      <c r="C3391" s="248">
        <v>43922</v>
      </c>
      <c r="D3391" t="s">
        <v>308</v>
      </c>
      <c r="E3391">
        <v>2</v>
      </c>
    </row>
    <row r="3392" spans="3:5" x14ac:dyDescent="0.25">
      <c r="C3392" s="248">
        <v>43919</v>
      </c>
      <c r="D3392" t="s">
        <v>307</v>
      </c>
      <c r="E3392">
        <v>1</v>
      </c>
    </row>
    <row r="3393" spans="3:5" x14ac:dyDescent="0.25">
      <c r="C3393" s="248">
        <v>43925</v>
      </c>
      <c r="D3393" t="s">
        <v>310</v>
      </c>
      <c r="E3393">
        <v>2</v>
      </c>
    </row>
    <row r="3394" spans="3:5" x14ac:dyDescent="0.25">
      <c r="C3394" s="248">
        <v>43929</v>
      </c>
      <c r="D3394" t="s">
        <v>305</v>
      </c>
      <c r="E3394">
        <v>2</v>
      </c>
    </row>
    <row r="3395" spans="3:5" x14ac:dyDescent="0.25">
      <c r="C3395" s="248">
        <v>43923</v>
      </c>
      <c r="D3395" t="s">
        <v>305</v>
      </c>
      <c r="E3395">
        <v>1</v>
      </c>
    </row>
    <row r="3396" spans="3:5" x14ac:dyDescent="0.25">
      <c r="C3396" s="248">
        <v>43950</v>
      </c>
      <c r="D3396" t="s">
        <v>305</v>
      </c>
      <c r="E3396">
        <v>6</v>
      </c>
    </row>
    <row r="3397" spans="3:5" x14ac:dyDescent="0.25">
      <c r="C3397" s="248">
        <v>43960</v>
      </c>
      <c r="D3397" t="s">
        <v>309</v>
      </c>
      <c r="E3397">
        <v>5</v>
      </c>
    </row>
    <row r="3398" spans="3:5" x14ac:dyDescent="0.25">
      <c r="C3398" s="248">
        <v>43934</v>
      </c>
      <c r="D3398" t="s">
        <v>305</v>
      </c>
      <c r="E3398">
        <v>1</v>
      </c>
    </row>
    <row r="3399" spans="3:5" x14ac:dyDescent="0.25">
      <c r="C3399" s="248">
        <v>43939</v>
      </c>
      <c r="D3399" t="s">
        <v>306</v>
      </c>
      <c r="E3399">
        <v>1</v>
      </c>
    </row>
    <row r="3400" spans="3:5" x14ac:dyDescent="0.25">
      <c r="C3400" s="248">
        <v>43914</v>
      </c>
      <c r="D3400" t="s">
        <v>310</v>
      </c>
      <c r="E3400">
        <v>4</v>
      </c>
    </row>
    <row r="3401" spans="3:5" x14ac:dyDescent="0.25">
      <c r="C3401" s="248">
        <v>43921</v>
      </c>
      <c r="D3401" t="s">
        <v>307</v>
      </c>
      <c r="E3401">
        <v>3</v>
      </c>
    </row>
    <row r="3402" spans="3:5" x14ac:dyDescent="0.25">
      <c r="C3402" s="248">
        <v>43919</v>
      </c>
      <c r="D3402" t="s">
        <v>304</v>
      </c>
      <c r="E3402">
        <v>5</v>
      </c>
    </row>
    <row r="3403" spans="3:5" x14ac:dyDescent="0.25">
      <c r="C3403" s="248">
        <v>43946</v>
      </c>
      <c r="D3403" t="s">
        <v>305</v>
      </c>
      <c r="E3403">
        <v>3</v>
      </c>
    </row>
    <row r="3404" spans="3:5" x14ac:dyDescent="0.25">
      <c r="C3404" s="248">
        <v>43947</v>
      </c>
      <c r="D3404" t="s">
        <v>309</v>
      </c>
      <c r="E3404">
        <v>3</v>
      </c>
    </row>
    <row r="3405" spans="3:5" x14ac:dyDescent="0.25">
      <c r="C3405" s="248">
        <v>43948</v>
      </c>
      <c r="D3405" t="s">
        <v>305</v>
      </c>
      <c r="E3405">
        <v>5</v>
      </c>
    </row>
    <row r="3406" spans="3:5" x14ac:dyDescent="0.25">
      <c r="C3406" s="248">
        <v>43947</v>
      </c>
      <c r="D3406" t="s">
        <v>310</v>
      </c>
      <c r="E3406">
        <v>1</v>
      </c>
    </row>
    <row r="3407" spans="3:5" x14ac:dyDescent="0.25">
      <c r="C3407" s="248">
        <v>44217</v>
      </c>
      <c r="D3407" t="s">
        <v>309</v>
      </c>
      <c r="E3407">
        <v>29</v>
      </c>
    </row>
    <row r="3408" spans="3:5" x14ac:dyDescent="0.25">
      <c r="C3408" s="248">
        <v>43931</v>
      </c>
      <c r="D3408" t="s">
        <v>311</v>
      </c>
      <c r="E3408">
        <v>2</v>
      </c>
    </row>
    <row r="3409" spans="3:5" x14ac:dyDescent="0.25">
      <c r="C3409" s="248">
        <v>43921</v>
      </c>
      <c r="D3409" t="s">
        <v>309</v>
      </c>
      <c r="E3409">
        <v>1</v>
      </c>
    </row>
    <row r="3410" spans="3:5" x14ac:dyDescent="0.25">
      <c r="C3410" s="248">
        <v>43922</v>
      </c>
      <c r="D3410" t="s">
        <v>305</v>
      </c>
      <c r="E3410">
        <v>1</v>
      </c>
    </row>
    <row r="3411" spans="3:5" x14ac:dyDescent="0.25">
      <c r="C3411" s="248">
        <v>43915</v>
      </c>
      <c r="D3411" t="s">
        <v>305</v>
      </c>
      <c r="E3411">
        <v>2</v>
      </c>
    </row>
    <row r="3412" spans="3:5" x14ac:dyDescent="0.25">
      <c r="C3412" s="248">
        <v>43917</v>
      </c>
      <c r="D3412" t="s">
        <v>308</v>
      </c>
      <c r="E3412">
        <v>4</v>
      </c>
    </row>
    <row r="3413" spans="3:5" x14ac:dyDescent="0.25">
      <c r="C3413" s="248">
        <v>43910</v>
      </c>
      <c r="D3413" t="s">
        <v>312</v>
      </c>
      <c r="E3413">
        <v>2</v>
      </c>
    </row>
    <row r="3414" spans="3:5" x14ac:dyDescent="0.25">
      <c r="C3414" s="248">
        <v>43911</v>
      </c>
      <c r="D3414" t="s">
        <v>312</v>
      </c>
      <c r="E3414">
        <v>1</v>
      </c>
    </row>
    <row r="3415" spans="3:5" x14ac:dyDescent="0.25">
      <c r="C3415" s="248">
        <v>43915</v>
      </c>
      <c r="D3415" t="s">
        <v>312</v>
      </c>
      <c r="E3415">
        <v>4</v>
      </c>
    </row>
    <row r="3416" spans="3:5" x14ac:dyDescent="0.25">
      <c r="C3416" s="248">
        <v>43915</v>
      </c>
      <c r="D3416" t="s">
        <v>311</v>
      </c>
      <c r="E3416">
        <v>1</v>
      </c>
    </row>
    <row r="3417" spans="3:5" x14ac:dyDescent="0.25">
      <c r="C3417" s="248">
        <v>43918</v>
      </c>
      <c r="D3417" t="s">
        <v>312</v>
      </c>
      <c r="E3417">
        <v>4</v>
      </c>
    </row>
    <row r="3418" spans="3:5" x14ac:dyDescent="0.25">
      <c r="C3418" s="248">
        <v>43951</v>
      </c>
      <c r="D3418" t="s">
        <v>312</v>
      </c>
      <c r="E3418">
        <v>1</v>
      </c>
    </row>
    <row r="3419" spans="3:5" x14ac:dyDescent="0.25">
      <c r="C3419" s="248">
        <v>43920</v>
      </c>
      <c r="D3419" t="s">
        <v>312</v>
      </c>
      <c r="E3419">
        <v>1</v>
      </c>
    </row>
    <row r="3420" spans="3:5" x14ac:dyDescent="0.25">
      <c r="C3420" s="248">
        <v>43929</v>
      </c>
      <c r="D3420" t="s">
        <v>312</v>
      </c>
      <c r="E3420">
        <v>1</v>
      </c>
    </row>
    <row r="3421" spans="3:5" x14ac:dyDescent="0.25">
      <c r="C3421" s="248">
        <v>43930</v>
      </c>
      <c r="D3421" t="s">
        <v>312</v>
      </c>
      <c r="E3421">
        <v>1</v>
      </c>
    </row>
    <row r="3422" spans="3:5" x14ac:dyDescent="0.25">
      <c r="C3422" s="248">
        <v>43953</v>
      </c>
      <c r="D3422" t="s">
        <v>308</v>
      </c>
      <c r="E3422">
        <v>1</v>
      </c>
    </row>
    <row r="3423" spans="3:5" x14ac:dyDescent="0.25">
      <c r="C3423" s="248">
        <v>43946</v>
      </c>
      <c r="D3423" t="s">
        <v>312</v>
      </c>
      <c r="E3423">
        <v>4</v>
      </c>
    </row>
    <row r="3424" spans="3:5" x14ac:dyDescent="0.25">
      <c r="C3424" s="248">
        <v>43945</v>
      </c>
      <c r="D3424" t="s">
        <v>312</v>
      </c>
      <c r="E3424">
        <v>6</v>
      </c>
    </row>
    <row r="3425" spans="3:5" x14ac:dyDescent="0.25">
      <c r="C3425" s="248">
        <v>43948</v>
      </c>
      <c r="D3425" t="s">
        <v>308</v>
      </c>
      <c r="E3425">
        <v>2</v>
      </c>
    </row>
    <row r="3426" spans="3:5" x14ac:dyDescent="0.25">
      <c r="C3426" s="248">
        <v>43905</v>
      </c>
      <c r="D3426" t="s">
        <v>308</v>
      </c>
      <c r="E3426">
        <v>2</v>
      </c>
    </row>
    <row r="3427" spans="3:5" x14ac:dyDescent="0.25">
      <c r="C3427" s="248">
        <v>43947</v>
      </c>
      <c r="D3427" t="s">
        <v>308</v>
      </c>
      <c r="E3427">
        <v>1</v>
      </c>
    </row>
    <row r="3428" spans="3:5" x14ac:dyDescent="0.25">
      <c r="C3428" s="248">
        <v>43912</v>
      </c>
      <c r="D3428" t="s">
        <v>305</v>
      </c>
      <c r="E3428">
        <v>1</v>
      </c>
    </row>
    <row r="3429" spans="3:5" x14ac:dyDescent="0.25">
      <c r="C3429" s="248">
        <v>43913</v>
      </c>
      <c r="D3429" t="s">
        <v>311</v>
      </c>
      <c r="E3429">
        <v>3</v>
      </c>
    </row>
    <row r="3430" spans="3:5" x14ac:dyDescent="0.25">
      <c r="C3430" s="248">
        <v>43921</v>
      </c>
      <c r="D3430" t="s">
        <v>305</v>
      </c>
      <c r="E3430">
        <v>2</v>
      </c>
    </row>
    <row r="3431" spans="3:5" x14ac:dyDescent="0.25">
      <c r="C3431" s="248">
        <v>43916</v>
      </c>
      <c r="D3431" t="s">
        <v>311</v>
      </c>
      <c r="E3431">
        <v>5</v>
      </c>
    </row>
    <row r="3432" spans="3:5" x14ac:dyDescent="0.25">
      <c r="C3432" s="248">
        <v>43902</v>
      </c>
      <c r="D3432" t="s">
        <v>312</v>
      </c>
      <c r="E3432">
        <v>1</v>
      </c>
    </row>
    <row r="3433" spans="3:5" x14ac:dyDescent="0.25">
      <c r="C3433" s="248">
        <v>43917</v>
      </c>
      <c r="D3433" t="s">
        <v>311</v>
      </c>
      <c r="E3433">
        <v>4</v>
      </c>
    </row>
    <row r="3434" spans="3:5" x14ac:dyDescent="0.25">
      <c r="C3434" s="248">
        <v>43936</v>
      </c>
      <c r="D3434" t="s">
        <v>311</v>
      </c>
      <c r="E3434">
        <v>1</v>
      </c>
    </row>
    <row r="3435" spans="3:5" x14ac:dyDescent="0.25">
      <c r="C3435" s="248">
        <v>43961</v>
      </c>
      <c r="D3435" t="s">
        <v>312</v>
      </c>
      <c r="E3435">
        <v>2</v>
      </c>
    </row>
    <row r="3436" spans="3:5" x14ac:dyDescent="0.25">
      <c r="C3436" s="248">
        <v>43933</v>
      </c>
      <c r="D3436" t="s">
        <v>309</v>
      </c>
      <c r="E3436">
        <v>1</v>
      </c>
    </row>
    <row r="3437" spans="3:5" x14ac:dyDescent="0.25">
      <c r="C3437" s="248">
        <v>43912</v>
      </c>
      <c r="D3437" t="s">
        <v>311</v>
      </c>
      <c r="E3437">
        <v>4</v>
      </c>
    </row>
    <row r="3438" spans="3:5" x14ac:dyDescent="0.25">
      <c r="C3438" s="248">
        <v>43932</v>
      </c>
      <c r="D3438" t="s">
        <v>304</v>
      </c>
      <c r="E3438">
        <v>3</v>
      </c>
    </row>
    <row r="3439" spans="3:5" x14ac:dyDescent="0.25">
      <c r="C3439" s="248">
        <v>43895</v>
      </c>
      <c r="D3439" t="s">
        <v>311</v>
      </c>
      <c r="E3439">
        <v>1</v>
      </c>
    </row>
    <row r="3440" spans="3:5" x14ac:dyDescent="0.25">
      <c r="C3440" s="248">
        <v>43929</v>
      </c>
      <c r="D3440" t="s">
        <v>309</v>
      </c>
      <c r="E3440">
        <v>1</v>
      </c>
    </row>
    <row r="3441" spans="3:5" x14ac:dyDescent="0.25">
      <c r="C3441" s="248">
        <v>43939</v>
      </c>
      <c r="D3441" t="s">
        <v>304</v>
      </c>
      <c r="E3441">
        <v>2</v>
      </c>
    </row>
    <row r="3442" spans="3:5" x14ac:dyDescent="0.25">
      <c r="C3442" s="248">
        <v>43926</v>
      </c>
      <c r="D3442" t="s">
        <v>312</v>
      </c>
      <c r="E3442">
        <v>2</v>
      </c>
    </row>
    <row r="3443" spans="3:5" x14ac:dyDescent="0.25">
      <c r="C3443" s="248">
        <v>43913</v>
      </c>
      <c r="D3443" t="s">
        <v>304</v>
      </c>
      <c r="E3443">
        <v>3</v>
      </c>
    </row>
    <row r="3444" spans="3:5" x14ac:dyDescent="0.25">
      <c r="C3444" s="248">
        <v>43943</v>
      </c>
      <c r="D3444" t="s">
        <v>309</v>
      </c>
      <c r="E3444">
        <v>1</v>
      </c>
    </row>
    <row r="3445" spans="3:5" x14ac:dyDescent="0.25">
      <c r="C3445" s="248">
        <v>43934</v>
      </c>
      <c r="D3445" t="s">
        <v>311</v>
      </c>
      <c r="E3445">
        <v>3</v>
      </c>
    </row>
    <row r="3446" spans="3:5" x14ac:dyDescent="0.25">
      <c r="C3446" s="248">
        <v>43910</v>
      </c>
      <c r="D3446" t="s">
        <v>306</v>
      </c>
      <c r="E3446">
        <v>4</v>
      </c>
    </row>
    <row r="3447" spans="3:5" x14ac:dyDescent="0.25">
      <c r="C3447" s="248">
        <v>43913</v>
      </c>
      <c r="D3447" t="s">
        <v>312</v>
      </c>
      <c r="E3447">
        <v>2</v>
      </c>
    </row>
    <row r="3448" spans="3:5" x14ac:dyDescent="0.25">
      <c r="C3448" s="248">
        <v>43935</v>
      </c>
      <c r="D3448" t="s">
        <v>308</v>
      </c>
      <c r="E3448">
        <v>3</v>
      </c>
    </row>
    <row r="3449" spans="3:5" x14ac:dyDescent="0.25">
      <c r="C3449" s="248">
        <v>43957</v>
      </c>
      <c r="D3449" t="s">
        <v>310</v>
      </c>
      <c r="E3449">
        <v>5</v>
      </c>
    </row>
    <row r="3450" spans="3:5" x14ac:dyDescent="0.25">
      <c r="C3450" s="248">
        <v>43932</v>
      </c>
      <c r="D3450" t="s">
        <v>312</v>
      </c>
      <c r="E3450">
        <v>3</v>
      </c>
    </row>
    <row r="3451" spans="3:5" x14ac:dyDescent="0.25">
      <c r="C3451" s="248">
        <v>43913</v>
      </c>
      <c r="D3451" t="s">
        <v>305</v>
      </c>
      <c r="E3451">
        <v>1</v>
      </c>
    </row>
    <row r="3452" spans="3:5" x14ac:dyDescent="0.25">
      <c r="C3452" s="248">
        <v>43910</v>
      </c>
      <c r="D3452" t="s">
        <v>310</v>
      </c>
      <c r="E3452">
        <v>3</v>
      </c>
    </row>
    <row r="3453" spans="3:5" x14ac:dyDescent="0.25">
      <c r="C3453" s="248">
        <v>43914</v>
      </c>
      <c r="D3453" t="s">
        <v>311</v>
      </c>
      <c r="E3453">
        <v>2</v>
      </c>
    </row>
    <row r="3454" spans="3:5" x14ac:dyDescent="0.25">
      <c r="C3454" s="248">
        <v>44210</v>
      </c>
      <c r="D3454" t="s">
        <v>309</v>
      </c>
      <c r="E3454">
        <v>37</v>
      </c>
    </row>
    <row r="3455" spans="3:5" x14ac:dyDescent="0.25">
      <c r="C3455" s="248">
        <v>43938</v>
      </c>
      <c r="D3455" t="s">
        <v>304</v>
      </c>
      <c r="E3455">
        <v>5</v>
      </c>
    </row>
    <row r="3456" spans="3:5" x14ac:dyDescent="0.25">
      <c r="C3456" s="248">
        <v>43926</v>
      </c>
      <c r="D3456" t="s">
        <v>308</v>
      </c>
      <c r="E3456">
        <v>3</v>
      </c>
    </row>
    <row r="3457" spans="3:5" x14ac:dyDescent="0.25">
      <c r="C3457" s="248">
        <v>43928</v>
      </c>
      <c r="D3457" t="s">
        <v>308</v>
      </c>
      <c r="E3457">
        <v>2</v>
      </c>
    </row>
    <row r="3458" spans="3:5" x14ac:dyDescent="0.25">
      <c r="C3458" s="248">
        <v>43928</v>
      </c>
      <c r="D3458" t="s">
        <v>312</v>
      </c>
      <c r="E3458">
        <v>5</v>
      </c>
    </row>
    <row r="3459" spans="3:5" x14ac:dyDescent="0.25">
      <c r="C3459" s="248">
        <v>43931</v>
      </c>
      <c r="D3459" t="s">
        <v>310</v>
      </c>
      <c r="E3459">
        <v>1</v>
      </c>
    </row>
    <row r="3460" spans="3:5" x14ac:dyDescent="0.25">
      <c r="C3460" s="248">
        <v>43932</v>
      </c>
      <c r="D3460" t="s">
        <v>311</v>
      </c>
      <c r="E3460">
        <v>1</v>
      </c>
    </row>
    <row r="3461" spans="3:5" x14ac:dyDescent="0.25">
      <c r="C3461" s="248">
        <v>43946</v>
      </c>
      <c r="D3461" t="s">
        <v>311</v>
      </c>
      <c r="E3461">
        <v>2</v>
      </c>
    </row>
    <row r="3462" spans="3:5" x14ac:dyDescent="0.25">
      <c r="C3462" s="248">
        <v>43911</v>
      </c>
      <c r="D3462" t="s">
        <v>306</v>
      </c>
      <c r="E3462">
        <v>5</v>
      </c>
    </row>
    <row r="3463" spans="3:5" x14ac:dyDescent="0.25">
      <c r="C3463" s="248">
        <v>43916</v>
      </c>
      <c r="D3463" t="s">
        <v>307</v>
      </c>
      <c r="E3463">
        <v>2</v>
      </c>
    </row>
    <row r="3464" spans="3:5" x14ac:dyDescent="0.25">
      <c r="C3464" s="248">
        <v>43906</v>
      </c>
      <c r="D3464" t="s">
        <v>311</v>
      </c>
      <c r="E3464">
        <v>1</v>
      </c>
    </row>
    <row r="3465" spans="3:5" x14ac:dyDescent="0.25">
      <c r="C3465" s="248">
        <v>44178</v>
      </c>
      <c r="D3465" t="s">
        <v>305</v>
      </c>
      <c r="E3465">
        <v>32</v>
      </c>
    </row>
    <row r="3466" spans="3:5" x14ac:dyDescent="0.25">
      <c r="C3466" s="248">
        <v>43911</v>
      </c>
      <c r="D3466" t="s">
        <v>305</v>
      </c>
      <c r="E3466">
        <v>5</v>
      </c>
    </row>
    <row r="3467" spans="3:5" x14ac:dyDescent="0.25">
      <c r="C3467" s="248">
        <v>43945</v>
      </c>
      <c r="D3467" t="s">
        <v>308</v>
      </c>
      <c r="E3467">
        <v>3</v>
      </c>
    </row>
    <row r="3468" spans="3:5" x14ac:dyDescent="0.25">
      <c r="C3468" s="248">
        <v>43955</v>
      </c>
      <c r="D3468" t="s">
        <v>310</v>
      </c>
      <c r="E3468">
        <v>6</v>
      </c>
    </row>
    <row r="3469" spans="3:5" x14ac:dyDescent="0.25">
      <c r="C3469" s="248">
        <v>43926</v>
      </c>
      <c r="D3469" t="s">
        <v>304</v>
      </c>
      <c r="E3469">
        <v>1</v>
      </c>
    </row>
    <row r="3470" spans="3:5" x14ac:dyDescent="0.25">
      <c r="C3470" s="248">
        <v>43901</v>
      </c>
      <c r="D3470" t="s">
        <v>308</v>
      </c>
      <c r="E3470">
        <v>1</v>
      </c>
    </row>
    <row r="3471" spans="3:5" x14ac:dyDescent="0.25">
      <c r="C3471" s="248">
        <v>43895</v>
      </c>
      <c r="D3471" t="s">
        <v>307</v>
      </c>
      <c r="E3471">
        <v>1</v>
      </c>
    </row>
    <row r="3472" spans="3:5" x14ac:dyDescent="0.25">
      <c r="C3472" s="248">
        <v>43952</v>
      </c>
      <c r="D3472" t="s">
        <v>308</v>
      </c>
      <c r="E3472">
        <v>2</v>
      </c>
    </row>
    <row r="3473" spans="3:5" x14ac:dyDescent="0.25">
      <c r="C3473" s="248">
        <v>43912</v>
      </c>
      <c r="D3473" t="s">
        <v>312</v>
      </c>
      <c r="E3473">
        <v>1</v>
      </c>
    </row>
    <row r="3474" spans="3:5" x14ac:dyDescent="0.25">
      <c r="C3474" s="248">
        <v>43925</v>
      </c>
      <c r="D3474" t="s">
        <v>308</v>
      </c>
      <c r="E3474">
        <v>1</v>
      </c>
    </row>
    <row r="3475" spans="3:5" x14ac:dyDescent="0.25">
      <c r="C3475" s="248">
        <v>43900</v>
      </c>
      <c r="D3475" t="s">
        <v>306</v>
      </c>
      <c r="E3475">
        <v>1</v>
      </c>
    </row>
    <row r="3476" spans="3:5" x14ac:dyDescent="0.25">
      <c r="C3476" s="248">
        <v>43939</v>
      </c>
      <c r="D3476" t="s">
        <v>305</v>
      </c>
      <c r="E3476">
        <v>1</v>
      </c>
    </row>
    <row r="3477" spans="3:5" x14ac:dyDescent="0.25">
      <c r="C3477" s="248">
        <v>43915</v>
      </c>
      <c r="D3477" t="s">
        <v>309</v>
      </c>
      <c r="E3477">
        <v>1</v>
      </c>
    </row>
    <row r="3478" spans="3:5" x14ac:dyDescent="0.25">
      <c r="C3478" s="248">
        <v>43902</v>
      </c>
      <c r="D3478" t="s">
        <v>307</v>
      </c>
      <c r="E3478">
        <v>1</v>
      </c>
    </row>
    <row r="3479" spans="3:5" x14ac:dyDescent="0.25">
      <c r="C3479" s="248">
        <v>43926</v>
      </c>
      <c r="D3479" t="s">
        <v>311</v>
      </c>
      <c r="E3479">
        <v>1</v>
      </c>
    </row>
    <row r="3480" spans="3:5" x14ac:dyDescent="0.25">
      <c r="C3480" s="248">
        <v>43910</v>
      </c>
      <c r="D3480" t="s">
        <v>308</v>
      </c>
      <c r="E3480">
        <v>1</v>
      </c>
    </row>
    <row r="3481" spans="3:5" x14ac:dyDescent="0.25">
      <c r="C3481" s="248">
        <v>43936</v>
      </c>
      <c r="D3481" t="s">
        <v>310</v>
      </c>
      <c r="E3481">
        <v>1</v>
      </c>
    </row>
    <row r="3482" spans="3:5" x14ac:dyDescent="0.25">
      <c r="C3482" s="248">
        <v>43939</v>
      </c>
      <c r="D3482" t="s">
        <v>310</v>
      </c>
      <c r="E3482">
        <v>2</v>
      </c>
    </row>
    <row r="3483" spans="3:5" x14ac:dyDescent="0.25">
      <c r="C3483" s="248">
        <v>44203</v>
      </c>
      <c r="D3483" t="s">
        <v>309</v>
      </c>
      <c r="E3483">
        <v>43</v>
      </c>
    </row>
    <row r="3484" spans="3:5" x14ac:dyDescent="0.25">
      <c r="C3484" s="248">
        <v>44219</v>
      </c>
      <c r="D3484" t="s">
        <v>309</v>
      </c>
      <c r="E3484">
        <v>21</v>
      </c>
    </row>
    <row r="3485" spans="3:5" x14ac:dyDescent="0.25">
      <c r="C3485" s="248">
        <v>44196</v>
      </c>
      <c r="D3485" t="s">
        <v>309</v>
      </c>
      <c r="E3485">
        <v>25</v>
      </c>
    </row>
    <row r="3486" spans="3:5" x14ac:dyDescent="0.25">
      <c r="C3486" s="248">
        <v>44198</v>
      </c>
      <c r="D3486" t="s">
        <v>309</v>
      </c>
      <c r="E3486">
        <v>29</v>
      </c>
    </row>
    <row r="3487" spans="3:5" x14ac:dyDescent="0.25">
      <c r="C3487" s="248">
        <v>43892</v>
      </c>
      <c r="D3487" t="s">
        <v>306</v>
      </c>
      <c r="E3487">
        <v>1</v>
      </c>
    </row>
    <row r="3488" spans="3:5" x14ac:dyDescent="0.25">
      <c r="C3488" s="248">
        <v>43936</v>
      </c>
      <c r="D3488" t="s">
        <v>305</v>
      </c>
      <c r="E3488">
        <v>1</v>
      </c>
    </row>
    <row r="3489" spans="3:5" x14ac:dyDescent="0.25">
      <c r="C3489" s="248">
        <v>44187</v>
      </c>
      <c r="D3489" t="s">
        <v>309</v>
      </c>
      <c r="E3489">
        <v>22</v>
      </c>
    </row>
    <row r="3490" spans="3:5" x14ac:dyDescent="0.25">
      <c r="C3490" s="248">
        <v>44295</v>
      </c>
      <c r="D3490" t="s">
        <v>312</v>
      </c>
      <c r="E3490">
        <v>43</v>
      </c>
    </row>
    <row r="3491" spans="3:5" x14ac:dyDescent="0.25">
      <c r="C3491" s="248">
        <v>44297</v>
      </c>
      <c r="D3491" t="s">
        <v>312</v>
      </c>
      <c r="E3491">
        <v>11</v>
      </c>
    </row>
    <row r="3492" spans="3:5" x14ac:dyDescent="0.25">
      <c r="C3492" s="248">
        <v>44296</v>
      </c>
      <c r="D3492" t="s">
        <v>312</v>
      </c>
      <c r="E3492">
        <v>37</v>
      </c>
    </row>
    <row r="3493" spans="3:5" x14ac:dyDescent="0.25">
      <c r="C3493" s="248">
        <v>44297</v>
      </c>
      <c r="D3493" t="s">
        <v>309</v>
      </c>
      <c r="E3493">
        <v>27</v>
      </c>
    </row>
    <row r="3494" spans="3:5" x14ac:dyDescent="0.25">
      <c r="C3494" s="248">
        <v>44294</v>
      </c>
      <c r="D3494" t="s">
        <v>312</v>
      </c>
      <c r="E3494">
        <v>52</v>
      </c>
    </row>
    <row r="3495" spans="3:5" x14ac:dyDescent="0.25">
      <c r="C3495" s="248">
        <v>44296</v>
      </c>
      <c r="D3495" t="s">
        <v>308</v>
      </c>
      <c r="E3495">
        <v>62</v>
      </c>
    </row>
    <row r="3496" spans="3:5" x14ac:dyDescent="0.25">
      <c r="C3496" s="248">
        <v>44298</v>
      </c>
      <c r="D3496" t="s">
        <v>306</v>
      </c>
      <c r="E3496">
        <v>61</v>
      </c>
    </row>
    <row r="3497" spans="3:5" x14ac:dyDescent="0.25">
      <c r="C3497" s="248">
        <v>44298</v>
      </c>
      <c r="D3497" t="s">
        <v>312</v>
      </c>
      <c r="E3497">
        <v>4</v>
      </c>
    </row>
    <row r="3498" spans="3:5" x14ac:dyDescent="0.25">
      <c r="C3498" s="248">
        <v>44298</v>
      </c>
      <c r="D3498" t="s">
        <v>307</v>
      </c>
      <c r="E3498">
        <v>52</v>
      </c>
    </row>
    <row r="3499" spans="3:5" x14ac:dyDescent="0.25">
      <c r="C3499" s="248">
        <v>44298</v>
      </c>
      <c r="D3499" t="s">
        <v>310</v>
      </c>
      <c r="E3499">
        <v>45</v>
      </c>
    </row>
    <row r="3500" spans="3:5" x14ac:dyDescent="0.25">
      <c r="C3500" s="248">
        <v>44298</v>
      </c>
      <c r="D3500" t="s">
        <v>304</v>
      </c>
      <c r="E3500">
        <v>34</v>
      </c>
    </row>
    <row r="3501" spans="3:5" x14ac:dyDescent="0.25">
      <c r="C3501" s="248">
        <v>44298</v>
      </c>
      <c r="D3501" t="s">
        <v>308</v>
      </c>
      <c r="E3501">
        <v>8</v>
      </c>
    </row>
    <row r="3502" spans="3:5" x14ac:dyDescent="0.25">
      <c r="C3502" s="248">
        <v>44298</v>
      </c>
      <c r="D3502" t="s">
        <v>305</v>
      </c>
      <c r="E3502">
        <v>13</v>
      </c>
    </row>
    <row r="3503" spans="3:5" x14ac:dyDescent="0.25">
      <c r="C3503" s="248">
        <v>44298</v>
      </c>
      <c r="D3503" t="s">
        <v>311</v>
      </c>
      <c r="E3503">
        <v>10</v>
      </c>
    </row>
    <row r="3504" spans="3:5" x14ac:dyDescent="0.25">
      <c r="C3504" s="248">
        <v>44298</v>
      </c>
      <c r="D3504" t="s">
        <v>309</v>
      </c>
      <c r="E3504">
        <v>17</v>
      </c>
    </row>
    <row r="3505" spans="3:5" x14ac:dyDescent="0.25">
      <c r="C3505" s="248">
        <v>44242</v>
      </c>
      <c r="D3505" t="s">
        <v>309</v>
      </c>
      <c r="E3505">
        <v>16</v>
      </c>
    </row>
    <row r="3506" spans="3:5" x14ac:dyDescent="0.25">
      <c r="C3506" s="248">
        <v>44189</v>
      </c>
      <c r="D3506" t="s">
        <v>309</v>
      </c>
      <c r="E3506">
        <v>10</v>
      </c>
    </row>
    <row r="3507" spans="3:5" x14ac:dyDescent="0.25">
      <c r="C3507" s="248">
        <v>44192</v>
      </c>
      <c r="D3507" t="s">
        <v>309</v>
      </c>
      <c r="E3507">
        <v>20</v>
      </c>
    </row>
    <row r="3508" spans="3:5" x14ac:dyDescent="0.25">
      <c r="C3508" s="248">
        <v>44191</v>
      </c>
      <c r="D3508" t="s">
        <v>309</v>
      </c>
      <c r="E3508">
        <v>24</v>
      </c>
    </row>
    <row r="3509" spans="3:5" x14ac:dyDescent="0.25">
      <c r="C3509" s="248">
        <v>44158</v>
      </c>
      <c r="D3509" t="s">
        <v>309</v>
      </c>
      <c r="E3509">
        <v>8</v>
      </c>
    </row>
    <row r="3510" spans="3:5" x14ac:dyDescent="0.25">
      <c r="C3510" s="248">
        <v>43932</v>
      </c>
      <c r="D3510" t="s">
        <v>308</v>
      </c>
      <c r="E3510">
        <v>1</v>
      </c>
    </row>
    <row r="3511" spans="3:5" x14ac:dyDescent="0.25">
      <c r="C3511" s="248">
        <v>43901</v>
      </c>
      <c r="D3511" t="s">
        <v>311</v>
      </c>
      <c r="E3511">
        <v>1</v>
      </c>
    </row>
    <row r="3512" spans="3:5" x14ac:dyDescent="0.25">
      <c r="C3512" s="248">
        <v>43907</v>
      </c>
      <c r="D3512" t="s">
        <v>305</v>
      </c>
      <c r="E3512">
        <v>1</v>
      </c>
    </row>
    <row r="3513" spans="3:5" x14ac:dyDescent="0.25">
      <c r="C3513" s="248">
        <v>43945</v>
      </c>
      <c r="D3513" t="s">
        <v>309</v>
      </c>
      <c r="E3513">
        <v>1</v>
      </c>
    </row>
    <row r="3514" spans="3:5" x14ac:dyDescent="0.25">
      <c r="C3514" s="248">
        <v>43951</v>
      </c>
      <c r="D3514" t="s">
        <v>308</v>
      </c>
      <c r="E351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A0574-F9A8-4F23-9B94-6B4B91985BA3}">
  <dimension ref="A1:AH411"/>
  <sheetViews>
    <sheetView topLeftCell="L1" zoomScale="70" zoomScaleNormal="70" workbookViewId="0">
      <pane ySplit="1" topLeftCell="A378" activePane="bottomLeft" state="frozen"/>
      <selection activeCell="H388" sqref="H388"/>
      <selection pane="bottomLeft" activeCell="Y399" sqref="Y399"/>
    </sheetView>
  </sheetViews>
  <sheetFormatPr baseColWidth="10" defaultRowHeight="15" x14ac:dyDescent="0.25"/>
  <cols>
    <col min="1" max="1" width="10.85546875" style="45" customWidth="1"/>
    <col min="2" max="2" width="10.7109375" style="173" customWidth="1"/>
    <col min="3" max="3" width="9.7109375" style="51" customWidth="1"/>
    <col min="4" max="4" width="12.85546875" style="173" customWidth="1"/>
    <col min="5" max="5" width="8.5703125" style="173" customWidth="1"/>
    <col min="6" max="6" width="9.7109375" style="51" customWidth="1"/>
    <col min="7" max="7" width="9.85546875" style="173" customWidth="1"/>
    <col min="8" max="8" width="10.28515625" style="173" customWidth="1"/>
    <col min="9" max="9" width="15.7109375" style="189" customWidth="1"/>
    <col min="10" max="10" width="12.5703125" style="173" customWidth="1"/>
    <col min="11" max="13" width="9.7109375" style="51" customWidth="1"/>
    <col min="14" max="14" width="11.140625" style="51" customWidth="1"/>
    <col min="15" max="15" width="7.85546875" style="23" hidden="1" customWidth="1"/>
    <col min="16" max="16" width="10.140625" style="23" hidden="1" customWidth="1"/>
    <col min="17" max="17" width="9.7109375" style="51" hidden="1" customWidth="1"/>
    <col min="18" max="19" width="5.140625" style="51" hidden="1" customWidth="1"/>
    <col min="20" max="20" width="4.7109375" style="51" hidden="1" customWidth="1"/>
    <col min="21" max="21" width="5.5703125" style="51" hidden="1" customWidth="1"/>
    <col min="22" max="22" width="11.42578125" style="51" customWidth="1"/>
    <col min="23" max="23" width="10.42578125" style="17" customWidth="1"/>
    <col min="24" max="24" width="12.140625" style="51" customWidth="1"/>
    <col min="25" max="25" width="8.42578125" style="51" customWidth="1"/>
    <col min="26" max="26" width="9.42578125" style="51" customWidth="1"/>
    <col min="27" max="27" width="10.28515625" style="51" customWidth="1"/>
    <col min="28" max="28" width="7" style="51" customWidth="1"/>
    <col min="29" max="29" width="7.5703125" style="51" customWidth="1"/>
    <col min="30" max="16384" width="11.42578125" style="51"/>
  </cols>
  <sheetData>
    <row r="1" spans="1:32" s="195" customFormat="1" ht="42.75" customHeight="1" x14ac:dyDescent="0.25">
      <c r="A1" s="190" t="s">
        <v>42</v>
      </c>
      <c r="B1" s="191" t="s">
        <v>0</v>
      </c>
      <c r="C1" s="193" t="s">
        <v>237</v>
      </c>
      <c r="D1" s="191" t="s">
        <v>1</v>
      </c>
      <c r="E1" s="191" t="s">
        <v>2</v>
      </c>
      <c r="F1" s="193" t="s">
        <v>238</v>
      </c>
      <c r="G1" s="191" t="s">
        <v>3</v>
      </c>
      <c r="H1" s="191" t="s">
        <v>111</v>
      </c>
      <c r="I1" s="192" t="s">
        <v>4</v>
      </c>
      <c r="J1" s="191" t="s">
        <v>5</v>
      </c>
      <c r="K1" s="193" t="s">
        <v>239</v>
      </c>
      <c r="L1" s="193" t="s">
        <v>6</v>
      </c>
      <c r="M1" s="193"/>
      <c r="N1" s="193" t="s">
        <v>7</v>
      </c>
      <c r="O1" s="194" t="s">
        <v>8</v>
      </c>
      <c r="P1" s="194" t="s">
        <v>9</v>
      </c>
      <c r="Q1" s="193" t="s">
        <v>10</v>
      </c>
      <c r="R1" s="193" t="s">
        <v>11</v>
      </c>
      <c r="S1" s="193" t="s">
        <v>12</v>
      </c>
      <c r="T1" s="193" t="s">
        <v>13</v>
      </c>
      <c r="U1" s="193" t="s">
        <v>14</v>
      </c>
      <c r="V1" s="193" t="s">
        <v>240</v>
      </c>
      <c r="W1" s="193" t="s">
        <v>112</v>
      </c>
      <c r="X1" s="193" t="s">
        <v>113</v>
      </c>
      <c r="Y1" s="337" t="s">
        <v>241</v>
      </c>
      <c r="Z1" s="337" t="s">
        <v>242</v>
      </c>
      <c r="AA1" s="337" t="s">
        <v>109</v>
      </c>
      <c r="AC1" s="195" t="s">
        <v>246</v>
      </c>
      <c r="AD1" s="195" t="s">
        <v>245</v>
      </c>
      <c r="AE1" s="195" t="s">
        <v>248</v>
      </c>
      <c r="AF1" s="195" t="s">
        <v>249</v>
      </c>
    </row>
    <row r="2" spans="1:32" x14ac:dyDescent="0.25">
      <c r="A2" s="2">
        <v>43893</v>
      </c>
      <c r="B2" s="154">
        <v>1</v>
      </c>
      <c r="C2" s="154"/>
      <c r="D2" s="154">
        <v>1</v>
      </c>
      <c r="E2" s="154">
        <v>0</v>
      </c>
      <c r="F2" s="154"/>
      <c r="G2" s="154">
        <v>0</v>
      </c>
      <c r="H2" s="154"/>
      <c r="I2" s="179">
        <v>0</v>
      </c>
      <c r="J2" s="154"/>
      <c r="K2" s="154"/>
      <c r="L2" s="154"/>
      <c r="M2" s="154"/>
      <c r="N2" s="1"/>
      <c r="O2" s="14"/>
      <c r="P2" s="14"/>
      <c r="Q2" s="1"/>
      <c r="R2" s="1">
        <v>1</v>
      </c>
      <c r="S2" s="1">
        <v>0</v>
      </c>
      <c r="T2" s="1">
        <v>0</v>
      </c>
      <c r="U2" s="1">
        <v>0</v>
      </c>
      <c r="V2" s="125">
        <f t="shared" ref="V2:V65" si="0">D2-G2-I2</f>
        <v>1</v>
      </c>
      <c r="W2" s="1"/>
      <c r="X2" s="4"/>
      <c r="AF2" s="197">
        <f>MAX(B2)</f>
        <v>1</v>
      </c>
    </row>
    <row r="3" spans="1:32" x14ac:dyDescent="0.25">
      <c r="A3" s="2">
        <v>43894</v>
      </c>
      <c r="B3" s="154">
        <v>0</v>
      </c>
      <c r="C3" s="154"/>
      <c r="D3" s="154">
        <v>1</v>
      </c>
      <c r="E3" s="154">
        <v>0</v>
      </c>
      <c r="F3" s="154"/>
      <c r="G3" s="154">
        <v>0</v>
      </c>
      <c r="H3" s="156">
        <f t="shared" ref="H3:H66" si="1">I3-I2</f>
        <v>0</v>
      </c>
      <c r="I3" s="179">
        <v>0</v>
      </c>
      <c r="J3" s="154"/>
      <c r="K3" s="154"/>
      <c r="L3" s="154"/>
      <c r="M3" s="154"/>
      <c r="N3" s="1"/>
      <c r="O3" s="14"/>
      <c r="P3" s="14"/>
      <c r="Q3" s="1"/>
      <c r="R3" s="1">
        <v>1</v>
      </c>
      <c r="S3" s="1">
        <v>0</v>
      </c>
      <c r="T3" s="1">
        <v>0</v>
      </c>
      <c r="U3" s="1">
        <v>0</v>
      </c>
      <c r="V3" s="125">
        <f t="shared" si="0"/>
        <v>1</v>
      </c>
      <c r="W3" s="1"/>
      <c r="X3" s="4"/>
      <c r="AF3" s="197">
        <f>MAX($B$2:B3)</f>
        <v>1</v>
      </c>
    </row>
    <row r="4" spans="1:32" x14ac:dyDescent="0.25">
      <c r="A4" s="2">
        <v>43895</v>
      </c>
      <c r="B4" s="154">
        <v>1</v>
      </c>
      <c r="C4" s="154"/>
      <c r="D4" s="154">
        <v>2</v>
      </c>
      <c r="E4" s="154">
        <v>0</v>
      </c>
      <c r="F4" s="154"/>
      <c r="G4" s="154">
        <v>0</v>
      </c>
      <c r="H4" s="156">
        <f t="shared" si="1"/>
        <v>0</v>
      </c>
      <c r="I4" s="179">
        <v>0</v>
      </c>
      <c r="J4" s="154"/>
      <c r="K4" s="154"/>
      <c r="L4" s="154"/>
      <c r="M4" s="154"/>
      <c r="N4" s="1"/>
      <c r="O4" s="14"/>
      <c r="P4" s="14"/>
      <c r="Q4" s="1"/>
      <c r="R4" s="1">
        <v>2</v>
      </c>
      <c r="S4" s="1">
        <v>0</v>
      </c>
      <c r="T4" s="1">
        <v>0</v>
      </c>
      <c r="U4" s="1">
        <v>0</v>
      </c>
      <c r="V4" s="125">
        <f t="shared" si="0"/>
        <v>2</v>
      </c>
      <c r="W4" s="1"/>
      <c r="X4" s="4"/>
      <c r="AF4" s="197">
        <f>MAX($B$2:B4)</f>
        <v>1</v>
      </c>
    </row>
    <row r="5" spans="1:32" x14ac:dyDescent="0.25">
      <c r="A5" s="2">
        <v>43896</v>
      </c>
      <c r="B5" s="154">
        <v>6</v>
      </c>
      <c r="C5" s="154"/>
      <c r="D5" s="154">
        <v>8</v>
      </c>
      <c r="E5" s="154">
        <v>0</v>
      </c>
      <c r="F5" s="154"/>
      <c r="G5" s="154">
        <v>0</v>
      </c>
      <c r="H5" s="156">
        <f t="shared" si="1"/>
        <v>0</v>
      </c>
      <c r="I5" s="179">
        <v>0</v>
      </c>
      <c r="J5" s="154"/>
      <c r="K5" s="154"/>
      <c r="L5" s="154"/>
      <c r="M5" s="154"/>
      <c r="N5" s="1"/>
      <c r="O5" s="14"/>
      <c r="P5" s="14"/>
      <c r="Q5" s="1"/>
      <c r="R5" s="1">
        <v>8</v>
      </c>
      <c r="S5" s="1">
        <v>0</v>
      </c>
      <c r="T5" s="1">
        <v>0</v>
      </c>
      <c r="U5" s="1">
        <v>0</v>
      </c>
      <c r="V5" s="125">
        <f t="shared" si="0"/>
        <v>8</v>
      </c>
      <c r="W5" s="1"/>
      <c r="X5" s="4"/>
      <c r="AF5" s="197">
        <f>MAX($B$2:B5)</f>
        <v>6</v>
      </c>
    </row>
    <row r="6" spans="1:32" x14ac:dyDescent="0.25">
      <c r="A6" s="2">
        <v>43897</v>
      </c>
      <c r="B6" s="154">
        <v>1</v>
      </c>
      <c r="C6" s="154"/>
      <c r="D6" s="154">
        <v>9</v>
      </c>
      <c r="E6" s="154">
        <v>1</v>
      </c>
      <c r="F6" s="154"/>
      <c r="G6" s="154">
        <v>1</v>
      </c>
      <c r="H6" s="156">
        <f t="shared" si="1"/>
        <v>0</v>
      </c>
      <c r="I6" s="179">
        <v>0</v>
      </c>
      <c r="J6" s="154"/>
      <c r="K6" s="154"/>
      <c r="L6" s="154"/>
      <c r="M6" s="154"/>
      <c r="N6" s="1"/>
      <c r="O6" s="14"/>
      <c r="P6" s="14"/>
      <c r="Q6" s="1"/>
      <c r="R6" s="1">
        <v>9</v>
      </c>
      <c r="S6" s="1">
        <v>0</v>
      </c>
      <c r="T6" s="1">
        <v>0</v>
      </c>
      <c r="U6" s="1">
        <v>0</v>
      </c>
      <c r="V6" s="125">
        <f t="shared" si="0"/>
        <v>8</v>
      </c>
      <c r="W6" s="1"/>
      <c r="X6" s="4"/>
      <c r="AF6" s="197">
        <f>MAX($B$2:B6)</f>
        <v>6</v>
      </c>
    </row>
    <row r="7" spans="1:32" x14ac:dyDescent="0.25">
      <c r="A7" s="2">
        <v>43898</v>
      </c>
      <c r="B7" s="154">
        <v>3</v>
      </c>
      <c r="C7" s="154"/>
      <c r="D7" s="154">
        <v>12</v>
      </c>
      <c r="E7" s="154">
        <v>0</v>
      </c>
      <c r="F7" s="154"/>
      <c r="G7" s="154">
        <v>1</v>
      </c>
      <c r="H7" s="156">
        <f t="shared" si="1"/>
        <v>0</v>
      </c>
      <c r="I7" s="179">
        <v>0</v>
      </c>
      <c r="J7" s="154"/>
      <c r="K7" s="154"/>
      <c r="L7" s="154"/>
      <c r="M7" s="154"/>
      <c r="N7" s="1"/>
      <c r="O7" s="14"/>
      <c r="P7" s="14"/>
      <c r="Q7" s="1"/>
      <c r="R7" s="1">
        <v>12</v>
      </c>
      <c r="S7" s="1">
        <v>0</v>
      </c>
      <c r="T7" s="1">
        <v>0</v>
      </c>
      <c r="U7" s="1">
        <v>0</v>
      </c>
      <c r="V7" s="125">
        <f t="shared" si="0"/>
        <v>11</v>
      </c>
      <c r="W7" s="1"/>
      <c r="X7" s="4"/>
      <c r="AF7" s="197">
        <f>MAX($B$2:B7)</f>
        <v>6</v>
      </c>
    </row>
    <row r="8" spans="1:32" x14ac:dyDescent="0.25">
      <c r="A8" s="2">
        <v>43899</v>
      </c>
      <c r="B8" s="154">
        <v>5</v>
      </c>
      <c r="C8" s="154"/>
      <c r="D8" s="154">
        <v>17</v>
      </c>
      <c r="E8" s="154">
        <v>0</v>
      </c>
      <c r="F8" s="154"/>
      <c r="G8" s="154">
        <v>1</v>
      </c>
      <c r="H8" s="156">
        <f t="shared" si="1"/>
        <v>0</v>
      </c>
      <c r="I8" s="179">
        <v>0</v>
      </c>
      <c r="J8" s="154"/>
      <c r="K8" s="154"/>
      <c r="L8" s="154"/>
      <c r="M8" s="154"/>
      <c r="N8" s="1"/>
      <c r="O8" s="14"/>
      <c r="P8" s="14"/>
      <c r="Q8" s="1"/>
      <c r="R8" s="1">
        <v>17</v>
      </c>
      <c r="S8" s="1">
        <v>0</v>
      </c>
      <c r="T8" s="1">
        <v>0</v>
      </c>
      <c r="U8" s="1">
        <v>0</v>
      </c>
      <c r="V8" s="125">
        <f t="shared" si="0"/>
        <v>16</v>
      </c>
      <c r="W8" s="1"/>
      <c r="X8" s="4"/>
      <c r="AF8" s="197">
        <f>MAX($B$2:B8)</f>
        <v>6</v>
      </c>
    </row>
    <row r="9" spans="1:32" x14ac:dyDescent="0.25">
      <c r="A9" s="2">
        <v>43900</v>
      </c>
      <c r="B9" s="154">
        <v>2</v>
      </c>
      <c r="C9" s="154"/>
      <c r="D9" s="154">
        <v>19</v>
      </c>
      <c r="E9" s="154">
        <v>0</v>
      </c>
      <c r="F9" s="154"/>
      <c r="G9" s="154">
        <v>1</v>
      </c>
      <c r="H9" s="156">
        <f t="shared" si="1"/>
        <v>0</v>
      </c>
      <c r="I9" s="179">
        <v>0</v>
      </c>
      <c r="J9" s="154"/>
      <c r="K9" s="154"/>
      <c r="L9" s="154"/>
      <c r="M9" s="154"/>
      <c r="N9" s="1"/>
      <c r="O9" s="14"/>
      <c r="P9" s="14"/>
      <c r="Q9" s="1"/>
      <c r="R9" s="1">
        <v>19</v>
      </c>
      <c r="S9" s="1">
        <v>0</v>
      </c>
      <c r="T9" s="1">
        <v>0</v>
      </c>
      <c r="U9" s="1">
        <v>0</v>
      </c>
      <c r="V9" s="125">
        <f t="shared" si="0"/>
        <v>18</v>
      </c>
      <c r="W9" s="1"/>
      <c r="X9" s="4"/>
      <c r="AF9" s="197">
        <f>MAX($B$2:B9)</f>
        <v>6</v>
      </c>
    </row>
    <row r="10" spans="1:32" x14ac:dyDescent="0.25">
      <c r="A10" s="2">
        <v>43901</v>
      </c>
      <c r="B10" s="154">
        <v>2</v>
      </c>
      <c r="C10" s="154"/>
      <c r="D10" s="154">
        <v>21</v>
      </c>
      <c r="E10" s="154">
        <v>0</v>
      </c>
      <c r="F10" s="154"/>
      <c r="G10" s="154">
        <v>1</v>
      </c>
      <c r="H10" s="156">
        <f t="shared" si="1"/>
        <v>0</v>
      </c>
      <c r="I10" s="179">
        <v>0</v>
      </c>
      <c r="J10" s="154"/>
      <c r="K10" s="154"/>
      <c r="L10" s="154"/>
      <c r="M10" s="154"/>
      <c r="N10" s="1"/>
      <c r="O10" s="14"/>
      <c r="P10" s="14"/>
      <c r="Q10" s="1"/>
      <c r="R10" s="1">
        <v>21</v>
      </c>
      <c r="S10" s="1">
        <v>0</v>
      </c>
      <c r="T10" s="1">
        <v>0</v>
      </c>
      <c r="U10" s="1">
        <v>0</v>
      </c>
      <c r="V10" s="125">
        <f t="shared" si="0"/>
        <v>20</v>
      </c>
      <c r="W10" s="1"/>
      <c r="X10" s="4"/>
      <c r="AF10" s="197">
        <f>MAX($B$2:B10)</f>
        <v>6</v>
      </c>
    </row>
    <row r="11" spans="1:32" x14ac:dyDescent="0.25">
      <c r="A11" s="2">
        <v>43902</v>
      </c>
      <c r="B11" s="154">
        <v>10</v>
      </c>
      <c r="C11" s="154"/>
      <c r="D11" s="154">
        <v>31</v>
      </c>
      <c r="E11" s="154">
        <v>0</v>
      </c>
      <c r="F11" s="154"/>
      <c r="G11" s="154">
        <v>1</v>
      </c>
      <c r="H11" s="156">
        <f t="shared" si="1"/>
        <v>0</v>
      </c>
      <c r="I11" s="179">
        <v>0</v>
      </c>
      <c r="J11" s="154"/>
      <c r="K11" s="154"/>
      <c r="L11" s="154"/>
      <c r="M11" s="154"/>
      <c r="N11" s="1"/>
      <c r="O11" s="14"/>
      <c r="P11" s="14"/>
      <c r="Q11" s="1"/>
      <c r="R11" s="1">
        <v>28</v>
      </c>
      <c r="S11" s="1">
        <v>3</v>
      </c>
      <c r="T11" s="1">
        <v>0</v>
      </c>
      <c r="U11" s="1">
        <v>0</v>
      </c>
      <c r="V11" s="125">
        <f t="shared" si="0"/>
        <v>30</v>
      </c>
      <c r="W11" s="1"/>
      <c r="X11" s="4"/>
      <c r="AF11" s="197">
        <f>MAX($B$2:B11)</f>
        <v>10</v>
      </c>
    </row>
    <row r="12" spans="1:32" x14ac:dyDescent="0.25">
      <c r="A12" s="2">
        <v>43903</v>
      </c>
      <c r="B12" s="154">
        <v>3</v>
      </c>
      <c r="C12" s="154"/>
      <c r="D12" s="154">
        <v>34</v>
      </c>
      <c r="E12" s="154">
        <v>1</v>
      </c>
      <c r="F12" s="154"/>
      <c r="G12" s="154">
        <v>2</v>
      </c>
      <c r="H12" s="156">
        <f t="shared" si="1"/>
        <v>0</v>
      </c>
      <c r="I12" s="179">
        <v>0</v>
      </c>
      <c r="J12" s="154"/>
      <c r="K12" s="154"/>
      <c r="L12" s="154"/>
      <c r="M12" s="154"/>
      <c r="N12" s="1"/>
      <c r="O12" s="14"/>
      <c r="P12" s="14"/>
      <c r="Q12" s="1"/>
      <c r="R12" s="1">
        <v>30</v>
      </c>
      <c r="S12" s="1">
        <v>4</v>
      </c>
      <c r="T12" s="1">
        <v>0</v>
      </c>
      <c r="U12" s="1">
        <v>0</v>
      </c>
      <c r="V12" s="125">
        <f t="shared" si="0"/>
        <v>32</v>
      </c>
      <c r="W12" s="1"/>
      <c r="X12" s="4"/>
      <c r="AF12" s="197">
        <f>MAX($B$2:B12)</f>
        <v>10</v>
      </c>
    </row>
    <row r="13" spans="1:32" x14ac:dyDescent="0.25">
      <c r="A13" s="2">
        <v>43904</v>
      </c>
      <c r="B13" s="154">
        <v>11</v>
      </c>
      <c r="C13" s="154"/>
      <c r="D13" s="154">
        <v>45</v>
      </c>
      <c r="E13" s="154">
        <v>0</v>
      </c>
      <c r="F13" s="154"/>
      <c r="G13" s="154">
        <v>2</v>
      </c>
      <c r="H13" s="156">
        <f t="shared" si="1"/>
        <v>0</v>
      </c>
      <c r="I13" s="179">
        <v>0</v>
      </c>
      <c r="J13" s="154"/>
      <c r="K13" s="154"/>
      <c r="L13" s="154"/>
      <c r="M13" s="154"/>
      <c r="N13" s="1"/>
      <c r="O13" s="14"/>
      <c r="P13" s="14"/>
      <c r="Q13" s="1"/>
      <c r="R13" s="1">
        <v>40</v>
      </c>
      <c r="S13" s="1">
        <v>5</v>
      </c>
      <c r="T13" s="1">
        <v>0</v>
      </c>
      <c r="U13" s="1">
        <v>0</v>
      </c>
      <c r="V13" s="125">
        <f t="shared" si="0"/>
        <v>43</v>
      </c>
      <c r="W13" s="1"/>
      <c r="X13" s="4"/>
      <c r="AF13" s="197">
        <f>MAX($B$2:B13)</f>
        <v>11</v>
      </c>
    </row>
    <row r="14" spans="1:32" x14ac:dyDescent="0.25">
      <c r="A14" s="2">
        <v>43905</v>
      </c>
      <c r="B14" s="154">
        <v>11</v>
      </c>
      <c r="C14" s="154"/>
      <c r="D14" s="154">
        <v>56</v>
      </c>
      <c r="E14" s="154">
        <v>0</v>
      </c>
      <c r="F14" s="154"/>
      <c r="G14" s="154">
        <v>2</v>
      </c>
      <c r="H14" s="156">
        <f t="shared" si="1"/>
        <v>0</v>
      </c>
      <c r="I14" s="179">
        <v>0</v>
      </c>
      <c r="J14" s="154"/>
      <c r="K14" s="154"/>
      <c r="L14" s="154"/>
      <c r="M14" s="154"/>
      <c r="N14" s="1"/>
      <c r="O14" s="14"/>
      <c r="P14" s="14"/>
      <c r="Q14" s="1"/>
      <c r="R14" s="1">
        <v>48</v>
      </c>
      <c r="S14" s="1">
        <v>8</v>
      </c>
      <c r="T14" s="1">
        <v>0</v>
      </c>
      <c r="U14" s="1">
        <v>0</v>
      </c>
      <c r="V14" s="125">
        <f t="shared" si="0"/>
        <v>54</v>
      </c>
      <c r="W14" s="43">
        <f t="shared" ref="W14:W77" si="2">J14/(D14-G14-I14)</f>
        <v>0</v>
      </c>
      <c r="X14" s="35">
        <f>G14/D14</f>
        <v>3.5714285714285712E-2</v>
      </c>
      <c r="AF14" s="197">
        <f>MAX($B$2:B14)</f>
        <v>11</v>
      </c>
    </row>
    <row r="15" spans="1:32" x14ac:dyDescent="0.25">
      <c r="A15" s="2">
        <v>43906</v>
      </c>
      <c r="B15" s="154">
        <v>9</v>
      </c>
      <c r="C15" s="154"/>
      <c r="D15" s="154">
        <v>65</v>
      </c>
      <c r="E15" s="154">
        <v>0</v>
      </c>
      <c r="F15" s="154"/>
      <c r="G15" s="154">
        <v>2</v>
      </c>
      <c r="H15" s="156">
        <f t="shared" si="1"/>
        <v>0</v>
      </c>
      <c r="I15" s="179">
        <v>0</v>
      </c>
      <c r="J15" s="154"/>
      <c r="K15" s="154"/>
      <c r="L15" s="154"/>
      <c r="M15" s="154"/>
      <c r="N15" s="1"/>
      <c r="O15" s="14"/>
      <c r="P15" s="14"/>
      <c r="Q15" s="1">
        <v>464</v>
      </c>
      <c r="R15" s="1">
        <v>56</v>
      </c>
      <c r="S15" s="1">
        <v>9</v>
      </c>
      <c r="T15" s="1">
        <v>0</v>
      </c>
      <c r="U15" s="1">
        <v>0</v>
      </c>
      <c r="V15" s="125">
        <f t="shared" si="0"/>
        <v>63</v>
      </c>
      <c r="W15" s="43">
        <f t="shared" si="2"/>
        <v>0</v>
      </c>
      <c r="X15" s="35">
        <f t="shared" ref="X15:X78" si="3">G15/D15</f>
        <v>3.0769230769230771E-2</v>
      </c>
      <c r="AF15" s="197">
        <f>MAX($B$2:B15)</f>
        <v>11</v>
      </c>
    </row>
    <row r="16" spans="1:32" x14ac:dyDescent="0.25">
      <c r="A16" s="2">
        <v>43907</v>
      </c>
      <c r="B16" s="154">
        <v>13</v>
      </c>
      <c r="C16" s="154"/>
      <c r="D16" s="154">
        <v>78</v>
      </c>
      <c r="E16" s="154">
        <v>0</v>
      </c>
      <c r="F16" s="154"/>
      <c r="G16" s="154">
        <v>2</v>
      </c>
      <c r="H16" s="156">
        <f t="shared" si="1"/>
        <v>0</v>
      </c>
      <c r="I16" s="179">
        <v>0</v>
      </c>
      <c r="J16" s="154"/>
      <c r="K16" s="154"/>
      <c r="L16" s="154"/>
      <c r="M16" s="154"/>
      <c r="N16" s="1"/>
      <c r="O16" s="14">
        <v>686</v>
      </c>
      <c r="P16" s="14">
        <v>496</v>
      </c>
      <c r="Q16" s="1">
        <v>496</v>
      </c>
      <c r="R16" s="1">
        <v>67</v>
      </c>
      <c r="S16" s="1">
        <v>11</v>
      </c>
      <c r="T16" s="1">
        <v>0</v>
      </c>
      <c r="U16" s="1">
        <v>0</v>
      </c>
      <c r="V16" s="125">
        <f t="shared" si="0"/>
        <v>76</v>
      </c>
      <c r="W16" s="43">
        <f t="shared" si="2"/>
        <v>0</v>
      </c>
      <c r="X16" s="35">
        <f t="shared" si="3"/>
        <v>2.564102564102564E-2</v>
      </c>
      <c r="AF16" s="197">
        <f>MAX($B$2:B16)</f>
        <v>13</v>
      </c>
    </row>
    <row r="17" spans="1:32" x14ac:dyDescent="0.25">
      <c r="A17" s="2">
        <v>43908</v>
      </c>
      <c r="B17" s="154">
        <v>19</v>
      </c>
      <c r="C17" s="154"/>
      <c r="D17" s="154">
        <v>97</v>
      </c>
      <c r="E17" s="154">
        <v>1</v>
      </c>
      <c r="F17" s="154"/>
      <c r="G17" s="154">
        <v>3</v>
      </c>
      <c r="H17" s="156">
        <f t="shared" si="1"/>
        <v>18</v>
      </c>
      <c r="I17" s="179">
        <v>18</v>
      </c>
      <c r="J17" s="154"/>
      <c r="K17" s="154"/>
      <c r="L17" s="154"/>
      <c r="M17" s="154"/>
      <c r="N17" s="1"/>
      <c r="O17" s="14"/>
      <c r="P17" s="14">
        <v>562</v>
      </c>
      <c r="Q17" s="1">
        <v>562</v>
      </c>
      <c r="R17" s="1">
        <v>80</v>
      </c>
      <c r="S17" s="1">
        <v>16</v>
      </c>
      <c r="T17" s="1">
        <v>0</v>
      </c>
      <c r="U17" s="12">
        <f t="shared" ref="U17:U80" si="4">D17-T17-S17-R17</f>
        <v>1</v>
      </c>
      <c r="V17" s="125">
        <f t="shared" si="0"/>
        <v>76</v>
      </c>
      <c r="W17" s="43">
        <f t="shared" si="2"/>
        <v>0</v>
      </c>
      <c r="X17" s="35">
        <f t="shared" si="3"/>
        <v>3.0927835051546393E-2</v>
      </c>
      <c r="AF17" s="197">
        <f>MAX($B$2:B17)</f>
        <v>19</v>
      </c>
    </row>
    <row r="18" spans="1:32" x14ac:dyDescent="0.25">
      <c r="A18" s="2">
        <v>43909</v>
      </c>
      <c r="B18" s="154">
        <v>31</v>
      </c>
      <c r="C18" s="154"/>
      <c r="D18" s="154">
        <v>128</v>
      </c>
      <c r="E18" s="154">
        <v>0</v>
      </c>
      <c r="F18" s="154"/>
      <c r="G18" s="154">
        <v>3</v>
      </c>
      <c r="H18" s="156">
        <f t="shared" si="1"/>
        <v>5</v>
      </c>
      <c r="I18" s="179">
        <v>23</v>
      </c>
      <c r="J18" s="154"/>
      <c r="K18" s="154"/>
      <c r="L18" s="154"/>
      <c r="M18" s="154"/>
      <c r="N18" s="1"/>
      <c r="O18" s="14"/>
      <c r="P18" s="14">
        <v>705</v>
      </c>
      <c r="Q18" s="1">
        <v>705</v>
      </c>
      <c r="R18" s="1">
        <v>100</v>
      </c>
      <c r="S18" s="1">
        <v>22</v>
      </c>
      <c r="T18" s="1">
        <v>0</v>
      </c>
      <c r="U18" s="12">
        <f t="shared" si="4"/>
        <v>6</v>
      </c>
      <c r="V18" s="125">
        <f t="shared" si="0"/>
        <v>102</v>
      </c>
      <c r="W18" s="43">
        <f t="shared" si="2"/>
        <v>0</v>
      </c>
      <c r="X18" s="35">
        <f t="shared" si="3"/>
        <v>2.34375E-2</v>
      </c>
      <c r="AF18" s="197">
        <f>MAX($B$2:B18)</f>
        <v>31</v>
      </c>
    </row>
    <row r="19" spans="1:32" x14ac:dyDescent="0.25">
      <c r="A19" s="2">
        <v>43910</v>
      </c>
      <c r="B19" s="154">
        <v>30</v>
      </c>
      <c r="C19" s="154"/>
      <c r="D19" s="154">
        <v>158</v>
      </c>
      <c r="E19" s="154">
        <v>0</v>
      </c>
      <c r="F19" s="154"/>
      <c r="G19" s="154">
        <v>3</v>
      </c>
      <c r="H19" s="156">
        <f t="shared" si="1"/>
        <v>4</v>
      </c>
      <c r="I19" s="179">
        <v>27</v>
      </c>
      <c r="J19" s="154"/>
      <c r="K19" s="154"/>
      <c r="L19" s="154"/>
      <c r="M19" s="154"/>
      <c r="N19" s="1"/>
      <c r="O19" s="14"/>
      <c r="P19" s="14">
        <v>872</v>
      </c>
      <c r="Q19" s="1">
        <v>872</v>
      </c>
      <c r="R19" s="1">
        <v>122</v>
      </c>
      <c r="S19" s="1">
        <v>26</v>
      </c>
      <c r="T19" s="1">
        <v>0</v>
      </c>
      <c r="U19" s="12">
        <f t="shared" si="4"/>
        <v>10</v>
      </c>
      <c r="V19" s="125">
        <f t="shared" si="0"/>
        <v>128</v>
      </c>
      <c r="W19" s="43">
        <f t="shared" si="2"/>
        <v>0</v>
      </c>
      <c r="X19" s="35">
        <f t="shared" si="3"/>
        <v>1.8987341772151899E-2</v>
      </c>
      <c r="AF19" s="197">
        <f>MAX($B$2:B19)</f>
        <v>31</v>
      </c>
    </row>
    <row r="20" spans="1:32" x14ac:dyDescent="0.25">
      <c r="A20" s="2">
        <v>43911</v>
      </c>
      <c r="B20" s="154">
        <v>67</v>
      </c>
      <c r="C20" s="154"/>
      <c r="D20" s="154">
        <v>225</v>
      </c>
      <c r="E20" s="154">
        <v>1</v>
      </c>
      <c r="F20" s="154"/>
      <c r="G20" s="154">
        <v>4</v>
      </c>
      <c r="H20" s="156">
        <f t="shared" si="1"/>
        <v>4</v>
      </c>
      <c r="I20" s="179">
        <v>31</v>
      </c>
      <c r="J20" s="154"/>
      <c r="K20" s="154"/>
      <c r="L20" s="154"/>
      <c r="M20" s="154"/>
      <c r="N20" s="1"/>
      <c r="O20" s="14"/>
      <c r="P20" s="14">
        <v>1028</v>
      </c>
      <c r="Q20" s="1">
        <v>1028</v>
      </c>
      <c r="R20" s="1">
        <v>167</v>
      </c>
      <c r="S20" s="1">
        <v>38</v>
      </c>
      <c r="T20" s="1">
        <v>0</v>
      </c>
      <c r="U20" s="12">
        <f t="shared" si="4"/>
        <v>20</v>
      </c>
      <c r="V20" s="125">
        <f t="shared" si="0"/>
        <v>190</v>
      </c>
      <c r="W20" s="43">
        <f t="shared" si="2"/>
        <v>0</v>
      </c>
      <c r="X20" s="35">
        <f t="shared" si="3"/>
        <v>1.7777777777777778E-2</v>
      </c>
      <c r="AF20" s="197">
        <f>MAX($B$2:B20)</f>
        <v>67</v>
      </c>
    </row>
    <row r="21" spans="1:32" x14ac:dyDescent="0.25">
      <c r="A21" s="2">
        <v>43912</v>
      </c>
      <c r="B21" s="154">
        <v>41</v>
      </c>
      <c r="C21" s="154"/>
      <c r="D21" s="154">
        <v>266</v>
      </c>
      <c r="E21" s="154">
        <v>0</v>
      </c>
      <c r="F21" s="154"/>
      <c r="G21" s="154">
        <v>4</v>
      </c>
      <c r="H21" s="156">
        <f t="shared" si="1"/>
        <v>20</v>
      </c>
      <c r="I21" s="179">
        <v>51</v>
      </c>
      <c r="J21" s="154"/>
      <c r="K21" s="154"/>
      <c r="L21" s="154"/>
      <c r="M21" s="154"/>
      <c r="N21" s="1"/>
      <c r="O21" s="14"/>
      <c r="P21" s="14">
        <v>1271</v>
      </c>
      <c r="Q21" s="1">
        <v>1271</v>
      </c>
      <c r="R21" s="1">
        <v>189</v>
      </c>
      <c r="S21" s="1">
        <v>59</v>
      </c>
      <c r="T21" s="1">
        <v>1</v>
      </c>
      <c r="U21" s="12">
        <f t="shared" si="4"/>
        <v>17</v>
      </c>
      <c r="V21" s="125">
        <f t="shared" si="0"/>
        <v>211</v>
      </c>
      <c r="W21" s="43">
        <f t="shared" si="2"/>
        <v>0</v>
      </c>
      <c r="X21" s="35">
        <f t="shared" si="3"/>
        <v>1.5037593984962405E-2</v>
      </c>
      <c r="AF21" s="197">
        <f>MAX($B$2:B21)</f>
        <v>67</v>
      </c>
    </row>
    <row r="22" spans="1:32" x14ac:dyDescent="0.25">
      <c r="A22" s="2">
        <v>43913</v>
      </c>
      <c r="B22" s="155">
        <v>36</v>
      </c>
      <c r="C22" s="154"/>
      <c r="D22" s="155">
        <v>301</v>
      </c>
      <c r="E22" s="155">
        <v>0</v>
      </c>
      <c r="F22" s="154"/>
      <c r="G22" s="154">
        <v>4</v>
      </c>
      <c r="H22" s="156">
        <f t="shared" si="1"/>
        <v>1</v>
      </c>
      <c r="I22" s="179">
        <v>52</v>
      </c>
      <c r="J22" s="154"/>
      <c r="K22" s="154"/>
      <c r="L22" s="154"/>
      <c r="M22" s="154"/>
      <c r="N22" s="1"/>
      <c r="O22" s="14"/>
      <c r="P22" s="14">
        <v>1453</v>
      </c>
      <c r="Q22" s="1">
        <v>1453</v>
      </c>
      <c r="R22" s="1">
        <v>206</v>
      </c>
      <c r="S22" s="1">
        <v>64</v>
      </c>
      <c r="T22" s="1">
        <v>1</v>
      </c>
      <c r="U22" s="12">
        <f t="shared" si="4"/>
        <v>30</v>
      </c>
      <c r="V22" s="125">
        <f t="shared" si="0"/>
        <v>245</v>
      </c>
      <c r="W22" s="43">
        <f t="shared" si="2"/>
        <v>0</v>
      </c>
      <c r="X22" s="35">
        <f t="shared" si="3"/>
        <v>1.3289036544850499E-2</v>
      </c>
      <c r="AF22" s="197">
        <f>MAX($B$2:B22)</f>
        <v>67</v>
      </c>
    </row>
    <row r="23" spans="1:32" x14ac:dyDescent="0.25">
      <c r="A23" s="2">
        <v>43914</v>
      </c>
      <c r="B23" s="154">
        <v>86</v>
      </c>
      <c r="C23" s="154"/>
      <c r="D23" s="154">
        <v>387</v>
      </c>
      <c r="E23" s="155">
        <v>2</v>
      </c>
      <c r="F23" s="154"/>
      <c r="G23" s="154">
        <v>6</v>
      </c>
      <c r="H23" s="156">
        <f t="shared" si="1"/>
        <v>11</v>
      </c>
      <c r="I23" s="179">
        <v>63</v>
      </c>
      <c r="J23" s="154"/>
      <c r="K23" s="154"/>
      <c r="L23" s="154"/>
      <c r="M23" s="154"/>
      <c r="N23" s="1"/>
      <c r="O23" s="14"/>
      <c r="P23" s="14">
        <v>1453</v>
      </c>
      <c r="Q23" s="1">
        <v>1453</v>
      </c>
      <c r="R23" s="1">
        <v>247</v>
      </c>
      <c r="S23" s="1">
        <v>84</v>
      </c>
      <c r="T23" s="1">
        <v>1</v>
      </c>
      <c r="U23" s="12">
        <f t="shared" si="4"/>
        <v>55</v>
      </c>
      <c r="V23" s="125">
        <f t="shared" si="0"/>
        <v>318</v>
      </c>
      <c r="W23" s="43">
        <f t="shared" si="2"/>
        <v>0</v>
      </c>
      <c r="X23" s="35">
        <f t="shared" si="3"/>
        <v>1.5503875968992248E-2</v>
      </c>
      <c r="AF23" s="197">
        <f>MAX($B$2:B23)</f>
        <v>86</v>
      </c>
    </row>
    <row r="24" spans="1:32" x14ac:dyDescent="0.25">
      <c r="A24" s="2">
        <v>43915</v>
      </c>
      <c r="B24" s="154">
        <v>117</v>
      </c>
      <c r="C24" s="154"/>
      <c r="D24" s="154">
        <v>503</v>
      </c>
      <c r="E24" s="154">
        <v>2</v>
      </c>
      <c r="F24" s="154"/>
      <c r="G24" s="154">
        <v>8</v>
      </c>
      <c r="H24" s="156">
        <f t="shared" si="1"/>
        <v>9</v>
      </c>
      <c r="I24" s="179">
        <v>72</v>
      </c>
      <c r="J24" s="154"/>
      <c r="K24" s="154"/>
      <c r="L24" s="154"/>
      <c r="M24" s="154"/>
      <c r="N24" s="1"/>
      <c r="O24" s="14"/>
      <c r="P24" s="14">
        <v>1946</v>
      </c>
      <c r="Q24" s="1">
        <v>1946</v>
      </c>
      <c r="R24" s="1">
        <v>250</v>
      </c>
      <c r="S24" s="1">
        <v>102</v>
      </c>
      <c r="T24" s="1">
        <v>1</v>
      </c>
      <c r="U24" s="12">
        <f t="shared" si="4"/>
        <v>150</v>
      </c>
      <c r="V24" s="125">
        <f t="shared" si="0"/>
        <v>423</v>
      </c>
      <c r="W24" s="43">
        <f t="shared" si="2"/>
        <v>0</v>
      </c>
      <c r="X24" s="35">
        <f t="shared" si="3"/>
        <v>1.5904572564612324E-2</v>
      </c>
      <c r="AF24" s="197">
        <f>MAX($B$2:B24)</f>
        <v>117</v>
      </c>
    </row>
    <row r="25" spans="1:32" x14ac:dyDescent="0.25">
      <c r="A25" s="2">
        <v>43916</v>
      </c>
      <c r="B25" s="154">
        <v>87</v>
      </c>
      <c r="C25" s="154"/>
      <c r="D25" s="154">
        <v>589</v>
      </c>
      <c r="E25" s="154">
        <v>4</v>
      </c>
      <c r="F25" s="154"/>
      <c r="G25" s="154">
        <v>12</v>
      </c>
      <c r="H25" s="156">
        <f t="shared" si="1"/>
        <v>3</v>
      </c>
      <c r="I25" s="179">
        <v>75</v>
      </c>
      <c r="J25" s="154">
        <v>25</v>
      </c>
      <c r="K25" s="154"/>
      <c r="L25" s="154"/>
      <c r="M25" s="154"/>
      <c r="N25" s="1"/>
      <c r="O25" s="14"/>
      <c r="P25" s="14">
        <v>2558</v>
      </c>
      <c r="Q25" s="1">
        <v>2558</v>
      </c>
      <c r="R25" s="1">
        <v>287</v>
      </c>
      <c r="S25" s="1">
        <v>126</v>
      </c>
      <c r="T25" s="1">
        <v>1</v>
      </c>
      <c r="U25" s="12">
        <f t="shared" si="4"/>
        <v>175</v>
      </c>
      <c r="V25" s="125">
        <f t="shared" si="0"/>
        <v>502</v>
      </c>
      <c r="W25" s="43">
        <f t="shared" si="2"/>
        <v>4.9800796812749001E-2</v>
      </c>
      <c r="X25" s="35">
        <f t="shared" si="3"/>
        <v>2.037351443123939E-2</v>
      </c>
      <c r="AF25" s="197">
        <f>MAX($B$2:B25)</f>
        <v>117</v>
      </c>
    </row>
    <row r="26" spans="1:32" x14ac:dyDescent="0.25">
      <c r="A26" s="2">
        <v>43917</v>
      </c>
      <c r="B26" s="154">
        <v>101</v>
      </c>
      <c r="C26" s="154"/>
      <c r="D26" s="154">
        <v>690</v>
      </c>
      <c r="E26" s="154">
        <v>5</v>
      </c>
      <c r="F26" s="154"/>
      <c r="G26" s="154">
        <v>17</v>
      </c>
      <c r="H26" s="156">
        <f t="shared" si="1"/>
        <v>5</v>
      </c>
      <c r="I26" s="179">
        <v>80</v>
      </c>
      <c r="J26" s="154"/>
      <c r="K26" s="154"/>
      <c r="L26" s="154"/>
      <c r="M26" s="154"/>
      <c r="N26" s="1"/>
      <c r="O26" s="14"/>
      <c r="P26" s="14">
        <v>2817</v>
      </c>
      <c r="Q26" s="1">
        <v>2817</v>
      </c>
      <c r="R26" s="1">
        <v>387</v>
      </c>
      <c r="S26" s="1">
        <v>167</v>
      </c>
      <c r="T26" s="1">
        <v>1</v>
      </c>
      <c r="U26" s="12">
        <f t="shared" si="4"/>
        <v>135</v>
      </c>
      <c r="V26" s="125">
        <f t="shared" si="0"/>
        <v>593</v>
      </c>
      <c r="W26" s="43">
        <f t="shared" si="2"/>
        <v>0</v>
      </c>
      <c r="X26" s="35">
        <f t="shared" si="3"/>
        <v>2.4637681159420291E-2</v>
      </c>
      <c r="AF26" s="197">
        <f>MAX($B$2:B26)</f>
        <v>117</v>
      </c>
    </row>
    <row r="27" spans="1:32" x14ac:dyDescent="0.25">
      <c r="A27" s="2">
        <v>43918</v>
      </c>
      <c r="B27" s="154">
        <v>55</v>
      </c>
      <c r="C27" s="154"/>
      <c r="D27" s="154">
        <v>745</v>
      </c>
      <c r="E27" s="154">
        <v>2</v>
      </c>
      <c r="F27" s="154"/>
      <c r="G27" s="154">
        <v>19</v>
      </c>
      <c r="H27" s="156">
        <f t="shared" si="1"/>
        <v>11</v>
      </c>
      <c r="I27" s="179">
        <v>91</v>
      </c>
      <c r="J27" s="154">
        <v>44</v>
      </c>
      <c r="K27" s="154"/>
      <c r="L27" s="154"/>
      <c r="M27" s="154"/>
      <c r="N27" s="1"/>
      <c r="O27" s="14"/>
      <c r="P27" s="14">
        <v>3215</v>
      </c>
      <c r="Q27" s="1">
        <v>3215</v>
      </c>
      <c r="R27" s="1">
        <v>408</v>
      </c>
      <c r="S27" s="1">
        <v>185</v>
      </c>
      <c r="T27" s="1">
        <v>1</v>
      </c>
      <c r="U27" s="12">
        <f t="shared" si="4"/>
        <v>151</v>
      </c>
      <c r="V27" s="125">
        <f t="shared" si="0"/>
        <v>635</v>
      </c>
      <c r="W27" s="43">
        <f t="shared" si="2"/>
        <v>6.9291338582677164E-2</v>
      </c>
      <c r="X27" s="35">
        <f t="shared" si="3"/>
        <v>2.5503355704697986E-2</v>
      </c>
      <c r="AF27" s="197">
        <f>MAX($B$2:B27)</f>
        <v>117</v>
      </c>
    </row>
    <row r="28" spans="1:32" x14ac:dyDescent="0.25">
      <c r="A28" s="2">
        <v>43919</v>
      </c>
      <c r="B28" s="154">
        <v>75</v>
      </c>
      <c r="C28" s="154"/>
      <c r="D28" s="154">
        <v>820</v>
      </c>
      <c r="E28" s="154">
        <v>1</v>
      </c>
      <c r="F28" s="154"/>
      <c r="G28" s="154">
        <v>20</v>
      </c>
      <c r="H28" s="156">
        <f t="shared" si="1"/>
        <v>137</v>
      </c>
      <c r="I28" s="179">
        <v>228</v>
      </c>
      <c r="J28" s="154">
        <v>53</v>
      </c>
      <c r="K28" s="154"/>
      <c r="L28" s="154"/>
      <c r="M28" s="154"/>
      <c r="N28" s="1"/>
      <c r="O28" s="14"/>
      <c r="P28" s="14">
        <v>3580</v>
      </c>
      <c r="Q28" s="1">
        <v>3580</v>
      </c>
      <c r="R28" s="1">
        <v>442</v>
      </c>
      <c r="S28" s="1">
        <v>207</v>
      </c>
      <c r="T28" s="1">
        <v>1</v>
      </c>
      <c r="U28" s="12">
        <f t="shared" si="4"/>
        <v>170</v>
      </c>
      <c r="V28" s="125">
        <f t="shared" si="0"/>
        <v>572</v>
      </c>
      <c r="W28" s="43">
        <f t="shared" si="2"/>
        <v>9.2657342657342656E-2</v>
      </c>
      <c r="X28" s="35">
        <f t="shared" si="3"/>
        <v>2.4390243902439025E-2</v>
      </c>
      <c r="AF28" s="197">
        <f>MAX($B$2:B28)</f>
        <v>117</v>
      </c>
    </row>
    <row r="29" spans="1:32" x14ac:dyDescent="0.25">
      <c r="A29" s="2">
        <v>43920</v>
      </c>
      <c r="B29" s="154">
        <v>146</v>
      </c>
      <c r="C29" s="154"/>
      <c r="D29" s="154">
        <v>966</v>
      </c>
      <c r="E29" s="154">
        <v>5</v>
      </c>
      <c r="F29" s="154"/>
      <c r="G29" s="154">
        <v>25</v>
      </c>
      <c r="H29" s="156">
        <f t="shared" si="1"/>
        <v>12</v>
      </c>
      <c r="I29" s="179">
        <v>240</v>
      </c>
      <c r="J29" s="154">
        <v>55</v>
      </c>
      <c r="K29" s="154"/>
      <c r="L29" s="154"/>
      <c r="M29" s="154"/>
      <c r="N29" s="1"/>
      <c r="O29" s="14"/>
      <c r="P29" s="14">
        <v>4065</v>
      </c>
      <c r="Q29" s="1">
        <v>4065</v>
      </c>
      <c r="R29" s="1">
        <v>489</v>
      </c>
      <c r="S29" s="1">
        <v>207</v>
      </c>
      <c r="T29" s="1">
        <v>1</v>
      </c>
      <c r="U29" s="12">
        <f t="shared" si="4"/>
        <v>269</v>
      </c>
      <c r="V29" s="125">
        <f t="shared" si="0"/>
        <v>701</v>
      </c>
      <c r="W29" s="43">
        <f t="shared" si="2"/>
        <v>7.8459343794579167E-2</v>
      </c>
      <c r="X29" s="35">
        <f t="shared" si="3"/>
        <v>2.5879917184265012E-2</v>
      </c>
      <c r="AF29" s="197">
        <f>MAX($B$2:B29)</f>
        <v>146</v>
      </c>
    </row>
    <row r="30" spans="1:32" x14ac:dyDescent="0.25">
      <c r="A30" s="2">
        <v>43921</v>
      </c>
      <c r="B30" s="154">
        <v>88</v>
      </c>
      <c r="C30" s="154"/>
      <c r="D30" s="154">
        <v>1054</v>
      </c>
      <c r="E30" s="154">
        <v>3</v>
      </c>
      <c r="F30" s="154"/>
      <c r="G30" s="154">
        <v>28</v>
      </c>
      <c r="H30" s="156">
        <f t="shared" si="1"/>
        <v>8</v>
      </c>
      <c r="I30" s="179">
        <v>248</v>
      </c>
      <c r="J30" s="154">
        <v>55</v>
      </c>
      <c r="K30" s="154"/>
      <c r="L30" s="154"/>
      <c r="M30" s="154"/>
      <c r="N30" s="1"/>
      <c r="O30" s="14"/>
      <c r="P30" s="14">
        <v>4597</v>
      </c>
      <c r="Q30" s="1">
        <v>4597</v>
      </c>
      <c r="R30" s="1">
        <v>529</v>
      </c>
      <c r="S30" s="1">
        <v>295</v>
      </c>
      <c r="T30" s="1">
        <v>1</v>
      </c>
      <c r="U30" s="12">
        <f t="shared" si="4"/>
        <v>229</v>
      </c>
      <c r="V30" s="125">
        <f t="shared" si="0"/>
        <v>778</v>
      </c>
      <c r="W30" s="43">
        <f t="shared" si="2"/>
        <v>7.0694087403598976E-2</v>
      </c>
      <c r="X30" s="35">
        <f t="shared" si="3"/>
        <v>2.6565464895635674E-2</v>
      </c>
      <c r="AF30" s="197">
        <f>MAX($B$2:B30)</f>
        <v>146</v>
      </c>
    </row>
    <row r="31" spans="1:32" x14ac:dyDescent="0.25">
      <c r="A31" s="2">
        <v>43922</v>
      </c>
      <c r="B31" s="154">
        <v>79</v>
      </c>
      <c r="C31" s="154"/>
      <c r="D31" s="154">
        <v>1133</v>
      </c>
      <c r="E31" s="154">
        <v>5</v>
      </c>
      <c r="F31" s="154"/>
      <c r="G31" s="154">
        <v>33</v>
      </c>
      <c r="H31" s="156">
        <f t="shared" si="1"/>
        <v>8</v>
      </c>
      <c r="I31" s="179">
        <v>256</v>
      </c>
      <c r="J31" s="154">
        <v>72</v>
      </c>
      <c r="K31" s="154"/>
      <c r="L31" s="154"/>
      <c r="M31" s="154"/>
      <c r="N31" s="1"/>
      <c r="O31" s="14"/>
      <c r="P31" s="14">
        <v>5144</v>
      </c>
      <c r="Q31" s="1">
        <v>5144</v>
      </c>
      <c r="R31" s="1">
        <v>580</v>
      </c>
      <c r="S31" s="1">
        <v>349</v>
      </c>
      <c r="T31" s="1">
        <v>1</v>
      </c>
      <c r="U31" s="12">
        <f t="shared" si="4"/>
        <v>203</v>
      </c>
      <c r="V31" s="125">
        <f t="shared" si="0"/>
        <v>844</v>
      </c>
      <c r="W31" s="43">
        <f t="shared" si="2"/>
        <v>8.5308056872037921E-2</v>
      </c>
      <c r="X31" s="35">
        <f t="shared" si="3"/>
        <v>2.9126213592233011E-2</v>
      </c>
      <c r="AF31" s="197">
        <f>MAX($B$2:B31)</f>
        <v>146</v>
      </c>
    </row>
    <row r="32" spans="1:32" x14ac:dyDescent="0.25">
      <c r="A32" s="2">
        <v>43923</v>
      </c>
      <c r="B32" s="154">
        <v>132</v>
      </c>
      <c r="C32" s="154"/>
      <c r="D32" s="154">
        <v>1265</v>
      </c>
      <c r="E32" s="154">
        <v>4</v>
      </c>
      <c r="F32" s="154"/>
      <c r="G32" s="154">
        <v>37</v>
      </c>
      <c r="H32" s="156">
        <f t="shared" si="1"/>
        <v>10</v>
      </c>
      <c r="I32" s="179">
        <v>266</v>
      </c>
      <c r="J32" s="154">
        <v>82</v>
      </c>
      <c r="K32" s="154"/>
      <c r="L32" s="154"/>
      <c r="M32" s="154"/>
      <c r="N32" s="1"/>
      <c r="O32" s="14"/>
      <c r="P32" s="14">
        <v>6120</v>
      </c>
      <c r="Q32" s="1">
        <v>6120</v>
      </c>
      <c r="R32" s="1">
        <v>622</v>
      </c>
      <c r="S32" s="1">
        <v>397</v>
      </c>
      <c r="T32" s="1">
        <v>103</v>
      </c>
      <c r="U32" s="12">
        <f t="shared" si="4"/>
        <v>143</v>
      </c>
      <c r="V32" s="125">
        <f t="shared" si="0"/>
        <v>962</v>
      </c>
      <c r="W32" s="43">
        <f t="shared" si="2"/>
        <v>8.5239085239085244E-2</v>
      </c>
      <c r="X32" s="35">
        <f t="shared" si="3"/>
        <v>2.9249011857707511E-2</v>
      </c>
      <c r="AF32" s="197">
        <f>MAX($B$2:B32)</f>
        <v>146</v>
      </c>
    </row>
    <row r="33" spans="1:32" x14ac:dyDescent="0.25">
      <c r="A33" s="2">
        <v>43924</v>
      </c>
      <c r="B33" s="154">
        <v>88</v>
      </c>
      <c r="C33" s="154"/>
      <c r="D33" s="154">
        <v>1353</v>
      </c>
      <c r="E33" s="154">
        <v>5</v>
      </c>
      <c r="F33" s="154"/>
      <c r="G33" s="154">
        <v>42</v>
      </c>
      <c r="H33" s="156">
        <f t="shared" si="1"/>
        <v>13</v>
      </c>
      <c r="I33" s="179">
        <v>279</v>
      </c>
      <c r="J33" s="154">
        <v>86</v>
      </c>
      <c r="K33" s="154"/>
      <c r="L33" s="154"/>
      <c r="M33" s="154"/>
      <c r="N33" s="1"/>
      <c r="O33" s="14"/>
      <c r="P33" s="14">
        <v>7135</v>
      </c>
      <c r="Q33" s="1">
        <v>7135</v>
      </c>
      <c r="R33" s="1">
        <v>656</v>
      </c>
      <c r="S33" s="1">
        <v>460</v>
      </c>
      <c r="T33" s="1">
        <v>113</v>
      </c>
      <c r="U33" s="12">
        <f t="shared" si="4"/>
        <v>124</v>
      </c>
      <c r="V33" s="125">
        <f t="shared" si="0"/>
        <v>1032</v>
      </c>
      <c r="W33" s="43">
        <f t="shared" si="2"/>
        <v>8.3333333333333329E-2</v>
      </c>
      <c r="X33" s="35">
        <f t="shared" si="3"/>
        <v>3.1042128603104215E-2</v>
      </c>
      <c r="AF33" s="197">
        <f>MAX($B$2:B33)</f>
        <v>146</v>
      </c>
    </row>
    <row r="34" spans="1:32" x14ac:dyDescent="0.25">
      <c r="A34" s="2">
        <v>43925</v>
      </c>
      <c r="B34" s="154">
        <v>98</v>
      </c>
      <c r="C34" s="154"/>
      <c r="D34" s="154">
        <v>1451</v>
      </c>
      <c r="E34" s="154">
        <v>1</v>
      </c>
      <c r="F34" s="154"/>
      <c r="G34" s="154">
        <v>43</v>
      </c>
      <c r="H34" s="156">
        <f t="shared" si="1"/>
        <v>1</v>
      </c>
      <c r="I34" s="179">
        <v>280</v>
      </c>
      <c r="J34" s="154">
        <v>87</v>
      </c>
      <c r="K34" s="154"/>
      <c r="L34" s="154"/>
      <c r="M34" s="154"/>
      <c r="N34" s="1"/>
      <c r="O34" s="14">
        <v>394</v>
      </c>
      <c r="P34" s="14">
        <v>7494</v>
      </c>
      <c r="Q34" s="1">
        <v>7888</v>
      </c>
      <c r="R34" s="1">
        <v>674</v>
      </c>
      <c r="S34" s="1">
        <v>490</v>
      </c>
      <c r="T34" s="1">
        <v>119</v>
      </c>
      <c r="U34" s="12">
        <f t="shared" si="4"/>
        <v>168</v>
      </c>
      <c r="V34" s="125">
        <f t="shared" si="0"/>
        <v>1128</v>
      </c>
      <c r="W34" s="43">
        <f t="shared" si="2"/>
        <v>7.7127659574468085E-2</v>
      </c>
      <c r="X34" s="35">
        <f t="shared" si="3"/>
        <v>2.9634734665747762E-2</v>
      </c>
      <c r="AF34" s="197">
        <f>MAX($B$2:B34)</f>
        <v>146</v>
      </c>
    </row>
    <row r="35" spans="1:32" x14ac:dyDescent="0.25">
      <c r="A35" s="2">
        <v>43926</v>
      </c>
      <c r="B35" s="154">
        <v>103</v>
      </c>
      <c r="C35" s="154"/>
      <c r="D35" s="154">
        <v>1554</v>
      </c>
      <c r="E35" s="154">
        <v>3</v>
      </c>
      <c r="F35" s="154"/>
      <c r="G35" s="154">
        <v>46</v>
      </c>
      <c r="H35" s="156">
        <f t="shared" si="1"/>
        <v>45</v>
      </c>
      <c r="I35" s="179">
        <v>325</v>
      </c>
      <c r="J35" s="154">
        <v>94</v>
      </c>
      <c r="K35" s="154"/>
      <c r="L35" s="154"/>
      <c r="M35" s="154"/>
      <c r="N35" s="1"/>
      <c r="O35" s="14">
        <v>383</v>
      </c>
      <c r="P35" s="14">
        <v>8125</v>
      </c>
      <c r="Q35" s="1">
        <v>8508</v>
      </c>
      <c r="R35" s="1">
        <v>695</v>
      </c>
      <c r="S35" s="1">
        <v>536</v>
      </c>
      <c r="T35" s="1">
        <v>148</v>
      </c>
      <c r="U35" s="12">
        <f t="shared" si="4"/>
        <v>175</v>
      </c>
      <c r="V35" s="125">
        <f t="shared" si="0"/>
        <v>1183</v>
      </c>
      <c r="W35" s="43">
        <f t="shared" si="2"/>
        <v>7.945900253592561E-2</v>
      </c>
      <c r="X35" s="35">
        <f t="shared" si="3"/>
        <v>2.9601029601029602E-2</v>
      </c>
      <c r="AF35" s="197">
        <f>MAX($B$2:B35)</f>
        <v>146</v>
      </c>
    </row>
    <row r="36" spans="1:32" x14ac:dyDescent="0.25">
      <c r="A36" s="2">
        <v>43927</v>
      </c>
      <c r="B36" s="154">
        <v>74</v>
      </c>
      <c r="C36" s="154"/>
      <c r="D36" s="154">
        <v>1628</v>
      </c>
      <c r="E36" s="154">
        <v>7</v>
      </c>
      <c r="F36" s="154"/>
      <c r="G36" s="154">
        <v>53</v>
      </c>
      <c r="H36" s="156">
        <f t="shared" si="1"/>
        <v>13</v>
      </c>
      <c r="I36" s="179">
        <v>338</v>
      </c>
      <c r="J36" s="154">
        <v>96</v>
      </c>
      <c r="K36" s="154"/>
      <c r="L36" s="154"/>
      <c r="M36" s="154"/>
      <c r="N36" s="1"/>
      <c r="O36" s="14">
        <v>458</v>
      </c>
      <c r="P36" s="14">
        <v>8707</v>
      </c>
      <c r="Q36" s="1">
        <v>9165</v>
      </c>
      <c r="R36" s="1">
        <v>718</v>
      </c>
      <c r="S36" s="1">
        <v>563</v>
      </c>
      <c r="T36" s="1">
        <v>175</v>
      </c>
      <c r="U36" s="12">
        <f t="shared" si="4"/>
        <v>172</v>
      </c>
      <c r="V36" s="125">
        <f t="shared" si="0"/>
        <v>1237</v>
      </c>
      <c r="W36" s="43">
        <f t="shared" si="2"/>
        <v>7.7607113985448672E-2</v>
      </c>
      <c r="X36" s="35">
        <f t="shared" si="3"/>
        <v>3.2555282555282554E-2</v>
      </c>
      <c r="AF36" s="197">
        <f>MAX($B$2:B36)</f>
        <v>146</v>
      </c>
    </row>
    <row r="37" spans="1:32" x14ac:dyDescent="0.25">
      <c r="A37" s="2">
        <v>43928</v>
      </c>
      <c r="B37" s="154">
        <v>87</v>
      </c>
      <c r="C37" s="23">
        <f t="shared" ref="C37:C100" si="5">AVERAGE(B31:B37)</f>
        <v>94.428571428571431</v>
      </c>
      <c r="D37" s="154">
        <v>1715</v>
      </c>
      <c r="E37" s="154">
        <v>7</v>
      </c>
      <c r="F37" s="23">
        <f t="shared" ref="F37:F100" si="6">AVERAGE(E31:E37)</f>
        <v>4.5714285714285712</v>
      </c>
      <c r="G37" s="154">
        <v>60</v>
      </c>
      <c r="H37" s="156">
        <f t="shared" si="1"/>
        <v>20</v>
      </c>
      <c r="I37" s="179">
        <v>358</v>
      </c>
      <c r="J37" s="154">
        <v>98</v>
      </c>
      <c r="K37" s="23">
        <f t="shared" ref="K37:M100" si="7">AVERAGE(J31:J37)</f>
        <v>87.857142857142861</v>
      </c>
      <c r="L37" s="154">
        <v>1552</v>
      </c>
      <c r="M37" s="23">
        <f t="shared" si="7"/>
        <v>1552</v>
      </c>
      <c r="N37" s="1"/>
      <c r="O37" s="14">
        <v>418</v>
      </c>
      <c r="P37" s="14">
        <v>10020</v>
      </c>
      <c r="Q37" s="1">
        <v>10438</v>
      </c>
      <c r="R37" s="1">
        <v>738</v>
      </c>
      <c r="S37" s="1">
        <v>588</v>
      </c>
      <c r="T37" s="1">
        <v>205</v>
      </c>
      <c r="U37" s="12">
        <f t="shared" si="4"/>
        <v>184</v>
      </c>
      <c r="V37" s="125">
        <f t="shared" si="0"/>
        <v>1297</v>
      </c>
      <c r="W37" s="43">
        <f t="shared" si="2"/>
        <v>7.5558982266769464E-2</v>
      </c>
      <c r="X37" s="35">
        <f t="shared" si="3"/>
        <v>3.4985422740524783E-2</v>
      </c>
      <c r="AF37" s="197">
        <f>MAX($B$2:B37)</f>
        <v>146</v>
      </c>
    </row>
    <row r="38" spans="1:32" x14ac:dyDescent="0.25">
      <c r="A38" s="2">
        <v>43929</v>
      </c>
      <c r="B38" s="154">
        <v>80</v>
      </c>
      <c r="C38" s="23">
        <f t="shared" si="5"/>
        <v>94.571428571428569</v>
      </c>
      <c r="D38" s="154">
        <v>1795</v>
      </c>
      <c r="E38" s="154">
        <v>5</v>
      </c>
      <c r="F38" s="23">
        <f t="shared" si="6"/>
        <v>4.5714285714285712</v>
      </c>
      <c r="G38" s="154">
        <v>65</v>
      </c>
      <c r="H38" s="156">
        <f t="shared" si="1"/>
        <v>7</v>
      </c>
      <c r="I38" s="179">
        <v>365</v>
      </c>
      <c r="J38" s="154">
        <v>98</v>
      </c>
      <c r="K38" s="23">
        <f t="shared" si="7"/>
        <v>91.571428571428569</v>
      </c>
      <c r="L38" s="154">
        <v>1520</v>
      </c>
      <c r="M38" s="23">
        <f t="shared" si="7"/>
        <v>1536</v>
      </c>
      <c r="N38" s="1"/>
      <c r="O38" s="14">
        <v>450</v>
      </c>
      <c r="P38" s="14">
        <v>11385</v>
      </c>
      <c r="Q38" s="1">
        <v>11835</v>
      </c>
      <c r="R38" s="1">
        <v>767</v>
      </c>
      <c r="S38" s="1">
        <v>618</v>
      </c>
      <c r="T38" s="1">
        <v>224</v>
      </c>
      <c r="U38" s="12">
        <f t="shared" si="4"/>
        <v>186</v>
      </c>
      <c r="V38" s="125">
        <f t="shared" si="0"/>
        <v>1365</v>
      </c>
      <c r="W38" s="43">
        <f t="shared" si="2"/>
        <v>7.179487179487179E-2</v>
      </c>
      <c r="X38" s="35">
        <f t="shared" si="3"/>
        <v>3.6211699164345405E-2</v>
      </c>
      <c r="AF38" s="197">
        <f>MAX($B$2:B38)</f>
        <v>146</v>
      </c>
    </row>
    <row r="39" spans="1:32" x14ac:dyDescent="0.25">
      <c r="A39" s="2">
        <v>43930</v>
      </c>
      <c r="B39" s="154">
        <v>99</v>
      </c>
      <c r="C39" s="23">
        <f t="shared" si="5"/>
        <v>89.857142857142861</v>
      </c>
      <c r="D39" s="154">
        <v>1894</v>
      </c>
      <c r="E39" s="154">
        <v>14</v>
      </c>
      <c r="F39" s="23">
        <f t="shared" si="6"/>
        <v>6</v>
      </c>
      <c r="G39" s="154">
        <v>79</v>
      </c>
      <c r="H39" s="156">
        <f t="shared" si="1"/>
        <v>10</v>
      </c>
      <c r="I39" s="179">
        <v>375</v>
      </c>
      <c r="J39" s="154">
        <v>98</v>
      </c>
      <c r="K39" s="23">
        <f t="shared" si="7"/>
        <v>93.857142857142861</v>
      </c>
      <c r="L39" s="154">
        <v>1529</v>
      </c>
      <c r="M39" s="23">
        <f t="shared" si="7"/>
        <v>1533.6666666666667</v>
      </c>
      <c r="N39" s="1">
        <v>16379</v>
      </c>
      <c r="O39" s="14"/>
      <c r="P39" s="14"/>
      <c r="Q39" s="1">
        <v>12983</v>
      </c>
      <c r="R39" s="1">
        <v>785</v>
      </c>
      <c r="S39" s="1">
        <v>641</v>
      </c>
      <c r="T39" s="1">
        <v>261</v>
      </c>
      <c r="U39" s="12">
        <f t="shared" si="4"/>
        <v>207</v>
      </c>
      <c r="V39" s="125">
        <f t="shared" si="0"/>
        <v>1440</v>
      </c>
      <c r="W39" s="43">
        <f t="shared" si="2"/>
        <v>6.805555555555555E-2</v>
      </c>
      <c r="X39" s="35">
        <f t="shared" si="3"/>
        <v>4.171066525871172E-2</v>
      </c>
      <c r="AF39" s="197">
        <f>MAX($B$2:B39)</f>
        <v>146</v>
      </c>
    </row>
    <row r="40" spans="1:32" x14ac:dyDescent="0.25">
      <c r="A40" s="2">
        <v>43931</v>
      </c>
      <c r="B40" s="154">
        <v>81</v>
      </c>
      <c r="C40" s="23">
        <f t="shared" si="5"/>
        <v>88.857142857142861</v>
      </c>
      <c r="D40" s="154">
        <v>1975</v>
      </c>
      <c r="E40" s="154">
        <v>3</v>
      </c>
      <c r="F40" s="23">
        <f t="shared" si="6"/>
        <v>5.7142857142857144</v>
      </c>
      <c r="G40" s="154">
        <v>82</v>
      </c>
      <c r="H40" s="156">
        <f t="shared" si="1"/>
        <v>65</v>
      </c>
      <c r="I40" s="179">
        <v>440</v>
      </c>
      <c r="J40" s="154">
        <v>115</v>
      </c>
      <c r="K40" s="23">
        <f t="shared" si="7"/>
        <v>98</v>
      </c>
      <c r="L40" s="154">
        <v>1648</v>
      </c>
      <c r="M40" s="23">
        <f t="shared" si="7"/>
        <v>1562.25</v>
      </c>
      <c r="N40" s="1">
        <v>18027</v>
      </c>
      <c r="O40" s="14">
        <v>566</v>
      </c>
      <c r="P40" s="14">
        <v>13584</v>
      </c>
      <c r="Q40" s="1">
        <v>14150</v>
      </c>
      <c r="R40" s="1">
        <v>790</v>
      </c>
      <c r="S40" s="1">
        <v>672</v>
      </c>
      <c r="T40" s="1">
        <v>290</v>
      </c>
      <c r="U40" s="12">
        <f t="shared" si="4"/>
        <v>223</v>
      </c>
      <c r="V40" s="125">
        <f t="shared" si="0"/>
        <v>1453</v>
      </c>
      <c r="W40" s="43">
        <f t="shared" si="2"/>
        <v>7.9146593255333797E-2</v>
      </c>
      <c r="X40" s="35">
        <f t="shared" si="3"/>
        <v>4.1518987341772152E-2</v>
      </c>
      <c r="AF40" s="197">
        <f>MAX($B$2:B40)</f>
        <v>146</v>
      </c>
    </row>
    <row r="41" spans="1:32" x14ac:dyDescent="0.25">
      <c r="A41" s="2">
        <v>43932</v>
      </c>
      <c r="B41" s="154">
        <v>167</v>
      </c>
      <c r="C41" s="23">
        <f t="shared" si="5"/>
        <v>98.714285714285708</v>
      </c>
      <c r="D41" s="154">
        <v>2142</v>
      </c>
      <c r="E41" s="154">
        <v>7</v>
      </c>
      <c r="F41" s="23">
        <f t="shared" si="6"/>
        <v>6.5714285714285712</v>
      </c>
      <c r="G41" s="154">
        <v>89</v>
      </c>
      <c r="H41" s="156">
        <f t="shared" si="1"/>
        <v>28</v>
      </c>
      <c r="I41" s="179">
        <v>468</v>
      </c>
      <c r="J41" s="154">
        <v>83</v>
      </c>
      <c r="K41" s="23">
        <f t="shared" si="7"/>
        <v>97.428571428571431</v>
      </c>
      <c r="L41" s="154">
        <v>1731</v>
      </c>
      <c r="M41" s="23">
        <f t="shared" si="7"/>
        <v>1596</v>
      </c>
      <c r="N41" s="1">
        <v>19758</v>
      </c>
      <c r="O41" s="14">
        <v>464</v>
      </c>
      <c r="P41" s="14">
        <v>15016</v>
      </c>
      <c r="Q41" s="1">
        <v>15480</v>
      </c>
      <c r="R41" s="1">
        <v>816</v>
      </c>
      <c r="S41" s="1">
        <v>712</v>
      </c>
      <c r="T41" s="1">
        <v>304</v>
      </c>
      <c r="U41" s="12">
        <f t="shared" si="4"/>
        <v>310</v>
      </c>
      <c r="V41" s="125">
        <f t="shared" si="0"/>
        <v>1585</v>
      </c>
      <c r="W41" s="43">
        <f t="shared" si="2"/>
        <v>5.2365930599369087E-2</v>
      </c>
      <c r="X41" s="35">
        <f t="shared" si="3"/>
        <v>4.1549953314659195E-2</v>
      </c>
      <c r="AF41" s="197">
        <f>MAX($B$2:B41)</f>
        <v>167</v>
      </c>
    </row>
    <row r="42" spans="1:32" x14ac:dyDescent="0.25">
      <c r="A42" s="2">
        <v>43933</v>
      </c>
      <c r="B42" s="154">
        <v>66</v>
      </c>
      <c r="C42" s="23">
        <f t="shared" si="5"/>
        <v>93.428571428571431</v>
      </c>
      <c r="D42" s="154">
        <v>2208</v>
      </c>
      <c r="E42" s="154">
        <v>6</v>
      </c>
      <c r="F42" s="23">
        <f t="shared" si="6"/>
        <v>7</v>
      </c>
      <c r="G42" s="154">
        <v>95</v>
      </c>
      <c r="H42" s="156">
        <f t="shared" si="1"/>
        <v>47</v>
      </c>
      <c r="I42" s="179">
        <v>515</v>
      </c>
      <c r="J42" s="154">
        <v>113</v>
      </c>
      <c r="K42" s="23">
        <f t="shared" si="7"/>
        <v>100.14285714285714</v>
      </c>
      <c r="L42" s="154">
        <v>1435</v>
      </c>
      <c r="M42" s="23">
        <f t="shared" si="7"/>
        <v>1569.1666666666667</v>
      </c>
      <c r="N42" s="1">
        <v>21193</v>
      </c>
      <c r="O42" s="14">
        <v>477</v>
      </c>
      <c r="P42" s="14">
        <v>15939</v>
      </c>
      <c r="Q42" s="1">
        <v>16416</v>
      </c>
      <c r="R42" s="1">
        <v>821</v>
      </c>
      <c r="S42" s="1">
        <v>766</v>
      </c>
      <c r="T42" s="1">
        <v>318</v>
      </c>
      <c r="U42" s="12">
        <f t="shared" si="4"/>
        <v>303</v>
      </c>
      <c r="V42" s="125">
        <f t="shared" si="0"/>
        <v>1598</v>
      </c>
      <c r="W42" s="43">
        <f t="shared" si="2"/>
        <v>7.07133917396746E-2</v>
      </c>
      <c r="X42" s="35">
        <f t="shared" si="3"/>
        <v>4.3025362318840576E-2</v>
      </c>
      <c r="AF42" s="197">
        <f>MAX($B$2:B42)</f>
        <v>167</v>
      </c>
    </row>
    <row r="43" spans="1:32" x14ac:dyDescent="0.25">
      <c r="A43" s="2">
        <v>43934</v>
      </c>
      <c r="B43" s="154">
        <v>69</v>
      </c>
      <c r="C43" s="23">
        <f t="shared" si="5"/>
        <v>92.714285714285708</v>
      </c>
      <c r="D43" s="154">
        <v>2277</v>
      </c>
      <c r="E43" s="154">
        <v>3</v>
      </c>
      <c r="F43" s="23">
        <f t="shared" si="6"/>
        <v>6.4285714285714288</v>
      </c>
      <c r="G43" s="154">
        <v>98</v>
      </c>
      <c r="H43" s="156">
        <f t="shared" si="1"/>
        <v>44</v>
      </c>
      <c r="I43" s="179">
        <v>559</v>
      </c>
      <c r="J43" s="154">
        <v>116</v>
      </c>
      <c r="K43" s="23">
        <f t="shared" si="7"/>
        <v>103</v>
      </c>
      <c r="L43" s="154">
        <v>1612</v>
      </c>
      <c r="M43" s="23">
        <f t="shared" si="7"/>
        <v>1575.2857142857142</v>
      </c>
      <c r="N43" s="1">
        <v>22805</v>
      </c>
      <c r="O43" s="14">
        <v>479</v>
      </c>
      <c r="P43" s="14">
        <v>17245</v>
      </c>
      <c r="Q43" s="1">
        <v>17724</v>
      </c>
      <c r="R43" s="1">
        <v>830</v>
      </c>
      <c r="S43" s="1">
        <v>790</v>
      </c>
      <c r="T43" s="1">
        <v>354</v>
      </c>
      <c r="U43" s="12">
        <f t="shared" si="4"/>
        <v>303</v>
      </c>
      <c r="V43" s="125">
        <f t="shared" si="0"/>
        <v>1620</v>
      </c>
      <c r="W43" s="43">
        <f t="shared" si="2"/>
        <v>7.160493827160494E-2</v>
      </c>
      <c r="X43" s="35">
        <f t="shared" si="3"/>
        <v>4.3039086517347384E-2</v>
      </c>
      <c r="AF43" s="197">
        <f>MAX($B$2:B43)</f>
        <v>167</v>
      </c>
    </row>
    <row r="44" spans="1:32" x14ac:dyDescent="0.25">
      <c r="A44" s="2">
        <v>43935</v>
      </c>
      <c r="B44" s="154">
        <v>166</v>
      </c>
      <c r="C44" s="23">
        <f t="shared" si="5"/>
        <v>104</v>
      </c>
      <c r="D44" s="154">
        <v>2443</v>
      </c>
      <c r="E44" s="154">
        <v>7</v>
      </c>
      <c r="F44" s="23">
        <f t="shared" si="6"/>
        <v>6.4285714285714288</v>
      </c>
      <c r="G44" s="154">
        <v>105</v>
      </c>
      <c r="H44" s="156">
        <f t="shared" si="1"/>
        <v>37</v>
      </c>
      <c r="I44" s="179">
        <v>596</v>
      </c>
      <c r="J44" s="154">
        <v>117</v>
      </c>
      <c r="K44" s="23">
        <f t="shared" si="7"/>
        <v>105.71428571428571</v>
      </c>
      <c r="L44" s="154">
        <v>1569</v>
      </c>
      <c r="M44" s="23">
        <f t="shared" si="7"/>
        <v>1577.7142857142858</v>
      </c>
      <c r="N44" s="1">
        <v>24374</v>
      </c>
      <c r="O44" s="14">
        <v>486</v>
      </c>
      <c r="P44" s="14">
        <v>18415</v>
      </c>
      <c r="Q44" s="1">
        <v>18901</v>
      </c>
      <c r="R44" s="1">
        <v>833</v>
      </c>
      <c r="S44" s="1">
        <v>857</v>
      </c>
      <c r="T44" s="1">
        <v>393</v>
      </c>
      <c r="U44" s="12">
        <f t="shared" si="4"/>
        <v>360</v>
      </c>
      <c r="V44" s="125">
        <f t="shared" si="0"/>
        <v>1742</v>
      </c>
      <c r="W44" s="43">
        <f t="shared" si="2"/>
        <v>6.7164179104477612E-2</v>
      </c>
      <c r="X44" s="35">
        <f t="shared" si="3"/>
        <v>4.2979942693409739E-2</v>
      </c>
      <c r="AF44" s="197">
        <f>MAX($B$2:B44)</f>
        <v>167</v>
      </c>
    </row>
    <row r="45" spans="1:32" x14ac:dyDescent="0.25">
      <c r="A45" s="2">
        <v>43936</v>
      </c>
      <c r="B45" s="154">
        <v>128</v>
      </c>
      <c r="C45" s="23">
        <f t="shared" si="5"/>
        <v>110.85714285714286</v>
      </c>
      <c r="D45" s="154">
        <v>2571</v>
      </c>
      <c r="E45" s="154">
        <v>7</v>
      </c>
      <c r="F45" s="23">
        <f t="shared" si="6"/>
        <v>6.7142857142857144</v>
      </c>
      <c r="G45" s="154">
        <v>112</v>
      </c>
      <c r="H45" s="156">
        <f t="shared" si="1"/>
        <v>35</v>
      </c>
      <c r="I45" s="179">
        <v>631</v>
      </c>
      <c r="J45" s="154">
        <v>121</v>
      </c>
      <c r="K45" s="23">
        <f t="shared" si="7"/>
        <v>109</v>
      </c>
      <c r="L45" s="154">
        <v>2083</v>
      </c>
      <c r="M45" s="23">
        <f t="shared" si="7"/>
        <v>1658.1428571428571</v>
      </c>
      <c r="N45" s="1">
        <v>26457</v>
      </c>
      <c r="O45" s="14">
        <v>497</v>
      </c>
      <c r="P45" s="14">
        <v>20148</v>
      </c>
      <c r="Q45" s="1">
        <v>20645</v>
      </c>
      <c r="R45" s="1">
        <v>840</v>
      </c>
      <c r="S45" s="1">
        <v>903</v>
      </c>
      <c r="T45" s="1">
        <v>425</v>
      </c>
      <c r="U45" s="12">
        <f t="shared" si="4"/>
        <v>403</v>
      </c>
      <c r="V45" s="125">
        <f t="shared" si="0"/>
        <v>1828</v>
      </c>
      <c r="W45" s="43">
        <f t="shared" si="2"/>
        <v>6.6192560175054704E-2</v>
      </c>
      <c r="X45" s="35">
        <f t="shared" si="3"/>
        <v>4.3562816024893036E-2</v>
      </c>
      <c r="AF45" s="197">
        <f>MAX($B$2:B45)</f>
        <v>167</v>
      </c>
    </row>
    <row r="46" spans="1:32" x14ac:dyDescent="0.25">
      <c r="A46" s="2">
        <v>43937</v>
      </c>
      <c r="B46" s="154">
        <v>98</v>
      </c>
      <c r="C46" s="23">
        <f t="shared" si="5"/>
        <v>110.71428571428571</v>
      </c>
      <c r="D46" s="154">
        <v>2669</v>
      </c>
      <c r="E46" s="154">
        <v>10</v>
      </c>
      <c r="F46" s="23">
        <f t="shared" si="6"/>
        <v>6.1428571428571432</v>
      </c>
      <c r="G46" s="154">
        <v>122</v>
      </c>
      <c r="H46" s="156">
        <f t="shared" si="1"/>
        <v>35</v>
      </c>
      <c r="I46" s="179">
        <v>666</v>
      </c>
      <c r="J46" s="154">
        <v>126</v>
      </c>
      <c r="K46" s="23">
        <f t="shared" si="7"/>
        <v>113</v>
      </c>
      <c r="L46" s="154">
        <v>2193</v>
      </c>
      <c r="M46" s="23">
        <f t="shared" si="7"/>
        <v>1753</v>
      </c>
      <c r="N46" s="1">
        <v>28650</v>
      </c>
      <c r="O46" s="14">
        <v>508</v>
      </c>
      <c r="P46" s="14">
        <v>21802</v>
      </c>
      <c r="Q46" s="1">
        <v>22310</v>
      </c>
      <c r="R46" s="1">
        <v>845</v>
      </c>
      <c r="S46" s="1">
        <v>951</v>
      </c>
      <c r="T46" s="1">
        <v>448</v>
      </c>
      <c r="U46" s="12">
        <f t="shared" si="4"/>
        <v>425</v>
      </c>
      <c r="V46" s="125">
        <f t="shared" si="0"/>
        <v>1881</v>
      </c>
      <c r="W46" s="43">
        <f t="shared" si="2"/>
        <v>6.6985645933014357E-2</v>
      </c>
      <c r="X46" s="35">
        <f t="shared" si="3"/>
        <v>4.5710003746721621E-2</v>
      </c>
      <c r="AF46" s="197">
        <f>MAX($B$2:B46)</f>
        <v>167</v>
      </c>
    </row>
    <row r="47" spans="1:32" x14ac:dyDescent="0.25">
      <c r="A47" s="2">
        <v>43938</v>
      </c>
      <c r="B47" s="154">
        <v>89</v>
      </c>
      <c r="C47" s="23">
        <f t="shared" si="5"/>
        <v>111.85714285714286</v>
      </c>
      <c r="D47" s="154">
        <v>2758</v>
      </c>
      <c r="E47" s="154">
        <v>7</v>
      </c>
      <c r="F47" s="23">
        <f t="shared" si="6"/>
        <v>6.7142857142857144</v>
      </c>
      <c r="G47" s="154">
        <v>129</v>
      </c>
      <c r="H47" s="156">
        <f t="shared" si="1"/>
        <v>19</v>
      </c>
      <c r="I47" s="179">
        <v>685</v>
      </c>
      <c r="J47" s="154">
        <v>127</v>
      </c>
      <c r="K47" s="23">
        <f t="shared" si="7"/>
        <v>114.71428571428571</v>
      </c>
      <c r="L47" s="154">
        <v>2292</v>
      </c>
      <c r="M47" s="23">
        <f t="shared" si="7"/>
        <v>1845</v>
      </c>
      <c r="N47" s="1">
        <v>30942</v>
      </c>
      <c r="O47" s="14">
        <v>505</v>
      </c>
      <c r="P47" s="14">
        <v>23291</v>
      </c>
      <c r="Q47" s="1">
        <v>23796</v>
      </c>
      <c r="R47" s="1">
        <v>851</v>
      </c>
      <c r="S47" s="1">
        <v>997</v>
      </c>
      <c r="T47" s="1">
        <v>474</v>
      </c>
      <c r="U47" s="12">
        <f t="shared" si="4"/>
        <v>436</v>
      </c>
      <c r="V47" s="125">
        <f t="shared" si="0"/>
        <v>1944</v>
      </c>
      <c r="W47" s="43">
        <f t="shared" si="2"/>
        <v>6.5329218106995879E-2</v>
      </c>
      <c r="X47" s="35">
        <f t="shared" si="3"/>
        <v>4.6773023930384336E-2</v>
      </c>
      <c r="AF47" s="197">
        <f>MAX($B$2:B47)</f>
        <v>167</v>
      </c>
    </row>
    <row r="48" spans="1:32" x14ac:dyDescent="0.25">
      <c r="A48" s="2">
        <v>43939</v>
      </c>
      <c r="B48" s="154">
        <v>81</v>
      </c>
      <c r="C48" s="23">
        <f t="shared" si="5"/>
        <v>99.571428571428569</v>
      </c>
      <c r="D48" s="154">
        <v>2839</v>
      </c>
      <c r="E48" s="154">
        <v>3</v>
      </c>
      <c r="F48" s="23">
        <f t="shared" si="6"/>
        <v>6.1428571428571432</v>
      </c>
      <c r="G48" s="154">
        <v>132</v>
      </c>
      <c r="H48" s="156">
        <f t="shared" si="1"/>
        <v>24</v>
      </c>
      <c r="I48" s="179">
        <v>709</v>
      </c>
      <c r="J48" s="154">
        <v>123</v>
      </c>
      <c r="K48" s="23">
        <f t="shared" si="7"/>
        <v>120.42857142857143</v>
      </c>
      <c r="L48" s="154">
        <v>1770</v>
      </c>
      <c r="M48" s="23">
        <f t="shared" si="7"/>
        <v>1850.5714285714287</v>
      </c>
      <c r="N48" s="1">
        <v>32712</v>
      </c>
      <c r="O48" s="14">
        <v>503</v>
      </c>
      <c r="P48" s="14">
        <v>24756</v>
      </c>
      <c r="Q48" s="1">
        <v>25259</v>
      </c>
      <c r="R48" s="1">
        <v>856</v>
      </c>
      <c r="S48" s="1">
        <v>1184</v>
      </c>
      <c r="T48" s="1">
        <v>496</v>
      </c>
      <c r="U48" s="12">
        <f t="shared" si="4"/>
        <v>303</v>
      </c>
      <c r="V48" s="125">
        <f t="shared" si="0"/>
        <v>1998</v>
      </c>
      <c r="W48" s="43">
        <f t="shared" si="2"/>
        <v>6.1561561561561562E-2</v>
      </c>
      <c r="X48" s="35">
        <f t="shared" si="3"/>
        <v>4.6495244804508631E-2</v>
      </c>
      <c r="AF48" s="197">
        <f>MAX($B$2:B48)</f>
        <v>167</v>
      </c>
    </row>
    <row r="49" spans="1:32" x14ac:dyDescent="0.25">
      <c r="A49" s="2">
        <v>43940</v>
      </c>
      <c r="B49" s="154">
        <v>102</v>
      </c>
      <c r="C49" s="23">
        <f t="shared" si="5"/>
        <v>104.71428571428571</v>
      </c>
      <c r="D49" s="154">
        <v>2941</v>
      </c>
      <c r="E49" s="154">
        <v>2</v>
      </c>
      <c r="F49" s="23">
        <f t="shared" si="6"/>
        <v>5.5714285714285712</v>
      </c>
      <c r="G49" s="154">
        <v>134</v>
      </c>
      <c r="H49" s="156">
        <f t="shared" si="1"/>
        <v>28</v>
      </c>
      <c r="I49" s="179">
        <v>737</v>
      </c>
      <c r="J49" s="154">
        <v>126</v>
      </c>
      <c r="K49" s="23">
        <f t="shared" si="7"/>
        <v>122.28571428571429</v>
      </c>
      <c r="L49" s="154">
        <v>1856</v>
      </c>
      <c r="M49" s="23">
        <f t="shared" si="7"/>
        <v>1910.7142857142858</v>
      </c>
      <c r="N49" s="1">
        <v>34568</v>
      </c>
      <c r="O49" s="14">
        <v>536</v>
      </c>
      <c r="P49" s="14">
        <v>26122</v>
      </c>
      <c r="Q49" s="1">
        <v>26658</v>
      </c>
      <c r="R49" s="1">
        <v>858</v>
      </c>
      <c r="S49" s="1">
        <v>1235</v>
      </c>
      <c r="T49" s="1">
        <v>538</v>
      </c>
      <c r="U49" s="12">
        <f t="shared" si="4"/>
        <v>310</v>
      </c>
      <c r="V49" s="125">
        <f t="shared" si="0"/>
        <v>2070</v>
      </c>
      <c r="W49" s="43">
        <f t="shared" si="2"/>
        <v>6.0869565217391307E-2</v>
      </c>
      <c r="X49" s="35">
        <f t="shared" si="3"/>
        <v>4.5562733764025844E-2</v>
      </c>
      <c r="AF49" s="197">
        <f>MAX($B$2:B49)</f>
        <v>167</v>
      </c>
    </row>
    <row r="50" spans="1:32" x14ac:dyDescent="0.25">
      <c r="A50" s="2">
        <v>43941</v>
      </c>
      <c r="B50" s="154">
        <v>90</v>
      </c>
      <c r="C50" s="23">
        <f t="shared" si="5"/>
        <v>107.71428571428571</v>
      </c>
      <c r="D50" s="154">
        <v>3031</v>
      </c>
      <c r="E50" s="154">
        <v>8</v>
      </c>
      <c r="F50" s="23">
        <f t="shared" si="6"/>
        <v>6.2857142857142856</v>
      </c>
      <c r="G50" s="154">
        <v>142</v>
      </c>
      <c r="H50" s="156">
        <f t="shared" si="1"/>
        <v>103</v>
      </c>
      <c r="I50" s="179">
        <v>840</v>
      </c>
      <c r="J50" s="154">
        <v>129</v>
      </c>
      <c r="K50" s="23">
        <f t="shared" si="7"/>
        <v>124.14285714285714</v>
      </c>
      <c r="L50" s="154">
        <v>2043</v>
      </c>
      <c r="M50" s="23">
        <f t="shared" si="7"/>
        <v>1972.2857142857142</v>
      </c>
      <c r="N50" s="1">
        <v>36611</v>
      </c>
      <c r="O50" s="14">
        <v>566</v>
      </c>
      <c r="P50" s="14">
        <v>27732</v>
      </c>
      <c r="Q50" s="1">
        <v>28298</v>
      </c>
      <c r="R50" s="1">
        <v>863</v>
      </c>
      <c r="S50" s="1">
        <v>1293</v>
      </c>
      <c r="T50" s="1">
        <v>576</v>
      </c>
      <c r="U50" s="12">
        <f t="shared" si="4"/>
        <v>299</v>
      </c>
      <c r="V50" s="125">
        <f t="shared" si="0"/>
        <v>2049</v>
      </c>
      <c r="W50" s="43">
        <f t="shared" si="2"/>
        <v>6.2957540263543194E-2</v>
      </c>
      <c r="X50" s="35">
        <f t="shared" si="3"/>
        <v>4.6849224678323982E-2</v>
      </c>
      <c r="AF50" s="197">
        <f>MAX($B$2:B50)</f>
        <v>167</v>
      </c>
    </row>
    <row r="51" spans="1:32" x14ac:dyDescent="0.25">
      <c r="A51" s="2">
        <v>43942</v>
      </c>
      <c r="B51" s="154">
        <v>113</v>
      </c>
      <c r="C51" s="23">
        <f t="shared" si="5"/>
        <v>100.14285714285714</v>
      </c>
      <c r="D51" s="154">
        <v>3144</v>
      </c>
      <c r="E51" s="154">
        <v>9</v>
      </c>
      <c r="F51" s="23">
        <f t="shared" si="6"/>
        <v>6.5714285714285712</v>
      </c>
      <c r="G51" s="154">
        <v>151</v>
      </c>
      <c r="H51" s="156">
        <f t="shared" si="1"/>
        <v>32</v>
      </c>
      <c r="I51" s="179">
        <v>872</v>
      </c>
      <c r="J51" s="154">
        <v>131</v>
      </c>
      <c r="K51" s="23">
        <f t="shared" si="7"/>
        <v>126.14285714285714</v>
      </c>
      <c r="L51" s="154">
        <v>2617</v>
      </c>
      <c r="M51" s="23">
        <f t="shared" si="7"/>
        <v>2122</v>
      </c>
      <c r="N51" s="1">
        <v>39228</v>
      </c>
      <c r="O51" s="14">
        <v>533</v>
      </c>
      <c r="P51" s="14">
        <v>29829</v>
      </c>
      <c r="Q51" s="1">
        <v>30362</v>
      </c>
      <c r="R51" s="1">
        <v>866</v>
      </c>
      <c r="S51" s="1">
        <v>1346</v>
      </c>
      <c r="T51" s="1">
        <v>618</v>
      </c>
      <c r="U51" s="12">
        <f t="shared" si="4"/>
        <v>314</v>
      </c>
      <c r="V51" s="125">
        <f t="shared" si="0"/>
        <v>2121</v>
      </c>
      <c r="W51" s="43">
        <f t="shared" si="2"/>
        <v>6.1763319189061763E-2</v>
      </c>
      <c r="X51" s="35">
        <f t="shared" si="3"/>
        <v>4.8027989821882951E-2</v>
      </c>
      <c r="AF51" s="197">
        <f>MAX($B$2:B51)</f>
        <v>167</v>
      </c>
    </row>
    <row r="52" spans="1:32" x14ac:dyDescent="0.25">
      <c r="A52" s="2">
        <v>43943</v>
      </c>
      <c r="B52" s="154">
        <v>144</v>
      </c>
      <c r="C52" s="23">
        <f t="shared" si="5"/>
        <v>102.42857142857143</v>
      </c>
      <c r="D52" s="154">
        <v>3288</v>
      </c>
      <c r="E52" s="154">
        <v>8</v>
      </c>
      <c r="F52" s="23">
        <f t="shared" si="6"/>
        <v>6.7142857142857144</v>
      </c>
      <c r="G52" s="154">
        <v>159</v>
      </c>
      <c r="H52" s="156">
        <f t="shared" si="1"/>
        <v>47</v>
      </c>
      <c r="I52" s="179">
        <v>919</v>
      </c>
      <c r="J52" s="154">
        <v>136</v>
      </c>
      <c r="K52" s="23">
        <f t="shared" si="7"/>
        <v>128.28571428571428</v>
      </c>
      <c r="L52" s="154">
        <v>2558</v>
      </c>
      <c r="M52" s="23">
        <f t="shared" si="7"/>
        <v>2189.8571428571427</v>
      </c>
      <c r="N52" s="1">
        <v>41786</v>
      </c>
      <c r="O52" s="14">
        <v>569</v>
      </c>
      <c r="P52" s="14">
        <v>31845</v>
      </c>
      <c r="Q52" s="1">
        <v>32414</v>
      </c>
      <c r="R52" s="1">
        <v>870</v>
      </c>
      <c r="S52" s="1">
        <v>1408</v>
      </c>
      <c r="T52" s="1">
        <v>669</v>
      </c>
      <c r="U52" s="12">
        <f t="shared" si="4"/>
        <v>341</v>
      </c>
      <c r="V52" s="125">
        <f t="shared" si="0"/>
        <v>2210</v>
      </c>
      <c r="W52" s="43">
        <f t="shared" si="2"/>
        <v>6.1538461538461542E-2</v>
      </c>
      <c r="X52" s="35">
        <f t="shared" si="3"/>
        <v>4.8357664233576646E-2</v>
      </c>
      <c r="AF52" s="197">
        <f>MAX($B$2:B52)</f>
        <v>167</v>
      </c>
    </row>
    <row r="53" spans="1:32" x14ac:dyDescent="0.25">
      <c r="A53" s="2">
        <v>43944</v>
      </c>
      <c r="B53" s="154">
        <v>147</v>
      </c>
      <c r="C53" s="23">
        <f t="shared" si="5"/>
        <v>109.42857142857143</v>
      </c>
      <c r="D53" s="154">
        <v>3435</v>
      </c>
      <c r="E53" s="154">
        <v>6</v>
      </c>
      <c r="F53" s="23">
        <f t="shared" si="6"/>
        <v>6.1428571428571432</v>
      </c>
      <c r="G53" s="154">
        <v>165</v>
      </c>
      <c r="H53" s="156">
        <f t="shared" si="1"/>
        <v>57</v>
      </c>
      <c r="I53" s="179">
        <v>976</v>
      </c>
      <c r="J53" s="154">
        <v>141</v>
      </c>
      <c r="K53" s="23">
        <f t="shared" si="7"/>
        <v>130.42857142857142</v>
      </c>
      <c r="L53" s="154">
        <v>2868</v>
      </c>
      <c r="M53" s="23">
        <f t="shared" si="7"/>
        <v>2286.2857142857142</v>
      </c>
      <c r="N53" s="1">
        <v>44654</v>
      </c>
      <c r="O53" s="14">
        <v>557</v>
      </c>
      <c r="P53" s="14">
        <v>33874</v>
      </c>
      <c r="Q53" s="1">
        <v>34431</v>
      </c>
      <c r="R53" s="1">
        <v>875</v>
      </c>
      <c r="S53" s="1">
        <v>1490</v>
      </c>
      <c r="T53" s="1">
        <v>722</v>
      </c>
      <c r="U53" s="12">
        <f t="shared" si="4"/>
        <v>348</v>
      </c>
      <c r="V53" s="125">
        <f t="shared" si="0"/>
        <v>2294</v>
      </c>
      <c r="W53" s="43">
        <f t="shared" si="2"/>
        <v>6.1464690496948561E-2</v>
      </c>
      <c r="X53" s="35">
        <f t="shared" si="3"/>
        <v>4.8034934497816595E-2</v>
      </c>
      <c r="AF53" s="197">
        <f>MAX($B$2:B53)</f>
        <v>167</v>
      </c>
    </row>
    <row r="54" spans="1:32" x14ac:dyDescent="0.25">
      <c r="A54" s="2">
        <v>43945</v>
      </c>
      <c r="B54" s="154">
        <v>172</v>
      </c>
      <c r="C54" s="23">
        <f t="shared" si="5"/>
        <v>121.28571428571429</v>
      </c>
      <c r="D54" s="154">
        <v>3607</v>
      </c>
      <c r="E54" s="154">
        <v>11</v>
      </c>
      <c r="F54" s="23">
        <f t="shared" si="6"/>
        <v>6.7142857142857144</v>
      </c>
      <c r="G54" s="154">
        <v>176</v>
      </c>
      <c r="H54" s="156">
        <f t="shared" si="1"/>
        <v>54</v>
      </c>
      <c r="I54" s="179">
        <v>1030</v>
      </c>
      <c r="J54" s="154">
        <v>144</v>
      </c>
      <c r="K54" s="23">
        <f t="shared" si="7"/>
        <v>132.85714285714286</v>
      </c>
      <c r="L54" s="154">
        <v>2752</v>
      </c>
      <c r="M54" s="23">
        <f t="shared" si="7"/>
        <v>2352</v>
      </c>
      <c r="N54" s="1">
        <v>47406</v>
      </c>
      <c r="O54" s="14">
        <v>543</v>
      </c>
      <c r="P54" s="14">
        <v>36067</v>
      </c>
      <c r="Q54" s="1">
        <v>36610</v>
      </c>
      <c r="R54" s="1">
        <v>887</v>
      </c>
      <c r="S54" s="1">
        <v>1562</v>
      </c>
      <c r="T54" s="1">
        <v>755</v>
      </c>
      <c r="U54" s="12">
        <f t="shared" si="4"/>
        <v>403</v>
      </c>
      <c r="V54" s="125">
        <f t="shared" si="0"/>
        <v>2401</v>
      </c>
      <c r="W54" s="43">
        <f t="shared" si="2"/>
        <v>5.9975010412328195E-2</v>
      </c>
      <c r="X54" s="35">
        <f t="shared" si="3"/>
        <v>4.8794011644025505E-2</v>
      </c>
      <c r="Y54" s="87"/>
      <c r="AF54" s="197">
        <f>MAX($B$2:B54)</f>
        <v>172</v>
      </c>
    </row>
    <row r="55" spans="1:32" x14ac:dyDescent="0.25">
      <c r="A55" s="2">
        <v>43946</v>
      </c>
      <c r="B55" s="154">
        <v>173</v>
      </c>
      <c r="C55" s="23">
        <f t="shared" si="5"/>
        <v>134.42857142857142</v>
      </c>
      <c r="D55" s="154">
        <v>3780</v>
      </c>
      <c r="E55" s="154">
        <v>9</v>
      </c>
      <c r="F55" s="23">
        <f t="shared" si="6"/>
        <v>7.5714285714285712</v>
      </c>
      <c r="G55" s="154">
        <v>185</v>
      </c>
      <c r="H55" s="156">
        <f t="shared" si="1"/>
        <v>77</v>
      </c>
      <c r="I55" s="179">
        <v>1107</v>
      </c>
      <c r="J55" s="154">
        <v>139</v>
      </c>
      <c r="K55" s="23">
        <f t="shared" si="7"/>
        <v>135.14285714285714</v>
      </c>
      <c r="L55" s="154">
        <v>2499</v>
      </c>
      <c r="M55" s="23">
        <f t="shared" si="7"/>
        <v>2456.1428571428573</v>
      </c>
      <c r="N55" s="1">
        <v>49905</v>
      </c>
      <c r="O55" s="14">
        <v>561</v>
      </c>
      <c r="P55" s="14">
        <v>37654</v>
      </c>
      <c r="Q55" s="1">
        <v>38215</v>
      </c>
      <c r="R55" s="1">
        <v>888</v>
      </c>
      <c r="S55" s="1">
        <v>1641</v>
      </c>
      <c r="T55" s="1">
        <v>797</v>
      </c>
      <c r="U55" s="12">
        <f t="shared" si="4"/>
        <v>454</v>
      </c>
      <c r="V55" s="125">
        <f t="shared" si="0"/>
        <v>2488</v>
      </c>
      <c r="W55" s="43">
        <f t="shared" si="2"/>
        <v>5.5868167202572344E-2</v>
      </c>
      <c r="X55" s="35">
        <f t="shared" si="3"/>
        <v>4.8941798941798939E-2</v>
      </c>
      <c r="Y55" s="87"/>
      <c r="AF55" s="197">
        <f>MAX($B$2:B55)</f>
        <v>173</v>
      </c>
    </row>
    <row r="56" spans="1:32" x14ac:dyDescent="0.25">
      <c r="A56" s="2">
        <v>43947</v>
      </c>
      <c r="B56" s="154">
        <v>112</v>
      </c>
      <c r="C56" s="23">
        <f t="shared" si="5"/>
        <v>135.85714285714286</v>
      </c>
      <c r="D56" s="154">
        <v>3892</v>
      </c>
      <c r="E56" s="154">
        <v>7</v>
      </c>
      <c r="F56" s="23">
        <f t="shared" si="6"/>
        <v>8.2857142857142865</v>
      </c>
      <c r="G56" s="154">
        <v>192</v>
      </c>
      <c r="H56" s="156">
        <f t="shared" si="1"/>
        <v>33</v>
      </c>
      <c r="I56" s="179">
        <v>1140</v>
      </c>
      <c r="J56" s="154">
        <v>151</v>
      </c>
      <c r="K56" s="23">
        <f t="shared" si="7"/>
        <v>138.71428571428572</v>
      </c>
      <c r="L56" s="154">
        <v>1995</v>
      </c>
      <c r="M56" s="23">
        <f t="shared" si="7"/>
        <v>2476</v>
      </c>
      <c r="N56" s="1">
        <v>51900</v>
      </c>
      <c r="O56" s="14">
        <v>570</v>
      </c>
      <c r="P56" s="14">
        <v>39420</v>
      </c>
      <c r="Q56" s="1">
        <v>39990</v>
      </c>
      <c r="R56" s="1">
        <v>900</v>
      </c>
      <c r="S56" s="1">
        <v>1684</v>
      </c>
      <c r="T56" s="1">
        <v>829</v>
      </c>
      <c r="U56" s="12">
        <f t="shared" si="4"/>
        <v>479</v>
      </c>
      <c r="V56" s="125">
        <f t="shared" si="0"/>
        <v>2560</v>
      </c>
      <c r="W56" s="43">
        <f t="shared" si="2"/>
        <v>5.8984374999999999E-2</v>
      </c>
      <c r="X56" s="35">
        <f t="shared" si="3"/>
        <v>4.9331963001027747E-2</v>
      </c>
      <c r="Y56" s="87"/>
      <c r="AF56" s="197">
        <f>MAX($B$2:B56)</f>
        <v>173</v>
      </c>
    </row>
    <row r="57" spans="1:32" x14ac:dyDescent="0.25">
      <c r="A57" s="2">
        <v>43948</v>
      </c>
      <c r="B57" s="154">
        <v>111</v>
      </c>
      <c r="C57" s="23">
        <f t="shared" si="5"/>
        <v>138.85714285714286</v>
      </c>
      <c r="D57" s="154">
        <v>4003</v>
      </c>
      <c r="E57" s="154">
        <v>5</v>
      </c>
      <c r="F57" s="23">
        <f t="shared" si="6"/>
        <v>7.8571428571428568</v>
      </c>
      <c r="G57" s="154">
        <v>197</v>
      </c>
      <c r="H57" s="156">
        <f t="shared" si="1"/>
        <v>22</v>
      </c>
      <c r="I57" s="179">
        <v>1162</v>
      </c>
      <c r="J57" s="154">
        <v>155</v>
      </c>
      <c r="K57" s="23">
        <f t="shared" si="7"/>
        <v>142.42857142857142</v>
      </c>
      <c r="L57" s="154">
        <v>1700</v>
      </c>
      <c r="M57" s="23">
        <f t="shared" si="7"/>
        <v>2427</v>
      </c>
      <c r="N57" s="1">
        <v>53600</v>
      </c>
      <c r="O57" s="14">
        <v>600</v>
      </c>
      <c r="P57" s="14">
        <v>40959</v>
      </c>
      <c r="Q57" s="1">
        <v>41559</v>
      </c>
      <c r="R57" s="1">
        <v>905</v>
      </c>
      <c r="S57" s="1">
        <v>1725</v>
      </c>
      <c r="T57" s="1">
        <v>897</v>
      </c>
      <c r="U57" s="12">
        <f t="shared" si="4"/>
        <v>476</v>
      </c>
      <c r="V57" s="125">
        <f t="shared" si="0"/>
        <v>2644</v>
      </c>
      <c r="W57" s="43">
        <f t="shared" si="2"/>
        <v>5.8623298033282902E-2</v>
      </c>
      <c r="X57" s="35">
        <f t="shared" si="3"/>
        <v>4.921309018236323E-2</v>
      </c>
      <c r="Y57" s="87"/>
      <c r="AF57" s="197">
        <f>MAX($B$2:B57)</f>
        <v>173</v>
      </c>
    </row>
    <row r="58" spans="1:32" x14ac:dyDescent="0.25">
      <c r="A58" s="2">
        <v>43949</v>
      </c>
      <c r="B58" s="154">
        <v>124</v>
      </c>
      <c r="C58" s="23">
        <f t="shared" si="5"/>
        <v>140.42857142857142</v>
      </c>
      <c r="D58" s="154">
        <v>4127</v>
      </c>
      <c r="E58" s="154">
        <v>10</v>
      </c>
      <c r="F58" s="23">
        <f t="shared" si="6"/>
        <v>8</v>
      </c>
      <c r="G58" s="154">
        <v>207</v>
      </c>
      <c r="H58" s="156">
        <f t="shared" si="1"/>
        <v>30</v>
      </c>
      <c r="I58" s="179">
        <v>1192</v>
      </c>
      <c r="J58" s="154">
        <v>154</v>
      </c>
      <c r="K58" s="23">
        <f t="shared" si="7"/>
        <v>145.71428571428572</v>
      </c>
      <c r="L58" s="154">
        <v>2458</v>
      </c>
      <c r="M58" s="23">
        <f t="shared" si="7"/>
        <v>2404.2857142857142</v>
      </c>
      <c r="N58" s="1">
        <v>56058</v>
      </c>
      <c r="O58" s="14">
        <v>612</v>
      </c>
      <c r="P58" s="14">
        <v>42710</v>
      </c>
      <c r="Q58" s="1">
        <v>43322</v>
      </c>
      <c r="R58" s="1">
        <v>909</v>
      </c>
      <c r="S58" s="1">
        <v>1766</v>
      </c>
      <c r="T58" s="1">
        <v>984</v>
      </c>
      <c r="U58" s="12">
        <f t="shared" si="4"/>
        <v>468</v>
      </c>
      <c r="V58" s="125">
        <f t="shared" si="0"/>
        <v>2728</v>
      </c>
      <c r="W58" s="43">
        <f t="shared" si="2"/>
        <v>5.6451612903225805E-2</v>
      </c>
      <c r="X58" s="35">
        <f t="shared" si="3"/>
        <v>5.0157499394233099E-2</v>
      </c>
      <c r="Y58" s="87"/>
      <c r="AB58" s="87">
        <f t="shared" ref="AB58:AB121" si="8">SUM(B52:B58)/SUM(L52:L58)</f>
        <v>5.8407605466428994E-2</v>
      </c>
      <c r="AF58" s="197">
        <f>MAX($B$2:B58)</f>
        <v>173</v>
      </c>
    </row>
    <row r="59" spans="1:32" x14ac:dyDescent="0.25">
      <c r="A59" s="2">
        <v>43950</v>
      </c>
      <c r="B59" s="154">
        <v>158</v>
      </c>
      <c r="C59" s="23">
        <f t="shared" si="5"/>
        <v>142.42857142857142</v>
      </c>
      <c r="D59" s="154">
        <v>4285</v>
      </c>
      <c r="E59" s="154">
        <v>7</v>
      </c>
      <c r="F59" s="23">
        <f t="shared" si="6"/>
        <v>7.8571428571428568</v>
      </c>
      <c r="G59" s="154">
        <v>214</v>
      </c>
      <c r="H59" s="156">
        <f t="shared" si="1"/>
        <v>64</v>
      </c>
      <c r="I59" s="179">
        <v>1256</v>
      </c>
      <c r="J59" s="154">
        <v>157</v>
      </c>
      <c r="K59" s="23">
        <f t="shared" si="7"/>
        <v>148.71428571428572</v>
      </c>
      <c r="L59" s="154">
        <v>2627</v>
      </c>
      <c r="M59" s="23">
        <f t="shared" si="7"/>
        <v>2414.1428571428573</v>
      </c>
      <c r="N59" s="1">
        <v>58685</v>
      </c>
      <c r="O59" s="14">
        <v>618</v>
      </c>
      <c r="P59" s="14">
        <v>44828</v>
      </c>
      <c r="Q59" s="1">
        <v>45446</v>
      </c>
      <c r="R59" s="1">
        <v>912</v>
      </c>
      <c r="S59" s="1">
        <v>1835</v>
      </c>
      <c r="T59" s="1">
        <v>1041</v>
      </c>
      <c r="U59" s="12">
        <f t="shared" si="4"/>
        <v>497</v>
      </c>
      <c r="V59" s="125">
        <f t="shared" si="0"/>
        <v>2815</v>
      </c>
      <c r="W59" s="43">
        <f t="shared" si="2"/>
        <v>5.5772646536412077E-2</v>
      </c>
      <c r="X59" s="35">
        <f t="shared" si="3"/>
        <v>4.9941656942823806E-2</v>
      </c>
      <c r="Y59" s="87"/>
      <c r="Z59" s="87">
        <f t="shared" ref="Z59:Z122" si="9">C59/C53-1</f>
        <v>0.30156657963446465</v>
      </c>
      <c r="AB59" s="87">
        <f t="shared" si="8"/>
        <v>5.899757382093615E-2</v>
      </c>
      <c r="AF59" s="197">
        <f>MAX($B$2:B59)</f>
        <v>173</v>
      </c>
    </row>
    <row r="60" spans="1:32" x14ac:dyDescent="0.25">
      <c r="A60" s="2">
        <v>43951</v>
      </c>
      <c r="B60" s="154">
        <v>143</v>
      </c>
      <c r="C60" s="23">
        <f t="shared" si="5"/>
        <v>141.85714285714286</v>
      </c>
      <c r="D60" s="154">
        <v>4428</v>
      </c>
      <c r="E60" s="154">
        <v>4</v>
      </c>
      <c r="F60" s="23">
        <f t="shared" si="6"/>
        <v>7.5714285714285712</v>
      </c>
      <c r="G60" s="154">
        <v>218</v>
      </c>
      <c r="H60" s="156">
        <f t="shared" si="1"/>
        <v>36</v>
      </c>
      <c r="I60" s="179">
        <v>1292</v>
      </c>
      <c r="J60" s="154">
        <v>157</v>
      </c>
      <c r="K60" s="23">
        <f t="shared" si="7"/>
        <v>151</v>
      </c>
      <c r="L60" s="154">
        <v>2845</v>
      </c>
      <c r="M60" s="23">
        <f t="shared" si="7"/>
        <v>2410.8571428571427</v>
      </c>
      <c r="N60" s="1">
        <v>61530</v>
      </c>
      <c r="O60" s="14">
        <v>638</v>
      </c>
      <c r="P60" s="14">
        <v>46829</v>
      </c>
      <c r="Q60" s="1">
        <v>47467</v>
      </c>
      <c r="R60" s="1">
        <v>915</v>
      </c>
      <c r="S60" s="1">
        <v>1904</v>
      </c>
      <c r="T60" s="1">
        <v>1149</v>
      </c>
      <c r="U60" s="12">
        <f t="shared" si="4"/>
        <v>460</v>
      </c>
      <c r="V60" s="125">
        <f t="shared" si="0"/>
        <v>2918</v>
      </c>
      <c r="W60" s="43">
        <f t="shared" si="2"/>
        <v>5.3803975325565453E-2</v>
      </c>
      <c r="X60" s="35">
        <f t="shared" si="3"/>
        <v>4.9232158988256551E-2</v>
      </c>
      <c r="Y60" s="87"/>
      <c r="Z60" s="87">
        <f t="shared" si="9"/>
        <v>0.16961130742049457</v>
      </c>
      <c r="AB60" s="87">
        <f t="shared" si="8"/>
        <v>5.8840957572884572E-2</v>
      </c>
      <c r="AF60" s="197">
        <f>MAX($B$2:B60)</f>
        <v>173</v>
      </c>
    </row>
    <row r="61" spans="1:32" x14ac:dyDescent="0.25">
      <c r="A61" s="2">
        <v>43952</v>
      </c>
      <c r="B61" s="154">
        <v>105</v>
      </c>
      <c r="C61" s="23">
        <f t="shared" si="5"/>
        <v>132.28571428571428</v>
      </c>
      <c r="D61" s="154">
        <v>4532</v>
      </c>
      <c r="E61" s="154">
        <v>7</v>
      </c>
      <c r="F61" s="23">
        <f t="shared" si="6"/>
        <v>7</v>
      </c>
      <c r="G61" s="154">
        <v>225</v>
      </c>
      <c r="H61" s="156">
        <f t="shared" si="1"/>
        <v>28</v>
      </c>
      <c r="I61" s="179">
        <v>1320</v>
      </c>
      <c r="J61" s="154">
        <v>164</v>
      </c>
      <c r="K61" s="23">
        <f t="shared" si="7"/>
        <v>153.85714285714286</v>
      </c>
      <c r="L61" s="154">
        <v>2336</v>
      </c>
      <c r="M61" s="23">
        <f t="shared" si="7"/>
        <v>2351.4285714285716</v>
      </c>
      <c r="N61" s="1">
        <v>63866</v>
      </c>
      <c r="O61" s="14">
        <v>656</v>
      </c>
      <c r="P61" s="14">
        <v>48591</v>
      </c>
      <c r="Q61" s="1">
        <v>49247</v>
      </c>
      <c r="R61" s="1">
        <v>916</v>
      </c>
      <c r="S61" s="1">
        <v>1949</v>
      </c>
      <c r="T61" s="1">
        <v>1224</v>
      </c>
      <c r="U61" s="12">
        <f t="shared" si="4"/>
        <v>443</v>
      </c>
      <c r="V61" s="125">
        <f t="shared" si="0"/>
        <v>2987</v>
      </c>
      <c r="W61" s="43">
        <f t="shared" si="2"/>
        <v>5.4904586541680615E-2</v>
      </c>
      <c r="X61" s="35">
        <f t="shared" si="3"/>
        <v>4.9646954986760812E-2</v>
      </c>
      <c r="Y61" s="87"/>
      <c r="Z61" s="87">
        <f t="shared" si="9"/>
        <v>-1.5940488841657774E-2</v>
      </c>
      <c r="AB61" s="87">
        <f t="shared" si="8"/>
        <v>5.6257594167679226E-2</v>
      </c>
      <c r="AF61" s="197">
        <f>MAX($B$2:B61)</f>
        <v>173</v>
      </c>
    </row>
    <row r="62" spans="1:32" x14ac:dyDescent="0.25">
      <c r="A62" s="2">
        <v>43953</v>
      </c>
      <c r="B62" s="154">
        <v>149</v>
      </c>
      <c r="C62" s="23">
        <f t="shared" si="5"/>
        <v>128.85714285714286</v>
      </c>
      <c r="D62" s="154">
        <v>4681</v>
      </c>
      <c r="E62" s="154">
        <v>12</v>
      </c>
      <c r="F62" s="23">
        <f t="shared" si="6"/>
        <v>7.4285714285714288</v>
      </c>
      <c r="G62" s="154">
        <v>237</v>
      </c>
      <c r="H62" s="156">
        <f t="shared" si="1"/>
        <v>34</v>
      </c>
      <c r="I62" s="179">
        <v>1354</v>
      </c>
      <c r="J62" s="154">
        <v>164</v>
      </c>
      <c r="K62" s="23">
        <f t="shared" si="7"/>
        <v>157.42857142857142</v>
      </c>
      <c r="L62" s="154">
        <v>1947</v>
      </c>
      <c r="M62" s="23">
        <f t="shared" si="7"/>
        <v>2272.5714285714284</v>
      </c>
      <c r="N62" s="1">
        <v>65813</v>
      </c>
      <c r="O62" s="14">
        <v>681</v>
      </c>
      <c r="P62" s="14">
        <v>50098</v>
      </c>
      <c r="Q62" s="1">
        <v>50779</v>
      </c>
      <c r="R62" s="1">
        <v>917</v>
      </c>
      <c r="S62" s="1">
        <v>2012</v>
      </c>
      <c r="T62" s="1">
        <v>1267</v>
      </c>
      <c r="U62" s="12">
        <f t="shared" si="4"/>
        <v>485</v>
      </c>
      <c r="V62" s="125">
        <f t="shared" si="0"/>
        <v>3090</v>
      </c>
      <c r="W62" s="43">
        <f t="shared" si="2"/>
        <v>5.307443365695793E-2</v>
      </c>
      <c r="X62" s="35">
        <f t="shared" si="3"/>
        <v>5.0630207220679339E-2</v>
      </c>
      <c r="Y62" s="87"/>
      <c r="Z62" s="87">
        <f t="shared" si="9"/>
        <v>-5.1524710830704534E-2</v>
      </c>
      <c r="AB62" s="87">
        <f t="shared" si="8"/>
        <v>5.6701030927835051E-2</v>
      </c>
      <c r="AF62" s="197">
        <f>MAX($B$2:B62)</f>
        <v>173</v>
      </c>
    </row>
    <row r="63" spans="1:32" x14ac:dyDescent="0.25">
      <c r="A63" s="2">
        <v>43954</v>
      </c>
      <c r="B63" s="154">
        <v>103</v>
      </c>
      <c r="C63" s="23">
        <f t="shared" si="5"/>
        <v>127.57142857142857</v>
      </c>
      <c r="D63" s="154">
        <v>4784</v>
      </c>
      <c r="E63" s="154">
        <v>9</v>
      </c>
      <c r="F63" s="23">
        <f t="shared" si="6"/>
        <v>7.7142857142857144</v>
      </c>
      <c r="G63" s="154">
        <v>246</v>
      </c>
      <c r="H63" s="156">
        <f t="shared" si="1"/>
        <v>88</v>
      </c>
      <c r="I63" s="179">
        <v>1442</v>
      </c>
      <c r="J63" s="154">
        <v>146</v>
      </c>
      <c r="K63" s="23">
        <f t="shared" si="7"/>
        <v>156.71428571428572</v>
      </c>
      <c r="L63" s="154">
        <v>1497</v>
      </c>
      <c r="M63" s="23">
        <f t="shared" si="7"/>
        <v>2201.4285714285716</v>
      </c>
      <c r="N63" s="1">
        <v>67920</v>
      </c>
      <c r="O63" s="14">
        <v>674</v>
      </c>
      <c r="P63" s="14">
        <v>51590</v>
      </c>
      <c r="Q63" s="1">
        <v>52264</v>
      </c>
      <c r="R63" s="1">
        <v>920</v>
      </c>
      <c r="S63" s="1">
        <v>2076</v>
      </c>
      <c r="T63" s="1">
        <v>1314</v>
      </c>
      <c r="U63" s="12">
        <f t="shared" si="4"/>
        <v>474</v>
      </c>
      <c r="V63" s="125">
        <f t="shared" si="0"/>
        <v>3096</v>
      </c>
      <c r="W63" s="43">
        <f t="shared" si="2"/>
        <v>4.7157622739018086E-2</v>
      </c>
      <c r="X63" s="35">
        <f t="shared" si="3"/>
        <v>5.1421404682274248E-2</v>
      </c>
      <c r="Y63" s="87"/>
      <c r="Z63" s="87">
        <f t="shared" si="9"/>
        <v>-8.1275720164609044E-2</v>
      </c>
      <c r="AB63" s="87">
        <f t="shared" si="8"/>
        <v>5.7949383517196626E-2</v>
      </c>
      <c r="AF63" s="197">
        <f>MAX($B$2:B63)</f>
        <v>173</v>
      </c>
    </row>
    <row r="64" spans="1:32" x14ac:dyDescent="0.25">
      <c r="A64" s="2">
        <v>43955</v>
      </c>
      <c r="B64" s="154">
        <v>104</v>
      </c>
      <c r="C64" s="23">
        <f t="shared" si="5"/>
        <v>126.57142857142857</v>
      </c>
      <c r="D64" s="154">
        <v>4887</v>
      </c>
      <c r="E64" s="154">
        <v>14</v>
      </c>
      <c r="F64" s="23">
        <f t="shared" si="6"/>
        <v>9</v>
      </c>
      <c r="G64" s="154">
        <v>260</v>
      </c>
      <c r="H64" s="156">
        <f t="shared" si="1"/>
        <v>30</v>
      </c>
      <c r="I64" s="179">
        <v>1472</v>
      </c>
      <c r="J64" s="154">
        <v>148</v>
      </c>
      <c r="K64" s="23">
        <f t="shared" si="7"/>
        <v>155.71428571428572</v>
      </c>
      <c r="L64" s="154">
        <v>1798</v>
      </c>
      <c r="M64" s="23">
        <f t="shared" si="7"/>
        <v>2215.4285714285716</v>
      </c>
      <c r="N64" s="1">
        <v>69718</v>
      </c>
      <c r="O64" s="14">
        <v>692</v>
      </c>
      <c r="P64" s="14">
        <v>53203</v>
      </c>
      <c r="Q64" s="1">
        <v>53895</v>
      </c>
      <c r="R64" s="1">
        <v>924</v>
      </c>
      <c r="S64" s="1">
        <v>2136</v>
      </c>
      <c r="T64" s="1">
        <v>1378</v>
      </c>
      <c r="U64" s="12">
        <f t="shared" si="4"/>
        <v>449</v>
      </c>
      <c r="V64" s="125">
        <f t="shared" si="0"/>
        <v>3155</v>
      </c>
      <c r="W64" s="43">
        <f t="shared" si="2"/>
        <v>4.6909667194928686E-2</v>
      </c>
      <c r="X64" s="35">
        <f t="shared" si="3"/>
        <v>5.3202373644362595E-2</v>
      </c>
      <c r="Y64" s="87"/>
      <c r="Z64" s="87">
        <f t="shared" si="9"/>
        <v>-9.8677517802644887E-2</v>
      </c>
      <c r="AB64" s="87">
        <f t="shared" si="8"/>
        <v>5.713180294041785E-2</v>
      </c>
      <c r="AF64" s="197">
        <f>MAX($B$2:B64)</f>
        <v>173</v>
      </c>
    </row>
    <row r="65" spans="1:32" x14ac:dyDescent="0.25">
      <c r="A65" s="2">
        <v>43956</v>
      </c>
      <c r="B65" s="154">
        <v>134</v>
      </c>
      <c r="C65" s="23">
        <f t="shared" si="5"/>
        <v>128</v>
      </c>
      <c r="D65" s="154">
        <v>5020</v>
      </c>
      <c r="E65" s="154">
        <v>4</v>
      </c>
      <c r="F65" s="23">
        <f t="shared" si="6"/>
        <v>8.1428571428571423</v>
      </c>
      <c r="G65" s="154">
        <v>264</v>
      </c>
      <c r="H65" s="156">
        <f t="shared" si="1"/>
        <v>52</v>
      </c>
      <c r="I65" s="179">
        <v>1524</v>
      </c>
      <c r="J65" s="154">
        <v>143</v>
      </c>
      <c r="K65" s="23">
        <f t="shared" si="7"/>
        <v>154.14285714285714</v>
      </c>
      <c r="L65" s="154">
        <v>2597</v>
      </c>
      <c r="M65" s="23">
        <f t="shared" si="7"/>
        <v>2235.2857142857142</v>
      </c>
      <c r="N65" s="1">
        <v>72315</v>
      </c>
      <c r="O65" s="14">
        <v>666</v>
      </c>
      <c r="P65" s="14">
        <v>55227</v>
      </c>
      <c r="Q65" s="1">
        <v>55893</v>
      </c>
      <c r="R65" s="1">
        <v>929</v>
      </c>
      <c r="S65" s="1">
        <v>2204</v>
      </c>
      <c r="T65" s="1">
        <v>1446</v>
      </c>
      <c r="U65" s="12">
        <f t="shared" si="4"/>
        <v>441</v>
      </c>
      <c r="V65" s="125">
        <f t="shared" si="0"/>
        <v>3232</v>
      </c>
      <c r="W65" s="43">
        <f t="shared" si="2"/>
        <v>4.4245049504950493E-2</v>
      </c>
      <c r="X65" s="35">
        <f t="shared" si="3"/>
        <v>5.2589641434262951E-2</v>
      </c>
      <c r="Y65" s="87"/>
      <c r="Z65" s="87">
        <f t="shared" si="9"/>
        <v>-0.10130391173520559</v>
      </c>
      <c r="AB65" s="87">
        <f t="shared" si="8"/>
        <v>5.7263373170575831E-2</v>
      </c>
      <c r="AF65" s="197">
        <f>MAX($B$2:B65)</f>
        <v>173</v>
      </c>
    </row>
    <row r="66" spans="1:32" x14ac:dyDescent="0.25">
      <c r="A66" s="2">
        <v>43957</v>
      </c>
      <c r="B66" s="154">
        <v>188</v>
      </c>
      <c r="C66" s="23">
        <f t="shared" si="5"/>
        <v>132.28571428571428</v>
      </c>
      <c r="D66" s="154">
        <v>5208</v>
      </c>
      <c r="E66" s="154">
        <v>9</v>
      </c>
      <c r="F66" s="23">
        <f t="shared" si="6"/>
        <v>8.4285714285714288</v>
      </c>
      <c r="G66" s="154">
        <v>273</v>
      </c>
      <c r="H66" s="156">
        <f t="shared" si="1"/>
        <v>77</v>
      </c>
      <c r="I66" s="179">
        <v>1601</v>
      </c>
      <c r="J66" s="154">
        <v>151</v>
      </c>
      <c r="K66" s="23">
        <f t="shared" si="7"/>
        <v>153.28571428571428</v>
      </c>
      <c r="L66" s="154">
        <v>2883</v>
      </c>
      <c r="M66" s="23">
        <f t="shared" si="7"/>
        <v>2271.8571428571427</v>
      </c>
      <c r="N66" s="1">
        <v>75198</v>
      </c>
      <c r="O66" s="14">
        <v>652</v>
      </c>
      <c r="P66" s="14">
        <v>57176</v>
      </c>
      <c r="Q66" s="1">
        <v>57828</v>
      </c>
      <c r="R66" s="1">
        <v>927</v>
      </c>
      <c r="S66" s="1">
        <v>2292</v>
      </c>
      <c r="T66" s="1">
        <v>1510</v>
      </c>
      <c r="U66" s="12">
        <f t="shared" si="4"/>
        <v>479</v>
      </c>
      <c r="V66" s="125">
        <f t="shared" ref="V66:V129" si="10">D66-G66-I66</f>
        <v>3334</v>
      </c>
      <c r="W66" s="43">
        <f t="shared" si="2"/>
        <v>4.5290941811637675E-2</v>
      </c>
      <c r="X66" s="35">
        <f t="shared" si="3"/>
        <v>5.2419354838709679E-2</v>
      </c>
      <c r="Y66" s="87"/>
      <c r="Z66" s="87">
        <f t="shared" si="9"/>
        <v>-6.7472306143001037E-2</v>
      </c>
      <c r="AB66" s="87">
        <f t="shared" si="8"/>
        <v>5.8228007294221215E-2</v>
      </c>
      <c r="AF66" s="197">
        <f>MAX($B$2:B66)</f>
        <v>188</v>
      </c>
    </row>
    <row r="67" spans="1:32" x14ac:dyDescent="0.25">
      <c r="A67" s="2">
        <v>43958</v>
      </c>
      <c r="B67" s="154">
        <v>163</v>
      </c>
      <c r="C67" s="23">
        <f t="shared" si="5"/>
        <v>135.14285714285714</v>
      </c>
      <c r="D67" s="154">
        <v>5371</v>
      </c>
      <c r="E67" s="154">
        <v>9</v>
      </c>
      <c r="F67" s="23">
        <f t="shared" si="6"/>
        <v>9.1428571428571423</v>
      </c>
      <c r="G67" s="154">
        <v>282</v>
      </c>
      <c r="H67" s="156">
        <f t="shared" ref="H67:H130" si="11">I67-I66</f>
        <v>0</v>
      </c>
      <c r="I67" s="179">
        <v>1601</v>
      </c>
      <c r="J67" s="154">
        <v>151</v>
      </c>
      <c r="K67" s="23">
        <f t="shared" si="7"/>
        <v>152.42857142857142</v>
      </c>
      <c r="L67" s="154">
        <v>2703</v>
      </c>
      <c r="M67" s="23">
        <f t="shared" si="7"/>
        <v>2251.5714285714284</v>
      </c>
      <c r="N67" s="1">
        <v>77901</v>
      </c>
      <c r="O67" s="14">
        <v>688</v>
      </c>
      <c r="P67" s="14">
        <v>59080</v>
      </c>
      <c r="Q67" s="1">
        <v>59768</v>
      </c>
      <c r="R67" s="1">
        <v>929</v>
      </c>
      <c r="S67" s="1">
        <v>2374</v>
      </c>
      <c r="T67" s="1">
        <v>1595</v>
      </c>
      <c r="U67" s="12">
        <f t="shared" si="4"/>
        <v>473</v>
      </c>
      <c r="V67" s="125">
        <f t="shared" si="10"/>
        <v>3488</v>
      </c>
      <c r="W67" s="43">
        <f t="shared" si="2"/>
        <v>4.3291284403669722E-2</v>
      </c>
      <c r="X67" s="35">
        <f t="shared" si="3"/>
        <v>5.2504189164029047E-2</v>
      </c>
      <c r="Y67" s="87"/>
      <c r="Z67" s="87">
        <f t="shared" si="9"/>
        <v>2.1598272138229069E-2</v>
      </c>
      <c r="AB67" s="87">
        <f t="shared" si="8"/>
        <v>6.0021572235264262E-2</v>
      </c>
      <c r="AF67" s="197">
        <f>MAX($B$2:B67)</f>
        <v>188</v>
      </c>
    </row>
    <row r="68" spans="1:32" x14ac:dyDescent="0.25">
      <c r="A68" s="2">
        <v>43959</v>
      </c>
      <c r="B68" s="154">
        <v>240</v>
      </c>
      <c r="C68" s="23">
        <f t="shared" si="5"/>
        <v>154.42857142857142</v>
      </c>
      <c r="D68" s="154">
        <v>5611</v>
      </c>
      <c r="E68" s="154">
        <v>11</v>
      </c>
      <c r="F68" s="23">
        <f t="shared" si="6"/>
        <v>9.7142857142857135</v>
      </c>
      <c r="G68" s="154">
        <v>293</v>
      </c>
      <c r="H68" s="156">
        <f t="shared" si="11"/>
        <v>127</v>
      </c>
      <c r="I68" s="179">
        <v>1728</v>
      </c>
      <c r="J68" s="154">
        <v>157</v>
      </c>
      <c r="K68" s="23">
        <f t="shared" si="7"/>
        <v>151.42857142857142</v>
      </c>
      <c r="L68" s="154">
        <v>2828</v>
      </c>
      <c r="M68" s="23">
        <f t="shared" si="7"/>
        <v>2321.8571428571427</v>
      </c>
      <c r="N68" s="1">
        <v>80729</v>
      </c>
      <c r="O68" s="14">
        <v>678</v>
      </c>
      <c r="P68" s="14">
        <v>61025</v>
      </c>
      <c r="Q68" s="1">
        <v>61703</v>
      </c>
      <c r="R68" s="1">
        <v>931</v>
      </c>
      <c r="S68" s="1">
        <v>2469</v>
      </c>
      <c r="T68" s="1">
        <v>1644</v>
      </c>
      <c r="U68" s="12">
        <f t="shared" si="4"/>
        <v>567</v>
      </c>
      <c r="V68" s="125">
        <f t="shared" si="10"/>
        <v>3590</v>
      </c>
      <c r="W68" s="43">
        <f t="shared" si="2"/>
        <v>4.3732590529247911E-2</v>
      </c>
      <c r="X68" s="35">
        <f t="shared" si="3"/>
        <v>5.2218855818927108E-2</v>
      </c>
      <c r="Y68" s="87"/>
      <c r="Z68" s="87">
        <f t="shared" si="9"/>
        <v>0.1984478935698446</v>
      </c>
      <c r="AB68" s="87">
        <f t="shared" si="8"/>
        <v>6.6510798006521876E-2</v>
      </c>
      <c r="AF68" s="197">
        <f>MAX($B$2:B68)</f>
        <v>240</v>
      </c>
    </row>
    <row r="69" spans="1:32" x14ac:dyDescent="0.25">
      <c r="A69" s="2">
        <v>43960</v>
      </c>
      <c r="B69" s="154">
        <v>165</v>
      </c>
      <c r="C69" s="23">
        <f t="shared" si="5"/>
        <v>156.71428571428572</v>
      </c>
      <c r="D69" s="154">
        <v>5776</v>
      </c>
      <c r="E69" s="154">
        <v>7</v>
      </c>
      <c r="F69" s="23">
        <f t="shared" si="6"/>
        <v>9</v>
      </c>
      <c r="G69" s="154">
        <v>300</v>
      </c>
      <c r="H69" s="156">
        <f t="shared" si="11"/>
        <v>29</v>
      </c>
      <c r="I69" s="179">
        <v>1757</v>
      </c>
      <c r="J69" s="154">
        <v>160</v>
      </c>
      <c r="K69" s="23">
        <f t="shared" si="7"/>
        <v>150.85714285714286</v>
      </c>
      <c r="L69" s="154">
        <v>2289</v>
      </c>
      <c r="M69" s="23">
        <f t="shared" si="7"/>
        <v>2370.7142857142858</v>
      </c>
      <c r="N69" s="1">
        <v>83018</v>
      </c>
      <c r="O69" s="14">
        <v>698</v>
      </c>
      <c r="P69" s="14">
        <v>62760</v>
      </c>
      <c r="Q69" s="1">
        <v>63458</v>
      </c>
      <c r="R69" s="1">
        <v>930</v>
      </c>
      <c r="S69" s="1">
        <v>2530</v>
      </c>
      <c r="T69" s="1">
        <v>1703</v>
      </c>
      <c r="U69" s="12">
        <f t="shared" si="4"/>
        <v>613</v>
      </c>
      <c r="V69" s="125">
        <f t="shared" si="10"/>
        <v>3719</v>
      </c>
      <c r="W69" s="43">
        <f t="shared" si="2"/>
        <v>4.3022317827372952E-2</v>
      </c>
      <c r="X69" s="35">
        <f t="shared" si="3"/>
        <v>5.1939058171745149E-2</v>
      </c>
      <c r="Y69" s="87"/>
      <c r="Z69" s="87">
        <f t="shared" si="9"/>
        <v>0.22844344904815239</v>
      </c>
      <c r="AB69" s="87">
        <f t="shared" si="8"/>
        <v>6.6104248267550472E-2</v>
      </c>
      <c r="AF69" s="197">
        <f>MAX($B$2:B69)</f>
        <v>240</v>
      </c>
    </row>
    <row r="70" spans="1:32" x14ac:dyDescent="0.25">
      <c r="A70" s="2">
        <v>43961</v>
      </c>
      <c r="B70" s="154">
        <v>258</v>
      </c>
      <c r="C70" s="23">
        <f t="shared" si="5"/>
        <v>178.85714285714286</v>
      </c>
      <c r="D70" s="154">
        <v>6034</v>
      </c>
      <c r="E70" s="154">
        <v>5</v>
      </c>
      <c r="F70" s="23">
        <f t="shared" si="6"/>
        <v>8.4285714285714288</v>
      </c>
      <c r="G70" s="154">
        <v>305</v>
      </c>
      <c r="H70" s="156">
        <f t="shared" si="11"/>
        <v>80</v>
      </c>
      <c r="I70" s="179">
        <v>1837</v>
      </c>
      <c r="J70" s="154">
        <v>164</v>
      </c>
      <c r="K70" s="23">
        <f t="shared" si="7"/>
        <v>153.42857142857142</v>
      </c>
      <c r="L70" s="154">
        <v>2140</v>
      </c>
      <c r="M70" s="23">
        <f t="shared" si="7"/>
        <v>2462.5714285714284</v>
      </c>
      <c r="N70" s="1">
        <v>85158</v>
      </c>
      <c r="O70" s="14">
        <v>713</v>
      </c>
      <c r="P70" s="14">
        <v>64104</v>
      </c>
      <c r="Q70" s="1">
        <v>64817</v>
      </c>
      <c r="R70" s="1">
        <v>929</v>
      </c>
      <c r="S70" s="1">
        <v>2667</v>
      </c>
      <c r="T70" s="1">
        <v>1768</v>
      </c>
      <c r="U70" s="12">
        <f t="shared" si="4"/>
        <v>670</v>
      </c>
      <c r="V70" s="125">
        <f t="shared" si="10"/>
        <v>3892</v>
      </c>
      <c r="W70" s="43">
        <f t="shared" si="2"/>
        <v>4.2137718396711203E-2</v>
      </c>
      <c r="X70" s="35">
        <f t="shared" si="3"/>
        <v>5.0546900894928734E-2</v>
      </c>
      <c r="Y70" s="87"/>
      <c r="Z70" s="87">
        <f t="shared" si="9"/>
        <v>0.41309255079006779</v>
      </c>
      <c r="AB70" s="87">
        <f t="shared" si="8"/>
        <v>7.2630235526163128E-2</v>
      </c>
      <c r="AF70" s="197">
        <f>MAX($B$2:B70)</f>
        <v>258</v>
      </c>
    </row>
    <row r="71" spans="1:32" x14ac:dyDescent="0.25">
      <c r="A71" s="2">
        <v>43962</v>
      </c>
      <c r="B71" s="154">
        <v>244</v>
      </c>
      <c r="C71" s="23">
        <f t="shared" si="5"/>
        <v>198.85714285714286</v>
      </c>
      <c r="D71" s="154">
        <v>6278</v>
      </c>
      <c r="E71" s="154">
        <v>9</v>
      </c>
      <c r="F71" s="23">
        <f t="shared" si="6"/>
        <v>7.7142857142857144</v>
      </c>
      <c r="G71" s="154">
        <v>314</v>
      </c>
      <c r="H71" s="156">
        <f t="shared" si="11"/>
        <v>25</v>
      </c>
      <c r="I71" s="179">
        <v>1862</v>
      </c>
      <c r="J71" s="154">
        <v>170</v>
      </c>
      <c r="K71" s="23">
        <f t="shared" si="7"/>
        <v>156.57142857142858</v>
      </c>
      <c r="L71" s="154">
        <v>2389</v>
      </c>
      <c r="M71" s="23">
        <f t="shared" si="7"/>
        <v>2547</v>
      </c>
      <c r="N71" s="1">
        <v>87547</v>
      </c>
      <c r="O71" s="14">
        <v>733</v>
      </c>
      <c r="P71" s="14">
        <v>65976</v>
      </c>
      <c r="Q71" s="1">
        <v>66709</v>
      </c>
      <c r="R71" s="1">
        <v>929</v>
      </c>
      <c r="S71" s="1">
        <v>2800</v>
      </c>
      <c r="T71" s="1">
        <v>1833</v>
      </c>
      <c r="U71" s="12">
        <f t="shared" si="4"/>
        <v>716</v>
      </c>
      <c r="V71" s="125">
        <f t="shared" si="10"/>
        <v>4102</v>
      </c>
      <c r="W71" s="43">
        <f t="shared" si="2"/>
        <v>4.1443198439785472E-2</v>
      </c>
      <c r="X71" s="35">
        <f t="shared" si="3"/>
        <v>5.0015928639694167E-2</v>
      </c>
      <c r="Y71" s="87"/>
      <c r="Z71" s="87">
        <f t="shared" si="9"/>
        <v>0.5535714285714286</v>
      </c>
      <c r="AB71" s="87">
        <f t="shared" si="8"/>
        <v>7.8075046272926135E-2</v>
      </c>
      <c r="AF71" s="197">
        <f>MAX($B$2:B71)</f>
        <v>258</v>
      </c>
    </row>
    <row r="72" spans="1:32" x14ac:dyDescent="0.25">
      <c r="A72" s="2">
        <v>43963</v>
      </c>
      <c r="B72" s="154">
        <v>285</v>
      </c>
      <c r="C72" s="23">
        <f t="shared" si="5"/>
        <v>220.42857142857142</v>
      </c>
      <c r="D72" s="154">
        <v>6563</v>
      </c>
      <c r="E72" s="154">
        <v>5</v>
      </c>
      <c r="F72" s="23">
        <f t="shared" si="6"/>
        <v>7.8571428571428568</v>
      </c>
      <c r="G72" s="154">
        <v>319</v>
      </c>
      <c r="H72" s="156">
        <f t="shared" si="11"/>
        <v>404</v>
      </c>
      <c r="I72" s="179">
        <v>2266</v>
      </c>
      <c r="J72" s="154">
        <v>147</v>
      </c>
      <c r="K72" s="23">
        <f t="shared" si="7"/>
        <v>157.14285714285714</v>
      </c>
      <c r="L72" s="154">
        <v>2927</v>
      </c>
      <c r="M72" s="23">
        <f t="shared" si="7"/>
        <v>2594.1428571428573</v>
      </c>
      <c r="N72" s="1">
        <v>90474</v>
      </c>
      <c r="O72" s="14">
        <v>689</v>
      </c>
      <c r="P72" s="14">
        <v>68237</v>
      </c>
      <c r="Q72" s="1">
        <v>68926</v>
      </c>
      <c r="R72" s="1">
        <v>932</v>
      </c>
      <c r="S72" s="1">
        <v>2973</v>
      </c>
      <c r="T72" s="1">
        <v>1923</v>
      </c>
      <c r="U72" s="12">
        <f t="shared" si="4"/>
        <v>735</v>
      </c>
      <c r="V72" s="125">
        <f t="shared" si="10"/>
        <v>3978</v>
      </c>
      <c r="W72" s="43">
        <f t="shared" si="2"/>
        <v>3.6953242835595777E-2</v>
      </c>
      <c r="X72" s="35">
        <f t="shared" si="3"/>
        <v>4.8605820508913607E-2</v>
      </c>
      <c r="Y72" s="87"/>
      <c r="Z72" s="87">
        <f t="shared" si="9"/>
        <v>0.66630669546436283</v>
      </c>
      <c r="AB72" s="87">
        <f t="shared" si="8"/>
        <v>8.4971639407456362E-2</v>
      </c>
      <c r="AF72" s="197">
        <f>MAX($B$2:B72)</f>
        <v>285</v>
      </c>
    </row>
    <row r="73" spans="1:32" x14ac:dyDescent="0.25">
      <c r="A73" s="2">
        <v>43964</v>
      </c>
      <c r="B73" s="154">
        <v>316</v>
      </c>
      <c r="C73" s="23">
        <f t="shared" si="5"/>
        <v>238.71428571428572</v>
      </c>
      <c r="D73" s="154">
        <v>6879</v>
      </c>
      <c r="E73" s="154">
        <v>10</v>
      </c>
      <c r="F73" s="23">
        <f t="shared" si="6"/>
        <v>8</v>
      </c>
      <c r="G73" s="154">
        <v>329</v>
      </c>
      <c r="H73" s="156">
        <f t="shared" si="11"/>
        <v>119</v>
      </c>
      <c r="I73" s="179">
        <v>2385</v>
      </c>
      <c r="J73" s="154">
        <v>147</v>
      </c>
      <c r="K73" s="23">
        <f t="shared" si="7"/>
        <v>156.57142857142858</v>
      </c>
      <c r="L73" s="154">
        <v>3199</v>
      </c>
      <c r="M73" s="23">
        <f t="shared" si="7"/>
        <v>2639.2857142857142</v>
      </c>
      <c r="N73" s="1">
        <v>93673</v>
      </c>
      <c r="O73" s="14">
        <v>712</v>
      </c>
      <c r="P73" s="14">
        <v>70497</v>
      </c>
      <c r="Q73" s="1">
        <v>71209</v>
      </c>
      <c r="R73" s="1">
        <v>936</v>
      </c>
      <c r="S73" s="1">
        <v>3109</v>
      </c>
      <c r="T73" s="1">
        <v>2036</v>
      </c>
      <c r="U73" s="12">
        <f t="shared" si="4"/>
        <v>798</v>
      </c>
      <c r="V73" s="125">
        <f t="shared" si="10"/>
        <v>4165</v>
      </c>
      <c r="W73" s="43">
        <f t="shared" si="2"/>
        <v>3.5294117647058823E-2</v>
      </c>
      <c r="X73" s="35">
        <f t="shared" si="3"/>
        <v>4.7826718999854627E-2</v>
      </c>
      <c r="Y73" s="87"/>
      <c r="Z73" s="87">
        <f t="shared" si="9"/>
        <v>0.76638477801268512</v>
      </c>
      <c r="AB73" s="87">
        <f t="shared" si="8"/>
        <v>9.0446549391069012E-2</v>
      </c>
      <c r="AF73" s="197">
        <f>MAX($B$2:B73)</f>
        <v>316</v>
      </c>
    </row>
    <row r="74" spans="1:32" x14ac:dyDescent="0.25">
      <c r="A74" s="2">
        <v>43965</v>
      </c>
      <c r="B74" s="154">
        <v>255</v>
      </c>
      <c r="C74" s="23">
        <f t="shared" si="5"/>
        <v>251.85714285714286</v>
      </c>
      <c r="D74" s="154">
        <v>7134</v>
      </c>
      <c r="E74" s="154">
        <v>24</v>
      </c>
      <c r="F74" s="23">
        <f t="shared" si="6"/>
        <v>10.142857142857142</v>
      </c>
      <c r="G74" s="154">
        <v>353</v>
      </c>
      <c r="H74" s="156">
        <f t="shared" si="11"/>
        <v>112</v>
      </c>
      <c r="I74" s="179">
        <v>2497</v>
      </c>
      <c r="J74" s="154">
        <v>149</v>
      </c>
      <c r="K74" s="23">
        <f t="shared" si="7"/>
        <v>156.28571428571428</v>
      </c>
      <c r="L74" s="154">
        <v>3220</v>
      </c>
      <c r="M74" s="23">
        <f t="shared" si="7"/>
        <v>2713.1428571428573</v>
      </c>
      <c r="N74" s="1">
        <v>96893</v>
      </c>
      <c r="O74" s="14">
        <v>737</v>
      </c>
      <c r="P74" s="14">
        <v>72972</v>
      </c>
      <c r="Q74" s="1">
        <v>73709</v>
      </c>
      <c r="R74" s="1">
        <v>935</v>
      </c>
      <c r="S74" s="1">
        <v>3225</v>
      </c>
      <c r="T74" s="1">
        <v>2169</v>
      </c>
      <c r="U74" s="12">
        <f t="shared" si="4"/>
        <v>805</v>
      </c>
      <c r="V74" s="125">
        <f t="shared" si="10"/>
        <v>4284</v>
      </c>
      <c r="W74" s="43">
        <f t="shared" si="2"/>
        <v>3.4780578898225958E-2</v>
      </c>
      <c r="X74" s="35">
        <f t="shared" si="3"/>
        <v>4.9481356882534341E-2</v>
      </c>
      <c r="Y74" s="87"/>
      <c r="Z74" s="87">
        <f t="shared" si="9"/>
        <v>0.6308973172987975</v>
      </c>
      <c r="AB74" s="87">
        <f t="shared" si="8"/>
        <v>9.2828559393428808E-2</v>
      </c>
      <c r="AF74" s="197">
        <f>MAX($B$2:B74)</f>
        <v>316</v>
      </c>
    </row>
    <row r="75" spans="1:32" x14ac:dyDescent="0.25">
      <c r="A75" s="2">
        <v>43966</v>
      </c>
      <c r="B75" s="154">
        <v>345</v>
      </c>
      <c r="C75" s="23">
        <f t="shared" si="5"/>
        <v>266.85714285714283</v>
      </c>
      <c r="D75" s="154">
        <v>7479</v>
      </c>
      <c r="E75" s="154">
        <v>3</v>
      </c>
      <c r="F75" s="23">
        <f t="shared" si="6"/>
        <v>9</v>
      </c>
      <c r="G75" s="154">
        <v>356</v>
      </c>
      <c r="H75" s="156">
        <f t="shared" si="11"/>
        <v>37</v>
      </c>
      <c r="I75" s="179">
        <v>2534</v>
      </c>
      <c r="J75" s="154">
        <v>151</v>
      </c>
      <c r="K75" s="23">
        <f t="shared" si="7"/>
        <v>155.42857142857142</v>
      </c>
      <c r="L75" s="154">
        <v>3469</v>
      </c>
      <c r="M75" s="23">
        <f t="shared" si="7"/>
        <v>2804.7142857142858</v>
      </c>
      <c r="N75" s="1">
        <v>100362</v>
      </c>
      <c r="O75" s="14">
        <v>610</v>
      </c>
      <c r="P75" s="14">
        <v>75647</v>
      </c>
      <c r="Q75" s="1">
        <v>76257</v>
      </c>
      <c r="R75" s="1">
        <v>937</v>
      </c>
      <c r="S75" s="1">
        <v>3367</v>
      </c>
      <c r="T75" s="1">
        <v>2272</v>
      </c>
      <c r="U75" s="12">
        <f t="shared" si="4"/>
        <v>903</v>
      </c>
      <c r="V75" s="125">
        <f t="shared" si="10"/>
        <v>4589</v>
      </c>
      <c r="W75" s="43">
        <f t="shared" si="2"/>
        <v>3.2904772281542823E-2</v>
      </c>
      <c r="X75" s="35">
        <f t="shared" si="3"/>
        <v>4.7599946516914023E-2</v>
      </c>
      <c r="Y75" s="87"/>
      <c r="Z75" s="87">
        <f t="shared" si="9"/>
        <v>0.70282588878760222</v>
      </c>
      <c r="AB75" s="87">
        <f t="shared" si="8"/>
        <v>9.5145927774665101E-2</v>
      </c>
      <c r="AF75" s="197">
        <f>MAX($B$2:B75)</f>
        <v>345</v>
      </c>
    </row>
    <row r="76" spans="1:32" x14ac:dyDescent="0.25">
      <c r="A76" s="2">
        <v>43967</v>
      </c>
      <c r="B76" s="154">
        <v>327</v>
      </c>
      <c r="C76" s="23">
        <f t="shared" si="5"/>
        <v>290</v>
      </c>
      <c r="D76" s="154">
        <v>7805</v>
      </c>
      <c r="E76" s="154">
        <v>7</v>
      </c>
      <c r="F76" s="23">
        <f t="shared" si="6"/>
        <v>9</v>
      </c>
      <c r="G76" s="154">
        <v>363</v>
      </c>
      <c r="H76" s="156">
        <f t="shared" si="11"/>
        <v>35</v>
      </c>
      <c r="I76" s="179">
        <v>2569</v>
      </c>
      <c r="J76" s="154">
        <v>154</v>
      </c>
      <c r="K76" s="23">
        <f t="shared" si="7"/>
        <v>154.57142857142858</v>
      </c>
      <c r="L76" s="154">
        <v>2858</v>
      </c>
      <c r="M76" s="23">
        <f t="shared" si="7"/>
        <v>2886</v>
      </c>
      <c r="N76" s="1">
        <v>103220</v>
      </c>
      <c r="O76" s="14">
        <v>626</v>
      </c>
      <c r="P76" s="14">
        <v>77581</v>
      </c>
      <c r="Q76" s="1">
        <v>78207</v>
      </c>
      <c r="R76" s="1">
        <v>987</v>
      </c>
      <c r="S76" s="1">
        <v>3482</v>
      </c>
      <c r="T76" s="1">
        <v>2372</v>
      </c>
      <c r="U76" s="12">
        <f t="shared" si="4"/>
        <v>964</v>
      </c>
      <c r="V76" s="125">
        <f t="shared" si="10"/>
        <v>4873</v>
      </c>
      <c r="W76" s="43">
        <f t="shared" si="2"/>
        <v>3.160270880361174E-2</v>
      </c>
      <c r="X76" s="35">
        <f t="shared" si="3"/>
        <v>4.6508648302370274E-2</v>
      </c>
      <c r="Y76" s="87"/>
      <c r="Z76" s="87">
        <f t="shared" si="9"/>
        <v>0.62140575079872207</v>
      </c>
      <c r="AB76" s="87">
        <f t="shared" si="8"/>
        <v>0.10048510048510048</v>
      </c>
      <c r="AF76" s="197">
        <f>MAX($B$2:B76)</f>
        <v>345</v>
      </c>
    </row>
    <row r="77" spans="1:32" x14ac:dyDescent="0.25">
      <c r="A77" s="2">
        <v>43968</v>
      </c>
      <c r="B77" s="154">
        <v>263</v>
      </c>
      <c r="C77" s="23">
        <f t="shared" si="5"/>
        <v>290.71428571428572</v>
      </c>
      <c r="D77" s="154">
        <v>8086</v>
      </c>
      <c r="E77" s="154">
        <v>10</v>
      </c>
      <c r="F77" s="23">
        <f t="shared" si="6"/>
        <v>9.7142857142857135</v>
      </c>
      <c r="G77" s="154">
        <v>373</v>
      </c>
      <c r="H77" s="156">
        <f t="shared" si="11"/>
        <v>56</v>
      </c>
      <c r="I77" s="179">
        <v>2625</v>
      </c>
      <c r="J77" s="154">
        <v>159</v>
      </c>
      <c r="K77" s="23">
        <f t="shared" si="7"/>
        <v>153.85714285714286</v>
      </c>
      <c r="L77" s="154">
        <v>2609</v>
      </c>
      <c r="M77" s="23">
        <f t="shared" si="7"/>
        <v>2953</v>
      </c>
      <c r="N77" s="1">
        <v>105829</v>
      </c>
      <c r="O77" s="14">
        <v>640</v>
      </c>
      <c r="P77" s="14">
        <v>79462</v>
      </c>
      <c r="Q77" s="1">
        <v>80102</v>
      </c>
      <c r="R77" s="1">
        <v>939</v>
      </c>
      <c r="S77" s="1">
        <v>3561</v>
      </c>
      <c r="T77" s="1">
        <v>2468</v>
      </c>
      <c r="U77" s="12">
        <f t="shared" si="4"/>
        <v>1118</v>
      </c>
      <c r="V77" s="125">
        <f t="shared" si="10"/>
        <v>5088</v>
      </c>
      <c r="W77" s="43">
        <f t="shared" si="2"/>
        <v>3.125E-2</v>
      </c>
      <c r="X77" s="35">
        <f t="shared" si="3"/>
        <v>4.6129112045510762E-2</v>
      </c>
      <c r="Y77" s="87"/>
      <c r="Z77" s="87">
        <f t="shared" si="9"/>
        <v>0.46192528735632177</v>
      </c>
      <c r="AB77" s="87">
        <f t="shared" si="8"/>
        <v>9.8447099801654489E-2</v>
      </c>
      <c r="AF77" s="197">
        <f>MAX($B$2:B77)</f>
        <v>345</v>
      </c>
    </row>
    <row r="78" spans="1:32" x14ac:dyDescent="0.25">
      <c r="A78" s="2">
        <v>43969</v>
      </c>
      <c r="B78" s="154">
        <v>303</v>
      </c>
      <c r="C78" s="23">
        <f t="shared" si="5"/>
        <v>299.14285714285717</v>
      </c>
      <c r="D78" s="154">
        <v>8371</v>
      </c>
      <c r="E78" s="154">
        <v>9</v>
      </c>
      <c r="F78" s="23">
        <f t="shared" si="6"/>
        <v>9.7142857142857135</v>
      </c>
      <c r="G78" s="154">
        <v>382</v>
      </c>
      <c r="H78" s="156">
        <f t="shared" si="11"/>
        <v>247</v>
      </c>
      <c r="I78" s="179">
        <v>2872</v>
      </c>
      <c r="J78" s="154">
        <v>156</v>
      </c>
      <c r="K78" s="23">
        <f t="shared" si="7"/>
        <v>151.85714285714286</v>
      </c>
      <c r="L78" s="154">
        <v>2805</v>
      </c>
      <c r="M78" s="23">
        <f t="shared" si="7"/>
        <v>3012.4285714285716</v>
      </c>
      <c r="N78" s="1">
        <v>108634</v>
      </c>
      <c r="O78" s="14">
        <v>657</v>
      </c>
      <c r="P78" s="14">
        <v>81466</v>
      </c>
      <c r="Q78" s="1">
        <v>82123</v>
      </c>
      <c r="R78" s="1">
        <v>939</v>
      </c>
      <c r="S78" s="1">
        <v>3718</v>
      </c>
      <c r="T78" s="1">
        <v>2607</v>
      </c>
      <c r="U78" s="12">
        <f t="shared" si="4"/>
        <v>1107</v>
      </c>
      <c r="V78" s="125">
        <f t="shared" si="10"/>
        <v>5117</v>
      </c>
      <c r="W78" s="43">
        <f t="shared" ref="W78:W141" si="12">J78/(D78-G78-I78)</f>
        <v>3.0486613249951142E-2</v>
      </c>
      <c r="X78" s="35">
        <f t="shared" si="3"/>
        <v>4.5633735515470078E-2</v>
      </c>
      <c r="Y78" s="87"/>
      <c r="Z78" s="87">
        <f t="shared" si="9"/>
        <v>0.35709656513285815</v>
      </c>
      <c r="AB78" s="87">
        <f t="shared" si="8"/>
        <v>9.9302888035282408E-2</v>
      </c>
      <c r="AF78" s="197">
        <f>MAX($B$2:B78)</f>
        <v>345</v>
      </c>
    </row>
    <row r="79" spans="1:32" x14ac:dyDescent="0.25">
      <c r="A79" s="2">
        <v>43970</v>
      </c>
      <c r="B79" s="154">
        <v>438</v>
      </c>
      <c r="C79" s="23">
        <f t="shared" si="5"/>
        <v>321</v>
      </c>
      <c r="D79" s="154">
        <v>8809</v>
      </c>
      <c r="E79" s="154">
        <v>11</v>
      </c>
      <c r="F79" s="23">
        <f t="shared" si="6"/>
        <v>10.571428571428571</v>
      </c>
      <c r="G79" s="154">
        <v>393</v>
      </c>
      <c r="H79" s="156">
        <f t="shared" si="11"/>
        <v>61</v>
      </c>
      <c r="I79" s="179">
        <v>2933</v>
      </c>
      <c r="J79" s="154">
        <v>161</v>
      </c>
      <c r="K79" s="23">
        <f t="shared" si="7"/>
        <v>153.85714285714286</v>
      </c>
      <c r="L79" s="154">
        <v>3736</v>
      </c>
      <c r="M79" s="23">
        <f t="shared" si="7"/>
        <v>3128</v>
      </c>
      <c r="N79" s="1">
        <v>112370</v>
      </c>
      <c r="O79" s="14">
        <v>681</v>
      </c>
      <c r="P79" s="14">
        <v>84449</v>
      </c>
      <c r="Q79" s="1">
        <v>85130</v>
      </c>
      <c r="R79" s="1">
        <v>940</v>
      </c>
      <c r="S79" s="1">
        <v>3879</v>
      </c>
      <c r="T79" s="1">
        <v>2758</v>
      </c>
      <c r="U79" s="12">
        <f t="shared" si="4"/>
        <v>1232</v>
      </c>
      <c r="V79" s="125">
        <f t="shared" si="10"/>
        <v>5483</v>
      </c>
      <c r="W79" s="43">
        <f t="shared" si="12"/>
        <v>2.9363487142075505E-2</v>
      </c>
      <c r="X79" s="35">
        <f t="shared" ref="X79:X142" si="13">G79/D79</f>
        <v>4.4613463503235327E-2</v>
      </c>
      <c r="Y79" s="87"/>
      <c r="Z79" s="87">
        <f t="shared" si="9"/>
        <v>0.34470377019748644</v>
      </c>
      <c r="AB79" s="87">
        <f t="shared" si="8"/>
        <v>0.10262148337595908</v>
      </c>
      <c r="AF79" s="197">
        <f>MAX($B$2:B79)</f>
        <v>438</v>
      </c>
    </row>
    <row r="80" spans="1:32" x14ac:dyDescent="0.25">
      <c r="A80" s="2">
        <v>43971</v>
      </c>
      <c r="B80" s="154">
        <v>474</v>
      </c>
      <c r="C80" s="23">
        <f t="shared" si="5"/>
        <v>343.57142857142856</v>
      </c>
      <c r="D80" s="154">
        <v>9283</v>
      </c>
      <c r="E80" s="154">
        <v>10</v>
      </c>
      <c r="F80" s="23">
        <f t="shared" si="6"/>
        <v>10.571428571428571</v>
      </c>
      <c r="G80" s="154">
        <v>403</v>
      </c>
      <c r="H80" s="156">
        <f t="shared" si="11"/>
        <v>99</v>
      </c>
      <c r="I80" s="179">
        <v>3032</v>
      </c>
      <c r="J80" s="154">
        <v>171</v>
      </c>
      <c r="K80" s="23">
        <f t="shared" si="7"/>
        <v>157.28571428571428</v>
      </c>
      <c r="L80" s="154">
        <v>4319</v>
      </c>
      <c r="M80" s="23">
        <f t="shared" si="7"/>
        <v>3288</v>
      </c>
      <c r="N80" s="1">
        <v>116689</v>
      </c>
      <c r="O80" s="14">
        <v>705</v>
      </c>
      <c r="P80" s="14">
        <v>87447</v>
      </c>
      <c r="Q80" s="1">
        <v>88152</v>
      </c>
      <c r="R80" s="1">
        <v>945</v>
      </c>
      <c r="S80" s="1">
        <v>4068</v>
      </c>
      <c r="T80" s="1">
        <v>2919</v>
      </c>
      <c r="U80" s="12">
        <f t="shared" si="4"/>
        <v>1351</v>
      </c>
      <c r="V80" s="125">
        <f t="shared" si="10"/>
        <v>5848</v>
      </c>
      <c r="W80" s="43">
        <f t="shared" si="12"/>
        <v>2.924076607387141E-2</v>
      </c>
      <c r="X80" s="35">
        <f t="shared" si="13"/>
        <v>4.341268986319078E-2</v>
      </c>
      <c r="Y80" s="87"/>
      <c r="Z80" s="87">
        <f t="shared" si="9"/>
        <v>0.3641520136131593</v>
      </c>
      <c r="AB80" s="87">
        <f t="shared" si="8"/>
        <v>0.10449252693778241</v>
      </c>
      <c r="AF80" s="197">
        <f>MAX($B$2:B80)</f>
        <v>474</v>
      </c>
    </row>
    <row r="81" spans="1:32" x14ac:dyDescent="0.25">
      <c r="A81" s="2">
        <v>43972</v>
      </c>
      <c r="B81" s="154">
        <v>648</v>
      </c>
      <c r="C81" s="23">
        <f t="shared" si="5"/>
        <v>399.71428571428572</v>
      </c>
      <c r="D81" s="154">
        <v>9931</v>
      </c>
      <c r="E81" s="154">
        <v>13</v>
      </c>
      <c r="F81" s="23">
        <f t="shared" si="6"/>
        <v>9</v>
      </c>
      <c r="G81" s="154">
        <v>416</v>
      </c>
      <c r="H81" s="156">
        <f t="shared" si="11"/>
        <v>30</v>
      </c>
      <c r="I81" s="179">
        <v>3062</v>
      </c>
      <c r="J81" s="154">
        <v>172</v>
      </c>
      <c r="K81" s="23">
        <f t="shared" si="7"/>
        <v>160.57142857142858</v>
      </c>
      <c r="L81" s="154">
        <v>4589</v>
      </c>
      <c r="M81" s="23">
        <f t="shared" si="7"/>
        <v>3483.5714285714284</v>
      </c>
      <c r="N81" s="1">
        <v>121278</v>
      </c>
      <c r="O81" s="14">
        <v>731</v>
      </c>
      <c r="P81" s="14">
        <v>90667</v>
      </c>
      <c r="Q81" s="1">
        <v>91398</v>
      </c>
      <c r="R81" s="1">
        <v>947</v>
      </c>
      <c r="S81" s="1">
        <v>4334</v>
      </c>
      <c r="T81" s="1">
        <v>3154</v>
      </c>
      <c r="U81" s="12">
        <f t="shared" ref="U81:U95" si="14">D81-T81-S81-R81</f>
        <v>1496</v>
      </c>
      <c r="V81" s="125">
        <f t="shared" si="10"/>
        <v>6453</v>
      </c>
      <c r="W81" s="43">
        <f t="shared" si="12"/>
        <v>2.66542693320936E-2</v>
      </c>
      <c r="X81" s="35">
        <f t="shared" si="13"/>
        <v>4.1889034336924778E-2</v>
      </c>
      <c r="Y81" s="87"/>
      <c r="Z81" s="87">
        <f t="shared" si="9"/>
        <v>0.49785867237687387</v>
      </c>
      <c r="AB81" s="87">
        <f t="shared" si="8"/>
        <v>0.11474266967397991</v>
      </c>
      <c r="AD81" s="87">
        <f t="shared" ref="AD81:AD144" si="15">V81/V74-1</f>
        <v>0.50630252100840334</v>
      </c>
      <c r="AF81" s="197">
        <f>MAX($B$2:B81)</f>
        <v>648</v>
      </c>
    </row>
    <row r="82" spans="1:32" x14ac:dyDescent="0.25">
      <c r="A82" s="2">
        <v>43973</v>
      </c>
      <c r="B82" s="154">
        <v>718</v>
      </c>
      <c r="C82" s="23">
        <f t="shared" si="5"/>
        <v>453</v>
      </c>
      <c r="D82" s="154">
        <v>10649</v>
      </c>
      <c r="E82" s="154">
        <v>18</v>
      </c>
      <c r="F82" s="23">
        <f t="shared" si="6"/>
        <v>11.142857142857142</v>
      </c>
      <c r="G82" s="154">
        <v>433</v>
      </c>
      <c r="H82" s="156">
        <f t="shared" si="11"/>
        <v>468</v>
      </c>
      <c r="I82" s="179">
        <v>3530</v>
      </c>
      <c r="J82" s="154">
        <v>173</v>
      </c>
      <c r="K82" s="23">
        <f t="shared" si="7"/>
        <v>163.71428571428572</v>
      </c>
      <c r="L82" s="154">
        <v>4615</v>
      </c>
      <c r="M82" s="23">
        <f t="shared" si="7"/>
        <v>3647.2857142857142</v>
      </c>
      <c r="N82" s="1">
        <v>125893</v>
      </c>
      <c r="O82" s="14">
        <v>754</v>
      </c>
      <c r="P82" s="14">
        <v>93528</v>
      </c>
      <c r="Q82" s="1">
        <v>94282</v>
      </c>
      <c r="R82" s="1">
        <v>948</v>
      </c>
      <c r="S82" s="1">
        <v>4648</v>
      </c>
      <c r="T82" s="1">
        <v>3314</v>
      </c>
      <c r="U82" s="12">
        <f t="shared" si="14"/>
        <v>1739</v>
      </c>
      <c r="V82" s="125">
        <f t="shared" si="10"/>
        <v>6686</v>
      </c>
      <c r="W82" s="43">
        <f t="shared" si="12"/>
        <v>2.5874962608435536E-2</v>
      </c>
      <c r="X82" s="35">
        <f t="shared" si="13"/>
        <v>4.0661094938491876E-2</v>
      </c>
      <c r="Y82" s="87"/>
      <c r="Z82" s="87">
        <f t="shared" si="9"/>
        <v>0.56206896551724128</v>
      </c>
      <c r="AB82" s="87">
        <f t="shared" si="8"/>
        <v>0.12420195056989543</v>
      </c>
      <c r="AD82" s="87">
        <f t="shared" si="15"/>
        <v>0.45696230115493575</v>
      </c>
      <c r="AF82" s="197">
        <f>MAX($B$2:B82)</f>
        <v>718</v>
      </c>
    </row>
    <row r="83" spans="1:32" x14ac:dyDescent="0.25">
      <c r="A83" s="2">
        <v>43974</v>
      </c>
      <c r="B83" s="154">
        <v>704</v>
      </c>
      <c r="C83" s="23">
        <f t="shared" si="5"/>
        <v>506.85714285714283</v>
      </c>
      <c r="D83" s="154">
        <v>11353</v>
      </c>
      <c r="E83" s="154">
        <v>12</v>
      </c>
      <c r="F83" s="23">
        <f t="shared" si="6"/>
        <v>11.857142857142858</v>
      </c>
      <c r="G83" s="154">
        <v>445</v>
      </c>
      <c r="H83" s="156">
        <f t="shared" si="11"/>
        <v>202</v>
      </c>
      <c r="I83" s="179">
        <v>3732</v>
      </c>
      <c r="J83" s="154">
        <v>181</v>
      </c>
      <c r="K83" s="23">
        <f t="shared" si="7"/>
        <v>167.57142857142858</v>
      </c>
      <c r="L83" s="154">
        <v>3525</v>
      </c>
      <c r="M83" s="23">
        <f t="shared" si="7"/>
        <v>3742.5714285714284</v>
      </c>
      <c r="N83" s="1">
        <v>129418</v>
      </c>
      <c r="O83" s="14">
        <v>773</v>
      </c>
      <c r="P83" s="14">
        <v>95859</v>
      </c>
      <c r="Q83" s="1">
        <v>96632</v>
      </c>
      <c r="R83" s="1">
        <v>951</v>
      </c>
      <c r="S83" s="1">
        <v>4955</v>
      </c>
      <c r="T83" s="1">
        <v>3540</v>
      </c>
      <c r="U83" s="12">
        <f t="shared" si="14"/>
        <v>1907</v>
      </c>
      <c r="V83" s="125">
        <f t="shared" si="10"/>
        <v>7176</v>
      </c>
      <c r="W83" s="43">
        <f t="shared" si="12"/>
        <v>2.5222965440356744E-2</v>
      </c>
      <c r="X83" s="35">
        <f t="shared" si="13"/>
        <v>3.9196688100061661E-2</v>
      </c>
      <c r="Y83" s="87"/>
      <c r="Z83" s="87">
        <f t="shared" si="9"/>
        <v>0.74348894348894334</v>
      </c>
      <c r="AB83" s="87">
        <f t="shared" si="8"/>
        <v>0.1354301855103443</v>
      </c>
      <c r="AD83" s="87">
        <f t="shared" si="15"/>
        <v>0.47260414529037553</v>
      </c>
      <c r="AF83" s="197">
        <f>MAX($B$2:B83)</f>
        <v>718</v>
      </c>
    </row>
    <row r="84" spans="1:32" x14ac:dyDescent="0.25">
      <c r="A84" s="2">
        <v>43975</v>
      </c>
      <c r="B84" s="154">
        <v>723</v>
      </c>
      <c r="C84" s="23">
        <f t="shared" si="5"/>
        <v>572.57142857142856</v>
      </c>
      <c r="D84" s="154">
        <v>12076</v>
      </c>
      <c r="E84" s="154">
        <v>8</v>
      </c>
      <c r="F84" s="23">
        <f t="shared" si="6"/>
        <v>11.571428571428571</v>
      </c>
      <c r="G84" s="154">
        <v>452</v>
      </c>
      <c r="H84" s="156">
        <f t="shared" si="11"/>
        <v>267</v>
      </c>
      <c r="I84" s="179">
        <v>3999</v>
      </c>
      <c r="J84" s="154">
        <v>181</v>
      </c>
      <c r="K84" s="23">
        <f t="shared" si="7"/>
        <v>170.71428571428572</v>
      </c>
      <c r="L84" s="154">
        <v>4050</v>
      </c>
      <c r="M84" s="23">
        <f t="shared" si="7"/>
        <v>3948.4285714285716</v>
      </c>
      <c r="N84" s="1">
        <v>133468</v>
      </c>
      <c r="O84" s="14">
        <v>793</v>
      </c>
      <c r="P84" s="14">
        <v>98352</v>
      </c>
      <c r="Q84" s="1">
        <v>99145</v>
      </c>
      <c r="R84" s="1">
        <v>955</v>
      </c>
      <c r="S84" s="1">
        <v>5302</v>
      </c>
      <c r="T84" s="1">
        <v>3766</v>
      </c>
      <c r="U84" s="12">
        <f t="shared" si="14"/>
        <v>2053</v>
      </c>
      <c r="V84" s="125">
        <f t="shared" si="10"/>
        <v>7625</v>
      </c>
      <c r="W84" s="43">
        <f t="shared" si="12"/>
        <v>2.3737704918032787E-2</v>
      </c>
      <c r="X84" s="35">
        <f t="shared" si="13"/>
        <v>3.742961245445512E-2</v>
      </c>
      <c r="Y84" s="87"/>
      <c r="Z84" s="87">
        <f t="shared" si="9"/>
        <v>0.91404011461318024</v>
      </c>
      <c r="AB84" s="87">
        <f t="shared" si="8"/>
        <v>0.14501248236187994</v>
      </c>
      <c r="AD84" s="87">
        <f t="shared" si="15"/>
        <v>0.49862421383647804</v>
      </c>
      <c r="AF84" s="197">
        <f>MAX($B$2:B84)</f>
        <v>723</v>
      </c>
    </row>
    <row r="85" spans="1:32" x14ac:dyDescent="0.25">
      <c r="A85" s="2">
        <v>43976</v>
      </c>
      <c r="B85" s="154">
        <v>552</v>
      </c>
      <c r="C85" s="23">
        <f t="shared" si="5"/>
        <v>608.14285714285711</v>
      </c>
      <c r="D85" s="154">
        <v>12628</v>
      </c>
      <c r="E85" s="154">
        <v>15</v>
      </c>
      <c r="F85" s="23">
        <f t="shared" si="6"/>
        <v>12.428571428571429</v>
      </c>
      <c r="G85" s="154">
        <v>467</v>
      </c>
      <c r="H85" s="156">
        <f t="shared" si="11"/>
        <v>168</v>
      </c>
      <c r="I85" s="179">
        <v>4167</v>
      </c>
      <c r="J85" s="154">
        <v>203</v>
      </c>
      <c r="K85" s="23">
        <f t="shared" si="7"/>
        <v>177.42857142857142</v>
      </c>
      <c r="L85" s="154">
        <v>3194</v>
      </c>
      <c r="M85" s="23">
        <f t="shared" si="7"/>
        <v>4004</v>
      </c>
      <c r="N85" s="1">
        <v>136662</v>
      </c>
      <c r="O85" s="14">
        <v>709</v>
      </c>
      <c r="P85" s="14">
        <v>100639</v>
      </c>
      <c r="Q85" s="1">
        <v>101348</v>
      </c>
      <c r="R85" s="1">
        <v>956</v>
      </c>
      <c r="S85" s="1">
        <v>5563</v>
      </c>
      <c r="T85" s="1">
        <v>4057</v>
      </c>
      <c r="U85" s="12">
        <f t="shared" si="14"/>
        <v>2052</v>
      </c>
      <c r="V85" s="125">
        <f t="shared" si="10"/>
        <v>7994</v>
      </c>
      <c r="W85" s="43">
        <f t="shared" si="12"/>
        <v>2.5394045534150613E-2</v>
      </c>
      <c r="X85" s="35">
        <f t="shared" si="13"/>
        <v>3.6981311371555275E-2</v>
      </c>
      <c r="Y85" s="87"/>
      <c r="Z85" s="87">
        <f t="shared" si="9"/>
        <v>0.89452603471295045</v>
      </c>
      <c r="AB85" s="87">
        <f t="shared" si="8"/>
        <v>0.15188383045525902</v>
      </c>
      <c r="AD85" s="87">
        <f t="shared" si="15"/>
        <v>0.56224350205198359</v>
      </c>
      <c r="AF85" s="197">
        <f>MAX($B$2:B85)</f>
        <v>723</v>
      </c>
    </row>
    <row r="86" spans="1:32" x14ac:dyDescent="0.25">
      <c r="A86" s="2">
        <v>43977</v>
      </c>
      <c r="B86" s="154">
        <v>600</v>
      </c>
      <c r="C86" s="23">
        <f t="shared" si="5"/>
        <v>631.28571428571433</v>
      </c>
      <c r="D86" s="154">
        <v>13228</v>
      </c>
      <c r="E86" s="154">
        <v>23</v>
      </c>
      <c r="F86" s="23">
        <f t="shared" si="6"/>
        <v>14.142857142857142</v>
      </c>
      <c r="G86" s="154">
        <v>490</v>
      </c>
      <c r="H86" s="156">
        <f t="shared" si="11"/>
        <v>182</v>
      </c>
      <c r="I86" s="179">
        <v>4349</v>
      </c>
      <c r="J86" s="154">
        <v>250</v>
      </c>
      <c r="K86" s="23">
        <f t="shared" si="7"/>
        <v>190.14285714285714</v>
      </c>
      <c r="L86" s="154">
        <v>3556</v>
      </c>
      <c r="M86" s="23">
        <f t="shared" si="7"/>
        <v>3978.2857142857142</v>
      </c>
      <c r="N86" s="1">
        <v>140218</v>
      </c>
      <c r="O86" s="14">
        <v>727</v>
      </c>
      <c r="P86" s="14">
        <v>103173</v>
      </c>
      <c r="Q86" s="1">
        <v>103900</v>
      </c>
      <c r="R86" s="3">
        <v>959</v>
      </c>
      <c r="S86" s="3">
        <v>5813</v>
      </c>
      <c r="T86" s="3">
        <v>4354</v>
      </c>
      <c r="U86" s="12">
        <f t="shared" si="14"/>
        <v>2102</v>
      </c>
      <c r="V86" s="125">
        <f t="shared" si="10"/>
        <v>8389</v>
      </c>
      <c r="W86" s="43">
        <f t="shared" si="12"/>
        <v>2.9800929789009417E-2</v>
      </c>
      <c r="X86" s="35">
        <f t="shared" si="13"/>
        <v>3.704263683096462E-2</v>
      </c>
      <c r="Y86" s="87"/>
      <c r="Z86" s="87">
        <f t="shared" si="9"/>
        <v>0.83742203742203758</v>
      </c>
      <c r="AB86" s="87">
        <f t="shared" si="8"/>
        <v>0.15868284975581728</v>
      </c>
      <c r="AD86" s="87">
        <f t="shared" si="15"/>
        <v>0.53000182381907712</v>
      </c>
      <c r="AF86" s="197">
        <f>MAX($B$2:B86)</f>
        <v>723</v>
      </c>
    </row>
    <row r="87" spans="1:32" x14ac:dyDescent="0.25">
      <c r="A87" s="2">
        <v>43978</v>
      </c>
      <c r="B87" s="154">
        <v>706</v>
      </c>
      <c r="C87" s="23">
        <f t="shared" si="5"/>
        <v>664.42857142857144</v>
      </c>
      <c r="D87" s="154">
        <v>13933</v>
      </c>
      <c r="E87" s="154">
        <v>10</v>
      </c>
      <c r="F87" s="23">
        <f t="shared" si="6"/>
        <v>14.142857142857142</v>
      </c>
      <c r="G87" s="154">
        <v>500</v>
      </c>
      <c r="H87" s="156">
        <f t="shared" si="11"/>
        <v>268</v>
      </c>
      <c r="I87" s="179">
        <v>4617</v>
      </c>
      <c r="J87" s="154">
        <v>254</v>
      </c>
      <c r="K87" s="23">
        <f t="shared" si="7"/>
        <v>202</v>
      </c>
      <c r="L87" s="154">
        <v>4863</v>
      </c>
      <c r="M87" s="23">
        <f t="shared" si="7"/>
        <v>4056</v>
      </c>
      <c r="N87" s="1">
        <v>145081</v>
      </c>
      <c r="O87" s="14">
        <v>642</v>
      </c>
      <c r="P87" s="14">
        <v>106456</v>
      </c>
      <c r="Q87" s="1">
        <v>107098</v>
      </c>
      <c r="R87" s="1">
        <v>961</v>
      </c>
      <c r="S87" s="1">
        <v>6091</v>
      </c>
      <c r="T87" s="1">
        <v>4694</v>
      </c>
      <c r="U87" s="12">
        <f t="shared" si="14"/>
        <v>2187</v>
      </c>
      <c r="V87" s="125">
        <f t="shared" si="10"/>
        <v>8816</v>
      </c>
      <c r="W87" s="43">
        <f t="shared" si="12"/>
        <v>2.8811252268602542E-2</v>
      </c>
      <c r="X87" s="35">
        <f t="shared" si="13"/>
        <v>3.5886025981482814E-2</v>
      </c>
      <c r="Y87" s="87"/>
      <c r="Z87" s="87">
        <f t="shared" si="9"/>
        <v>0.66225875625446751</v>
      </c>
      <c r="AB87" s="87">
        <f t="shared" si="8"/>
        <v>0.16381375035221188</v>
      </c>
      <c r="AD87" s="87">
        <f t="shared" si="15"/>
        <v>0.50752393980848143</v>
      </c>
      <c r="AF87" s="197">
        <f>MAX($B$2:B87)</f>
        <v>723</v>
      </c>
    </row>
    <row r="88" spans="1:32" x14ac:dyDescent="0.25">
      <c r="A88" s="2">
        <v>43979</v>
      </c>
      <c r="B88" s="154">
        <v>769</v>
      </c>
      <c r="C88" s="23">
        <f t="shared" si="5"/>
        <v>681.71428571428567</v>
      </c>
      <c r="D88" s="154">
        <v>14702</v>
      </c>
      <c r="E88" s="154">
        <v>8</v>
      </c>
      <c r="F88" s="23">
        <f t="shared" si="6"/>
        <v>13.428571428571429</v>
      </c>
      <c r="G88" s="154">
        <v>508</v>
      </c>
      <c r="H88" s="156">
        <f t="shared" si="11"/>
        <v>171</v>
      </c>
      <c r="I88" s="179">
        <v>4788</v>
      </c>
      <c r="J88" s="154">
        <v>259</v>
      </c>
      <c r="K88" s="23">
        <f t="shared" si="7"/>
        <v>214.42857142857142</v>
      </c>
      <c r="L88" s="154">
        <v>5405</v>
      </c>
      <c r="M88" s="23">
        <f t="shared" si="7"/>
        <v>4172.5714285714284</v>
      </c>
      <c r="N88" s="1">
        <v>150486</v>
      </c>
      <c r="O88" s="14">
        <v>664</v>
      </c>
      <c r="P88" s="14">
        <v>110132</v>
      </c>
      <c r="Q88" s="4">
        <v>110796</v>
      </c>
      <c r="R88" s="1">
        <v>967</v>
      </c>
      <c r="S88" s="1">
        <v>6450</v>
      </c>
      <c r="T88" s="1">
        <v>5051</v>
      </c>
      <c r="U88" s="12">
        <f t="shared" si="14"/>
        <v>2234</v>
      </c>
      <c r="V88" s="125">
        <f t="shared" si="10"/>
        <v>9406</v>
      </c>
      <c r="W88" s="43">
        <f t="shared" si="12"/>
        <v>2.7535615564533277E-2</v>
      </c>
      <c r="X88" s="35">
        <f t="shared" si="13"/>
        <v>3.4553122024214393E-2</v>
      </c>
      <c r="Y88" s="87"/>
      <c r="Z88" s="87">
        <f t="shared" si="9"/>
        <v>0.50488804793440534</v>
      </c>
      <c r="AB88" s="87">
        <f t="shared" si="8"/>
        <v>0.16337989591892632</v>
      </c>
      <c r="AD88" s="87">
        <f t="shared" si="15"/>
        <v>0.45761661242832785</v>
      </c>
      <c r="AF88" s="197">
        <f>MAX($B$2:B88)</f>
        <v>769</v>
      </c>
    </row>
    <row r="89" spans="1:32" x14ac:dyDescent="0.25">
      <c r="A89" s="2">
        <v>43980</v>
      </c>
      <c r="B89" s="156">
        <v>717</v>
      </c>
      <c r="C89" s="23">
        <f t="shared" si="5"/>
        <v>681.57142857142856</v>
      </c>
      <c r="D89" s="156">
        <v>15419</v>
      </c>
      <c r="E89" s="156">
        <v>12</v>
      </c>
      <c r="F89" s="23">
        <f t="shared" si="6"/>
        <v>12.571428571428571</v>
      </c>
      <c r="G89" s="154">
        <v>520</v>
      </c>
      <c r="H89" s="156">
        <f t="shared" si="11"/>
        <v>312</v>
      </c>
      <c r="I89" s="179">
        <v>5100</v>
      </c>
      <c r="J89" s="154">
        <v>244</v>
      </c>
      <c r="K89" s="23">
        <f t="shared" si="7"/>
        <v>224.57142857142858</v>
      </c>
      <c r="L89" s="156">
        <v>4921</v>
      </c>
      <c r="M89" s="23">
        <f t="shared" si="7"/>
        <v>4216.2857142857147</v>
      </c>
      <c r="N89" s="4">
        <v>155400</v>
      </c>
      <c r="O89" s="7">
        <v>798</v>
      </c>
      <c r="P89" s="7">
        <v>113314</v>
      </c>
      <c r="Q89" s="4">
        <v>114112</v>
      </c>
      <c r="R89" s="4">
        <v>968</v>
      </c>
      <c r="S89" s="4">
        <v>6727</v>
      </c>
      <c r="T89" s="4">
        <v>5408</v>
      </c>
      <c r="U89" s="12">
        <f t="shared" si="14"/>
        <v>2316</v>
      </c>
      <c r="V89" s="125">
        <f t="shared" si="10"/>
        <v>9799</v>
      </c>
      <c r="W89" s="43">
        <f t="shared" si="12"/>
        <v>2.4900500051025613E-2</v>
      </c>
      <c r="X89" s="35">
        <f t="shared" si="13"/>
        <v>3.3724625462092227E-2</v>
      </c>
      <c r="Y89" s="87"/>
      <c r="Z89" s="87">
        <f t="shared" si="9"/>
        <v>0.34470124013528758</v>
      </c>
      <c r="AB89" s="87">
        <f t="shared" si="8"/>
        <v>0.1616520973097513</v>
      </c>
      <c r="AD89" s="87">
        <f t="shared" si="15"/>
        <v>0.46559976069398745</v>
      </c>
      <c r="AF89" s="197">
        <f>MAX($B$2:B89)</f>
        <v>769</v>
      </c>
    </row>
    <row r="90" spans="1:32" x14ac:dyDescent="0.25">
      <c r="A90" s="2">
        <v>43981</v>
      </c>
      <c r="B90" s="154">
        <v>795</v>
      </c>
      <c r="C90" s="23">
        <f t="shared" si="5"/>
        <v>694.57142857142856</v>
      </c>
      <c r="D90" s="154">
        <v>16214</v>
      </c>
      <c r="E90" s="154">
        <v>8</v>
      </c>
      <c r="F90" s="23">
        <f t="shared" si="6"/>
        <v>12</v>
      </c>
      <c r="G90" s="154">
        <v>528</v>
      </c>
      <c r="H90" s="156">
        <f t="shared" si="11"/>
        <v>236</v>
      </c>
      <c r="I90" s="179">
        <v>5336</v>
      </c>
      <c r="J90" s="154">
        <v>256</v>
      </c>
      <c r="K90" s="23">
        <f t="shared" si="7"/>
        <v>235.28571428571428</v>
      </c>
      <c r="L90" s="156">
        <v>4663</v>
      </c>
      <c r="M90" s="23">
        <f t="shared" si="7"/>
        <v>4378.8571428571431</v>
      </c>
      <c r="N90" s="4">
        <v>160070</v>
      </c>
      <c r="O90" s="7">
        <v>819</v>
      </c>
      <c r="P90" s="7">
        <v>116215</v>
      </c>
      <c r="Q90" s="4">
        <v>117034</v>
      </c>
      <c r="R90" s="1">
        <v>969</v>
      </c>
      <c r="S90" s="1">
        <v>7030</v>
      </c>
      <c r="T90" s="1">
        <v>5724</v>
      </c>
      <c r="U90" s="12">
        <f t="shared" si="14"/>
        <v>2491</v>
      </c>
      <c r="V90" s="125">
        <f t="shared" si="10"/>
        <v>10350</v>
      </c>
      <c r="W90" s="43">
        <f t="shared" si="12"/>
        <v>2.4734299516908212E-2</v>
      </c>
      <c r="X90" s="35">
        <f t="shared" si="13"/>
        <v>3.2564450474898234E-2</v>
      </c>
      <c r="Y90" s="87"/>
      <c r="Z90" s="87">
        <f t="shared" si="9"/>
        <v>0.21307385229540921</v>
      </c>
      <c r="AB90" s="87">
        <f t="shared" si="8"/>
        <v>0.15861933968419678</v>
      </c>
      <c r="AD90" s="87">
        <f t="shared" si="15"/>
        <v>0.44230769230769229</v>
      </c>
      <c r="AF90" s="197">
        <f>MAX($B$2:B90)</f>
        <v>795</v>
      </c>
    </row>
    <row r="91" spans="1:32" x14ac:dyDescent="0.25">
      <c r="A91" s="2">
        <v>43982</v>
      </c>
      <c r="B91" s="154">
        <v>637</v>
      </c>
      <c r="C91" s="23">
        <f t="shared" si="5"/>
        <v>682.28571428571433</v>
      </c>
      <c r="D91" s="154">
        <v>16851</v>
      </c>
      <c r="E91" s="154">
        <v>11</v>
      </c>
      <c r="F91" s="23">
        <f t="shared" si="6"/>
        <v>12.428571428571429</v>
      </c>
      <c r="G91" s="154">
        <v>539</v>
      </c>
      <c r="H91" s="156">
        <f t="shared" si="11"/>
        <v>185</v>
      </c>
      <c r="I91" s="179">
        <v>5521</v>
      </c>
      <c r="J91" s="154">
        <v>272</v>
      </c>
      <c r="K91" s="23">
        <f t="shared" si="7"/>
        <v>248.28571428571428</v>
      </c>
      <c r="L91" s="156">
        <v>4014</v>
      </c>
      <c r="M91" s="23">
        <f t="shared" si="7"/>
        <v>4373.7142857142853</v>
      </c>
      <c r="N91" s="4">
        <v>164084</v>
      </c>
      <c r="O91" s="7">
        <v>837.57099999999627</v>
      </c>
      <c r="P91" s="7">
        <v>118815.429</v>
      </c>
      <c r="Q91" s="4">
        <v>119653</v>
      </c>
      <c r="R91" s="4">
        <v>970</v>
      </c>
      <c r="S91" s="4">
        <v>7308</v>
      </c>
      <c r="T91" s="4">
        <v>5975</v>
      </c>
      <c r="U91" s="12">
        <f t="shared" si="14"/>
        <v>2598</v>
      </c>
      <c r="V91" s="125">
        <f t="shared" si="10"/>
        <v>10791</v>
      </c>
      <c r="W91" s="43">
        <f t="shared" si="12"/>
        <v>2.5206190343805022E-2</v>
      </c>
      <c r="X91" s="35">
        <f t="shared" si="13"/>
        <v>3.1986232271081834E-2</v>
      </c>
      <c r="Y91" s="87"/>
      <c r="Z91" s="87">
        <f t="shared" si="9"/>
        <v>0.1219168428470756</v>
      </c>
      <c r="AB91" s="87">
        <f t="shared" si="8"/>
        <v>0.15599686438463548</v>
      </c>
      <c r="AD91" s="87">
        <f t="shared" si="15"/>
        <v>0.41521311475409828</v>
      </c>
      <c r="AF91" s="197">
        <f>MAX($B$2:B91)</f>
        <v>795</v>
      </c>
    </row>
    <row r="92" spans="1:32" x14ac:dyDescent="0.25">
      <c r="A92" s="2">
        <v>43983</v>
      </c>
      <c r="B92" s="154">
        <v>564</v>
      </c>
      <c r="C92" s="23">
        <f t="shared" si="5"/>
        <v>684</v>
      </c>
      <c r="D92" s="154">
        <v>17415</v>
      </c>
      <c r="E92" s="154">
        <v>17</v>
      </c>
      <c r="F92" s="23">
        <f t="shared" si="6"/>
        <v>12.714285714285714</v>
      </c>
      <c r="G92" s="154">
        <v>556</v>
      </c>
      <c r="H92" s="156">
        <f t="shared" si="11"/>
        <v>188</v>
      </c>
      <c r="I92" s="179">
        <v>5709</v>
      </c>
      <c r="J92" s="154">
        <v>271</v>
      </c>
      <c r="K92" s="23">
        <f t="shared" si="7"/>
        <v>258</v>
      </c>
      <c r="L92" s="156">
        <v>3715</v>
      </c>
      <c r="M92" s="23">
        <f t="shared" si="7"/>
        <v>4448.1428571428569</v>
      </c>
      <c r="N92" s="4">
        <v>167799</v>
      </c>
      <c r="O92" s="7">
        <v>732</v>
      </c>
      <c r="P92" s="7">
        <v>121411</v>
      </c>
      <c r="Q92" s="4">
        <v>122143</v>
      </c>
      <c r="R92" s="1">
        <v>974</v>
      </c>
      <c r="S92" s="1">
        <v>7532</v>
      </c>
      <c r="T92" s="1">
        <v>6263</v>
      </c>
      <c r="U92" s="12">
        <f t="shared" si="14"/>
        <v>2646</v>
      </c>
      <c r="V92" s="125">
        <f t="shared" si="10"/>
        <v>11150</v>
      </c>
      <c r="W92" s="43">
        <f t="shared" si="12"/>
        <v>2.430493273542601E-2</v>
      </c>
      <c r="X92" s="35">
        <f t="shared" si="13"/>
        <v>3.1926500143554408E-2</v>
      </c>
      <c r="Y92" s="87"/>
      <c r="Z92" s="87">
        <f t="shared" si="9"/>
        <v>8.3503054989816583E-2</v>
      </c>
      <c r="AB92" s="87">
        <f t="shared" si="8"/>
        <v>0.15377203969553907</v>
      </c>
      <c r="AD92" s="87">
        <f t="shared" si="15"/>
        <v>0.39479609707280461</v>
      </c>
      <c r="AF92" s="197">
        <f>MAX($B$2:B92)</f>
        <v>795</v>
      </c>
    </row>
    <row r="93" spans="1:32" x14ac:dyDescent="0.25">
      <c r="A93" s="2">
        <v>43984</v>
      </c>
      <c r="B93" s="154">
        <v>904</v>
      </c>
      <c r="C93" s="23">
        <f t="shared" si="5"/>
        <v>727.42857142857144</v>
      </c>
      <c r="D93" s="154">
        <v>18319</v>
      </c>
      <c r="E93" s="154">
        <v>13</v>
      </c>
      <c r="F93" s="23">
        <f t="shared" si="6"/>
        <v>11.285714285714286</v>
      </c>
      <c r="G93" s="154">
        <v>569</v>
      </c>
      <c r="H93" s="156">
        <f t="shared" si="11"/>
        <v>187</v>
      </c>
      <c r="I93" s="179">
        <v>5896</v>
      </c>
      <c r="J93" s="154">
        <v>288</v>
      </c>
      <c r="K93" s="23">
        <f t="shared" si="7"/>
        <v>263.42857142857144</v>
      </c>
      <c r="L93" s="156">
        <v>5148</v>
      </c>
      <c r="M93" s="23">
        <f t="shared" si="7"/>
        <v>4675.5714285714284</v>
      </c>
      <c r="N93" s="4">
        <v>172947</v>
      </c>
      <c r="O93" s="7">
        <v>879</v>
      </c>
      <c r="P93" s="7">
        <v>124692</v>
      </c>
      <c r="Q93" s="4">
        <v>125571</v>
      </c>
      <c r="R93" s="1">
        <v>974</v>
      </c>
      <c r="S93" s="4">
        <v>7854</v>
      </c>
      <c r="T93" s="4">
        <v>6596</v>
      </c>
      <c r="U93" s="12">
        <f t="shared" si="14"/>
        <v>2895</v>
      </c>
      <c r="V93" s="125">
        <f t="shared" si="10"/>
        <v>11854</v>
      </c>
      <c r="W93" s="43">
        <f t="shared" si="12"/>
        <v>2.4295596423148304E-2</v>
      </c>
      <c r="X93" s="35">
        <f t="shared" si="13"/>
        <v>3.1060647415251923E-2</v>
      </c>
      <c r="Y93" s="87"/>
      <c r="Z93" s="87">
        <f t="shared" si="9"/>
        <v>9.4818318641152421E-2</v>
      </c>
      <c r="AB93" s="87">
        <f t="shared" si="8"/>
        <v>0.15558067768645545</v>
      </c>
      <c r="AD93" s="87">
        <f t="shared" si="15"/>
        <v>0.41304088687567053</v>
      </c>
      <c r="AF93" s="197">
        <f>MAX($B$2:B93)</f>
        <v>904</v>
      </c>
    </row>
    <row r="94" spans="1:32" x14ac:dyDescent="0.25">
      <c r="A94" s="2">
        <v>43985</v>
      </c>
      <c r="B94" s="154">
        <v>949</v>
      </c>
      <c r="C94" s="23">
        <f t="shared" si="5"/>
        <v>762.14285714285711</v>
      </c>
      <c r="D94" s="154">
        <v>19268</v>
      </c>
      <c r="E94" s="156">
        <v>14</v>
      </c>
      <c r="F94" s="23">
        <f t="shared" si="6"/>
        <v>11.857142857142858</v>
      </c>
      <c r="G94" s="156">
        <v>583</v>
      </c>
      <c r="H94" s="156">
        <f t="shared" si="11"/>
        <v>97</v>
      </c>
      <c r="I94" s="179">
        <v>5993</v>
      </c>
      <c r="J94" s="154">
        <v>293</v>
      </c>
      <c r="K94" s="23">
        <f t="shared" si="7"/>
        <v>269</v>
      </c>
      <c r="L94" s="156">
        <v>5501</v>
      </c>
      <c r="M94" s="23">
        <f t="shared" si="7"/>
        <v>4766.7142857142853</v>
      </c>
      <c r="N94" s="4">
        <v>178448</v>
      </c>
      <c r="O94" s="7">
        <v>902</v>
      </c>
      <c r="P94" s="7">
        <v>128031</v>
      </c>
      <c r="Q94" s="4">
        <v>128933</v>
      </c>
      <c r="R94" s="1">
        <v>977</v>
      </c>
      <c r="S94" s="1">
        <v>8217</v>
      </c>
      <c r="T94" s="1">
        <v>6941</v>
      </c>
      <c r="U94" s="12">
        <f t="shared" si="14"/>
        <v>3133</v>
      </c>
      <c r="V94" s="125">
        <f t="shared" si="10"/>
        <v>12692</v>
      </c>
      <c r="W94" s="43">
        <f t="shared" si="12"/>
        <v>2.3085408131106207E-2</v>
      </c>
      <c r="X94" s="35">
        <f t="shared" si="13"/>
        <v>3.0257421631720988E-2</v>
      </c>
      <c r="Y94" s="87"/>
      <c r="Z94" s="87">
        <f t="shared" si="9"/>
        <v>0.11797988264878456</v>
      </c>
      <c r="AB94" s="87">
        <f t="shared" si="8"/>
        <v>0.15988851260227172</v>
      </c>
      <c r="AD94" s="87">
        <f t="shared" si="15"/>
        <v>0.43965517241379315</v>
      </c>
      <c r="AF94" s="197">
        <f>MAX($B$2:B94)</f>
        <v>949</v>
      </c>
    </row>
    <row r="95" spans="1:32" x14ac:dyDescent="0.25">
      <c r="A95" s="2">
        <v>43986</v>
      </c>
      <c r="B95" s="154">
        <v>929</v>
      </c>
      <c r="C95" s="23">
        <f t="shared" si="5"/>
        <v>785</v>
      </c>
      <c r="D95" s="156">
        <v>20197</v>
      </c>
      <c r="E95" s="156">
        <v>25</v>
      </c>
      <c r="F95" s="23">
        <f t="shared" si="6"/>
        <v>14.285714285714286</v>
      </c>
      <c r="G95" s="156">
        <v>608</v>
      </c>
      <c r="H95" s="156">
        <f t="shared" si="11"/>
        <v>95</v>
      </c>
      <c r="I95" s="179">
        <v>6088</v>
      </c>
      <c r="J95" s="154">
        <v>248</v>
      </c>
      <c r="K95" s="23">
        <f t="shared" si="7"/>
        <v>267.42857142857144</v>
      </c>
      <c r="L95" s="156">
        <v>5414</v>
      </c>
      <c r="M95" s="23">
        <f t="shared" si="7"/>
        <v>4768</v>
      </c>
      <c r="N95" s="4">
        <v>183862</v>
      </c>
      <c r="O95" s="7">
        <v>794</v>
      </c>
      <c r="P95" s="7">
        <v>131608</v>
      </c>
      <c r="Q95" s="4">
        <v>132402</v>
      </c>
      <c r="R95" s="1">
        <v>978</v>
      </c>
      <c r="S95" s="4">
        <v>8541</v>
      </c>
      <c r="T95" s="4">
        <v>7349</v>
      </c>
      <c r="U95" s="12">
        <f t="shared" si="14"/>
        <v>3329</v>
      </c>
      <c r="V95" s="125">
        <f t="shared" si="10"/>
        <v>13501</v>
      </c>
      <c r="W95" s="43">
        <f t="shared" si="12"/>
        <v>1.8369009702984964E-2</v>
      </c>
      <c r="X95" s="35">
        <f t="shared" si="13"/>
        <v>3.0103480714957668E-2</v>
      </c>
      <c r="Y95" s="87"/>
      <c r="Z95" s="87">
        <f t="shared" si="9"/>
        <v>0.1517501571997486</v>
      </c>
      <c r="AB95" s="87">
        <f t="shared" si="8"/>
        <v>0.16463926174496643</v>
      </c>
      <c r="AD95" s="87">
        <f t="shared" si="15"/>
        <v>0.43536040825005307</v>
      </c>
      <c r="AF95" s="197">
        <f>MAX($B$2:B95)</f>
        <v>949</v>
      </c>
    </row>
    <row r="96" spans="1:32" x14ac:dyDescent="0.25">
      <c r="A96" s="2">
        <v>43987</v>
      </c>
      <c r="B96" s="154">
        <v>840</v>
      </c>
      <c r="C96" s="23">
        <f t="shared" si="5"/>
        <v>802.57142857142856</v>
      </c>
      <c r="D96" s="154">
        <v>21037</v>
      </c>
      <c r="E96" s="154">
        <v>24</v>
      </c>
      <c r="F96" s="23">
        <f t="shared" si="6"/>
        <v>16</v>
      </c>
      <c r="G96" s="156">
        <v>632</v>
      </c>
      <c r="H96" s="156">
        <f t="shared" si="11"/>
        <v>92</v>
      </c>
      <c r="I96" s="179">
        <v>6180</v>
      </c>
      <c r="J96" s="154">
        <v>249</v>
      </c>
      <c r="K96" s="23">
        <f t="shared" si="7"/>
        <v>268.14285714285717</v>
      </c>
      <c r="L96" s="156">
        <v>5416</v>
      </c>
      <c r="M96" s="23">
        <f t="shared" si="7"/>
        <v>4838.7142857142853</v>
      </c>
      <c r="N96" s="4">
        <v>189278</v>
      </c>
      <c r="O96" s="7">
        <v>812</v>
      </c>
      <c r="P96" s="7">
        <v>134642</v>
      </c>
      <c r="Q96" s="4">
        <v>135454</v>
      </c>
      <c r="R96" s="8">
        <v>980</v>
      </c>
      <c r="S96" s="8">
        <v>8883</v>
      </c>
      <c r="T96" s="8">
        <v>7770</v>
      </c>
      <c r="U96" s="12">
        <f>D96-T96-S96-R96</f>
        <v>3404</v>
      </c>
      <c r="V96" s="125">
        <f t="shared" si="10"/>
        <v>14225</v>
      </c>
      <c r="W96" s="43">
        <f t="shared" si="12"/>
        <v>1.750439367311072E-2</v>
      </c>
      <c r="X96" s="35">
        <f t="shared" si="13"/>
        <v>3.004230641251129E-2</v>
      </c>
      <c r="Y96" s="87"/>
      <c r="Z96" s="87">
        <f t="shared" si="9"/>
        <v>0.15549156725627311</v>
      </c>
      <c r="AB96" s="87">
        <f t="shared" si="8"/>
        <v>0.16586460393847244</v>
      </c>
      <c r="AD96" s="87">
        <f t="shared" si="15"/>
        <v>0.45167874272884978</v>
      </c>
      <c r="AF96" s="197">
        <f>MAX($B$2:B96)</f>
        <v>949</v>
      </c>
    </row>
    <row r="97" spans="1:32" x14ac:dyDescent="0.25">
      <c r="A97" s="2">
        <v>43988</v>
      </c>
      <c r="B97" s="154">
        <v>983</v>
      </c>
      <c r="C97" s="23">
        <f t="shared" si="5"/>
        <v>829.42857142857144</v>
      </c>
      <c r="D97" s="154">
        <v>22020</v>
      </c>
      <c r="E97" s="156">
        <v>16</v>
      </c>
      <c r="F97" s="23">
        <f t="shared" si="6"/>
        <v>17.142857142857142</v>
      </c>
      <c r="G97" s="156">
        <v>648</v>
      </c>
      <c r="H97" s="156">
        <f t="shared" si="11"/>
        <v>729</v>
      </c>
      <c r="I97" s="179">
        <v>6909</v>
      </c>
      <c r="J97" s="154">
        <v>247</v>
      </c>
      <c r="K97" s="23">
        <f t="shared" si="7"/>
        <v>266.85714285714283</v>
      </c>
      <c r="L97" s="156">
        <v>4635</v>
      </c>
      <c r="M97" s="23">
        <f t="shared" si="7"/>
        <v>4834.7142857142853</v>
      </c>
      <c r="N97" s="4">
        <v>193923</v>
      </c>
      <c r="O97" s="7">
        <v>832</v>
      </c>
      <c r="P97" s="7">
        <v>137840</v>
      </c>
      <c r="Q97" s="4">
        <v>138672</v>
      </c>
      <c r="R97" s="4">
        <v>983</v>
      </c>
      <c r="S97" s="4">
        <v>9219</v>
      </c>
      <c r="T97" s="4">
        <v>8141</v>
      </c>
      <c r="U97" s="12">
        <f>D97-T97-S97-R97</f>
        <v>3677</v>
      </c>
      <c r="V97" s="125">
        <f t="shared" si="10"/>
        <v>14463</v>
      </c>
      <c r="W97" s="43">
        <f t="shared" si="12"/>
        <v>1.7078061259766301E-2</v>
      </c>
      <c r="X97" s="35">
        <f t="shared" si="13"/>
        <v>2.9427792915531336E-2</v>
      </c>
      <c r="Y97" s="87"/>
      <c r="Z97" s="87">
        <f t="shared" si="9"/>
        <v>0.2156616415410384</v>
      </c>
      <c r="AB97" s="87">
        <f t="shared" si="8"/>
        <v>0.17155689507431374</v>
      </c>
      <c r="AD97" s="87">
        <f t="shared" si="15"/>
        <v>0.3973913043478261</v>
      </c>
      <c r="AF97" s="197">
        <f>MAX($B$2:B97)</f>
        <v>983</v>
      </c>
    </row>
    <row r="98" spans="1:32" x14ac:dyDescent="0.25">
      <c r="A98" s="2">
        <v>43989</v>
      </c>
      <c r="B98" s="154">
        <v>774</v>
      </c>
      <c r="C98" s="23">
        <f t="shared" si="5"/>
        <v>849</v>
      </c>
      <c r="D98" s="154">
        <v>22794</v>
      </c>
      <c r="E98" s="156">
        <v>15</v>
      </c>
      <c r="F98" s="23">
        <f t="shared" si="6"/>
        <v>17.714285714285715</v>
      </c>
      <c r="G98" s="156">
        <v>664</v>
      </c>
      <c r="H98" s="156">
        <f t="shared" si="11"/>
        <v>396</v>
      </c>
      <c r="I98" s="179">
        <v>7305</v>
      </c>
      <c r="J98" s="154">
        <v>235</v>
      </c>
      <c r="K98" s="23">
        <f t="shared" si="7"/>
        <v>261.57142857142856</v>
      </c>
      <c r="L98" s="156">
        <v>4607</v>
      </c>
      <c r="M98" s="23">
        <f t="shared" si="7"/>
        <v>4919.4285714285716</v>
      </c>
      <c r="N98" s="4">
        <v>198520</v>
      </c>
      <c r="O98" s="7">
        <v>847.49400000000605</v>
      </c>
      <c r="P98" s="7">
        <v>140401.50599999999</v>
      </c>
      <c r="Q98" s="4">
        <v>141249</v>
      </c>
      <c r="R98" s="4">
        <v>985</v>
      </c>
      <c r="S98" s="4">
        <v>9476</v>
      </c>
      <c r="T98" s="4">
        <v>8441</v>
      </c>
      <c r="U98" s="12">
        <f>D98-T98-S98-R98</f>
        <v>3892</v>
      </c>
      <c r="V98" s="125">
        <f t="shared" si="10"/>
        <v>14825</v>
      </c>
      <c r="W98" s="43">
        <f t="shared" si="12"/>
        <v>1.5851602023608771E-2</v>
      </c>
      <c r="X98" s="35">
        <f t="shared" si="13"/>
        <v>2.9130472931473195E-2</v>
      </c>
      <c r="Y98" s="87"/>
      <c r="Z98" s="87">
        <f t="shared" si="9"/>
        <v>0.24122807017543857</v>
      </c>
      <c r="AB98" s="87">
        <f t="shared" si="8"/>
        <v>0.17258101986293414</v>
      </c>
      <c r="AD98" s="87">
        <f t="shared" si="15"/>
        <v>0.37383004355481431</v>
      </c>
      <c r="AF98" s="197">
        <f>MAX($B$2:B98)</f>
        <v>983</v>
      </c>
    </row>
    <row r="99" spans="1:32" x14ac:dyDescent="0.25">
      <c r="A99" s="2">
        <v>43990</v>
      </c>
      <c r="B99" s="157">
        <v>826</v>
      </c>
      <c r="C99" s="23">
        <f t="shared" si="5"/>
        <v>886.42857142857144</v>
      </c>
      <c r="D99" s="157">
        <v>23620</v>
      </c>
      <c r="E99" s="156">
        <v>29</v>
      </c>
      <c r="F99" s="23">
        <f t="shared" si="6"/>
        <v>19.428571428571427</v>
      </c>
      <c r="G99" s="156">
        <v>693</v>
      </c>
      <c r="H99" s="156">
        <f t="shared" si="11"/>
        <v>263</v>
      </c>
      <c r="I99" s="179">
        <v>7568</v>
      </c>
      <c r="J99" s="154">
        <v>265</v>
      </c>
      <c r="K99" s="23">
        <f t="shared" si="7"/>
        <v>260.71428571428572</v>
      </c>
      <c r="L99" s="156">
        <v>4531</v>
      </c>
      <c r="M99" s="23">
        <f t="shared" si="7"/>
        <v>5036</v>
      </c>
      <c r="N99" s="4">
        <v>203810</v>
      </c>
      <c r="O99" s="7">
        <v>866</v>
      </c>
      <c r="P99" s="7">
        <v>143482</v>
      </c>
      <c r="Q99" s="4">
        <v>144348</v>
      </c>
      <c r="R99" s="4">
        <v>986</v>
      </c>
      <c r="S99" s="4">
        <v>9822</v>
      </c>
      <c r="T99" s="4">
        <v>8919</v>
      </c>
      <c r="U99" s="12">
        <f>D99-T99-S99-R99</f>
        <v>3893</v>
      </c>
      <c r="V99" s="125">
        <f t="shared" si="10"/>
        <v>15359</v>
      </c>
      <c r="W99" s="43">
        <f t="shared" si="12"/>
        <v>1.7253727456214597E-2</v>
      </c>
      <c r="X99" s="35">
        <f t="shared" si="13"/>
        <v>2.9339542760372567E-2</v>
      </c>
      <c r="Y99" s="87"/>
      <c r="Z99" s="87">
        <f t="shared" si="9"/>
        <v>0.2185781618224667</v>
      </c>
      <c r="AB99" s="87">
        <f t="shared" si="8"/>
        <v>0.17601838193577668</v>
      </c>
      <c r="AD99" s="87">
        <f t="shared" si="15"/>
        <v>0.37748878923766815</v>
      </c>
      <c r="AF99" s="197">
        <f>MAX($B$2:B99)</f>
        <v>983</v>
      </c>
    </row>
    <row r="100" spans="1:32" x14ac:dyDescent="0.25">
      <c r="A100" s="2">
        <v>43991</v>
      </c>
      <c r="B100" s="157">
        <v>1141</v>
      </c>
      <c r="C100" s="23">
        <f t="shared" si="5"/>
        <v>920.28571428571433</v>
      </c>
      <c r="D100" s="157">
        <v>24761</v>
      </c>
      <c r="E100" s="156">
        <v>24</v>
      </c>
      <c r="F100" s="23">
        <f t="shared" si="6"/>
        <v>21</v>
      </c>
      <c r="G100" s="159">
        <v>717</v>
      </c>
      <c r="H100" s="156">
        <f t="shared" si="11"/>
        <v>423</v>
      </c>
      <c r="I100" s="179">
        <v>7991</v>
      </c>
      <c r="J100" s="154">
        <v>263</v>
      </c>
      <c r="K100" s="23">
        <f t="shared" si="7"/>
        <v>257.14285714285717</v>
      </c>
      <c r="L100" s="156">
        <v>5468</v>
      </c>
      <c r="M100" s="23">
        <f t="shared" si="7"/>
        <v>5081.7142857142853</v>
      </c>
      <c r="N100" s="4">
        <v>208519</v>
      </c>
      <c r="O100" s="7">
        <v>739</v>
      </c>
      <c r="P100" s="7">
        <v>147178</v>
      </c>
      <c r="Q100" s="4">
        <v>147917</v>
      </c>
      <c r="R100" s="4">
        <v>992</v>
      </c>
      <c r="S100" s="4">
        <v>10260</v>
      </c>
      <c r="T100" s="4">
        <v>9406</v>
      </c>
      <c r="U100" s="12">
        <f>D100-T100-S100-R100</f>
        <v>4103</v>
      </c>
      <c r="V100" s="125">
        <f t="shared" si="10"/>
        <v>16053</v>
      </c>
      <c r="W100" s="43">
        <f t="shared" si="12"/>
        <v>1.6383230548807078E-2</v>
      </c>
      <c r="X100" s="35">
        <f t="shared" si="13"/>
        <v>2.8956827268688663E-2</v>
      </c>
      <c r="Y100" s="87"/>
      <c r="Z100" s="87">
        <f t="shared" si="9"/>
        <v>0.20749765698219313</v>
      </c>
      <c r="AB100" s="87">
        <f t="shared" si="8"/>
        <v>0.18109749240976047</v>
      </c>
      <c r="AD100" s="87">
        <f t="shared" si="15"/>
        <v>0.35422642146111016</v>
      </c>
      <c r="AF100" s="197">
        <f>MAX($B$2:B100)</f>
        <v>1141</v>
      </c>
    </row>
    <row r="101" spans="1:32" x14ac:dyDescent="0.25">
      <c r="A101" s="2">
        <v>43992</v>
      </c>
      <c r="B101" s="157">
        <v>1226</v>
      </c>
      <c r="C101" s="23">
        <f t="shared" ref="C101:C164" si="16">AVERAGE(B95:B101)</f>
        <v>959.85714285714289</v>
      </c>
      <c r="D101" s="156">
        <v>25987</v>
      </c>
      <c r="E101" s="156">
        <v>18</v>
      </c>
      <c r="F101" s="23">
        <f t="shared" ref="F101:F164" si="17">AVERAGE(E95:E101)</f>
        <v>21.571428571428573</v>
      </c>
      <c r="G101" s="159">
        <v>735</v>
      </c>
      <c r="H101" s="156">
        <f t="shared" si="11"/>
        <v>341</v>
      </c>
      <c r="I101" s="179">
        <v>8332</v>
      </c>
      <c r="J101" s="154">
        <v>325</v>
      </c>
      <c r="K101" s="23">
        <f t="shared" ref="K101:M120" si="18">AVERAGE(J95:J101)</f>
        <v>261.71428571428572</v>
      </c>
      <c r="L101" s="156">
        <v>6288</v>
      </c>
      <c r="M101" s="23">
        <f t="shared" si="18"/>
        <v>5194.1428571428569</v>
      </c>
      <c r="N101" s="4">
        <v>214807</v>
      </c>
      <c r="O101" s="7">
        <v>757</v>
      </c>
      <c r="P101" s="7">
        <v>150755</v>
      </c>
      <c r="Q101" s="4">
        <v>151512</v>
      </c>
      <c r="R101" s="4">
        <v>996</v>
      </c>
      <c r="S101" s="4">
        <v>10657</v>
      </c>
      <c r="T101" s="4">
        <v>9948</v>
      </c>
      <c r="U101" s="12">
        <f t="shared" ref="U101:U124" si="19">D101-T101-S101-R101</f>
        <v>4386</v>
      </c>
      <c r="V101" s="125">
        <f t="shared" si="10"/>
        <v>16920</v>
      </c>
      <c r="W101" s="43">
        <f t="shared" si="12"/>
        <v>1.9208037825059102E-2</v>
      </c>
      <c r="X101" s="35">
        <f t="shared" si="13"/>
        <v>2.8283372455458498E-2</v>
      </c>
      <c r="Y101" s="87"/>
      <c r="Z101" s="87">
        <f t="shared" si="9"/>
        <v>0.2227479526842584</v>
      </c>
      <c r="AB101" s="87">
        <f t="shared" si="8"/>
        <v>0.18479606149784097</v>
      </c>
      <c r="AD101" s="87">
        <f t="shared" si="15"/>
        <v>0.33312322722975107</v>
      </c>
      <c r="AF101" s="197">
        <f>MAX($B$2:B101)</f>
        <v>1226</v>
      </c>
    </row>
    <row r="102" spans="1:32" x14ac:dyDescent="0.25">
      <c r="A102" s="2">
        <v>43993</v>
      </c>
      <c r="B102" s="157">
        <v>1386</v>
      </c>
      <c r="C102" s="23">
        <f t="shared" si="16"/>
        <v>1025.1428571428571</v>
      </c>
      <c r="D102" s="156">
        <v>27373</v>
      </c>
      <c r="E102" s="156">
        <v>30</v>
      </c>
      <c r="F102" s="23">
        <f t="shared" si="17"/>
        <v>22.285714285714285</v>
      </c>
      <c r="G102" s="159">
        <v>765</v>
      </c>
      <c r="H102" s="156">
        <f t="shared" si="11"/>
        <v>411</v>
      </c>
      <c r="I102" s="179">
        <v>8743</v>
      </c>
      <c r="J102" s="154">
        <v>295</v>
      </c>
      <c r="K102" s="23">
        <f t="shared" si="18"/>
        <v>268.42857142857144</v>
      </c>
      <c r="L102" s="156">
        <v>6498</v>
      </c>
      <c r="M102" s="23">
        <f t="shared" si="18"/>
        <v>5349</v>
      </c>
      <c r="N102" s="4">
        <v>221305</v>
      </c>
      <c r="O102" s="7">
        <v>777</v>
      </c>
      <c r="P102" s="7">
        <v>154725</v>
      </c>
      <c r="Q102" s="4">
        <v>155502</v>
      </c>
      <c r="R102" s="4">
        <v>999</v>
      </c>
      <c r="S102" s="4">
        <v>11091</v>
      </c>
      <c r="T102" s="4">
        <v>10542</v>
      </c>
      <c r="U102" s="12">
        <f t="shared" si="19"/>
        <v>4741</v>
      </c>
      <c r="V102" s="125">
        <f t="shared" si="10"/>
        <v>17865</v>
      </c>
      <c r="W102" s="43">
        <f t="shared" si="12"/>
        <v>1.6512734396865379E-2</v>
      </c>
      <c r="X102" s="35">
        <f t="shared" si="13"/>
        <v>2.7947247287473057E-2</v>
      </c>
      <c r="Y102" s="87"/>
      <c r="Z102" s="87">
        <f t="shared" si="9"/>
        <v>0.27732289070843708</v>
      </c>
      <c r="AB102" s="87">
        <f t="shared" si="8"/>
        <v>0.1916513099911866</v>
      </c>
      <c r="AD102" s="87">
        <f t="shared" si="15"/>
        <v>0.32323531590252563</v>
      </c>
      <c r="AF102" s="197">
        <f>MAX($B$2:B102)</f>
        <v>1386</v>
      </c>
    </row>
    <row r="103" spans="1:32" x14ac:dyDescent="0.25">
      <c r="A103" s="2">
        <v>43994</v>
      </c>
      <c r="B103" s="157">
        <v>1391</v>
      </c>
      <c r="C103" s="23">
        <f t="shared" si="16"/>
        <v>1103.8571428571429</v>
      </c>
      <c r="D103" s="156">
        <v>28764</v>
      </c>
      <c r="E103" s="156">
        <v>20</v>
      </c>
      <c r="F103" s="23">
        <f t="shared" si="17"/>
        <v>21.714285714285715</v>
      </c>
      <c r="G103" s="159">
        <v>785</v>
      </c>
      <c r="H103" s="156">
        <f t="shared" si="11"/>
        <v>340</v>
      </c>
      <c r="I103" s="179">
        <v>9083</v>
      </c>
      <c r="J103" s="154">
        <v>280</v>
      </c>
      <c r="K103" s="23">
        <f t="shared" si="18"/>
        <v>272.85714285714283</v>
      </c>
      <c r="L103" s="156">
        <v>7019</v>
      </c>
      <c r="M103" s="23">
        <f t="shared" si="18"/>
        <v>5578</v>
      </c>
      <c r="N103" s="4">
        <v>228324</v>
      </c>
      <c r="O103" s="7">
        <v>797</v>
      </c>
      <c r="P103" s="24">
        <v>158691</v>
      </c>
      <c r="Q103" s="4">
        <v>159488</v>
      </c>
      <c r="R103" s="4">
        <v>1005</v>
      </c>
      <c r="S103" s="4">
        <v>11529</v>
      </c>
      <c r="T103" s="4">
        <v>11161</v>
      </c>
      <c r="U103" s="12">
        <f t="shared" si="19"/>
        <v>5069</v>
      </c>
      <c r="V103" s="125">
        <f t="shared" si="10"/>
        <v>18896</v>
      </c>
      <c r="W103" s="43">
        <f t="shared" si="12"/>
        <v>1.4817950889077053E-2</v>
      </c>
      <c r="X103" s="35">
        <f t="shared" si="13"/>
        <v>2.7291058267278543E-2</v>
      </c>
      <c r="Y103" s="87"/>
      <c r="Z103" s="87">
        <f t="shared" si="9"/>
        <v>0.33086462280399598</v>
      </c>
      <c r="AB103" s="87">
        <f t="shared" si="8"/>
        <v>0.19789479075961686</v>
      </c>
      <c r="AD103" s="87">
        <f t="shared" si="15"/>
        <v>0.32836555360281205</v>
      </c>
      <c r="AF103" s="197">
        <f>MAX($B$2:B103)</f>
        <v>1391</v>
      </c>
    </row>
    <row r="104" spans="1:32" x14ac:dyDescent="0.25">
      <c r="A104" s="2">
        <v>43995</v>
      </c>
      <c r="B104" s="158">
        <v>1531</v>
      </c>
      <c r="C104" s="23">
        <f t="shared" si="16"/>
        <v>1182.1428571428571</v>
      </c>
      <c r="D104" s="156">
        <v>30295</v>
      </c>
      <c r="E104" s="156">
        <v>30</v>
      </c>
      <c r="F104" s="23">
        <f t="shared" si="17"/>
        <v>23.714285714285715</v>
      </c>
      <c r="G104" s="156">
        <v>815</v>
      </c>
      <c r="H104" s="156">
        <f t="shared" si="11"/>
        <v>481</v>
      </c>
      <c r="I104" s="180">
        <v>9564</v>
      </c>
      <c r="J104" s="181">
        <v>293</v>
      </c>
      <c r="K104" s="23">
        <f t="shared" si="18"/>
        <v>279.42857142857144</v>
      </c>
      <c r="L104" s="156">
        <v>6046</v>
      </c>
      <c r="M104" s="23">
        <f t="shared" si="18"/>
        <v>5779.5714285714284</v>
      </c>
      <c r="N104" s="4">
        <v>234370</v>
      </c>
      <c r="O104" s="7">
        <v>815</v>
      </c>
      <c r="P104" s="24">
        <v>162346</v>
      </c>
      <c r="Q104" s="4">
        <v>163161</v>
      </c>
      <c r="R104" s="4">
        <v>1011</v>
      </c>
      <c r="S104" s="4">
        <v>11950</v>
      </c>
      <c r="T104" s="4">
        <v>11707</v>
      </c>
      <c r="U104" s="12">
        <f t="shared" si="19"/>
        <v>5627</v>
      </c>
      <c r="V104" s="125">
        <f t="shared" si="10"/>
        <v>19916</v>
      </c>
      <c r="W104" s="43">
        <f t="shared" si="12"/>
        <v>1.4711789515967062E-2</v>
      </c>
      <c r="X104" s="35">
        <f t="shared" si="13"/>
        <v>2.6902129064202012E-2</v>
      </c>
      <c r="Y104" s="87"/>
      <c r="Z104" s="87">
        <f t="shared" si="9"/>
        <v>0.39239441359582705</v>
      </c>
      <c r="AB104" s="87">
        <f t="shared" si="8"/>
        <v>0.20453815161776701</v>
      </c>
      <c r="AD104" s="87">
        <f t="shared" si="15"/>
        <v>0.37703104473484061</v>
      </c>
      <c r="AF104" s="197">
        <f>MAX($B$2:B104)</f>
        <v>1531</v>
      </c>
    </row>
    <row r="105" spans="1:32" x14ac:dyDescent="0.25">
      <c r="A105" s="2">
        <v>43996</v>
      </c>
      <c r="B105" s="157">
        <v>1282</v>
      </c>
      <c r="C105" s="23">
        <f t="shared" si="16"/>
        <v>1254.7142857142858</v>
      </c>
      <c r="D105" s="156">
        <v>31577</v>
      </c>
      <c r="E105" s="156">
        <v>18</v>
      </c>
      <c r="F105" s="23">
        <f t="shared" si="17"/>
        <v>24.142857142857142</v>
      </c>
      <c r="G105" s="156">
        <v>833</v>
      </c>
      <c r="H105" s="156">
        <f t="shared" si="11"/>
        <v>327</v>
      </c>
      <c r="I105" s="180">
        <v>9891</v>
      </c>
      <c r="J105" s="182">
        <v>316</v>
      </c>
      <c r="K105" s="23">
        <f t="shared" si="18"/>
        <v>291</v>
      </c>
      <c r="L105" s="156">
        <v>5571</v>
      </c>
      <c r="M105" s="23">
        <f t="shared" si="18"/>
        <v>5917.2857142857147</v>
      </c>
      <c r="N105" s="4">
        <v>239941</v>
      </c>
      <c r="O105" s="7">
        <v>832</v>
      </c>
      <c r="P105" s="7">
        <v>165611</v>
      </c>
      <c r="Q105" s="4">
        <v>166443</v>
      </c>
      <c r="R105" s="4">
        <v>1022</v>
      </c>
      <c r="S105" s="4">
        <v>12386</v>
      </c>
      <c r="T105" s="4">
        <v>12167</v>
      </c>
      <c r="U105" s="12">
        <f t="shared" si="19"/>
        <v>6002</v>
      </c>
      <c r="V105" s="125">
        <f t="shared" si="10"/>
        <v>20853</v>
      </c>
      <c r="W105" s="43">
        <f t="shared" si="12"/>
        <v>1.5153694912003069E-2</v>
      </c>
      <c r="X105" s="35">
        <f t="shared" si="13"/>
        <v>2.6379960097539349E-2</v>
      </c>
      <c r="Y105" s="87"/>
      <c r="Z105" s="87">
        <f t="shared" si="9"/>
        <v>0.4154713940370669</v>
      </c>
      <c r="AB105" s="87">
        <f t="shared" si="8"/>
        <v>0.21204220081601119</v>
      </c>
      <c r="AD105" s="87">
        <f t="shared" si="15"/>
        <v>0.40661045531197293</v>
      </c>
      <c r="AF105" s="197">
        <f>MAX($B$2:B105)</f>
        <v>1531</v>
      </c>
    </row>
    <row r="106" spans="1:32" x14ac:dyDescent="0.25">
      <c r="A106" s="2">
        <v>43997</v>
      </c>
      <c r="B106" s="157">
        <v>1208</v>
      </c>
      <c r="C106" s="23">
        <f t="shared" si="16"/>
        <v>1309.2857142857142</v>
      </c>
      <c r="D106" s="156">
        <v>32785</v>
      </c>
      <c r="E106" s="156">
        <v>21</v>
      </c>
      <c r="F106" s="23">
        <f t="shared" si="17"/>
        <v>23</v>
      </c>
      <c r="G106" s="156">
        <v>854</v>
      </c>
      <c r="H106" s="156">
        <f t="shared" si="11"/>
        <v>273</v>
      </c>
      <c r="I106" s="180">
        <v>10164</v>
      </c>
      <c r="J106" s="183">
        <v>324</v>
      </c>
      <c r="K106" s="23">
        <f t="shared" si="18"/>
        <v>299.42857142857144</v>
      </c>
      <c r="L106" s="156">
        <v>5118</v>
      </c>
      <c r="M106" s="23">
        <f t="shared" si="18"/>
        <v>6001.1428571428569</v>
      </c>
      <c r="N106" s="4">
        <v>245059</v>
      </c>
      <c r="O106" s="7">
        <v>847</v>
      </c>
      <c r="P106" s="7">
        <v>168596</v>
      </c>
      <c r="Q106" s="4">
        <v>169443</v>
      </c>
      <c r="R106" s="4">
        <v>1028</v>
      </c>
      <c r="S106" s="4">
        <v>12835</v>
      </c>
      <c r="T106" s="4">
        <v>12828</v>
      </c>
      <c r="U106" s="12">
        <f t="shared" si="19"/>
        <v>6094</v>
      </c>
      <c r="V106" s="125">
        <f t="shared" si="10"/>
        <v>21767</v>
      </c>
      <c r="W106" s="43">
        <f t="shared" si="12"/>
        <v>1.4884917535719208E-2</v>
      </c>
      <c r="X106" s="35">
        <f t="shared" si="13"/>
        <v>2.6048497788622844E-2</v>
      </c>
      <c r="Y106" s="87"/>
      <c r="Z106" s="87">
        <f t="shared" si="9"/>
        <v>0.42269481527475916</v>
      </c>
      <c r="AB106" s="87">
        <f t="shared" si="8"/>
        <v>0.21817272900399923</v>
      </c>
      <c r="AD106" s="87">
        <f t="shared" si="15"/>
        <v>0.4172146624129176</v>
      </c>
      <c r="AF106" s="197">
        <f>MAX($B$2:B106)</f>
        <v>1531</v>
      </c>
    </row>
    <row r="107" spans="1:32" x14ac:dyDescent="0.25">
      <c r="A107" s="2">
        <v>43998</v>
      </c>
      <c r="B107" s="157">
        <v>1374</v>
      </c>
      <c r="C107" s="23">
        <f t="shared" si="16"/>
        <v>1342.5714285714287</v>
      </c>
      <c r="D107" s="156">
        <v>34159</v>
      </c>
      <c r="E107" s="156">
        <v>24</v>
      </c>
      <c r="F107" s="23">
        <f t="shared" si="17"/>
        <v>23</v>
      </c>
      <c r="G107" s="159">
        <v>878</v>
      </c>
      <c r="H107" s="156">
        <f t="shared" si="11"/>
        <v>348</v>
      </c>
      <c r="I107" s="180">
        <v>10512</v>
      </c>
      <c r="J107" s="183">
        <v>345</v>
      </c>
      <c r="K107" s="23">
        <f t="shared" si="18"/>
        <v>311.14285714285717</v>
      </c>
      <c r="L107" s="159">
        <v>5556</v>
      </c>
      <c r="M107" s="23">
        <f t="shared" si="18"/>
        <v>6013.7142857142853</v>
      </c>
      <c r="N107" s="4">
        <v>250615</v>
      </c>
      <c r="O107" s="7">
        <v>863</v>
      </c>
      <c r="P107" s="7">
        <v>171855</v>
      </c>
      <c r="Q107" s="4">
        <v>172718</v>
      </c>
      <c r="R107" s="4">
        <v>1030</v>
      </c>
      <c r="S107" s="4">
        <v>13340</v>
      </c>
      <c r="T107" s="4">
        <v>13602</v>
      </c>
      <c r="U107" s="12">
        <f t="shared" si="19"/>
        <v>6187</v>
      </c>
      <c r="V107" s="125">
        <f t="shared" si="10"/>
        <v>22769</v>
      </c>
      <c r="W107" s="43">
        <f t="shared" si="12"/>
        <v>1.5152180596424964E-2</v>
      </c>
      <c r="X107" s="35">
        <f t="shared" si="13"/>
        <v>2.5703328551772594E-2</v>
      </c>
      <c r="Y107" s="87"/>
      <c r="Z107" s="87">
        <f t="shared" si="9"/>
        <v>0.398720047626135</v>
      </c>
      <c r="AB107" s="87">
        <f t="shared" si="8"/>
        <v>0.22325161535537819</v>
      </c>
      <c r="AD107" s="87">
        <f t="shared" si="15"/>
        <v>0.41836416869121029</v>
      </c>
      <c r="AF107" s="197">
        <f>MAX($B$2:B107)</f>
        <v>1531</v>
      </c>
    </row>
    <row r="108" spans="1:32" x14ac:dyDescent="0.25">
      <c r="A108" s="2">
        <v>43999</v>
      </c>
      <c r="B108" s="156">
        <v>1393</v>
      </c>
      <c r="C108" s="23">
        <f t="shared" si="16"/>
        <v>1366.4285714285713</v>
      </c>
      <c r="D108" s="156">
        <v>35552</v>
      </c>
      <c r="E108" s="156">
        <v>35</v>
      </c>
      <c r="F108" s="23">
        <f t="shared" si="17"/>
        <v>25.428571428571427</v>
      </c>
      <c r="G108" s="159">
        <v>913</v>
      </c>
      <c r="H108" s="156">
        <f t="shared" si="11"/>
        <v>209</v>
      </c>
      <c r="I108" s="180">
        <v>10721</v>
      </c>
      <c r="J108" s="183">
        <v>353</v>
      </c>
      <c r="K108" s="23">
        <f t="shared" si="18"/>
        <v>315.14285714285717</v>
      </c>
      <c r="L108" s="156">
        <v>6477</v>
      </c>
      <c r="M108" s="23">
        <f t="shared" si="18"/>
        <v>6040.7142857142853</v>
      </c>
      <c r="N108" s="4">
        <v>257092</v>
      </c>
      <c r="O108" s="7">
        <v>882</v>
      </c>
      <c r="P108" s="7">
        <v>175554</v>
      </c>
      <c r="Q108" s="4">
        <v>176436</v>
      </c>
      <c r="R108" s="4">
        <v>1036</v>
      </c>
      <c r="S108" s="4">
        <v>13805</v>
      </c>
      <c r="T108" s="4">
        <v>14433</v>
      </c>
      <c r="U108" s="12">
        <f t="shared" si="19"/>
        <v>6278</v>
      </c>
      <c r="V108" s="125">
        <f t="shared" si="10"/>
        <v>23918</v>
      </c>
      <c r="W108" s="43">
        <f t="shared" si="12"/>
        <v>1.4758759093569697E-2</v>
      </c>
      <c r="X108" s="35">
        <f t="shared" si="13"/>
        <v>2.5680693069306929E-2</v>
      </c>
      <c r="Y108" s="87"/>
      <c r="Z108" s="87">
        <f t="shared" si="9"/>
        <v>0.33291527313266434</v>
      </c>
      <c r="AB108" s="87">
        <f t="shared" si="8"/>
        <v>0.22620314532340074</v>
      </c>
      <c r="AD108" s="87">
        <f t="shared" si="15"/>
        <v>0.41359338061465722</v>
      </c>
      <c r="AF108" s="197">
        <f>MAX($B$2:B108)</f>
        <v>1531</v>
      </c>
    </row>
    <row r="109" spans="1:32" x14ac:dyDescent="0.25">
      <c r="A109" s="2">
        <v>44000</v>
      </c>
      <c r="B109" s="157">
        <v>1958</v>
      </c>
      <c r="C109" s="23">
        <f t="shared" si="16"/>
        <v>1448.1428571428571</v>
      </c>
      <c r="D109" s="156">
        <v>37510</v>
      </c>
      <c r="E109" s="156">
        <v>35</v>
      </c>
      <c r="F109" s="23">
        <f t="shared" si="17"/>
        <v>26.142857142857142</v>
      </c>
      <c r="G109" s="159">
        <v>948</v>
      </c>
      <c r="H109" s="156">
        <f t="shared" si="11"/>
        <v>1130</v>
      </c>
      <c r="I109" s="180">
        <v>11851</v>
      </c>
      <c r="J109" s="156">
        <v>364</v>
      </c>
      <c r="K109" s="23">
        <f t="shared" si="18"/>
        <v>325</v>
      </c>
      <c r="L109" s="156">
        <v>7512</v>
      </c>
      <c r="M109" s="23">
        <f t="shared" si="18"/>
        <v>6185.5714285714284</v>
      </c>
      <c r="N109" s="4">
        <v>264604</v>
      </c>
      <c r="O109" s="7">
        <v>906</v>
      </c>
      <c r="P109" s="7">
        <v>180447</v>
      </c>
      <c r="Q109" s="4">
        <v>181353</v>
      </c>
      <c r="R109" s="4">
        <v>1049</v>
      </c>
      <c r="S109" s="4">
        <v>14420</v>
      </c>
      <c r="T109" s="4">
        <v>15347</v>
      </c>
      <c r="U109" s="12">
        <f t="shared" si="19"/>
        <v>6694</v>
      </c>
      <c r="V109" s="125">
        <f t="shared" si="10"/>
        <v>24711</v>
      </c>
      <c r="W109" s="43">
        <f t="shared" si="12"/>
        <v>1.4730282060620777E-2</v>
      </c>
      <c r="X109" s="35">
        <f t="shared" si="13"/>
        <v>2.5273260463876301E-2</v>
      </c>
      <c r="Y109" s="87"/>
      <c r="Z109" s="87">
        <f t="shared" si="9"/>
        <v>0.31189336094215081</v>
      </c>
      <c r="AB109" s="87">
        <f t="shared" si="8"/>
        <v>0.2341162613455276</v>
      </c>
      <c r="AD109" s="87">
        <f t="shared" si="15"/>
        <v>0.38320738874895044</v>
      </c>
      <c r="AF109" s="197">
        <f>MAX($B$2:B109)</f>
        <v>1958</v>
      </c>
    </row>
    <row r="110" spans="1:32" x14ac:dyDescent="0.25">
      <c r="A110" s="2">
        <v>44001</v>
      </c>
      <c r="B110" s="157">
        <v>2060</v>
      </c>
      <c r="C110" s="23">
        <f t="shared" si="16"/>
        <v>1543.7142857142858</v>
      </c>
      <c r="D110" s="156">
        <v>39570</v>
      </c>
      <c r="E110" s="156">
        <v>31</v>
      </c>
      <c r="F110" s="23">
        <f t="shared" si="17"/>
        <v>27.714285714285715</v>
      </c>
      <c r="G110" s="159">
        <v>979</v>
      </c>
      <c r="H110" s="156">
        <f t="shared" si="11"/>
        <v>355</v>
      </c>
      <c r="I110" s="180">
        <v>12206</v>
      </c>
      <c r="J110" s="156">
        <v>364</v>
      </c>
      <c r="K110" s="23">
        <f t="shared" si="18"/>
        <v>337</v>
      </c>
      <c r="L110" s="156">
        <v>8625</v>
      </c>
      <c r="M110" s="23">
        <f t="shared" si="18"/>
        <v>6415</v>
      </c>
      <c r="N110" s="4">
        <v>273229</v>
      </c>
      <c r="O110" s="7">
        <v>931</v>
      </c>
      <c r="P110" s="7">
        <v>185302</v>
      </c>
      <c r="Q110" s="4">
        <v>186233</v>
      </c>
      <c r="R110" s="4">
        <v>1044</v>
      </c>
      <c r="S110" s="4">
        <v>15003</v>
      </c>
      <c r="T110" s="4">
        <v>16383</v>
      </c>
      <c r="U110" s="12">
        <f t="shared" si="19"/>
        <v>7140</v>
      </c>
      <c r="V110" s="125">
        <f t="shared" si="10"/>
        <v>26385</v>
      </c>
      <c r="W110" s="43">
        <f t="shared" si="12"/>
        <v>1.3795717263596741E-2</v>
      </c>
      <c r="X110" s="35">
        <f t="shared" si="13"/>
        <v>2.4740965377811473E-2</v>
      </c>
      <c r="Y110" s="87"/>
      <c r="Z110" s="87">
        <f t="shared" si="9"/>
        <v>0.30586102719033237</v>
      </c>
      <c r="AB110" s="87">
        <f t="shared" si="8"/>
        <v>0.24064135396949116</v>
      </c>
      <c r="AD110" s="87">
        <f t="shared" si="15"/>
        <v>0.39632726502963589</v>
      </c>
      <c r="AF110" s="197">
        <f>MAX($B$2:B110)</f>
        <v>2060</v>
      </c>
    </row>
    <row r="111" spans="1:32" x14ac:dyDescent="0.25">
      <c r="A111" s="2">
        <v>44002</v>
      </c>
      <c r="B111" s="157">
        <v>1634</v>
      </c>
      <c r="C111" s="23">
        <f t="shared" si="16"/>
        <v>1558.4285714285713</v>
      </c>
      <c r="D111" s="159">
        <v>41204</v>
      </c>
      <c r="E111" s="159">
        <v>12</v>
      </c>
      <c r="F111" s="23">
        <f t="shared" si="17"/>
        <v>25.142857142857142</v>
      </c>
      <c r="G111" s="159">
        <v>991</v>
      </c>
      <c r="H111" s="156">
        <f t="shared" si="11"/>
        <v>522</v>
      </c>
      <c r="I111" s="180">
        <v>12728</v>
      </c>
      <c r="J111" s="156">
        <v>381</v>
      </c>
      <c r="K111" s="23">
        <f t="shared" si="18"/>
        <v>349.57142857142856</v>
      </c>
      <c r="L111" s="156">
        <v>6443</v>
      </c>
      <c r="M111" s="23">
        <f t="shared" si="18"/>
        <v>6471.7142857142853</v>
      </c>
      <c r="N111" s="4">
        <v>279672</v>
      </c>
      <c r="O111" s="7">
        <v>950</v>
      </c>
      <c r="P111" s="7">
        <v>188951</v>
      </c>
      <c r="Q111" s="4">
        <v>189901</v>
      </c>
      <c r="R111" s="4">
        <v>1046</v>
      </c>
      <c r="S111" s="4">
        <v>15528</v>
      </c>
      <c r="T111" s="4">
        <v>17095</v>
      </c>
      <c r="U111" s="12">
        <f t="shared" si="19"/>
        <v>7535</v>
      </c>
      <c r="V111" s="125">
        <f t="shared" si="10"/>
        <v>27485</v>
      </c>
      <c r="W111" s="43">
        <f t="shared" si="12"/>
        <v>1.3862106603601964E-2</v>
      </c>
      <c r="X111" s="35">
        <f t="shared" si="13"/>
        <v>2.4051063003591885E-2</v>
      </c>
      <c r="Y111" s="87"/>
      <c r="Z111" s="87">
        <f t="shared" si="9"/>
        <v>0.24205852214505286</v>
      </c>
      <c r="AB111" s="87">
        <f t="shared" si="8"/>
        <v>0.24080614542404308</v>
      </c>
      <c r="AD111" s="87">
        <f t="shared" si="15"/>
        <v>0.3800461940148625</v>
      </c>
      <c r="AF111" s="197">
        <f>MAX($B$2:B111)</f>
        <v>2060</v>
      </c>
    </row>
    <row r="112" spans="1:32" x14ac:dyDescent="0.25">
      <c r="A112" s="2">
        <v>44003</v>
      </c>
      <c r="B112" s="157">
        <v>1581</v>
      </c>
      <c r="C112" s="23">
        <f t="shared" si="16"/>
        <v>1601.1428571428571</v>
      </c>
      <c r="D112" s="156">
        <v>42785</v>
      </c>
      <c r="E112" s="159">
        <v>19</v>
      </c>
      <c r="F112" s="23">
        <f t="shared" si="17"/>
        <v>25.285714285714285</v>
      </c>
      <c r="G112" s="156">
        <v>1011</v>
      </c>
      <c r="H112" s="156">
        <f t="shared" si="11"/>
        <v>425</v>
      </c>
      <c r="I112" s="184">
        <v>13153</v>
      </c>
      <c r="J112" s="156">
        <v>397</v>
      </c>
      <c r="K112" s="23">
        <f t="shared" si="18"/>
        <v>361.14285714285717</v>
      </c>
      <c r="L112" s="156">
        <v>5719</v>
      </c>
      <c r="M112" s="23">
        <f t="shared" si="18"/>
        <v>6492.8571428571431</v>
      </c>
      <c r="N112" s="7">
        <v>285391</v>
      </c>
      <c r="O112" s="7">
        <v>773.26800000001094</v>
      </c>
      <c r="P112" s="7">
        <v>192543.73199999999</v>
      </c>
      <c r="Q112" s="4">
        <v>193317</v>
      </c>
      <c r="R112" s="4">
        <v>1047</v>
      </c>
      <c r="S112" s="4">
        <v>16101</v>
      </c>
      <c r="T112" s="4">
        <v>17750</v>
      </c>
      <c r="U112" s="12">
        <f t="shared" si="19"/>
        <v>7887</v>
      </c>
      <c r="V112" s="125">
        <f t="shared" si="10"/>
        <v>28621</v>
      </c>
      <c r="W112" s="43">
        <f t="shared" si="12"/>
        <v>1.3870933929632089E-2</v>
      </c>
      <c r="X112" s="35">
        <f t="shared" si="13"/>
        <v>2.3629776790931402E-2</v>
      </c>
      <c r="Y112" s="218">
        <f t="shared" ref="Y112:Y175" si="20">J112/V112</f>
        <v>1.3870933929632089E-2</v>
      </c>
      <c r="Z112" s="87">
        <f t="shared" si="9"/>
        <v>0.2229132569558101</v>
      </c>
      <c r="AB112" s="87">
        <f t="shared" si="8"/>
        <v>0.24660066006600659</v>
      </c>
      <c r="AD112" s="87">
        <f t="shared" si="15"/>
        <v>0.37251234834316405</v>
      </c>
      <c r="AF112" s="197">
        <f>MAX($B$2:B112)</f>
        <v>2060</v>
      </c>
    </row>
    <row r="113" spans="1:32" x14ac:dyDescent="0.25">
      <c r="A113" s="2">
        <v>44004</v>
      </c>
      <c r="B113" s="157">
        <v>2146</v>
      </c>
      <c r="C113" s="23">
        <f t="shared" si="16"/>
        <v>1735.1428571428571</v>
      </c>
      <c r="D113" s="159">
        <v>44931</v>
      </c>
      <c r="E113" s="156">
        <v>32</v>
      </c>
      <c r="F113" s="23">
        <f t="shared" si="17"/>
        <v>26.857142857142858</v>
      </c>
      <c r="G113" s="156">
        <f>G112+E113</f>
        <v>1043</v>
      </c>
      <c r="H113" s="156">
        <f t="shared" si="11"/>
        <v>423</v>
      </c>
      <c r="I113" s="184">
        <v>13576</v>
      </c>
      <c r="J113" s="156">
        <v>414</v>
      </c>
      <c r="K113" s="23">
        <f t="shared" si="18"/>
        <v>374</v>
      </c>
      <c r="L113" s="156">
        <v>7120</v>
      </c>
      <c r="M113" s="23">
        <f t="shared" si="18"/>
        <v>6778.8571428571431</v>
      </c>
      <c r="N113" s="7">
        <v>292511</v>
      </c>
      <c r="O113" s="14">
        <v>790</v>
      </c>
      <c r="P113" s="14">
        <v>196839</v>
      </c>
      <c r="Q113" s="4">
        <v>197629</v>
      </c>
      <c r="R113" s="12">
        <v>1050</v>
      </c>
      <c r="S113" s="12">
        <v>16924</v>
      </c>
      <c r="T113" s="12">
        <v>18537</v>
      </c>
      <c r="U113" s="12">
        <f t="shared" si="19"/>
        <v>8420</v>
      </c>
      <c r="V113" s="125">
        <f t="shared" si="10"/>
        <v>30312</v>
      </c>
      <c r="W113" s="43">
        <f t="shared" si="12"/>
        <v>1.3657957244655582E-2</v>
      </c>
      <c r="X113" s="35">
        <f t="shared" si="13"/>
        <v>2.3213371614252964E-2</v>
      </c>
      <c r="Y113" s="218">
        <f t="shared" si="20"/>
        <v>1.3657957244655582E-2</v>
      </c>
      <c r="Z113" s="87">
        <f t="shared" si="9"/>
        <v>0.29240263885933171</v>
      </c>
      <c r="AB113" s="87">
        <f t="shared" si="8"/>
        <v>0.2559639214363989</v>
      </c>
      <c r="AD113" s="87">
        <f t="shared" si="15"/>
        <v>0.39256672945284143</v>
      </c>
      <c r="AF113" s="197">
        <f>MAX($B$2:B113)</f>
        <v>2146</v>
      </c>
    </row>
    <row r="114" spans="1:32" x14ac:dyDescent="0.25">
      <c r="A114" s="2">
        <v>44005</v>
      </c>
      <c r="B114" s="156">
        <v>2285</v>
      </c>
      <c r="C114" s="23">
        <f t="shared" si="16"/>
        <v>1865.2857142857142</v>
      </c>
      <c r="D114" s="156">
        <f>D113+B114</f>
        <v>47216</v>
      </c>
      <c r="E114" s="156">
        <v>35</v>
      </c>
      <c r="F114" s="23">
        <f t="shared" si="17"/>
        <v>28.428571428571427</v>
      </c>
      <c r="G114" s="156">
        <f>G113+E114</f>
        <v>1078</v>
      </c>
      <c r="H114" s="156">
        <f t="shared" si="11"/>
        <v>240</v>
      </c>
      <c r="I114" s="184">
        <v>13816</v>
      </c>
      <c r="J114" s="156">
        <v>433</v>
      </c>
      <c r="K114" s="23">
        <f t="shared" si="18"/>
        <v>386.57142857142856</v>
      </c>
      <c r="L114" s="156">
        <v>7832</v>
      </c>
      <c r="M114" s="23">
        <f t="shared" si="18"/>
        <v>7104</v>
      </c>
      <c r="N114" s="12">
        <v>300343</v>
      </c>
      <c r="O114" s="14">
        <v>812</v>
      </c>
      <c r="P114" s="39">
        <v>202380</v>
      </c>
      <c r="Q114" s="12">
        <v>203192</v>
      </c>
      <c r="R114" s="4">
        <v>1052</v>
      </c>
      <c r="S114" s="12">
        <v>17655</v>
      </c>
      <c r="T114" s="12">
        <v>19603</v>
      </c>
      <c r="U114" s="12">
        <f t="shared" si="19"/>
        <v>8906</v>
      </c>
      <c r="V114" s="125">
        <f t="shared" si="10"/>
        <v>32322</v>
      </c>
      <c r="W114" s="43">
        <f t="shared" si="12"/>
        <v>1.3396448239589135E-2</v>
      </c>
      <c r="X114" s="35">
        <f t="shared" si="13"/>
        <v>2.2831243646221619E-2</v>
      </c>
      <c r="Y114" s="218">
        <f t="shared" si="20"/>
        <v>1.3396448239589135E-2</v>
      </c>
      <c r="Z114" s="87">
        <f t="shared" si="9"/>
        <v>0.36508102456874014</v>
      </c>
      <c r="AB114" s="87">
        <f t="shared" si="8"/>
        <v>0.26256837194337196</v>
      </c>
      <c r="AD114" s="87">
        <f t="shared" si="15"/>
        <v>0.41956168474680489</v>
      </c>
      <c r="AF114" s="197">
        <f>MAX($B$2:B114)</f>
        <v>2285</v>
      </c>
    </row>
    <row r="115" spans="1:32" x14ac:dyDescent="0.25">
      <c r="A115" s="2">
        <v>44006</v>
      </c>
      <c r="B115" s="157">
        <v>2635</v>
      </c>
      <c r="C115" s="23">
        <f t="shared" si="16"/>
        <v>2042.7142857142858</v>
      </c>
      <c r="D115" s="156">
        <v>49851</v>
      </c>
      <c r="E115" s="156">
        <v>38</v>
      </c>
      <c r="F115" s="23">
        <f t="shared" si="17"/>
        <v>28.857142857142858</v>
      </c>
      <c r="G115" s="156">
        <v>1116</v>
      </c>
      <c r="H115" s="156">
        <f t="shared" si="11"/>
        <v>972</v>
      </c>
      <c r="I115" s="184">
        <v>14788</v>
      </c>
      <c r="J115" s="156">
        <v>457</v>
      </c>
      <c r="K115" s="23">
        <f t="shared" si="18"/>
        <v>401.42857142857144</v>
      </c>
      <c r="L115" s="156">
        <v>9258</v>
      </c>
      <c r="M115" s="23">
        <f t="shared" si="18"/>
        <v>7501.2857142857147</v>
      </c>
      <c r="N115" s="4">
        <v>309601</v>
      </c>
      <c r="O115" s="14">
        <v>832.92800000001444</v>
      </c>
      <c r="P115" s="14">
        <v>207399.07199999999</v>
      </c>
      <c r="Q115" s="1">
        <v>208232</v>
      </c>
      <c r="R115" s="1">
        <v>1060</v>
      </c>
      <c r="S115" s="1">
        <v>18460</v>
      </c>
      <c r="T115" s="1">
        <v>20816</v>
      </c>
      <c r="U115" s="12">
        <f t="shared" si="19"/>
        <v>9515</v>
      </c>
      <c r="V115" s="125">
        <f t="shared" si="10"/>
        <v>33947</v>
      </c>
      <c r="W115" s="43">
        <f t="shared" si="12"/>
        <v>1.3462161604854627E-2</v>
      </c>
      <c r="X115" s="35">
        <f t="shared" si="13"/>
        <v>2.2386712402960824E-2</v>
      </c>
      <c r="Y115" s="218">
        <f t="shared" si="20"/>
        <v>1.3462161604854627E-2</v>
      </c>
      <c r="Z115" s="87">
        <f t="shared" si="9"/>
        <v>0.41057512084443126</v>
      </c>
      <c r="AB115" s="87">
        <f t="shared" si="8"/>
        <v>0.2723152221523929</v>
      </c>
      <c r="AD115" s="87">
        <f t="shared" si="15"/>
        <v>0.41930763441759344</v>
      </c>
      <c r="AF115" s="197">
        <f>MAX($B$2:B115)</f>
        <v>2635</v>
      </c>
    </row>
    <row r="116" spans="1:32" x14ac:dyDescent="0.25">
      <c r="A116" s="2">
        <v>44007</v>
      </c>
      <c r="B116" s="156">
        <v>2606</v>
      </c>
      <c r="C116" s="23">
        <f t="shared" si="16"/>
        <v>2135.2857142857142</v>
      </c>
      <c r="D116" s="159">
        <v>52457</v>
      </c>
      <c r="E116" s="156">
        <v>34</v>
      </c>
      <c r="F116" s="23">
        <f t="shared" si="17"/>
        <v>28.714285714285715</v>
      </c>
      <c r="G116" s="156">
        <v>1150</v>
      </c>
      <c r="H116" s="156">
        <f t="shared" si="11"/>
        <v>3628</v>
      </c>
      <c r="I116" s="184">
        <v>18416</v>
      </c>
      <c r="J116" s="156">
        <v>472</v>
      </c>
      <c r="K116" s="23">
        <f t="shared" si="18"/>
        <v>416.85714285714283</v>
      </c>
      <c r="L116" s="156">
        <v>9120</v>
      </c>
      <c r="M116" s="23">
        <f t="shared" si="18"/>
        <v>7731</v>
      </c>
      <c r="N116" s="4">
        <v>318721</v>
      </c>
      <c r="O116" s="7">
        <v>852</v>
      </c>
      <c r="P116" s="7">
        <v>212323</v>
      </c>
      <c r="Q116" s="4">
        <v>213175</v>
      </c>
      <c r="R116" s="4">
        <v>1061</v>
      </c>
      <c r="S116" s="4">
        <v>19202</v>
      </c>
      <c r="T116" s="4">
        <v>22078</v>
      </c>
      <c r="U116" s="12">
        <f t="shared" si="19"/>
        <v>10116</v>
      </c>
      <c r="V116" s="125">
        <f t="shared" si="10"/>
        <v>32891</v>
      </c>
      <c r="W116" s="43">
        <f t="shared" si="12"/>
        <v>1.4350430208871728E-2</v>
      </c>
      <c r="X116" s="35">
        <f t="shared" si="13"/>
        <v>2.1922717654459842E-2</v>
      </c>
      <c r="Y116" s="218">
        <f t="shared" si="20"/>
        <v>1.4350430208871728E-2</v>
      </c>
      <c r="Z116" s="87">
        <f t="shared" si="9"/>
        <v>0.38321302979826011</v>
      </c>
      <c r="AB116" s="87">
        <f t="shared" si="8"/>
        <v>0.27619786758319936</v>
      </c>
      <c r="AD116" s="87">
        <f t="shared" si="15"/>
        <v>0.33102666828537908</v>
      </c>
      <c r="AF116" s="197">
        <f>MAX($B$2:B116)</f>
        <v>2635</v>
      </c>
    </row>
    <row r="117" spans="1:32" x14ac:dyDescent="0.25">
      <c r="A117" s="2">
        <v>44008</v>
      </c>
      <c r="B117" s="157">
        <v>2886</v>
      </c>
      <c r="C117" s="23">
        <f t="shared" si="16"/>
        <v>2253.2857142857142</v>
      </c>
      <c r="D117" s="156">
        <v>55343</v>
      </c>
      <c r="E117" s="159">
        <v>34</v>
      </c>
      <c r="F117" s="23">
        <f t="shared" si="17"/>
        <v>29.142857142857142</v>
      </c>
      <c r="G117" s="159">
        <v>1184</v>
      </c>
      <c r="H117" s="156">
        <f t="shared" si="11"/>
        <v>727</v>
      </c>
      <c r="I117" s="184">
        <v>19143</v>
      </c>
      <c r="J117" s="156">
        <v>507</v>
      </c>
      <c r="K117" s="23">
        <f t="shared" si="18"/>
        <v>437.28571428571428</v>
      </c>
      <c r="L117" s="156">
        <v>10315</v>
      </c>
      <c r="M117" s="23">
        <f t="shared" si="18"/>
        <v>7972.4285714285716</v>
      </c>
      <c r="N117" s="4">
        <v>329036</v>
      </c>
      <c r="O117" s="7">
        <v>874</v>
      </c>
      <c r="P117" s="7">
        <v>217766</v>
      </c>
      <c r="Q117" s="4">
        <v>218640</v>
      </c>
      <c r="R117" s="4">
        <v>1061</v>
      </c>
      <c r="S117" s="4">
        <v>20095</v>
      </c>
      <c r="T117" s="4">
        <v>23464</v>
      </c>
      <c r="U117" s="12">
        <f t="shared" si="19"/>
        <v>10723</v>
      </c>
      <c r="V117" s="125">
        <f t="shared" si="10"/>
        <v>35016</v>
      </c>
      <c r="W117" s="43">
        <f t="shared" si="12"/>
        <v>1.4479095270733379E-2</v>
      </c>
      <c r="X117" s="35">
        <f t="shared" si="13"/>
        <v>2.1393852881123176E-2</v>
      </c>
      <c r="Y117" s="218">
        <f t="shared" si="20"/>
        <v>1.4479095270733379E-2</v>
      </c>
      <c r="Z117" s="87">
        <f t="shared" si="9"/>
        <v>0.44587038225318554</v>
      </c>
      <c r="AB117" s="87">
        <f t="shared" si="8"/>
        <v>0.28263479491820021</v>
      </c>
      <c r="AD117" s="87">
        <f t="shared" si="15"/>
        <v>0.32711768050028422</v>
      </c>
      <c r="AF117" s="197">
        <f>MAX($B$2:B117)</f>
        <v>2886</v>
      </c>
    </row>
    <row r="118" spans="1:32" x14ac:dyDescent="0.25">
      <c r="A118" s="2">
        <v>44009</v>
      </c>
      <c r="B118" s="159">
        <v>2401</v>
      </c>
      <c r="C118" s="23">
        <f t="shared" si="16"/>
        <v>2362.8571428571427</v>
      </c>
      <c r="D118" s="156">
        <v>57744</v>
      </c>
      <c r="E118" s="156">
        <v>23</v>
      </c>
      <c r="F118" s="23">
        <f t="shared" si="17"/>
        <v>30.714285714285715</v>
      </c>
      <c r="G118" s="159">
        <v>1207</v>
      </c>
      <c r="H118" s="156">
        <f t="shared" si="11"/>
        <v>991</v>
      </c>
      <c r="I118" s="184">
        <v>20134</v>
      </c>
      <c r="J118" s="156">
        <v>542</v>
      </c>
      <c r="K118" s="23">
        <f t="shared" si="18"/>
        <v>460.28571428571428</v>
      </c>
      <c r="L118" s="156">
        <v>7915</v>
      </c>
      <c r="M118" s="23">
        <f t="shared" si="18"/>
        <v>8182.7142857142853</v>
      </c>
      <c r="N118" s="4">
        <v>336951</v>
      </c>
      <c r="O118" s="7">
        <v>892.88399999999092</v>
      </c>
      <c r="P118" s="7">
        <v>222328.11600000001</v>
      </c>
      <c r="Q118" s="4">
        <v>223221</v>
      </c>
      <c r="R118" s="4">
        <v>1062</v>
      </c>
      <c r="S118" s="4">
        <v>20807</v>
      </c>
      <c r="T118" s="4">
        <v>24743</v>
      </c>
      <c r="U118" s="12">
        <f t="shared" si="19"/>
        <v>11132</v>
      </c>
      <c r="V118" s="125">
        <f t="shared" si="10"/>
        <v>36403</v>
      </c>
      <c r="W118" s="43">
        <f t="shared" si="12"/>
        <v>1.4888882784385903E-2</v>
      </c>
      <c r="X118" s="35">
        <f t="shared" si="13"/>
        <v>2.090260459961208E-2</v>
      </c>
      <c r="Y118" s="218">
        <f t="shared" si="20"/>
        <v>1.4888882784385903E-2</v>
      </c>
      <c r="Z118" s="87">
        <f t="shared" si="9"/>
        <v>0.47573162027123472</v>
      </c>
      <c r="AB118" s="87">
        <f t="shared" si="8"/>
        <v>0.28876202447668431</v>
      </c>
      <c r="AD118" s="87">
        <f t="shared" si="15"/>
        <v>0.32446789157722389</v>
      </c>
      <c r="AF118" s="197">
        <f>MAX($B$2:B118)</f>
        <v>2886</v>
      </c>
    </row>
    <row r="119" spans="1:32" x14ac:dyDescent="0.25">
      <c r="A119" s="2">
        <v>44010</v>
      </c>
      <c r="B119" s="157">
        <v>2189</v>
      </c>
      <c r="C119" s="23">
        <f t="shared" si="16"/>
        <v>2449.7142857142858</v>
      </c>
      <c r="D119" s="156">
        <f>D118+B119</f>
        <v>59933</v>
      </c>
      <c r="E119" s="156">
        <v>26</v>
      </c>
      <c r="F119" s="23">
        <f t="shared" si="17"/>
        <v>31.714285714285715</v>
      </c>
      <c r="G119" s="156">
        <f>G118+E119</f>
        <v>1233</v>
      </c>
      <c r="H119" s="156">
        <f t="shared" si="11"/>
        <v>1004</v>
      </c>
      <c r="I119" s="184">
        <v>21138</v>
      </c>
      <c r="J119" s="156">
        <v>535</v>
      </c>
      <c r="K119" s="23">
        <f t="shared" si="18"/>
        <v>480</v>
      </c>
      <c r="L119" s="156">
        <v>7458</v>
      </c>
      <c r="M119" s="23">
        <f t="shared" si="18"/>
        <v>8431.1428571428569</v>
      </c>
      <c r="N119" s="4">
        <v>344409</v>
      </c>
      <c r="O119" s="7">
        <v>908</v>
      </c>
      <c r="P119" s="7">
        <v>226138</v>
      </c>
      <c r="Q119" s="4">
        <v>227046</v>
      </c>
      <c r="R119" s="4">
        <v>1063</v>
      </c>
      <c r="S119" s="4">
        <v>21599</v>
      </c>
      <c r="T119" s="4">
        <v>25600</v>
      </c>
      <c r="U119" s="12">
        <f t="shared" si="19"/>
        <v>11671</v>
      </c>
      <c r="V119" s="125">
        <f t="shared" si="10"/>
        <v>37562</v>
      </c>
      <c r="W119" s="43">
        <f t="shared" si="12"/>
        <v>1.4243118044832543E-2</v>
      </c>
      <c r="X119" s="35">
        <f t="shared" si="13"/>
        <v>2.057297315335458E-2</v>
      </c>
      <c r="Y119" s="218">
        <f t="shared" si="20"/>
        <v>1.4243118044832543E-2</v>
      </c>
      <c r="Z119" s="87">
        <f t="shared" si="9"/>
        <v>0.41182282232833867</v>
      </c>
      <c r="AB119" s="87">
        <f t="shared" si="8"/>
        <v>0.29055542376901961</v>
      </c>
      <c r="AD119" s="87">
        <f t="shared" si="15"/>
        <v>0.31239299814821275</v>
      </c>
      <c r="AF119" s="197">
        <f>MAX($B$2:B119)</f>
        <v>2886</v>
      </c>
    </row>
    <row r="120" spans="1:32" x14ac:dyDescent="0.25">
      <c r="A120" s="44">
        <v>44011</v>
      </c>
      <c r="B120" s="159">
        <v>2335</v>
      </c>
      <c r="C120" s="23">
        <f t="shared" si="16"/>
        <v>2476.7142857142858</v>
      </c>
      <c r="D120" s="156">
        <f>D119+B120</f>
        <v>62268</v>
      </c>
      <c r="E120" s="156">
        <v>48</v>
      </c>
      <c r="F120" s="23">
        <f t="shared" si="17"/>
        <v>34</v>
      </c>
      <c r="G120" s="156">
        <f>G119+E120</f>
        <v>1281</v>
      </c>
      <c r="H120" s="156">
        <f t="shared" si="11"/>
        <v>890</v>
      </c>
      <c r="I120" s="184">
        <v>22028</v>
      </c>
      <c r="J120" s="156">
        <v>555</v>
      </c>
      <c r="K120" s="23">
        <f t="shared" si="18"/>
        <v>500.14285714285717</v>
      </c>
      <c r="L120" s="156">
        <v>7933</v>
      </c>
      <c r="M120" s="23">
        <f t="shared" si="18"/>
        <v>8547.2857142857138</v>
      </c>
      <c r="N120" s="4">
        <v>350402</v>
      </c>
      <c r="O120" s="7">
        <v>928</v>
      </c>
      <c r="P120" s="7">
        <f>Q120-O120</f>
        <v>231088</v>
      </c>
      <c r="Q120" s="4">
        <v>232016</v>
      </c>
      <c r="R120" s="4">
        <v>1064</v>
      </c>
      <c r="S120" s="4">
        <v>22481</v>
      </c>
      <c r="T120" s="4">
        <v>27136</v>
      </c>
      <c r="U120" s="12">
        <f t="shared" si="19"/>
        <v>11587</v>
      </c>
      <c r="V120" s="125">
        <f t="shared" si="10"/>
        <v>38959</v>
      </c>
      <c r="W120" s="43">
        <f t="shared" si="12"/>
        <v>1.4245745527349264E-2</v>
      </c>
      <c r="X120" s="35">
        <f t="shared" si="13"/>
        <v>2.0572364617460013E-2</v>
      </c>
      <c r="Y120" s="218">
        <f t="shared" si="20"/>
        <v>1.4245745527349264E-2</v>
      </c>
      <c r="Z120" s="87">
        <f t="shared" si="9"/>
        <v>0.32779352071685697</v>
      </c>
      <c r="AB120" s="87">
        <f t="shared" si="8"/>
        <v>0.28976617472547678</v>
      </c>
      <c r="AD120" s="87">
        <f t="shared" si="15"/>
        <v>0.28526656109791504</v>
      </c>
      <c r="AF120" s="197">
        <f>MAX($B$2:B120)</f>
        <v>2886</v>
      </c>
    </row>
    <row r="121" spans="1:32" x14ac:dyDescent="0.25">
      <c r="A121" s="2">
        <v>44012</v>
      </c>
      <c r="B121" s="156">
        <v>2262</v>
      </c>
      <c r="C121" s="23">
        <f t="shared" si="16"/>
        <v>2473.4285714285716</v>
      </c>
      <c r="D121" s="156">
        <v>64530</v>
      </c>
      <c r="E121" s="156">
        <v>27</v>
      </c>
      <c r="F121" s="23">
        <f t="shared" si="17"/>
        <v>32.857142857142854</v>
      </c>
      <c r="G121" s="156">
        <v>1307</v>
      </c>
      <c r="H121" s="156">
        <f t="shared" si="11"/>
        <v>1012</v>
      </c>
      <c r="I121" s="184">
        <v>23040</v>
      </c>
      <c r="J121" s="156">
        <v>576</v>
      </c>
      <c r="K121" s="23">
        <f t="shared" ref="K121:M184" si="21">AVERAGE(J115:J121)</f>
        <v>520.57142857142856</v>
      </c>
      <c r="L121" s="156">
        <v>10506</v>
      </c>
      <c r="M121" s="23">
        <f t="shared" si="21"/>
        <v>8929.2857142857138</v>
      </c>
      <c r="N121" s="4">
        <v>362908</v>
      </c>
      <c r="O121" s="7">
        <v>946</v>
      </c>
      <c r="P121" s="7">
        <f>Q121-O121</f>
        <v>235617</v>
      </c>
      <c r="Q121" s="4">
        <v>236563</v>
      </c>
      <c r="R121" s="12">
        <v>1065</v>
      </c>
      <c r="S121" s="4">
        <v>23565</v>
      </c>
      <c r="T121" s="12">
        <v>28732</v>
      </c>
      <c r="U121" s="12">
        <f t="shared" si="19"/>
        <v>11168</v>
      </c>
      <c r="V121" s="125">
        <f t="shared" si="10"/>
        <v>40183</v>
      </c>
      <c r="W121" s="43">
        <f t="shared" si="12"/>
        <v>1.4334420028370206E-2</v>
      </c>
      <c r="X121" s="35">
        <f t="shared" si="13"/>
        <v>2.0254145358747869E-2</v>
      </c>
      <c r="Y121" s="218">
        <f t="shared" si="20"/>
        <v>1.4334420028370206E-2</v>
      </c>
      <c r="Z121" s="87">
        <f t="shared" si="9"/>
        <v>0.21085390586754316</v>
      </c>
      <c r="AB121" s="87">
        <f t="shared" si="8"/>
        <v>0.27700183985281179</v>
      </c>
      <c r="AD121" s="87">
        <f t="shared" si="15"/>
        <v>0.24320895984159385</v>
      </c>
      <c r="AF121" s="197">
        <f>MAX($B$2:B121)</f>
        <v>2886</v>
      </c>
    </row>
    <row r="122" spans="1:32" x14ac:dyDescent="0.25">
      <c r="A122" s="2">
        <v>44013</v>
      </c>
      <c r="B122" s="159">
        <v>2667</v>
      </c>
      <c r="C122" s="23">
        <f t="shared" si="16"/>
        <v>2478</v>
      </c>
      <c r="D122" s="156">
        <f>D121+B122</f>
        <v>67197</v>
      </c>
      <c r="E122" s="156">
        <v>44</v>
      </c>
      <c r="F122" s="23">
        <f t="shared" si="17"/>
        <v>33.714285714285715</v>
      </c>
      <c r="G122" s="156">
        <f>G121+E122</f>
        <v>1351</v>
      </c>
      <c r="H122" s="156">
        <f t="shared" si="11"/>
        <v>1146</v>
      </c>
      <c r="I122" s="184">
        <v>24186</v>
      </c>
      <c r="J122" s="156">
        <v>594</v>
      </c>
      <c r="K122" s="23">
        <f t="shared" si="21"/>
        <v>540.14285714285711</v>
      </c>
      <c r="L122" s="156">
        <v>9200</v>
      </c>
      <c r="M122" s="23">
        <f t="shared" si="21"/>
        <v>8921</v>
      </c>
      <c r="N122" s="4">
        <v>372108</v>
      </c>
      <c r="O122" s="7">
        <v>966</v>
      </c>
      <c r="P122" s="7">
        <v>240610</v>
      </c>
      <c r="Q122" s="4">
        <v>246576</v>
      </c>
      <c r="R122" s="4">
        <v>1066</v>
      </c>
      <c r="S122" s="4">
        <v>24124</v>
      </c>
      <c r="T122" s="4">
        <v>30493</v>
      </c>
      <c r="U122" s="12">
        <f t="shared" si="19"/>
        <v>11514</v>
      </c>
      <c r="V122" s="125">
        <f t="shared" si="10"/>
        <v>41660</v>
      </c>
      <c r="W122" s="43">
        <f t="shared" si="12"/>
        <v>1.4258281325012001E-2</v>
      </c>
      <c r="X122" s="35">
        <f t="shared" si="13"/>
        <v>2.0105064214176228E-2</v>
      </c>
      <c r="Y122" s="218">
        <f t="shared" si="20"/>
        <v>1.4258281325012001E-2</v>
      </c>
      <c r="Z122" s="87">
        <f t="shared" si="9"/>
        <v>0.16050043486987353</v>
      </c>
      <c r="AB122" s="87">
        <f t="shared" ref="AB122:AB185" si="22">SUM(B116:B122)/SUM(L116:L122)</f>
        <v>0.27777155027463291</v>
      </c>
      <c r="AD122" s="87">
        <f t="shared" si="15"/>
        <v>0.22720711697646334</v>
      </c>
      <c r="AF122" s="197">
        <f>MAX($B$2:B122)</f>
        <v>2886</v>
      </c>
    </row>
    <row r="123" spans="1:32" x14ac:dyDescent="0.25">
      <c r="A123" s="2">
        <v>44014</v>
      </c>
      <c r="B123" s="159">
        <v>2744</v>
      </c>
      <c r="C123" s="23">
        <f t="shared" si="16"/>
        <v>2497.7142857142858</v>
      </c>
      <c r="D123" s="156">
        <f>D122+B123</f>
        <v>69941</v>
      </c>
      <c r="E123" s="156">
        <v>34</v>
      </c>
      <c r="F123" s="23">
        <f t="shared" si="17"/>
        <v>33.714285714285715</v>
      </c>
      <c r="G123" s="156">
        <f>E123+G122</f>
        <v>1385</v>
      </c>
      <c r="H123" s="156">
        <f t="shared" si="11"/>
        <v>1038</v>
      </c>
      <c r="I123" s="184">
        <v>25224</v>
      </c>
      <c r="J123" s="156">
        <v>620</v>
      </c>
      <c r="K123" s="23">
        <f t="shared" si="21"/>
        <v>561.28571428571433</v>
      </c>
      <c r="L123" s="156">
        <v>9323</v>
      </c>
      <c r="M123" s="23">
        <f t="shared" si="21"/>
        <v>8950</v>
      </c>
      <c r="N123" s="4">
        <v>381431</v>
      </c>
      <c r="O123" s="7">
        <f>Q123-P123</f>
        <v>737.55600000001141</v>
      </c>
      <c r="P123" s="7">
        <f>Q123*0.997</f>
        <v>245114.44399999999</v>
      </c>
      <c r="Q123" s="4">
        <v>245852</v>
      </c>
      <c r="R123" s="4">
        <v>1067</v>
      </c>
      <c r="S123" s="4">
        <v>24969</v>
      </c>
      <c r="T123" s="4">
        <v>32144</v>
      </c>
      <c r="U123" s="12">
        <f t="shared" si="19"/>
        <v>11761</v>
      </c>
      <c r="V123" s="125">
        <f t="shared" si="10"/>
        <v>43332</v>
      </c>
      <c r="W123" s="43">
        <f t="shared" si="12"/>
        <v>1.4308132557924859E-2</v>
      </c>
      <c r="X123" s="35">
        <f t="shared" si="13"/>
        <v>1.9802404884116612E-2</v>
      </c>
      <c r="Y123" s="218">
        <f t="shared" si="20"/>
        <v>1.4308132557924859E-2</v>
      </c>
      <c r="Z123" s="87">
        <f t="shared" ref="Z123:Z186" si="23">C123/C117-1</f>
        <v>0.10847651049261398</v>
      </c>
      <c r="AB123" s="87">
        <f t="shared" si="22"/>
        <v>0.27907422186751796</v>
      </c>
      <c r="AD123" s="87">
        <f t="shared" si="15"/>
        <v>0.31744246146362221</v>
      </c>
      <c r="AF123" s="197">
        <f>MAX($B$2:B123)</f>
        <v>2886</v>
      </c>
    </row>
    <row r="124" spans="1:32" ht="16.5" customHeight="1" x14ac:dyDescent="0.25">
      <c r="A124" s="2">
        <v>44015</v>
      </c>
      <c r="B124" s="157">
        <v>2845</v>
      </c>
      <c r="C124" s="23">
        <f t="shared" si="16"/>
        <v>2491.8571428571427</v>
      </c>
      <c r="D124" s="154">
        <f>D123+B124</f>
        <v>72786</v>
      </c>
      <c r="E124" s="154">
        <v>52</v>
      </c>
      <c r="F124" s="23">
        <f t="shared" si="17"/>
        <v>36.285714285714285</v>
      </c>
      <c r="G124" s="154">
        <f>G123+E124</f>
        <v>1437</v>
      </c>
      <c r="H124" s="156">
        <f t="shared" si="11"/>
        <v>706</v>
      </c>
      <c r="I124" s="184">
        <v>25930</v>
      </c>
      <c r="J124" s="154">
        <v>637</v>
      </c>
      <c r="K124" s="23">
        <f t="shared" si="21"/>
        <v>579.85714285714289</v>
      </c>
      <c r="L124" s="156">
        <v>8951</v>
      </c>
      <c r="M124" s="23">
        <f t="shared" si="21"/>
        <v>8755.1428571428569</v>
      </c>
      <c r="N124" s="4">
        <v>390382</v>
      </c>
      <c r="O124" s="7">
        <v>751</v>
      </c>
      <c r="P124" s="7">
        <v>249794</v>
      </c>
      <c r="Q124" s="4">
        <f>P124+O124</f>
        <v>250545</v>
      </c>
      <c r="R124" s="4">
        <v>1068</v>
      </c>
      <c r="S124" s="4">
        <v>25848</v>
      </c>
      <c r="T124" s="4">
        <v>33867</v>
      </c>
      <c r="U124" s="12">
        <f t="shared" si="19"/>
        <v>12003</v>
      </c>
      <c r="V124" s="125">
        <f t="shared" si="10"/>
        <v>45419</v>
      </c>
      <c r="W124" s="43">
        <f t="shared" si="12"/>
        <v>1.4024967524604241E-2</v>
      </c>
      <c r="X124" s="35">
        <f t="shared" si="13"/>
        <v>1.9742807682796144E-2</v>
      </c>
      <c r="Y124" s="218">
        <f t="shared" si="20"/>
        <v>1.4024967524604241E-2</v>
      </c>
      <c r="Z124" s="87">
        <f t="shared" si="23"/>
        <v>5.4594921402660201E-2</v>
      </c>
      <c r="AB124" s="87">
        <f t="shared" si="22"/>
        <v>0.28461638873478445</v>
      </c>
      <c r="AD124" s="87">
        <f t="shared" si="15"/>
        <v>0.2970927575965272</v>
      </c>
      <c r="AF124" s="197">
        <f>MAX($B$2:B124)</f>
        <v>2886</v>
      </c>
    </row>
    <row r="125" spans="1:32" x14ac:dyDescent="0.25">
      <c r="A125" s="2">
        <v>44016</v>
      </c>
      <c r="B125" s="157">
        <v>2590</v>
      </c>
      <c r="C125" s="23">
        <f t="shared" si="16"/>
        <v>2518.8571428571427</v>
      </c>
      <c r="D125" s="154">
        <f>D124+B125</f>
        <v>75376</v>
      </c>
      <c r="E125" s="154">
        <v>44</v>
      </c>
      <c r="F125" s="23">
        <f t="shared" si="17"/>
        <v>39.285714285714285</v>
      </c>
      <c r="G125" s="154">
        <f>G124+E125</f>
        <v>1481</v>
      </c>
      <c r="H125" s="156">
        <f t="shared" si="11"/>
        <v>1667</v>
      </c>
      <c r="I125" s="184">
        <v>27597</v>
      </c>
      <c r="J125" s="154">
        <v>658</v>
      </c>
      <c r="K125" s="23">
        <f t="shared" si="21"/>
        <v>596.42857142857144</v>
      </c>
      <c r="L125" s="156">
        <v>9072</v>
      </c>
      <c r="M125" s="23">
        <f t="shared" si="21"/>
        <v>8920.4285714285706</v>
      </c>
      <c r="N125" s="4">
        <v>399454</v>
      </c>
      <c r="O125" s="7">
        <v>765</v>
      </c>
      <c r="P125" s="7">
        <v>254498</v>
      </c>
      <c r="Q125" s="4">
        <v>255263</v>
      </c>
      <c r="R125" s="4">
        <v>1069</v>
      </c>
      <c r="S125" s="4">
        <v>26548</v>
      </c>
      <c r="T125" s="4">
        <v>35186</v>
      </c>
      <c r="U125" s="12">
        <f>D125-T125-S125-R125</f>
        <v>12573</v>
      </c>
      <c r="V125" s="125">
        <f t="shared" si="10"/>
        <v>46298</v>
      </c>
      <c r="W125" s="43">
        <f t="shared" si="12"/>
        <v>1.4212276988206833E-2</v>
      </c>
      <c r="X125" s="35">
        <f t="shared" si="13"/>
        <v>1.9648163871789429E-2</v>
      </c>
      <c r="Y125" s="218">
        <f t="shared" si="20"/>
        <v>1.4212276988206833E-2</v>
      </c>
      <c r="Z125" s="87">
        <f t="shared" si="23"/>
        <v>2.8224865873571092E-2</v>
      </c>
      <c r="AB125" s="87">
        <f t="shared" si="22"/>
        <v>0.28236952100315488</v>
      </c>
      <c r="AD125" s="87">
        <f t="shared" si="15"/>
        <v>0.27181825673708215</v>
      </c>
      <c r="AF125" s="197">
        <f>MAX($B$2:B125)</f>
        <v>2886</v>
      </c>
    </row>
    <row r="126" spans="1:32" x14ac:dyDescent="0.25">
      <c r="A126" s="2">
        <v>44017</v>
      </c>
      <c r="B126" s="159">
        <v>2439</v>
      </c>
      <c r="C126" s="23">
        <f t="shared" si="16"/>
        <v>2554.5714285714284</v>
      </c>
      <c r="D126" s="156">
        <v>77815</v>
      </c>
      <c r="E126" s="156">
        <v>26</v>
      </c>
      <c r="F126" s="23">
        <f t="shared" si="17"/>
        <v>39.285714285714285</v>
      </c>
      <c r="G126" s="156">
        <f>G125+E126</f>
        <v>1507</v>
      </c>
      <c r="H126" s="156">
        <f t="shared" si="11"/>
        <v>934</v>
      </c>
      <c r="I126" s="184">
        <v>28531</v>
      </c>
      <c r="J126" s="154">
        <v>676</v>
      </c>
      <c r="K126" s="23">
        <f t="shared" si="21"/>
        <v>616.57142857142856</v>
      </c>
      <c r="L126" s="156">
        <v>6756</v>
      </c>
      <c r="M126" s="23">
        <f t="shared" si="21"/>
        <v>8820.1428571428569</v>
      </c>
      <c r="N126" s="4">
        <v>406210</v>
      </c>
      <c r="O126" s="7">
        <v>776</v>
      </c>
      <c r="P126" s="7">
        <v>258025</v>
      </c>
      <c r="Q126" s="4">
        <v>258801</v>
      </c>
      <c r="R126" s="4">
        <v>1072</v>
      </c>
      <c r="S126" s="4">
        <v>27239</v>
      </c>
      <c r="T126" s="4">
        <v>36235</v>
      </c>
      <c r="U126" s="4">
        <f>77815-T126-S126-R126</f>
        <v>13269</v>
      </c>
      <c r="V126" s="125">
        <f t="shared" si="10"/>
        <v>47777</v>
      </c>
      <c r="W126" s="43">
        <f t="shared" si="12"/>
        <v>1.4149067542960001E-2</v>
      </c>
      <c r="X126" s="35">
        <f t="shared" si="13"/>
        <v>1.9366446057957978E-2</v>
      </c>
      <c r="Y126" s="218">
        <f t="shared" si="20"/>
        <v>1.4149067542960001E-2</v>
      </c>
      <c r="Z126" s="87">
        <f t="shared" si="23"/>
        <v>3.1435657841610398E-2</v>
      </c>
      <c r="AB126" s="87">
        <f t="shared" si="22"/>
        <v>0.28962925770557651</v>
      </c>
      <c r="AD126" s="87">
        <f t="shared" si="15"/>
        <v>0.27195037537937283</v>
      </c>
      <c r="AF126" s="197">
        <f>MAX($B$2:B126)</f>
        <v>2886</v>
      </c>
    </row>
    <row r="127" spans="1:32" x14ac:dyDescent="0.25">
      <c r="A127" s="44">
        <v>44018</v>
      </c>
      <c r="B127" s="156">
        <v>2632</v>
      </c>
      <c r="C127" s="23">
        <f t="shared" si="16"/>
        <v>2597</v>
      </c>
      <c r="D127" s="156">
        <v>80447</v>
      </c>
      <c r="E127" s="156">
        <v>75</v>
      </c>
      <c r="F127" s="23">
        <f t="shared" si="17"/>
        <v>43.142857142857146</v>
      </c>
      <c r="G127" s="156">
        <v>1582</v>
      </c>
      <c r="H127" s="156">
        <f t="shared" si="11"/>
        <v>1564</v>
      </c>
      <c r="I127" s="184">
        <v>30095</v>
      </c>
      <c r="J127" s="154">
        <v>688</v>
      </c>
      <c r="K127" s="23">
        <f t="shared" si="21"/>
        <v>635.57142857142856</v>
      </c>
      <c r="L127" s="156">
        <v>8487</v>
      </c>
      <c r="M127" s="23">
        <f t="shared" si="21"/>
        <v>8899.2857142857138</v>
      </c>
      <c r="N127" s="13">
        <v>414697</v>
      </c>
      <c r="O127" s="7">
        <v>789</v>
      </c>
      <c r="P127" s="7">
        <f>Q127-O127</f>
        <v>262367</v>
      </c>
      <c r="Q127" s="4">
        <v>263156</v>
      </c>
      <c r="R127" s="4">
        <v>1073</v>
      </c>
      <c r="S127" s="4">
        <v>27991</v>
      </c>
      <c r="T127" s="4">
        <v>38006</v>
      </c>
      <c r="U127" s="4">
        <f>80447-T127-S127-R127</f>
        <v>13377</v>
      </c>
      <c r="V127" s="125">
        <f t="shared" si="10"/>
        <v>48770</v>
      </c>
      <c r="W127" s="43">
        <f t="shared" si="12"/>
        <v>1.41070330120976E-2</v>
      </c>
      <c r="X127" s="35">
        <f t="shared" si="13"/>
        <v>1.966512113565453E-2</v>
      </c>
      <c r="Y127" s="218">
        <f t="shared" si="20"/>
        <v>1.41070330120976E-2</v>
      </c>
      <c r="Z127" s="87">
        <f t="shared" si="23"/>
        <v>4.9959570289938693E-2</v>
      </c>
      <c r="AB127" s="87">
        <f t="shared" si="22"/>
        <v>0.29182117344891245</v>
      </c>
      <c r="AD127" s="87">
        <f t="shared" si="15"/>
        <v>0.25182884570959208</v>
      </c>
      <c r="AF127" s="197">
        <f>MAX($B$2:B127)</f>
        <v>2886</v>
      </c>
    </row>
    <row r="128" spans="1:32" x14ac:dyDescent="0.25">
      <c r="A128" s="2">
        <v>44019</v>
      </c>
      <c r="B128" s="156">
        <v>2979</v>
      </c>
      <c r="C128" s="23">
        <f t="shared" si="16"/>
        <v>2699.4285714285716</v>
      </c>
      <c r="D128" s="156">
        <v>83426</v>
      </c>
      <c r="E128" s="156">
        <v>62</v>
      </c>
      <c r="F128" s="23">
        <f t="shared" si="17"/>
        <v>48.142857142857146</v>
      </c>
      <c r="G128" s="159">
        <v>1644</v>
      </c>
      <c r="H128" s="156">
        <f t="shared" si="11"/>
        <v>6407</v>
      </c>
      <c r="I128" s="184">
        <v>36502</v>
      </c>
      <c r="J128" s="156">
        <v>646</v>
      </c>
      <c r="K128" s="23">
        <f t="shared" si="21"/>
        <v>645.57142857142856</v>
      </c>
      <c r="L128" s="156">
        <v>9805</v>
      </c>
      <c r="M128" s="23">
        <f t="shared" si="21"/>
        <v>8799.1428571428569</v>
      </c>
      <c r="N128" s="13">
        <v>423782</v>
      </c>
      <c r="O128" s="7">
        <v>803</v>
      </c>
      <c r="P128" s="7">
        <v>266938</v>
      </c>
      <c r="Q128" s="4">
        <v>267741</v>
      </c>
      <c r="R128" s="4">
        <v>1074</v>
      </c>
      <c r="S128" s="4">
        <v>28792</v>
      </c>
      <c r="T128" s="4">
        <v>39718</v>
      </c>
      <c r="U128" s="4">
        <f>83426-T128-S128-R128</f>
        <v>13842</v>
      </c>
      <c r="V128" s="125">
        <f t="shared" si="10"/>
        <v>45280</v>
      </c>
      <c r="W128" s="43">
        <f t="shared" si="12"/>
        <v>1.4266784452296819E-2</v>
      </c>
      <c r="X128" s="35">
        <f t="shared" si="13"/>
        <v>1.9706086831443436E-2</v>
      </c>
      <c r="Y128" s="218">
        <f t="shared" si="20"/>
        <v>1.4266784452296819E-2</v>
      </c>
      <c r="Z128" s="87">
        <f t="shared" si="23"/>
        <v>8.9357777009108741E-2</v>
      </c>
      <c r="AB128" s="87">
        <f t="shared" si="22"/>
        <v>0.30678312822677534</v>
      </c>
      <c r="AD128" s="87">
        <f t="shared" si="15"/>
        <v>0.12684468556354678</v>
      </c>
      <c r="AF128" s="197">
        <f>MAX($B$2:B128)</f>
        <v>2979</v>
      </c>
    </row>
    <row r="129" spans="1:32" x14ac:dyDescent="0.25">
      <c r="A129" s="2">
        <v>44020</v>
      </c>
      <c r="B129" s="156">
        <v>3604</v>
      </c>
      <c r="C129" s="23">
        <f t="shared" si="16"/>
        <v>2833.2857142857142</v>
      </c>
      <c r="D129" s="159">
        <v>87030</v>
      </c>
      <c r="E129" s="156">
        <v>51</v>
      </c>
      <c r="F129" s="23">
        <f t="shared" si="17"/>
        <v>49.142857142857146</v>
      </c>
      <c r="G129" s="174">
        <v>1695</v>
      </c>
      <c r="H129" s="156">
        <f t="shared" si="11"/>
        <v>1811</v>
      </c>
      <c r="I129" s="184">
        <v>38313</v>
      </c>
      <c r="J129" s="156">
        <v>671</v>
      </c>
      <c r="K129" s="23">
        <f t="shared" si="21"/>
        <v>656.57142857142856</v>
      </c>
      <c r="L129" s="156">
        <v>10910</v>
      </c>
      <c r="M129" s="23">
        <f t="shared" si="21"/>
        <v>9043.4285714285706</v>
      </c>
      <c r="N129" s="13">
        <v>434692</v>
      </c>
      <c r="O129" s="7">
        <v>819</v>
      </c>
      <c r="P129" s="7">
        <v>272349</v>
      </c>
      <c r="Q129" s="4">
        <v>273168</v>
      </c>
      <c r="R129" s="4">
        <v>1074</v>
      </c>
      <c r="S129" s="4">
        <v>29747</v>
      </c>
      <c r="T129" s="4">
        <v>41495</v>
      </c>
      <c r="U129" s="4">
        <f>87030-T129-S129-R129</f>
        <v>14714</v>
      </c>
      <c r="V129" s="125">
        <f t="shared" si="10"/>
        <v>47022</v>
      </c>
      <c r="W129" s="43">
        <f t="shared" si="12"/>
        <v>1.4269916209433882E-2</v>
      </c>
      <c r="X129" s="35">
        <f t="shared" si="13"/>
        <v>1.9476042743881421E-2</v>
      </c>
      <c r="Y129" s="218">
        <f t="shared" si="20"/>
        <v>1.4269916209433882E-2</v>
      </c>
      <c r="Z129" s="87">
        <f t="shared" si="23"/>
        <v>0.13435140700068637</v>
      </c>
      <c r="AB129" s="87">
        <f t="shared" si="22"/>
        <v>0.31329773789965881</v>
      </c>
      <c r="AD129" s="87">
        <f t="shared" si="15"/>
        <v>0.12870859337493989</v>
      </c>
      <c r="AF129" s="197">
        <f>MAX($B$2:B129)</f>
        <v>3604</v>
      </c>
    </row>
    <row r="130" spans="1:32" x14ac:dyDescent="0.25">
      <c r="A130" s="2">
        <v>44021</v>
      </c>
      <c r="B130" s="159">
        <v>3663</v>
      </c>
      <c r="C130" s="23">
        <f t="shared" si="16"/>
        <v>2964.5714285714284</v>
      </c>
      <c r="D130" s="159">
        <v>90693</v>
      </c>
      <c r="E130" s="156">
        <v>26</v>
      </c>
      <c r="F130" s="23">
        <f t="shared" si="17"/>
        <v>48</v>
      </c>
      <c r="G130" s="159">
        <v>1721</v>
      </c>
      <c r="H130" s="156">
        <f t="shared" si="11"/>
        <v>671</v>
      </c>
      <c r="I130" s="184">
        <v>38984</v>
      </c>
      <c r="J130" s="156">
        <v>662</v>
      </c>
      <c r="K130" s="23">
        <f t="shared" si="21"/>
        <v>662.57142857142856</v>
      </c>
      <c r="L130" s="156">
        <v>11041</v>
      </c>
      <c r="M130" s="23">
        <f t="shared" si="21"/>
        <v>9288.8571428571431</v>
      </c>
      <c r="N130" s="13">
        <v>445733</v>
      </c>
      <c r="O130" s="7">
        <v>836</v>
      </c>
      <c r="P130" s="7">
        <v>277811</v>
      </c>
      <c r="Q130" s="4">
        <v>278647</v>
      </c>
      <c r="R130" s="4">
        <v>1076</v>
      </c>
      <c r="S130" s="4">
        <v>30597</v>
      </c>
      <c r="T130" s="4">
        <v>43374</v>
      </c>
      <c r="U130" s="4">
        <f>90693-T130-S130-R130</f>
        <v>15646</v>
      </c>
      <c r="V130" s="125">
        <f t="shared" ref="V130:V164" si="24">D130-G130-I130</f>
        <v>49988</v>
      </c>
      <c r="W130" s="43">
        <f t="shared" si="12"/>
        <v>1.3243178362807074E-2</v>
      </c>
      <c r="X130" s="35">
        <f t="shared" si="13"/>
        <v>1.8976106204447972E-2</v>
      </c>
      <c r="Y130" s="218">
        <f t="shared" si="20"/>
        <v>1.3243178362807074E-2</v>
      </c>
      <c r="Z130" s="87">
        <f t="shared" si="23"/>
        <v>0.18970360603107261</v>
      </c>
      <c r="AB130" s="87">
        <f t="shared" si="22"/>
        <v>0.31915351727107749</v>
      </c>
      <c r="AD130" s="87">
        <f t="shared" si="15"/>
        <v>0.1536047262992708</v>
      </c>
      <c r="AF130" s="197">
        <f>MAX($B$2:B130)</f>
        <v>3663</v>
      </c>
    </row>
    <row r="131" spans="1:32" x14ac:dyDescent="0.25">
      <c r="A131" s="2">
        <v>44022</v>
      </c>
      <c r="B131" s="159">
        <v>3367</v>
      </c>
      <c r="C131" s="23">
        <f t="shared" si="16"/>
        <v>3039.1428571428573</v>
      </c>
      <c r="D131" s="156">
        <v>94060</v>
      </c>
      <c r="E131" s="156">
        <v>54</v>
      </c>
      <c r="F131" s="23">
        <f t="shared" si="17"/>
        <v>48.285714285714285</v>
      </c>
      <c r="G131" s="159">
        <v>1775</v>
      </c>
      <c r="H131" s="156">
        <f t="shared" ref="H131:H194" si="25">I131-I130</f>
        <v>2424</v>
      </c>
      <c r="I131" s="184">
        <v>41408</v>
      </c>
      <c r="J131" s="156">
        <v>686</v>
      </c>
      <c r="K131" s="23">
        <f t="shared" si="21"/>
        <v>669.57142857142856</v>
      </c>
      <c r="L131" s="156">
        <v>10309</v>
      </c>
      <c r="M131" s="23">
        <f t="shared" si="21"/>
        <v>9482.8571428571431</v>
      </c>
      <c r="N131" s="13">
        <v>456042</v>
      </c>
      <c r="O131" s="7">
        <v>851</v>
      </c>
      <c r="P131" s="7">
        <v>283021</v>
      </c>
      <c r="Q131" s="4">
        <f>P131+O131</f>
        <v>283872</v>
      </c>
      <c r="R131" s="4">
        <v>1078</v>
      </c>
      <c r="S131" s="4">
        <v>31739</v>
      </c>
      <c r="T131" s="4">
        <v>45328</v>
      </c>
      <c r="U131" s="4">
        <v>15915</v>
      </c>
      <c r="V131" s="125">
        <f t="shared" si="24"/>
        <v>50877</v>
      </c>
      <c r="W131" s="43">
        <f t="shared" si="12"/>
        <v>1.3483499420170214E-2</v>
      </c>
      <c r="X131" s="35">
        <f t="shared" si="13"/>
        <v>1.8870933446736127E-2</v>
      </c>
      <c r="Y131" s="218">
        <f t="shared" si="20"/>
        <v>1.3483499420170214E-2</v>
      </c>
      <c r="Z131" s="87">
        <f t="shared" si="23"/>
        <v>0.20655626134301297</v>
      </c>
      <c r="AB131" s="87">
        <f t="shared" si="22"/>
        <v>0.32048809882494728</v>
      </c>
      <c r="AD131" s="87">
        <f t="shared" si="15"/>
        <v>0.12016997291882259</v>
      </c>
      <c r="AF131" s="197">
        <f>MAX($B$2:B131)</f>
        <v>3663</v>
      </c>
    </row>
    <row r="132" spans="1:32" x14ac:dyDescent="0.25">
      <c r="A132" s="2">
        <v>44023</v>
      </c>
      <c r="B132" s="159">
        <v>3449</v>
      </c>
      <c r="C132" s="23">
        <f t="shared" si="16"/>
        <v>3161.8571428571427</v>
      </c>
      <c r="D132" s="159">
        <v>97509</v>
      </c>
      <c r="E132" s="156">
        <v>36</v>
      </c>
      <c r="F132" s="23">
        <f t="shared" si="17"/>
        <v>47.142857142857146</v>
      </c>
      <c r="G132" s="159">
        <v>1811</v>
      </c>
      <c r="H132" s="156">
        <f t="shared" si="25"/>
        <v>1286</v>
      </c>
      <c r="I132" s="184">
        <v>42694</v>
      </c>
      <c r="J132" s="156">
        <v>701</v>
      </c>
      <c r="K132" s="23">
        <f t="shared" si="21"/>
        <v>675.71428571428567</v>
      </c>
      <c r="L132" s="156">
        <v>10266</v>
      </c>
      <c r="M132" s="23">
        <f t="shared" si="21"/>
        <v>9653.4285714285706</v>
      </c>
      <c r="N132" s="4">
        <v>466308</v>
      </c>
      <c r="O132" s="7">
        <v>867</v>
      </c>
      <c r="P132" s="7">
        <v>288165</v>
      </c>
      <c r="Q132" s="4">
        <f>P132+O132</f>
        <v>289032</v>
      </c>
      <c r="R132" s="4">
        <v>1080</v>
      </c>
      <c r="S132" s="4">
        <v>32616</v>
      </c>
      <c r="T132" s="4">
        <v>46824</v>
      </c>
      <c r="U132" s="4">
        <v>16989</v>
      </c>
      <c r="V132" s="125">
        <f t="shared" si="24"/>
        <v>53004</v>
      </c>
      <c r="W132" s="43">
        <f t="shared" si="12"/>
        <v>1.3225416949664176E-2</v>
      </c>
      <c r="X132" s="35">
        <f t="shared" si="13"/>
        <v>1.8572644576398074E-2</v>
      </c>
      <c r="Y132" s="218">
        <f t="shared" si="20"/>
        <v>1.3225416949664176E-2</v>
      </c>
      <c r="Z132" s="87">
        <f t="shared" si="23"/>
        <v>0.23772508667934233</v>
      </c>
      <c r="AB132" s="87">
        <f t="shared" si="22"/>
        <v>0.32753721845680289</v>
      </c>
      <c r="AD132" s="87">
        <f t="shared" si="15"/>
        <v>0.14484426973087383</v>
      </c>
      <c r="AF132" s="197">
        <f>MAX($B$2:B132)</f>
        <v>3663</v>
      </c>
    </row>
    <row r="133" spans="1:32" x14ac:dyDescent="0.25">
      <c r="A133" s="2">
        <v>44024</v>
      </c>
      <c r="B133" s="159">
        <v>2657</v>
      </c>
      <c r="C133" s="23">
        <f t="shared" si="16"/>
        <v>3193</v>
      </c>
      <c r="D133" s="159">
        <v>100166</v>
      </c>
      <c r="E133" s="159">
        <v>34</v>
      </c>
      <c r="F133" s="23">
        <f t="shared" si="17"/>
        <v>48.285714285714285</v>
      </c>
      <c r="G133" s="159">
        <v>1845</v>
      </c>
      <c r="H133" s="156">
        <f t="shared" si="25"/>
        <v>1479</v>
      </c>
      <c r="I133" s="184">
        <v>44173</v>
      </c>
      <c r="J133" s="156">
        <v>735</v>
      </c>
      <c r="K133" s="23">
        <f t="shared" si="21"/>
        <v>684.14285714285711</v>
      </c>
      <c r="L133" s="156">
        <v>8114</v>
      </c>
      <c r="M133" s="23">
        <f t="shared" si="21"/>
        <v>9847.4285714285706</v>
      </c>
      <c r="N133" s="4">
        <v>474422</v>
      </c>
      <c r="O133" s="7">
        <v>879</v>
      </c>
      <c r="P133" s="7">
        <v>292418</v>
      </c>
      <c r="Q133" s="4">
        <f>P133+O133</f>
        <v>293297</v>
      </c>
      <c r="R133" s="4">
        <v>1081</v>
      </c>
      <c r="S133" s="4">
        <v>33376</v>
      </c>
      <c r="T133" s="4">
        <v>48213</v>
      </c>
      <c r="U133" s="4">
        <f>100166-T133-S133-R133</f>
        <v>17496</v>
      </c>
      <c r="V133" s="125">
        <f t="shared" si="24"/>
        <v>54148</v>
      </c>
      <c r="W133" s="43">
        <f t="shared" si="12"/>
        <v>1.3573908546945408E-2</v>
      </c>
      <c r="X133" s="35">
        <f t="shared" si="13"/>
        <v>1.8419423756564104E-2</v>
      </c>
      <c r="Y133" s="218">
        <f t="shared" si="20"/>
        <v>1.3573908546945408E-2</v>
      </c>
      <c r="Z133" s="87">
        <f t="shared" si="23"/>
        <v>0.22949557181363112</v>
      </c>
      <c r="AB133" s="87">
        <f t="shared" si="22"/>
        <v>0.32424708408286429</v>
      </c>
      <c r="AD133" s="87">
        <f t="shared" si="15"/>
        <v>0.13334868242041154</v>
      </c>
      <c r="AF133" s="197">
        <f>MAX($B$2:B133)</f>
        <v>3663</v>
      </c>
    </row>
    <row r="134" spans="1:32" x14ac:dyDescent="0.25">
      <c r="A134" s="44">
        <v>44025</v>
      </c>
      <c r="B134" s="156">
        <v>3099</v>
      </c>
      <c r="C134" s="23">
        <f t="shared" si="16"/>
        <v>3259.7142857142858</v>
      </c>
      <c r="D134" s="156">
        <v>103265</v>
      </c>
      <c r="E134" s="156">
        <v>58</v>
      </c>
      <c r="F134" s="23">
        <f t="shared" si="17"/>
        <v>45.857142857142854</v>
      </c>
      <c r="G134" s="156">
        <v>1903</v>
      </c>
      <c r="H134" s="156">
        <f t="shared" si="25"/>
        <v>1294</v>
      </c>
      <c r="I134" s="184">
        <v>45467</v>
      </c>
      <c r="J134" s="156">
        <v>752</v>
      </c>
      <c r="K134" s="23">
        <f t="shared" si="21"/>
        <v>693.28571428571433</v>
      </c>
      <c r="L134" s="156">
        <v>9377</v>
      </c>
      <c r="M134" s="23">
        <f t="shared" si="21"/>
        <v>9974.5714285714294</v>
      </c>
      <c r="N134" s="4">
        <v>483799</v>
      </c>
      <c r="O134" s="7">
        <v>894</v>
      </c>
      <c r="P134" s="7">
        <f>Q134-O134</f>
        <v>297192</v>
      </c>
      <c r="Q134" s="4">
        <v>298086</v>
      </c>
      <c r="R134" s="4">
        <v>1082</v>
      </c>
      <c r="S134" s="4">
        <v>34293</v>
      </c>
      <c r="T134" s="4">
        <v>50637</v>
      </c>
      <c r="U134" s="4">
        <f>103265-T134-S134-R134</f>
        <v>17253</v>
      </c>
      <c r="V134" s="125">
        <f t="shared" si="24"/>
        <v>55895</v>
      </c>
      <c r="W134" s="43">
        <f t="shared" si="12"/>
        <v>1.3453797298506128E-2</v>
      </c>
      <c r="X134" s="35">
        <f t="shared" si="13"/>
        <v>1.8428315498958989E-2</v>
      </c>
      <c r="Y134" s="218">
        <f t="shared" si="20"/>
        <v>1.3453797298506128E-2</v>
      </c>
      <c r="Z134" s="87">
        <f t="shared" si="23"/>
        <v>0.20755715495342919</v>
      </c>
      <c r="AB134" s="87">
        <f t="shared" si="22"/>
        <v>0.32680244049153562</v>
      </c>
      <c r="AD134" s="87">
        <f t="shared" si="15"/>
        <v>0.14609391019069107</v>
      </c>
      <c r="AF134" s="197">
        <f>MAX($B$2:B134)</f>
        <v>3663</v>
      </c>
    </row>
    <row r="135" spans="1:32" x14ac:dyDescent="0.25">
      <c r="A135" s="2">
        <v>44026</v>
      </c>
      <c r="B135" s="156">
        <v>3645</v>
      </c>
      <c r="C135" s="23">
        <f t="shared" si="16"/>
        <v>3354.8571428571427</v>
      </c>
      <c r="D135" s="159">
        <v>106910</v>
      </c>
      <c r="E135" s="156">
        <v>65</v>
      </c>
      <c r="F135" s="23">
        <f t="shared" si="17"/>
        <v>46.285714285714285</v>
      </c>
      <c r="G135" s="156">
        <v>1968</v>
      </c>
      <c r="H135" s="156">
        <f t="shared" si="25"/>
        <v>1831</v>
      </c>
      <c r="I135" s="184">
        <v>47298</v>
      </c>
      <c r="J135" s="156">
        <v>772</v>
      </c>
      <c r="K135" s="23">
        <f t="shared" si="21"/>
        <v>711.28571428571433</v>
      </c>
      <c r="L135" s="156">
        <v>11266</v>
      </c>
      <c r="M135" s="23">
        <f t="shared" si="21"/>
        <v>10183.285714285714</v>
      </c>
      <c r="N135" s="4">
        <v>495065</v>
      </c>
      <c r="O135" s="7">
        <v>912</v>
      </c>
      <c r="P135" s="7">
        <f>Q135-O135</f>
        <v>303075</v>
      </c>
      <c r="Q135" s="4">
        <v>303987</v>
      </c>
      <c r="R135" s="4">
        <v>1083</v>
      </c>
      <c r="S135" s="4">
        <v>35260</v>
      </c>
      <c r="T135" s="4">
        <v>53247</v>
      </c>
      <c r="U135" s="4">
        <f>106910-T135-S135-R135</f>
        <v>17320</v>
      </c>
      <c r="V135" s="125">
        <f t="shared" si="24"/>
        <v>57644</v>
      </c>
      <c r="W135" s="43">
        <f t="shared" si="12"/>
        <v>1.3392547359655818E-2</v>
      </c>
      <c r="X135" s="35">
        <f t="shared" si="13"/>
        <v>1.840800673463661E-2</v>
      </c>
      <c r="Y135" s="218">
        <f t="shared" si="20"/>
        <v>1.3392547359655818E-2</v>
      </c>
      <c r="Z135" s="87">
        <f t="shared" si="23"/>
        <v>0.18408712751474821</v>
      </c>
      <c r="AB135" s="87">
        <f t="shared" si="22"/>
        <v>0.32944741382938431</v>
      </c>
      <c r="AD135" s="87">
        <f t="shared" si="15"/>
        <v>0.27305653710247357</v>
      </c>
      <c r="AF135" s="197">
        <f>MAX($B$2:B135)</f>
        <v>3663</v>
      </c>
    </row>
    <row r="136" spans="1:32" x14ac:dyDescent="0.25">
      <c r="A136" s="2">
        <v>44027</v>
      </c>
      <c r="B136" s="159">
        <v>4250</v>
      </c>
      <c r="C136" s="23">
        <f t="shared" si="16"/>
        <v>3447.1428571428573</v>
      </c>
      <c r="D136" s="156">
        <f>D135+B136</f>
        <v>111160</v>
      </c>
      <c r="E136" s="156">
        <v>82</v>
      </c>
      <c r="F136" s="23">
        <f t="shared" si="17"/>
        <v>50.714285714285715</v>
      </c>
      <c r="G136" s="156">
        <v>2050</v>
      </c>
      <c r="H136" s="156">
        <f t="shared" si="25"/>
        <v>1822</v>
      </c>
      <c r="I136" s="184">
        <v>49120</v>
      </c>
      <c r="J136" s="156">
        <v>783</v>
      </c>
      <c r="K136" s="23">
        <f t="shared" si="21"/>
        <v>727.28571428571433</v>
      </c>
      <c r="L136" s="156">
        <v>13163</v>
      </c>
      <c r="M136" s="23">
        <f t="shared" si="21"/>
        <v>10505.142857142857</v>
      </c>
      <c r="N136" s="4">
        <v>508228</v>
      </c>
      <c r="O136" s="7">
        <v>932</v>
      </c>
      <c r="P136" s="7">
        <f>Q136-O136</f>
        <v>308815</v>
      </c>
      <c r="Q136" s="4">
        <v>309747</v>
      </c>
      <c r="R136" s="4">
        <v>1085</v>
      </c>
      <c r="S136" s="4">
        <v>36398</v>
      </c>
      <c r="T136" s="4">
        <v>55836</v>
      </c>
      <c r="U136" s="4">
        <v>17841</v>
      </c>
      <c r="V136" s="125">
        <f t="shared" si="24"/>
        <v>59990</v>
      </c>
      <c r="W136" s="43">
        <f t="shared" si="12"/>
        <v>1.3052175362560427E-2</v>
      </c>
      <c r="X136" s="35">
        <f t="shared" si="13"/>
        <v>1.8441885570349047E-2</v>
      </c>
      <c r="Y136" s="218">
        <f t="shared" si="20"/>
        <v>1.3052175362560427E-2</v>
      </c>
      <c r="Z136" s="87">
        <f t="shared" si="23"/>
        <v>0.16277949113338486</v>
      </c>
      <c r="AB136" s="87">
        <f t="shared" si="22"/>
        <v>0.32813859878154916</v>
      </c>
      <c r="AD136" s="87">
        <f t="shared" si="15"/>
        <v>0.27578580239037054</v>
      </c>
      <c r="AF136" s="197">
        <f>MAX($B$2:B136)</f>
        <v>4250</v>
      </c>
    </row>
    <row r="137" spans="1:32" s="23" customFormat="1" x14ac:dyDescent="0.25">
      <c r="A137" s="2">
        <v>44028</v>
      </c>
      <c r="B137" s="156">
        <v>3624</v>
      </c>
      <c r="C137" s="23">
        <f t="shared" si="16"/>
        <v>3441.5714285714284</v>
      </c>
      <c r="D137" s="157">
        <v>114783</v>
      </c>
      <c r="E137" s="156">
        <v>62</v>
      </c>
      <c r="F137" s="23">
        <f t="shared" si="17"/>
        <v>55.857142857142854</v>
      </c>
      <c r="G137" s="156">
        <v>2112</v>
      </c>
      <c r="H137" s="156">
        <f t="shared" si="25"/>
        <v>660</v>
      </c>
      <c r="I137" s="184">
        <v>49780</v>
      </c>
      <c r="J137" s="156">
        <v>793</v>
      </c>
      <c r="K137" s="23">
        <f t="shared" si="21"/>
        <v>746</v>
      </c>
      <c r="L137" s="156">
        <v>11053</v>
      </c>
      <c r="M137" s="23">
        <f t="shared" si="21"/>
        <v>10506.857142857143</v>
      </c>
      <c r="N137" s="7">
        <v>519281</v>
      </c>
      <c r="O137" s="7">
        <f>Q137-P137</f>
        <v>949.03800000000047</v>
      </c>
      <c r="P137" s="7">
        <f>Q137*0.997</f>
        <v>315396.962</v>
      </c>
      <c r="Q137" s="7">
        <v>316346</v>
      </c>
      <c r="R137" s="7">
        <v>1086</v>
      </c>
      <c r="S137" s="7">
        <v>37225</v>
      </c>
      <c r="T137" s="7">
        <v>57961</v>
      </c>
      <c r="U137" s="7">
        <f>114783-T137-S137-R137</f>
        <v>18511</v>
      </c>
      <c r="V137" s="125">
        <f t="shared" si="24"/>
        <v>62891</v>
      </c>
      <c r="W137" s="43">
        <f t="shared" si="12"/>
        <v>1.2609117361784675E-2</v>
      </c>
      <c r="X137" s="35">
        <f t="shared" si="13"/>
        <v>1.8399937272941116E-2</v>
      </c>
      <c r="Y137" s="218">
        <f t="shared" si="20"/>
        <v>1.2609117361784675E-2</v>
      </c>
      <c r="Z137" s="87">
        <f t="shared" si="23"/>
        <v>0.132415154648867</v>
      </c>
      <c r="AB137" s="87">
        <f t="shared" si="22"/>
        <v>0.3275547941480394</v>
      </c>
      <c r="AD137" s="87">
        <f t="shared" si="15"/>
        <v>0.25812194926782417</v>
      </c>
      <c r="AF137" s="197">
        <f>MAX($B$2:B137)</f>
        <v>4250</v>
      </c>
    </row>
    <row r="138" spans="1:32" x14ac:dyDescent="0.25">
      <c r="A138" s="2">
        <v>44029</v>
      </c>
      <c r="B138" s="159">
        <v>4518</v>
      </c>
      <c r="C138" s="23">
        <f t="shared" si="16"/>
        <v>3606</v>
      </c>
      <c r="D138" s="156">
        <f>D137+B138</f>
        <v>119301</v>
      </c>
      <c r="E138" s="156">
        <v>66</v>
      </c>
      <c r="F138" s="23">
        <f t="shared" si="17"/>
        <v>57.571428571428569</v>
      </c>
      <c r="G138" s="156">
        <v>2178</v>
      </c>
      <c r="H138" s="156">
        <f t="shared" si="25"/>
        <v>0</v>
      </c>
      <c r="I138" s="184">
        <v>49780</v>
      </c>
      <c r="J138" s="156">
        <v>823</v>
      </c>
      <c r="K138" s="23">
        <f t="shared" si="21"/>
        <v>765.57142857142856</v>
      </c>
      <c r="L138" s="156">
        <v>12472</v>
      </c>
      <c r="M138" s="23">
        <f t="shared" si="21"/>
        <v>10815.857142857143</v>
      </c>
      <c r="N138" s="7">
        <v>531753</v>
      </c>
      <c r="O138" s="7">
        <v>967</v>
      </c>
      <c r="P138" s="7">
        <v>321616</v>
      </c>
      <c r="Q138" s="7">
        <v>322583</v>
      </c>
      <c r="R138" s="7">
        <v>1093</v>
      </c>
      <c r="S138" s="7">
        <v>38304</v>
      </c>
      <c r="T138" s="7">
        <v>60041</v>
      </c>
      <c r="U138" s="4">
        <f>119301-T138-S138-R138</f>
        <v>19863</v>
      </c>
      <c r="V138" s="125">
        <f t="shared" si="24"/>
        <v>67343</v>
      </c>
      <c r="W138" s="43">
        <f t="shared" si="12"/>
        <v>1.2221017774675913E-2</v>
      </c>
      <c r="X138" s="35">
        <f t="shared" si="13"/>
        <v>1.825634319913496E-2</v>
      </c>
      <c r="Y138" s="218">
        <f t="shared" si="20"/>
        <v>1.2221017774675913E-2</v>
      </c>
      <c r="Z138" s="87">
        <f t="shared" si="23"/>
        <v>0.14046898296661103</v>
      </c>
      <c r="AB138" s="87">
        <f t="shared" si="22"/>
        <v>0.33339937393509528</v>
      </c>
      <c r="AD138" s="87">
        <f t="shared" si="15"/>
        <v>0.3236432965780216</v>
      </c>
      <c r="AF138" s="197">
        <f>MAX($B$2:B138)</f>
        <v>4518</v>
      </c>
    </row>
    <row r="139" spans="1:32" x14ac:dyDescent="0.25">
      <c r="A139" s="2">
        <v>44030</v>
      </c>
      <c r="B139" s="156">
        <f>3223+82</f>
        <v>3305</v>
      </c>
      <c r="C139" s="23">
        <f t="shared" si="16"/>
        <v>3585.4285714285716</v>
      </c>
      <c r="D139" s="156">
        <f>D138+B139</f>
        <v>122606</v>
      </c>
      <c r="E139" s="156">
        <v>42</v>
      </c>
      <c r="F139" s="23">
        <f t="shared" si="17"/>
        <v>58.428571428571431</v>
      </c>
      <c r="G139" s="156">
        <v>2220</v>
      </c>
      <c r="H139" s="156">
        <f t="shared" si="25"/>
        <v>2827</v>
      </c>
      <c r="I139" s="184">
        <v>52607</v>
      </c>
      <c r="J139" s="156">
        <v>824</v>
      </c>
      <c r="K139" s="23">
        <f t="shared" si="21"/>
        <v>783.14285714285711</v>
      </c>
      <c r="L139" s="257">
        <v>9485</v>
      </c>
      <c r="M139" s="23">
        <f t="shared" si="21"/>
        <v>10704.285714285714</v>
      </c>
      <c r="N139" s="7">
        <v>541238</v>
      </c>
      <c r="O139" s="7">
        <v>980</v>
      </c>
      <c r="P139" s="7">
        <f>Q139-O139</f>
        <v>325386</v>
      </c>
      <c r="Q139" s="7">
        <v>326366</v>
      </c>
      <c r="R139" s="7">
        <v>1093</v>
      </c>
      <c r="S139" s="7">
        <v>39113</v>
      </c>
      <c r="T139" s="7">
        <v>62057</v>
      </c>
      <c r="U139" s="7">
        <v>20261</v>
      </c>
      <c r="V139" s="125">
        <f t="shared" si="24"/>
        <v>67779</v>
      </c>
      <c r="W139" s="43">
        <f t="shared" si="12"/>
        <v>1.2157157821744199E-2</v>
      </c>
      <c r="X139" s="35">
        <f t="shared" si="13"/>
        <v>1.8106781071073195E-2</v>
      </c>
      <c r="Y139" s="218">
        <f t="shared" si="20"/>
        <v>1.2157157821744199E-2</v>
      </c>
      <c r="Z139" s="87">
        <f t="shared" si="23"/>
        <v>0.12290277839917674</v>
      </c>
      <c r="AB139" s="87">
        <f t="shared" si="22"/>
        <v>0.33495262244761775</v>
      </c>
      <c r="AD139" s="87">
        <f t="shared" si="15"/>
        <v>0.27875254697758667</v>
      </c>
      <c r="AF139" s="197">
        <f>MAX($B$2:B139)</f>
        <v>4518</v>
      </c>
    </row>
    <row r="140" spans="1:32" x14ac:dyDescent="0.25">
      <c r="A140" s="2">
        <v>44031</v>
      </c>
      <c r="B140" s="156">
        <v>4231</v>
      </c>
      <c r="C140" s="23">
        <f t="shared" si="16"/>
        <v>3810.2857142857142</v>
      </c>
      <c r="D140" s="156">
        <f>D139+B140</f>
        <v>126837</v>
      </c>
      <c r="E140" s="156">
        <v>40</v>
      </c>
      <c r="F140" s="23">
        <f t="shared" si="17"/>
        <v>59.285714285714285</v>
      </c>
      <c r="G140" s="156">
        <v>2260</v>
      </c>
      <c r="H140" s="156">
        <f t="shared" si="25"/>
        <v>3306</v>
      </c>
      <c r="I140" s="184">
        <v>55913</v>
      </c>
      <c r="J140" s="156">
        <v>842</v>
      </c>
      <c r="K140" s="23">
        <f t="shared" si="21"/>
        <v>798.42857142857144</v>
      </c>
      <c r="L140" s="257">
        <v>11068</v>
      </c>
      <c r="M140" s="23">
        <f t="shared" si="21"/>
        <v>11126.285714285714</v>
      </c>
      <c r="N140" s="4">
        <v>552306</v>
      </c>
      <c r="O140" s="7">
        <v>997</v>
      </c>
      <c r="P140" s="7">
        <v>331436</v>
      </c>
      <c r="Q140" s="4">
        <v>332433</v>
      </c>
      <c r="R140" s="4">
        <v>1095</v>
      </c>
      <c r="S140" s="4">
        <v>40138</v>
      </c>
      <c r="T140" s="4">
        <v>63648</v>
      </c>
      <c r="U140" s="4">
        <f>126755-T140-S140-R140</f>
        <v>21874</v>
      </c>
      <c r="V140" s="125">
        <f t="shared" si="24"/>
        <v>68664</v>
      </c>
      <c r="W140" s="43">
        <f t="shared" si="12"/>
        <v>1.2262612140277292E-2</v>
      </c>
      <c r="X140" s="35">
        <f t="shared" si="13"/>
        <v>1.7818144547726608E-2</v>
      </c>
      <c r="Y140" s="218">
        <f t="shared" si="20"/>
        <v>1.2262612140277292E-2</v>
      </c>
      <c r="Z140" s="87">
        <f t="shared" si="23"/>
        <v>0.16890174423700577</v>
      </c>
      <c r="AB140" s="87">
        <f t="shared" si="22"/>
        <v>0.34245801448307739</v>
      </c>
      <c r="AD140" s="87">
        <f t="shared" si="15"/>
        <v>0.2680800768264755</v>
      </c>
      <c r="AF140" s="197">
        <f>MAX($B$2:B140)</f>
        <v>4518</v>
      </c>
    </row>
    <row r="141" spans="1:32" x14ac:dyDescent="0.25">
      <c r="A141" s="44">
        <v>44032</v>
      </c>
      <c r="B141" s="156">
        <v>3937</v>
      </c>
      <c r="C141" s="23">
        <f t="shared" si="16"/>
        <v>3930</v>
      </c>
      <c r="D141" s="156">
        <v>130774</v>
      </c>
      <c r="E141" s="156">
        <v>113</v>
      </c>
      <c r="F141" s="23">
        <f t="shared" si="17"/>
        <v>67.142857142857139</v>
      </c>
      <c r="G141" s="156">
        <f t="shared" ref="G141:G146" si="26">G140+E141</f>
        <v>2373</v>
      </c>
      <c r="H141" s="156">
        <f t="shared" si="25"/>
        <v>2685</v>
      </c>
      <c r="I141" s="184">
        <v>58598</v>
      </c>
      <c r="J141" s="156">
        <v>853</v>
      </c>
      <c r="K141" s="23">
        <f t="shared" si="21"/>
        <v>812.85714285714289</v>
      </c>
      <c r="L141" s="156">
        <v>11207</v>
      </c>
      <c r="M141" s="23">
        <f t="shared" si="21"/>
        <v>11387.714285714286</v>
      </c>
      <c r="N141" s="4">
        <v>563513</v>
      </c>
      <c r="O141" s="7">
        <v>1014</v>
      </c>
      <c r="P141" s="7">
        <v>337237</v>
      </c>
      <c r="Q141" s="4">
        <v>338251</v>
      </c>
      <c r="R141" s="4">
        <v>1095</v>
      </c>
      <c r="S141" s="4">
        <v>41086</v>
      </c>
      <c r="T141" s="4">
        <v>66293</v>
      </c>
      <c r="U141" s="4">
        <f>130744-T141-R141-S141</f>
        <v>22270</v>
      </c>
      <c r="V141" s="125">
        <f t="shared" si="24"/>
        <v>69803</v>
      </c>
      <c r="W141" s="43">
        <f t="shared" si="12"/>
        <v>1.2220105153073649E-2</v>
      </c>
      <c r="X141" s="35">
        <f t="shared" si="13"/>
        <v>1.8145808799914356E-2</v>
      </c>
      <c r="Y141" s="218">
        <f t="shared" si="20"/>
        <v>1.2220105153073649E-2</v>
      </c>
      <c r="Z141" s="87">
        <f t="shared" si="23"/>
        <v>0.17143587123147674</v>
      </c>
      <c r="AB141" s="87">
        <f t="shared" si="22"/>
        <v>0.34510876383069472</v>
      </c>
      <c r="AD141" s="87">
        <f t="shared" si="15"/>
        <v>0.24882368727077564</v>
      </c>
      <c r="AF141" s="197">
        <f>MAX($B$2:B141)</f>
        <v>4518</v>
      </c>
    </row>
    <row r="142" spans="1:32" x14ac:dyDescent="0.25">
      <c r="A142" s="2">
        <v>44033</v>
      </c>
      <c r="B142" s="156">
        <v>5344</v>
      </c>
      <c r="C142" s="23">
        <f t="shared" si="16"/>
        <v>4172.7142857142853</v>
      </c>
      <c r="D142" s="156">
        <f t="shared" ref="D142:D154" si="27">D141+B142</f>
        <v>136118</v>
      </c>
      <c r="E142" s="156">
        <v>117</v>
      </c>
      <c r="F142" s="23">
        <f t="shared" si="17"/>
        <v>74.571428571428569</v>
      </c>
      <c r="G142" s="156">
        <f t="shared" si="26"/>
        <v>2490</v>
      </c>
      <c r="H142" s="156">
        <f t="shared" si="25"/>
        <v>1933</v>
      </c>
      <c r="I142" s="184">
        <v>60531</v>
      </c>
      <c r="J142" s="156">
        <v>890</v>
      </c>
      <c r="K142" s="23">
        <f t="shared" si="21"/>
        <v>829.71428571428567</v>
      </c>
      <c r="L142" s="156">
        <v>14689</v>
      </c>
      <c r="M142" s="23">
        <f t="shared" si="21"/>
        <v>11876.714285714286</v>
      </c>
      <c r="N142" s="4">
        <v>578202</v>
      </c>
      <c r="O142" s="7">
        <v>1037</v>
      </c>
      <c r="P142" s="7">
        <v>344681</v>
      </c>
      <c r="Q142" s="4">
        <v>345718</v>
      </c>
      <c r="R142" s="4">
        <v>1096</v>
      </c>
      <c r="S142" s="4">
        <v>42253</v>
      </c>
      <c r="T142" s="4">
        <v>69442</v>
      </c>
      <c r="U142" s="4">
        <v>23327</v>
      </c>
      <c r="V142" s="125">
        <f t="shared" si="24"/>
        <v>73097</v>
      </c>
      <c r="W142" s="43">
        <f t="shared" ref="W142:W160" si="28">J142/(D142-G142-I142)</f>
        <v>1.2175602281899393E-2</v>
      </c>
      <c r="X142" s="35">
        <f t="shared" si="13"/>
        <v>1.8292951703668875E-2</v>
      </c>
      <c r="Y142" s="218">
        <f t="shared" si="20"/>
        <v>1.2175602281899393E-2</v>
      </c>
      <c r="Z142" s="87">
        <f t="shared" si="23"/>
        <v>0.21048487360132606</v>
      </c>
      <c r="AB142" s="87">
        <f t="shared" si="22"/>
        <v>0.35133574701997905</v>
      </c>
      <c r="AD142" s="87">
        <f t="shared" si="15"/>
        <v>0.26807646936368057</v>
      </c>
      <c r="AF142" s="197">
        <f>MAX($B$2:B142)</f>
        <v>5344</v>
      </c>
    </row>
    <row r="143" spans="1:32" x14ac:dyDescent="0.25">
      <c r="A143" s="2">
        <v>44034</v>
      </c>
      <c r="B143" s="156">
        <v>5782</v>
      </c>
      <c r="C143" s="23">
        <f t="shared" si="16"/>
        <v>4391.5714285714284</v>
      </c>
      <c r="D143" s="156">
        <f t="shared" si="27"/>
        <v>141900</v>
      </c>
      <c r="E143" s="156">
        <v>98</v>
      </c>
      <c r="F143" s="23">
        <f t="shared" si="17"/>
        <v>76.857142857142861</v>
      </c>
      <c r="G143" s="156">
        <f t="shared" si="26"/>
        <v>2588</v>
      </c>
      <c r="H143" s="156">
        <f t="shared" si="25"/>
        <v>2284</v>
      </c>
      <c r="I143" s="184">
        <v>62815</v>
      </c>
      <c r="J143" s="156">
        <v>902</v>
      </c>
      <c r="K143" s="23">
        <f t="shared" si="21"/>
        <v>846.71428571428567</v>
      </c>
      <c r="L143" s="156">
        <v>14842</v>
      </c>
      <c r="M143" s="23">
        <f t="shared" si="21"/>
        <v>12116.571428571429</v>
      </c>
      <c r="N143" s="4">
        <f>N142+L143</f>
        <v>593044</v>
      </c>
      <c r="O143" s="7">
        <v>1058</v>
      </c>
      <c r="P143" s="7">
        <v>351858</v>
      </c>
      <c r="Q143" s="4">
        <v>352916</v>
      </c>
      <c r="R143" s="4">
        <v>1096</v>
      </c>
      <c r="S143" s="4">
        <v>43748</v>
      </c>
      <c r="T143" s="4">
        <v>72527</v>
      </c>
      <c r="U143" s="4">
        <f>141900-T143-S143-R143</f>
        <v>24529</v>
      </c>
      <c r="V143" s="125">
        <f t="shared" si="24"/>
        <v>76497</v>
      </c>
      <c r="W143" s="43">
        <f t="shared" si="28"/>
        <v>1.1791312077597814E-2</v>
      </c>
      <c r="X143" s="35">
        <f t="shared" ref="X143:X196" si="29">G143/D143</f>
        <v>1.8238195912614517E-2</v>
      </c>
      <c r="Y143" s="218">
        <f t="shared" si="20"/>
        <v>1.1791312077597814E-2</v>
      </c>
      <c r="Z143" s="87">
        <f t="shared" si="23"/>
        <v>0.27603669420115406</v>
      </c>
      <c r="AB143" s="87">
        <f t="shared" si="22"/>
        <v>0.36244340690435767</v>
      </c>
      <c r="AD143" s="87">
        <f t="shared" si="15"/>
        <v>0.27516252708784794</v>
      </c>
      <c r="AF143" s="197">
        <f>MAX($B$2:B143)</f>
        <v>5782</v>
      </c>
    </row>
    <row r="144" spans="1:32" x14ac:dyDescent="0.25">
      <c r="A144" s="2">
        <v>44035</v>
      </c>
      <c r="B144" s="160">
        <v>6127</v>
      </c>
      <c r="C144" s="23">
        <f t="shared" si="16"/>
        <v>4749.1428571428569</v>
      </c>
      <c r="D144" s="156">
        <f t="shared" si="27"/>
        <v>148027</v>
      </c>
      <c r="E144" s="156">
        <f>29+85</f>
        <v>114</v>
      </c>
      <c r="F144" s="23">
        <f t="shared" si="17"/>
        <v>84.285714285714292</v>
      </c>
      <c r="G144" s="156">
        <f t="shared" si="26"/>
        <v>2702</v>
      </c>
      <c r="H144" s="156">
        <f t="shared" si="25"/>
        <v>2632</v>
      </c>
      <c r="I144" s="184">
        <v>65447</v>
      </c>
      <c r="J144" s="156">
        <v>913</v>
      </c>
      <c r="K144" s="23">
        <f t="shared" si="21"/>
        <v>863.85714285714289</v>
      </c>
      <c r="L144" s="159">
        <v>16218</v>
      </c>
      <c r="M144" s="23">
        <f t="shared" si="21"/>
        <v>12854.428571428571</v>
      </c>
      <c r="N144" s="4">
        <v>609262</v>
      </c>
      <c r="O144" s="7">
        <v>1082</v>
      </c>
      <c r="P144" s="7">
        <v>359756</v>
      </c>
      <c r="Q144" s="4">
        <v>360838</v>
      </c>
      <c r="R144" s="4">
        <v>1101</v>
      </c>
      <c r="S144" s="4">
        <v>45026</v>
      </c>
      <c r="T144" s="4">
        <v>76114</v>
      </c>
      <c r="U144" s="4">
        <f>148027-T144-S144-R144</f>
        <v>25786</v>
      </c>
      <c r="V144" s="125">
        <f t="shared" si="24"/>
        <v>79878</v>
      </c>
      <c r="W144" s="43">
        <f t="shared" si="28"/>
        <v>1.1429930644232455E-2</v>
      </c>
      <c r="X144" s="35">
        <f t="shared" si="29"/>
        <v>1.8253426739716402E-2</v>
      </c>
      <c r="Y144" s="218">
        <f t="shared" si="20"/>
        <v>1.1429930644232455E-2</v>
      </c>
      <c r="Z144" s="87">
        <f t="shared" si="23"/>
        <v>0.31701133032247841</v>
      </c>
      <c r="AB144" s="87">
        <f t="shared" si="22"/>
        <v>0.36945577399673263</v>
      </c>
      <c r="AD144" s="87">
        <f t="shared" si="15"/>
        <v>0.27010224038415664</v>
      </c>
      <c r="AF144" s="197">
        <f>MAX($B$2:B144)</f>
        <v>6127</v>
      </c>
    </row>
    <row r="145" spans="1:32" x14ac:dyDescent="0.25">
      <c r="A145" s="2">
        <v>44036</v>
      </c>
      <c r="B145" s="156">
        <v>5493</v>
      </c>
      <c r="C145" s="23">
        <f t="shared" si="16"/>
        <v>4888.4285714285716</v>
      </c>
      <c r="D145" s="156">
        <f t="shared" si="27"/>
        <v>153520</v>
      </c>
      <c r="E145" s="156">
        <f>20+85</f>
        <v>105</v>
      </c>
      <c r="F145" s="23">
        <f t="shared" si="17"/>
        <v>89.857142857142861</v>
      </c>
      <c r="G145" s="156">
        <f t="shared" si="26"/>
        <v>2807</v>
      </c>
      <c r="H145" s="156">
        <f t="shared" si="25"/>
        <v>2575</v>
      </c>
      <c r="I145" s="184">
        <v>68022</v>
      </c>
      <c r="J145" s="156">
        <v>955</v>
      </c>
      <c r="K145" s="23">
        <f t="shared" si="21"/>
        <v>882.71428571428567</v>
      </c>
      <c r="L145" s="257">
        <v>14631</v>
      </c>
      <c r="M145" s="23">
        <f t="shared" si="21"/>
        <v>13162.857142857143</v>
      </c>
      <c r="N145" s="4">
        <f>N144+L145</f>
        <v>623893</v>
      </c>
      <c r="O145" s="7">
        <v>736</v>
      </c>
      <c r="P145" s="7">
        <v>367243</v>
      </c>
      <c r="Q145" s="4">
        <v>367979</v>
      </c>
      <c r="R145" s="4">
        <v>1105</v>
      </c>
      <c r="S145" s="4">
        <v>46528</v>
      </c>
      <c r="T145" s="4">
        <v>79424</v>
      </c>
      <c r="U145" s="4">
        <f>153520-T145-S145-R145</f>
        <v>26463</v>
      </c>
      <c r="V145" s="125">
        <f t="shared" si="24"/>
        <v>82691</v>
      </c>
      <c r="W145" s="43">
        <f t="shared" si="28"/>
        <v>1.1549019844964991E-2</v>
      </c>
      <c r="X145" s="35">
        <f t="shared" si="29"/>
        <v>1.8284262636789995E-2</v>
      </c>
      <c r="Y145" s="218">
        <f t="shared" si="20"/>
        <v>1.1549019844964991E-2</v>
      </c>
      <c r="Z145" s="87">
        <f t="shared" si="23"/>
        <v>0.36341541158658064</v>
      </c>
      <c r="AB145" s="87">
        <f t="shared" si="22"/>
        <v>0.37138050792272631</v>
      </c>
      <c r="AD145" s="87">
        <f t="shared" ref="AD145:AD166" si="30">V145/V138-1</f>
        <v>0.22790787461206063</v>
      </c>
      <c r="AF145" s="197">
        <f>MAX($B$2:B145)</f>
        <v>6127</v>
      </c>
    </row>
    <row r="146" spans="1:32" x14ac:dyDescent="0.25">
      <c r="A146" s="2">
        <v>44037</v>
      </c>
      <c r="B146" s="156">
        <v>4814</v>
      </c>
      <c r="C146" s="23">
        <f t="shared" si="16"/>
        <v>5104</v>
      </c>
      <c r="D146" s="156">
        <f t="shared" si="27"/>
        <v>158334</v>
      </c>
      <c r="E146" s="156">
        <v>86</v>
      </c>
      <c r="F146" s="23">
        <f t="shared" si="17"/>
        <v>96.142857142857139</v>
      </c>
      <c r="G146" s="156">
        <f t="shared" si="26"/>
        <v>2893</v>
      </c>
      <c r="H146" s="156">
        <f t="shared" si="25"/>
        <v>2496</v>
      </c>
      <c r="I146" s="184">
        <v>70518</v>
      </c>
      <c r="J146" s="156">
        <v>980</v>
      </c>
      <c r="K146" s="23">
        <f t="shared" si="21"/>
        <v>905</v>
      </c>
      <c r="L146" s="156">
        <v>12951</v>
      </c>
      <c r="M146" s="23">
        <f t="shared" si="21"/>
        <v>13658</v>
      </c>
      <c r="N146" s="4">
        <v>636844</v>
      </c>
      <c r="O146" s="7">
        <f>Q146-P146</f>
        <v>748.94599999999627</v>
      </c>
      <c r="P146" s="7">
        <f>Q146*0.998</f>
        <v>373724.054</v>
      </c>
      <c r="Q146" s="4">
        <v>374473</v>
      </c>
      <c r="R146" s="4">
        <v>1107</v>
      </c>
      <c r="S146" s="4">
        <v>47659</v>
      </c>
      <c r="T146" s="4">
        <v>81828</v>
      </c>
      <c r="U146" s="4">
        <f>158334-T146-S146-R146</f>
        <v>27740</v>
      </c>
      <c r="V146" s="125">
        <f t="shared" si="24"/>
        <v>84923</v>
      </c>
      <c r="W146" s="43">
        <f t="shared" si="28"/>
        <v>1.1539865525240512E-2</v>
      </c>
      <c r="X146" s="35">
        <f t="shared" si="29"/>
        <v>1.8271502014728359E-2</v>
      </c>
      <c r="Y146" s="218">
        <f t="shared" si="20"/>
        <v>1.1539865525240512E-2</v>
      </c>
      <c r="Z146" s="87">
        <f t="shared" si="23"/>
        <v>0.33953209358128378</v>
      </c>
      <c r="AB146" s="87">
        <f t="shared" si="22"/>
        <v>0.37370039537267535</v>
      </c>
      <c r="AD146" s="87">
        <f t="shared" si="30"/>
        <v>0.25293970108735753</v>
      </c>
      <c r="AF146" s="197">
        <f>MAX($B$2:B146)</f>
        <v>6127</v>
      </c>
    </row>
    <row r="147" spans="1:32" x14ac:dyDescent="0.25">
      <c r="A147" s="2">
        <v>44038</v>
      </c>
      <c r="B147" s="156">
        <v>4192</v>
      </c>
      <c r="C147" s="23">
        <f t="shared" si="16"/>
        <v>5098.4285714285716</v>
      </c>
      <c r="D147" s="156">
        <f t="shared" si="27"/>
        <v>162526</v>
      </c>
      <c r="E147" s="156">
        <v>45</v>
      </c>
      <c r="F147" s="23">
        <f t="shared" si="17"/>
        <v>96.857142857142861</v>
      </c>
      <c r="G147" s="156">
        <f>G146+E147</f>
        <v>2938</v>
      </c>
      <c r="H147" s="156">
        <f t="shared" si="25"/>
        <v>2057</v>
      </c>
      <c r="I147" s="184">
        <v>72575</v>
      </c>
      <c r="J147" s="156">
        <v>993</v>
      </c>
      <c r="K147" s="23">
        <f t="shared" si="21"/>
        <v>926.57142857142856</v>
      </c>
      <c r="L147" s="156">
        <v>10870</v>
      </c>
      <c r="M147" s="23">
        <f t="shared" si="21"/>
        <v>13629.714285714286</v>
      </c>
      <c r="N147" s="13">
        <v>647714</v>
      </c>
      <c r="O147" s="7">
        <f>Q147-P147</f>
        <v>759.3979999999865</v>
      </c>
      <c r="P147" s="7">
        <f>0.998*Q147</f>
        <v>378939.60200000001</v>
      </c>
      <c r="Q147" s="4">
        <v>379699</v>
      </c>
      <c r="R147" s="4">
        <v>1109</v>
      </c>
      <c r="S147" s="4">
        <v>46698</v>
      </c>
      <c r="T147" s="4">
        <v>84358</v>
      </c>
      <c r="U147" s="4">
        <f>162526-T147-S147-R147</f>
        <v>30361</v>
      </c>
      <c r="V147" s="125">
        <f t="shared" si="24"/>
        <v>87013</v>
      </c>
      <c r="W147" s="43">
        <f t="shared" si="28"/>
        <v>1.1412087848942112E-2</v>
      </c>
      <c r="X147" s="35">
        <f t="shared" si="29"/>
        <v>1.8077107662773956E-2</v>
      </c>
      <c r="Y147" s="218">
        <f t="shared" si="20"/>
        <v>1.1412087848942112E-2</v>
      </c>
      <c r="Z147" s="87">
        <f t="shared" si="23"/>
        <v>0.29731006906579438</v>
      </c>
      <c r="AB147" s="87">
        <f t="shared" si="22"/>
        <v>0.37406716417910446</v>
      </c>
      <c r="AD147" s="87">
        <f t="shared" si="30"/>
        <v>0.26722882442036577</v>
      </c>
      <c r="AF147" s="197">
        <f>MAX($B$2:B147)</f>
        <v>6127</v>
      </c>
    </row>
    <row r="148" spans="1:32" x14ac:dyDescent="0.25">
      <c r="A148" s="44">
        <v>44039</v>
      </c>
      <c r="B148" s="156">
        <v>4890</v>
      </c>
      <c r="C148" s="23">
        <f t="shared" si="16"/>
        <v>5234.5714285714284</v>
      </c>
      <c r="D148" s="156">
        <f t="shared" si="27"/>
        <v>167416</v>
      </c>
      <c r="E148" s="156">
        <f>17+104</f>
        <v>121</v>
      </c>
      <c r="F148" s="23">
        <f t="shared" si="17"/>
        <v>98</v>
      </c>
      <c r="G148" s="156">
        <f>G147+E148</f>
        <v>3059</v>
      </c>
      <c r="H148" s="156">
        <f t="shared" si="25"/>
        <v>2508</v>
      </c>
      <c r="I148" s="184">
        <v>75083</v>
      </c>
      <c r="J148" s="156">
        <v>1002</v>
      </c>
      <c r="K148" s="23">
        <f t="shared" si="21"/>
        <v>947.85714285714289</v>
      </c>
      <c r="L148" s="156">
        <v>12398</v>
      </c>
      <c r="M148" s="23">
        <f t="shared" si="21"/>
        <v>13799.857142857143</v>
      </c>
      <c r="N148" s="13">
        <f>N147+L148</f>
        <v>660112</v>
      </c>
      <c r="O148" s="7">
        <v>771</v>
      </c>
      <c r="P148" s="7">
        <f>Q148-O148</f>
        <v>384872</v>
      </c>
      <c r="Q148" s="4">
        <v>385643</v>
      </c>
      <c r="R148" s="4">
        <v>1112</v>
      </c>
      <c r="S148" s="4">
        <v>49648</v>
      </c>
      <c r="T148" s="4">
        <v>88238</v>
      </c>
      <c r="U148" s="4">
        <f>167416-T148-S148-R148</f>
        <v>28418</v>
      </c>
      <c r="V148" s="125">
        <f t="shared" si="24"/>
        <v>89274</v>
      </c>
      <c r="W148" s="43">
        <f t="shared" si="28"/>
        <v>1.1223872572081458E-2</v>
      </c>
      <c r="X148" s="35">
        <f t="shared" si="29"/>
        <v>1.8271849763463469E-2</v>
      </c>
      <c r="Y148" s="218">
        <f t="shared" si="20"/>
        <v>1.1223872572081458E-2</v>
      </c>
      <c r="Z148" s="87">
        <f t="shared" si="23"/>
        <v>0.25447636002601937</v>
      </c>
      <c r="AB148" s="87">
        <f t="shared" si="22"/>
        <v>0.37932069690162423</v>
      </c>
      <c r="AD148" s="87">
        <f t="shared" si="30"/>
        <v>0.27894216580949238</v>
      </c>
      <c r="AF148" s="197">
        <f>MAX($B$2:B148)</f>
        <v>6127</v>
      </c>
    </row>
    <row r="149" spans="1:32" x14ac:dyDescent="0.25">
      <c r="A149" s="2">
        <v>44040</v>
      </c>
      <c r="B149" s="156">
        <v>5939</v>
      </c>
      <c r="C149" s="23">
        <f t="shared" si="16"/>
        <v>5319.5714285714284</v>
      </c>
      <c r="D149" s="156">
        <f t="shared" si="27"/>
        <v>173355</v>
      </c>
      <c r="E149" s="156">
        <f>23+97</f>
        <v>120</v>
      </c>
      <c r="F149" s="23">
        <f t="shared" si="17"/>
        <v>98.428571428571431</v>
      </c>
      <c r="G149" s="156">
        <v>3178</v>
      </c>
      <c r="H149" s="156">
        <f t="shared" si="25"/>
        <v>2772</v>
      </c>
      <c r="I149" s="184">
        <v>77855</v>
      </c>
      <c r="J149" s="156">
        <v>1024</v>
      </c>
      <c r="K149" s="23">
        <f t="shared" si="21"/>
        <v>967</v>
      </c>
      <c r="L149" s="156">
        <v>14899</v>
      </c>
      <c r="M149" s="23">
        <f t="shared" si="21"/>
        <v>13829.857142857143</v>
      </c>
      <c r="N149" s="13">
        <v>675011</v>
      </c>
      <c r="O149" s="7">
        <f t="shared" ref="O149:O202" si="31">Q149-P149</f>
        <v>785.48800000001211</v>
      </c>
      <c r="P149" s="7">
        <f t="shared" ref="P149:P178" si="32">0.998*Q149</f>
        <v>391958.51199999999</v>
      </c>
      <c r="Q149" s="4">
        <v>392744</v>
      </c>
      <c r="R149" s="4">
        <v>1119</v>
      </c>
      <c r="S149" s="4">
        <v>51090</v>
      </c>
      <c r="T149" s="4">
        <v>92345</v>
      </c>
      <c r="U149" s="4">
        <f>173355-T149-S149-R149</f>
        <v>28801</v>
      </c>
      <c r="V149" s="125">
        <f t="shared" si="24"/>
        <v>92322</v>
      </c>
      <c r="W149" s="43">
        <f t="shared" si="28"/>
        <v>1.1091614133142696E-2</v>
      </c>
      <c r="X149" s="35">
        <f t="shared" si="29"/>
        <v>1.8332323844134867E-2</v>
      </c>
      <c r="Y149" s="218">
        <f t="shared" si="20"/>
        <v>1.1091614133142696E-2</v>
      </c>
      <c r="Z149" s="87">
        <f t="shared" si="23"/>
        <v>0.21131388048534538</v>
      </c>
      <c r="AB149" s="87">
        <f t="shared" si="22"/>
        <v>0.38464398971170038</v>
      </c>
      <c r="AD149" s="87">
        <f t="shared" si="30"/>
        <v>0.26300668974102903</v>
      </c>
      <c r="AF149" s="197">
        <f>MAX($B$2:B149)</f>
        <v>6127</v>
      </c>
    </row>
    <row r="150" spans="1:32" x14ac:dyDescent="0.25">
      <c r="A150" s="2">
        <v>44041</v>
      </c>
      <c r="B150" s="156">
        <v>5641</v>
      </c>
      <c r="C150" s="23">
        <f t="shared" si="16"/>
        <v>5299.4285714285716</v>
      </c>
      <c r="D150" s="156">
        <f t="shared" si="27"/>
        <v>178996</v>
      </c>
      <c r="E150" s="156">
        <v>110</v>
      </c>
      <c r="F150" s="23">
        <f t="shared" si="17"/>
        <v>100.14285714285714</v>
      </c>
      <c r="G150" s="156">
        <f>G149+E150</f>
        <v>3288</v>
      </c>
      <c r="H150" s="156">
        <f t="shared" si="25"/>
        <v>2741</v>
      </c>
      <c r="I150" s="184">
        <v>80596</v>
      </c>
      <c r="J150" s="156">
        <v>1057</v>
      </c>
      <c r="K150" s="23">
        <f t="shared" si="21"/>
        <v>989.14285714285711</v>
      </c>
      <c r="L150" s="156">
        <v>15812</v>
      </c>
      <c r="M150" s="23">
        <f t="shared" si="21"/>
        <v>13968.428571428571</v>
      </c>
      <c r="N150" s="13">
        <v>690823</v>
      </c>
      <c r="O150" s="7">
        <f t="shared" si="31"/>
        <v>801.66200000001118</v>
      </c>
      <c r="P150" s="7">
        <f t="shared" si="32"/>
        <v>400029.33799999999</v>
      </c>
      <c r="Q150" s="4">
        <v>400831</v>
      </c>
      <c r="R150" s="4">
        <v>1115</v>
      </c>
      <c r="S150" s="4">
        <v>52375</v>
      </c>
      <c r="T150" s="4">
        <v>96710</v>
      </c>
      <c r="U150" s="4">
        <f>178996-T150-S150-R150</f>
        <v>28796</v>
      </c>
      <c r="V150" s="125">
        <f t="shared" si="24"/>
        <v>95112</v>
      </c>
      <c r="W150" s="43">
        <f t="shared" si="28"/>
        <v>1.1113213895197241E-2</v>
      </c>
      <c r="X150" s="35">
        <f t="shared" si="29"/>
        <v>1.8369125567051777E-2</v>
      </c>
      <c r="Y150" s="218">
        <f t="shared" si="20"/>
        <v>1.1113213895197241E-2</v>
      </c>
      <c r="Z150" s="87">
        <f t="shared" si="23"/>
        <v>0.11587053302851658</v>
      </c>
      <c r="AB150" s="87">
        <f t="shared" si="22"/>
        <v>0.37938616676382453</v>
      </c>
      <c r="AD150" s="87">
        <f t="shared" si="30"/>
        <v>0.24334287619122308</v>
      </c>
      <c r="AF150" s="197">
        <f>MAX($B$2:B150)</f>
        <v>6127</v>
      </c>
    </row>
    <row r="151" spans="1:32" x14ac:dyDescent="0.25">
      <c r="A151" s="2">
        <v>44042</v>
      </c>
      <c r="B151" s="156">
        <v>6377</v>
      </c>
      <c r="C151" s="23">
        <f t="shared" si="16"/>
        <v>5335.1428571428569</v>
      </c>
      <c r="D151" s="156">
        <f t="shared" si="27"/>
        <v>185373</v>
      </c>
      <c r="E151" s="156">
        <f>23+131</f>
        <v>154</v>
      </c>
      <c r="F151" s="23">
        <f t="shared" si="17"/>
        <v>105.85714285714286</v>
      </c>
      <c r="G151" s="156">
        <f>G150+E151</f>
        <v>3442</v>
      </c>
      <c r="H151" s="156">
        <f t="shared" si="25"/>
        <v>3184</v>
      </c>
      <c r="I151" s="184">
        <v>83780</v>
      </c>
      <c r="J151" s="156">
        <v>1076</v>
      </c>
      <c r="K151" s="23">
        <f t="shared" si="21"/>
        <v>1012.4285714285714</v>
      </c>
      <c r="L151" s="156">
        <v>16685</v>
      </c>
      <c r="M151" s="23">
        <f t="shared" si="21"/>
        <v>14035.142857142857</v>
      </c>
      <c r="N151" s="4">
        <v>707508</v>
      </c>
      <c r="O151" s="7">
        <f t="shared" si="31"/>
        <v>818.0800000000163</v>
      </c>
      <c r="P151" s="7">
        <f t="shared" si="32"/>
        <v>408221.92</v>
      </c>
      <c r="Q151" s="4">
        <v>409040</v>
      </c>
      <c r="R151" s="4">
        <v>1117</v>
      </c>
      <c r="S151" s="4">
        <v>53660</v>
      </c>
      <c r="T151" s="4">
        <v>100811</v>
      </c>
      <c r="U151" s="4">
        <f>185373-T151-S151-R151</f>
        <v>29785</v>
      </c>
      <c r="V151" s="125">
        <f t="shared" si="24"/>
        <v>98151</v>
      </c>
      <c r="W151" s="43">
        <f t="shared" si="28"/>
        <v>1.0962700329084777E-2</v>
      </c>
      <c r="X151" s="35">
        <f t="shared" si="29"/>
        <v>1.8567968366482713E-2</v>
      </c>
      <c r="Y151" s="218">
        <f t="shared" si="20"/>
        <v>1.0962700329084777E-2</v>
      </c>
      <c r="Z151" s="87">
        <f t="shared" si="23"/>
        <v>9.1381980770916638E-2</v>
      </c>
      <c r="AB151" s="87">
        <f t="shared" si="22"/>
        <v>0.38012743521364739</v>
      </c>
      <c r="AD151" s="87">
        <f t="shared" si="30"/>
        <v>0.22876136107564027</v>
      </c>
      <c r="AF151" s="197">
        <f>MAX($B$2:B151)</f>
        <v>6377</v>
      </c>
    </row>
    <row r="152" spans="1:32" x14ac:dyDescent="0.25">
      <c r="A152" s="2">
        <v>44043</v>
      </c>
      <c r="B152" s="156">
        <v>5929</v>
      </c>
      <c r="C152" s="23">
        <f t="shared" si="16"/>
        <v>5397.4285714285716</v>
      </c>
      <c r="D152" s="156">
        <f t="shared" si="27"/>
        <v>191302</v>
      </c>
      <c r="E152" s="156">
        <f>25+77</f>
        <v>102</v>
      </c>
      <c r="F152" s="23">
        <f t="shared" si="17"/>
        <v>105.42857142857143</v>
      </c>
      <c r="G152" s="156">
        <f>G151+E152</f>
        <v>3544</v>
      </c>
      <c r="H152" s="156">
        <f t="shared" si="25"/>
        <v>2719</v>
      </c>
      <c r="I152" s="184">
        <v>86499</v>
      </c>
      <c r="J152" s="156">
        <v>1104</v>
      </c>
      <c r="K152" s="23">
        <f t="shared" si="21"/>
        <v>1033.7142857142858</v>
      </c>
      <c r="L152" s="156">
        <v>15442</v>
      </c>
      <c r="M152" s="23">
        <f t="shared" si="21"/>
        <v>14151</v>
      </c>
      <c r="N152" s="4">
        <f>N151+L152</f>
        <v>722950</v>
      </c>
      <c r="O152" s="7">
        <f t="shared" si="31"/>
        <v>833.97600000002421</v>
      </c>
      <c r="P152" s="7">
        <f t="shared" si="32"/>
        <v>416154.02399999998</v>
      </c>
      <c r="Q152" s="4">
        <v>416988</v>
      </c>
      <c r="R152" s="4">
        <v>1122</v>
      </c>
      <c r="S152" s="4">
        <v>54915</v>
      </c>
      <c r="T152" s="4">
        <v>104695</v>
      </c>
      <c r="U152" s="4">
        <f>191302-T152-S152-R152</f>
        <v>30570</v>
      </c>
      <c r="V152" s="125">
        <f t="shared" si="24"/>
        <v>101259</v>
      </c>
      <c r="W152" s="43">
        <f t="shared" si="28"/>
        <v>1.0902734571741771E-2</v>
      </c>
      <c r="X152" s="35">
        <f t="shared" si="29"/>
        <v>1.852568190609612E-2</v>
      </c>
      <c r="Y152" s="218">
        <f t="shared" si="20"/>
        <v>1.0902734571741771E-2</v>
      </c>
      <c r="Z152" s="87">
        <f t="shared" si="23"/>
        <v>5.7489923869234349E-2</v>
      </c>
      <c r="AB152" s="87">
        <f t="shared" si="22"/>
        <v>0.38141676004724551</v>
      </c>
      <c r="AD152" s="87">
        <f t="shared" si="30"/>
        <v>0.22454680678671202</v>
      </c>
      <c r="AF152" s="197">
        <f>MAX($B$2:B152)</f>
        <v>6377</v>
      </c>
    </row>
    <row r="153" spans="1:32" x14ac:dyDescent="0.25">
      <c r="A153" s="2">
        <v>44044</v>
      </c>
      <c r="B153" s="156">
        <v>5241</v>
      </c>
      <c r="C153" s="23">
        <f t="shared" si="16"/>
        <v>5458.4285714285716</v>
      </c>
      <c r="D153" s="156">
        <f t="shared" si="27"/>
        <v>196543</v>
      </c>
      <c r="E153" s="156">
        <f>15+38</f>
        <v>53</v>
      </c>
      <c r="F153" s="23">
        <f t="shared" si="17"/>
        <v>100.71428571428571</v>
      </c>
      <c r="G153" s="156">
        <v>3596</v>
      </c>
      <c r="H153" s="156">
        <f t="shared" si="25"/>
        <v>2527</v>
      </c>
      <c r="I153" s="184">
        <v>89026</v>
      </c>
      <c r="J153" s="156">
        <v>1128</v>
      </c>
      <c r="K153" s="23">
        <f t="shared" si="21"/>
        <v>1054.8571428571429</v>
      </c>
      <c r="L153" s="156">
        <v>13057</v>
      </c>
      <c r="M153" s="23">
        <f t="shared" si="21"/>
        <v>14166.142857142857</v>
      </c>
      <c r="N153" s="4">
        <v>736007</v>
      </c>
      <c r="O153" s="7">
        <f t="shared" si="31"/>
        <v>846.24599999998463</v>
      </c>
      <c r="P153" s="7">
        <f t="shared" si="32"/>
        <v>422276.75400000002</v>
      </c>
      <c r="Q153" s="4">
        <v>423123</v>
      </c>
      <c r="R153" s="4">
        <v>1123</v>
      </c>
      <c r="S153" s="4">
        <v>55946</v>
      </c>
      <c r="T153" s="4">
        <v>107909</v>
      </c>
      <c r="U153" s="4">
        <f>196543-T153-S153-R153</f>
        <v>31565</v>
      </c>
      <c r="V153" s="125">
        <f t="shared" si="24"/>
        <v>103921</v>
      </c>
      <c r="W153" s="43">
        <f t="shared" si="28"/>
        <v>1.0854399014636118E-2</v>
      </c>
      <c r="X153" s="35">
        <f t="shared" si="29"/>
        <v>1.8296250693232523E-2</v>
      </c>
      <c r="Y153" s="218">
        <f t="shared" si="20"/>
        <v>1.0854399014636118E-2</v>
      </c>
      <c r="Z153" s="87">
        <f t="shared" si="23"/>
        <v>7.060999187424688E-2</v>
      </c>
      <c r="AB153" s="87">
        <f t="shared" si="22"/>
        <v>0.38531508728053809</v>
      </c>
      <c r="AD153" s="87">
        <f t="shared" si="30"/>
        <v>0.22370853596787676</v>
      </c>
      <c r="AF153" s="197">
        <f>MAX($B$2:B153)</f>
        <v>6377</v>
      </c>
    </row>
    <row r="154" spans="1:32" x14ac:dyDescent="0.25">
      <c r="A154" s="2">
        <v>44045</v>
      </c>
      <c r="B154" s="156">
        <v>5376</v>
      </c>
      <c r="C154" s="23">
        <f t="shared" si="16"/>
        <v>5627.5714285714284</v>
      </c>
      <c r="D154" s="156">
        <f t="shared" si="27"/>
        <v>201919</v>
      </c>
      <c r="E154" s="156">
        <f>15+36</f>
        <v>51</v>
      </c>
      <c r="F154" s="23">
        <f t="shared" si="17"/>
        <v>101.57142857142857</v>
      </c>
      <c r="G154" s="156">
        <f t="shared" ref="G154:G171" si="33">G153+E154</f>
        <v>3647</v>
      </c>
      <c r="H154" s="156">
        <f t="shared" si="25"/>
        <v>2276</v>
      </c>
      <c r="I154" s="184">
        <v>91302</v>
      </c>
      <c r="J154" s="156">
        <v>1112</v>
      </c>
      <c r="K154" s="23">
        <f t="shared" si="21"/>
        <v>1071.8571428571429</v>
      </c>
      <c r="L154" s="156">
        <v>11900</v>
      </c>
      <c r="M154" s="23">
        <f t="shared" si="21"/>
        <v>14313.285714285714</v>
      </c>
      <c r="N154" s="4">
        <v>747907</v>
      </c>
      <c r="O154" s="7">
        <f t="shared" si="31"/>
        <v>856.68800000002375</v>
      </c>
      <c r="P154" s="7">
        <f t="shared" si="32"/>
        <v>427487.31199999998</v>
      </c>
      <c r="Q154" s="4">
        <v>428344</v>
      </c>
      <c r="R154" s="4">
        <v>1123</v>
      </c>
      <c r="S154" s="4">
        <v>56975</v>
      </c>
      <c r="T154" s="4">
        <v>110459</v>
      </c>
      <c r="U154" s="4">
        <f>201919-T154-S154-R154</f>
        <v>33362</v>
      </c>
      <c r="V154" s="125">
        <f t="shared" si="24"/>
        <v>106970</v>
      </c>
      <c r="W154" s="43">
        <f t="shared" si="28"/>
        <v>1.0395437973263533E-2</v>
      </c>
      <c r="X154" s="35">
        <f t="shared" si="29"/>
        <v>1.8061698007616915E-2</v>
      </c>
      <c r="Y154" s="218">
        <f t="shared" si="20"/>
        <v>1.0395437973263533E-2</v>
      </c>
      <c r="Z154" s="87">
        <f t="shared" si="23"/>
        <v>7.5077779597183536E-2</v>
      </c>
      <c r="AB154" s="87">
        <f t="shared" si="22"/>
        <v>0.39317117962332698</v>
      </c>
      <c r="AD154" s="87">
        <f t="shared" si="30"/>
        <v>0.22935653293186076</v>
      </c>
      <c r="AF154" s="197">
        <f>MAX($B$2:B154)</f>
        <v>6377</v>
      </c>
    </row>
    <row r="155" spans="1:32" x14ac:dyDescent="0.25">
      <c r="A155" s="44">
        <v>44046</v>
      </c>
      <c r="B155" s="159">
        <v>4824</v>
      </c>
      <c r="C155" s="23">
        <f t="shared" si="16"/>
        <v>5618.1428571428569</v>
      </c>
      <c r="D155" s="156">
        <f>D154+B155</f>
        <v>206743</v>
      </c>
      <c r="E155" s="156">
        <v>164</v>
      </c>
      <c r="F155" s="23">
        <f t="shared" si="17"/>
        <v>107.71428571428571</v>
      </c>
      <c r="G155" s="156">
        <f t="shared" si="33"/>
        <v>3811</v>
      </c>
      <c r="H155" s="156">
        <f t="shared" si="25"/>
        <v>2827</v>
      </c>
      <c r="I155" s="184">
        <v>94129</v>
      </c>
      <c r="J155" s="156">
        <v>1150</v>
      </c>
      <c r="K155" s="23">
        <f t="shared" si="21"/>
        <v>1093</v>
      </c>
      <c r="L155" s="156">
        <v>12839</v>
      </c>
      <c r="M155" s="23">
        <f t="shared" si="21"/>
        <v>14376.285714285714</v>
      </c>
      <c r="N155" s="4">
        <v>760746</v>
      </c>
      <c r="O155" s="7">
        <f t="shared" si="31"/>
        <v>869.87800000002608</v>
      </c>
      <c r="P155" s="7">
        <f t="shared" si="32"/>
        <v>434069.12199999997</v>
      </c>
      <c r="Q155" s="4">
        <v>434939</v>
      </c>
      <c r="R155" s="4">
        <v>1123</v>
      </c>
      <c r="S155" s="4">
        <v>58084</v>
      </c>
      <c r="T155" s="4">
        <v>114826</v>
      </c>
      <c r="U155" s="4">
        <f>206743-R155-S155-T155</f>
        <v>32710</v>
      </c>
      <c r="V155" s="125">
        <f t="shared" si="24"/>
        <v>108803</v>
      </c>
      <c r="W155" s="43">
        <f t="shared" si="28"/>
        <v>1.0569561501061552E-2</v>
      </c>
      <c r="X155" s="35">
        <f t="shared" si="29"/>
        <v>1.8433514073027867E-2</v>
      </c>
      <c r="Y155" s="218">
        <f t="shared" si="20"/>
        <v>1.0569561501061552E-2</v>
      </c>
      <c r="Z155" s="87">
        <f t="shared" si="23"/>
        <v>5.6126970486344296E-2</v>
      </c>
      <c r="AB155" s="87">
        <f t="shared" si="22"/>
        <v>0.39079237633404218</v>
      </c>
      <c r="AD155" s="87">
        <f t="shared" si="30"/>
        <v>0.21875350045926023</v>
      </c>
      <c r="AF155" s="197">
        <f>MAX($B$2:B155)</f>
        <v>6377</v>
      </c>
    </row>
    <row r="156" spans="1:32" x14ac:dyDescent="0.25">
      <c r="A156" s="2">
        <v>44047</v>
      </c>
      <c r="B156" s="159">
        <v>6792</v>
      </c>
      <c r="C156" s="23">
        <f t="shared" si="16"/>
        <v>5740</v>
      </c>
      <c r="D156" s="156">
        <f>D155+B156</f>
        <v>213535</v>
      </c>
      <c r="E156" s="175">
        <f>116+52</f>
        <v>168</v>
      </c>
      <c r="F156" s="23">
        <f t="shared" si="17"/>
        <v>114.57142857142857</v>
      </c>
      <c r="G156" s="156">
        <f t="shared" si="33"/>
        <v>3979</v>
      </c>
      <c r="H156" s="156">
        <f t="shared" si="25"/>
        <v>2819</v>
      </c>
      <c r="I156" s="184">
        <v>96948</v>
      </c>
      <c r="J156" s="156">
        <v>1207</v>
      </c>
      <c r="K156" s="23">
        <f t="shared" si="21"/>
        <v>1119.1428571428571</v>
      </c>
      <c r="L156" s="156">
        <v>16532</v>
      </c>
      <c r="M156" s="23">
        <f t="shared" si="21"/>
        <v>14609.571428571429</v>
      </c>
      <c r="N156" s="4">
        <f>N155+L156</f>
        <v>777278</v>
      </c>
      <c r="O156" s="7">
        <f t="shared" si="31"/>
        <v>885.76199999998789</v>
      </c>
      <c r="P156" s="7">
        <f t="shared" si="32"/>
        <v>441995.23800000001</v>
      </c>
      <c r="Q156" s="4">
        <v>442881</v>
      </c>
      <c r="R156" s="4">
        <v>1123</v>
      </c>
      <c r="S156" s="4">
        <v>59408</v>
      </c>
      <c r="T156" s="4">
        <v>119544</v>
      </c>
      <c r="U156" s="4">
        <f>213535-T156-S156-R156</f>
        <v>33460</v>
      </c>
      <c r="V156" s="125">
        <f t="shared" si="24"/>
        <v>112608</v>
      </c>
      <c r="W156" s="43">
        <f t="shared" si="28"/>
        <v>1.0718599033816426E-2</v>
      </c>
      <c r="X156" s="35">
        <f t="shared" si="29"/>
        <v>1.8633947596412764E-2</v>
      </c>
      <c r="Y156" s="218">
        <f t="shared" si="20"/>
        <v>1.0718599033816426E-2</v>
      </c>
      <c r="Z156" s="87">
        <f t="shared" si="23"/>
        <v>8.3135648048306976E-2</v>
      </c>
      <c r="AB156" s="87">
        <f t="shared" si="22"/>
        <v>0.39289311312544611</v>
      </c>
      <c r="AD156" s="87">
        <f t="shared" si="30"/>
        <v>0.21973094170403584</v>
      </c>
      <c r="AF156" s="197">
        <f>MAX($B$2:B156)</f>
        <v>6792</v>
      </c>
    </row>
    <row r="157" spans="1:32" x14ac:dyDescent="0.25">
      <c r="A157" s="2">
        <v>44048</v>
      </c>
      <c r="B157" s="159">
        <v>7147</v>
      </c>
      <c r="C157" s="23">
        <f t="shared" si="16"/>
        <v>5955.1428571428569</v>
      </c>
      <c r="D157" s="156">
        <f>D156+B157</f>
        <v>220682</v>
      </c>
      <c r="E157" s="156">
        <f>30+97</f>
        <v>127</v>
      </c>
      <c r="F157" s="23">
        <f t="shared" si="17"/>
        <v>117</v>
      </c>
      <c r="G157" s="156">
        <f t="shared" si="33"/>
        <v>4106</v>
      </c>
      <c r="H157" s="156">
        <f t="shared" si="25"/>
        <v>2904</v>
      </c>
      <c r="I157" s="184">
        <v>99852</v>
      </c>
      <c r="J157" s="156">
        <v>1219</v>
      </c>
      <c r="K157" s="23">
        <f t="shared" si="21"/>
        <v>1142.2857142857142</v>
      </c>
      <c r="L157" s="156">
        <v>17266</v>
      </c>
      <c r="M157" s="23">
        <f t="shared" si="21"/>
        <v>14817.285714285714</v>
      </c>
      <c r="N157" s="4">
        <f>N156+L157</f>
        <v>794544</v>
      </c>
      <c r="O157" s="7">
        <f t="shared" si="31"/>
        <v>902.90999999997439</v>
      </c>
      <c r="P157" s="7">
        <f t="shared" si="32"/>
        <v>450552.09</v>
      </c>
      <c r="Q157" s="4">
        <v>451455</v>
      </c>
      <c r="R157" s="4">
        <v>1124</v>
      </c>
      <c r="S157" s="4">
        <v>60922</v>
      </c>
      <c r="T157" s="4">
        <v>124163</v>
      </c>
      <c r="U157" s="4">
        <f>220682-T157-S157-R157</f>
        <v>34473</v>
      </c>
      <c r="V157" s="125">
        <f t="shared" si="24"/>
        <v>116724</v>
      </c>
      <c r="W157" s="43">
        <f t="shared" si="28"/>
        <v>1.0443439224152702E-2</v>
      </c>
      <c r="X157" s="35">
        <f t="shared" si="29"/>
        <v>1.8605957894164454E-2</v>
      </c>
      <c r="Y157" s="218">
        <f t="shared" si="20"/>
        <v>1.0443439224152702E-2</v>
      </c>
      <c r="Z157" s="87">
        <f t="shared" si="23"/>
        <v>0.1162105714132704</v>
      </c>
      <c r="AB157" s="87">
        <f t="shared" si="22"/>
        <v>0.40190511082615865</v>
      </c>
      <c r="AD157" s="87">
        <f t="shared" si="30"/>
        <v>0.22722684834721174</v>
      </c>
      <c r="AF157" s="197">
        <f>MAX($B$2:B157)</f>
        <v>7147</v>
      </c>
    </row>
    <row r="158" spans="1:32" x14ac:dyDescent="0.25">
      <c r="A158" s="2">
        <v>44049</v>
      </c>
      <c r="B158" s="159">
        <v>7513</v>
      </c>
      <c r="C158" s="23">
        <f t="shared" si="16"/>
        <v>6117.4285714285716</v>
      </c>
      <c r="D158" s="156">
        <f>D157+B158</f>
        <v>228195</v>
      </c>
      <c r="E158" s="156">
        <v>145</v>
      </c>
      <c r="F158" s="23">
        <f t="shared" si="17"/>
        <v>115.71428571428571</v>
      </c>
      <c r="G158" s="156">
        <f t="shared" si="33"/>
        <v>4251</v>
      </c>
      <c r="H158" s="156">
        <f t="shared" si="25"/>
        <v>3445</v>
      </c>
      <c r="I158" s="184">
        <v>103297</v>
      </c>
      <c r="J158" s="156">
        <v>1245</v>
      </c>
      <c r="K158" s="23">
        <f t="shared" si="21"/>
        <v>1166.4285714285713</v>
      </c>
      <c r="L158" s="156">
        <v>18020</v>
      </c>
      <c r="M158" s="23">
        <f t="shared" si="21"/>
        <v>15008</v>
      </c>
      <c r="N158" s="4">
        <v>812564</v>
      </c>
      <c r="O158" s="7">
        <f t="shared" si="31"/>
        <v>919.37199999997392</v>
      </c>
      <c r="P158" s="7">
        <f t="shared" si="32"/>
        <v>458766.62800000003</v>
      </c>
      <c r="Q158" s="4">
        <v>459686</v>
      </c>
      <c r="R158" s="4">
        <v>1127</v>
      </c>
      <c r="S158" s="4">
        <v>62150</v>
      </c>
      <c r="T158" s="4">
        <v>128781</v>
      </c>
      <c r="U158" s="4">
        <f>228195-T158-S158-R158</f>
        <v>36137</v>
      </c>
      <c r="V158" s="125">
        <f t="shared" si="24"/>
        <v>120647</v>
      </c>
      <c r="W158" s="43">
        <f t="shared" si="28"/>
        <v>1.0319361442887101E-2</v>
      </c>
      <c r="X158" s="35">
        <f t="shared" si="29"/>
        <v>1.8628804312101493E-2</v>
      </c>
      <c r="Y158" s="218">
        <f t="shared" si="20"/>
        <v>1.0319361442887101E-2</v>
      </c>
      <c r="Z158" s="87">
        <f t="shared" si="23"/>
        <v>0.1333968556455456</v>
      </c>
      <c r="AB158" s="87">
        <f t="shared" si="22"/>
        <v>0.40761117879987818</v>
      </c>
      <c r="AD158" s="87">
        <f t="shared" si="30"/>
        <v>0.22919786859023339</v>
      </c>
      <c r="AF158" s="197">
        <f>MAX($B$2:B158)</f>
        <v>7513</v>
      </c>
    </row>
    <row r="159" spans="1:32" x14ac:dyDescent="0.25">
      <c r="A159" s="2">
        <v>44050</v>
      </c>
      <c r="B159" s="159">
        <v>7482</v>
      </c>
      <c r="C159" s="23">
        <f t="shared" si="16"/>
        <v>6339.2857142857147</v>
      </c>
      <c r="D159" s="156">
        <f>D158+B159</f>
        <v>235677</v>
      </c>
      <c r="E159" s="156">
        <v>160</v>
      </c>
      <c r="F159" s="23">
        <f t="shared" si="17"/>
        <v>124</v>
      </c>
      <c r="G159" s="156">
        <f t="shared" si="33"/>
        <v>4411</v>
      </c>
      <c r="H159" s="156">
        <f t="shared" si="25"/>
        <v>4945</v>
      </c>
      <c r="I159" s="184">
        <v>108242</v>
      </c>
      <c r="J159" s="156">
        <v>1293</v>
      </c>
      <c r="K159" s="23">
        <f t="shared" si="21"/>
        <v>1193.4285714285713</v>
      </c>
      <c r="L159" s="156">
        <v>17493</v>
      </c>
      <c r="M159" s="23">
        <f t="shared" si="21"/>
        <v>15301</v>
      </c>
      <c r="N159" s="4">
        <f>N158+L159</f>
        <v>830057</v>
      </c>
      <c r="O159" s="7">
        <f t="shared" si="31"/>
        <v>940.32600000000093</v>
      </c>
      <c r="P159" s="7">
        <f t="shared" si="32"/>
        <v>469222.674</v>
      </c>
      <c r="Q159" s="4">
        <v>470163</v>
      </c>
      <c r="R159" s="4">
        <v>1130</v>
      </c>
      <c r="S159" s="4">
        <v>63695</v>
      </c>
      <c r="T159" s="4">
        <v>133585</v>
      </c>
      <c r="U159" s="4">
        <f>235677-T159-S159-R159</f>
        <v>37267</v>
      </c>
      <c r="V159" s="125">
        <f t="shared" si="24"/>
        <v>123024</v>
      </c>
      <c r="W159" s="43">
        <f t="shared" si="28"/>
        <v>1.0510144362075693E-2</v>
      </c>
      <c r="X159" s="35">
        <f t="shared" si="29"/>
        <v>1.8716293910733758E-2</v>
      </c>
      <c r="Y159" s="218">
        <f t="shared" si="20"/>
        <v>1.0510144362075693E-2</v>
      </c>
      <c r="Z159" s="87">
        <f t="shared" si="23"/>
        <v>0.16137559213797803</v>
      </c>
      <c r="AB159" s="87">
        <f t="shared" si="22"/>
        <v>0.41430532084737692</v>
      </c>
      <c r="AD159" s="87">
        <f t="shared" si="30"/>
        <v>0.21494385684235473</v>
      </c>
      <c r="AF159" s="197">
        <f>MAX($B$2:B159)</f>
        <v>7513</v>
      </c>
    </row>
    <row r="160" spans="1:32" x14ac:dyDescent="0.25">
      <c r="A160" s="2">
        <v>44051</v>
      </c>
      <c r="B160" s="159">
        <v>6134</v>
      </c>
      <c r="C160" s="23">
        <f t="shared" si="16"/>
        <v>6466.8571428571431</v>
      </c>
      <c r="D160" s="156">
        <f>B160+D159</f>
        <v>241811</v>
      </c>
      <c r="E160" s="156">
        <v>112</v>
      </c>
      <c r="F160" s="23">
        <f t="shared" si="17"/>
        <v>132.42857142857142</v>
      </c>
      <c r="G160" s="156">
        <f t="shared" si="33"/>
        <v>4523</v>
      </c>
      <c r="H160" s="156">
        <f t="shared" si="25"/>
        <v>61867</v>
      </c>
      <c r="I160" s="184">
        <v>170109</v>
      </c>
      <c r="J160" s="156">
        <v>1502</v>
      </c>
      <c r="K160" s="23">
        <f t="shared" si="21"/>
        <v>1246.8571428571429</v>
      </c>
      <c r="L160" s="156">
        <v>15163</v>
      </c>
      <c r="M160" s="23">
        <f t="shared" si="21"/>
        <v>15601.857142857143</v>
      </c>
      <c r="N160" s="4">
        <v>845220</v>
      </c>
      <c r="O160" s="7">
        <f t="shared" si="31"/>
        <v>955.79399999999441</v>
      </c>
      <c r="P160" s="7">
        <f t="shared" si="32"/>
        <v>476941.20600000001</v>
      </c>
      <c r="Q160" s="4">
        <v>477897</v>
      </c>
      <c r="R160" s="4">
        <v>1130</v>
      </c>
      <c r="S160" s="4">
        <v>64762</v>
      </c>
      <c r="T160" s="4">
        <v>136987</v>
      </c>
      <c r="U160" s="4">
        <f>241811-T160-S160-R160</f>
        <v>38932</v>
      </c>
      <c r="V160" s="125">
        <f t="shared" si="24"/>
        <v>67179</v>
      </c>
      <c r="W160" s="43">
        <f t="shared" si="28"/>
        <v>2.2358177406630049E-2</v>
      </c>
      <c r="X160" s="35">
        <f t="shared" si="29"/>
        <v>1.870469085360054E-2</v>
      </c>
      <c r="Y160" s="218">
        <f t="shared" si="20"/>
        <v>2.2358177406630049E-2</v>
      </c>
      <c r="Z160" s="87">
        <f t="shared" si="23"/>
        <v>0.14913817175640354</v>
      </c>
      <c r="AB160" s="87">
        <f t="shared" si="22"/>
        <v>0.41449278016353364</v>
      </c>
      <c r="AD160" s="87">
        <f t="shared" si="30"/>
        <v>-0.35355702889695062</v>
      </c>
      <c r="AF160" s="197">
        <f>MAX($B$2:B160)</f>
        <v>7513</v>
      </c>
    </row>
    <row r="161" spans="1:32" x14ac:dyDescent="0.25">
      <c r="A161" s="2">
        <v>44052</v>
      </c>
      <c r="B161" s="159">
        <v>4688</v>
      </c>
      <c r="C161" s="23">
        <f t="shared" si="16"/>
        <v>6368.5714285714284</v>
      </c>
      <c r="D161" s="156">
        <f t="shared" ref="D161:D224" si="34">D160+B161</f>
        <v>246499</v>
      </c>
      <c r="E161" s="156">
        <v>83</v>
      </c>
      <c r="F161" s="23">
        <f t="shared" si="17"/>
        <v>137</v>
      </c>
      <c r="G161" s="156">
        <f t="shared" si="33"/>
        <v>4606</v>
      </c>
      <c r="H161" s="156">
        <f t="shared" si="25"/>
        <v>4865</v>
      </c>
      <c r="I161" s="184">
        <v>174974</v>
      </c>
      <c r="J161" s="156">
        <v>1565</v>
      </c>
      <c r="K161" s="23">
        <f t="shared" si="21"/>
        <v>1311.5714285714287</v>
      </c>
      <c r="L161" s="156">
        <v>10835</v>
      </c>
      <c r="M161" s="23">
        <f t="shared" si="21"/>
        <v>15449.714285714286</v>
      </c>
      <c r="N161" s="4">
        <v>856055</v>
      </c>
      <c r="O161" s="7">
        <f t="shared" si="31"/>
        <v>966.1020000000135</v>
      </c>
      <c r="P161" s="7">
        <f t="shared" si="32"/>
        <v>482084.89799999999</v>
      </c>
      <c r="Q161" s="4">
        <v>483051</v>
      </c>
      <c r="R161" s="4">
        <v>1131</v>
      </c>
      <c r="S161" s="4">
        <v>65737</v>
      </c>
      <c r="T161" s="4">
        <v>139746</v>
      </c>
      <c r="U161" s="4">
        <f>246499-T161-S161-R161</f>
        <v>39885</v>
      </c>
      <c r="V161" s="125">
        <f t="shared" si="24"/>
        <v>66919</v>
      </c>
      <c r="W161" s="43">
        <f>J161/(D161-G161-I161)</f>
        <v>2.3386482165005454E-2</v>
      </c>
      <c r="X161" s="35">
        <f t="shared" si="29"/>
        <v>1.8685674181233999E-2</v>
      </c>
      <c r="Y161" s="218">
        <f t="shared" si="20"/>
        <v>2.3386482165005454E-2</v>
      </c>
      <c r="Z161" s="87">
        <f t="shared" si="23"/>
        <v>0.13357235487069952</v>
      </c>
      <c r="AB161" s="87">
        <f t="shared" si="22"/>
        <v>0.41221289344231976</v>
      </c>
      <c r="AD161" s="87">
        <f t="shared" si="30"/>
        <v>-0.37441338693091519</v>
      </c>
      <c r="AF161" s="197">
        <f>MAX($B$2:B161)</f>
        <v>7513</v>
      </c>
    </row>
    <row r="162" spans="1:32" x14ac:dyDescent="0.25">
      <c r="A162" s="44">
        <v>44053</v>
      </c>
      <c r="B162" s="159">
        <v>7369</v>
      </c>
      <c r="C162" s="23">
        <f t="shared" si="16"/>
        <v>6732.1428571428569</v>
      </c>
      <c r="D162" s="156">
        <f t="shared" si="34"/>
        <v>253868</v>
      </c>
      <c r="E162" s="156">
        <f>27+131</f>
        <v>158</v>
      </c>
      <c r="F162" s="23">
        <f t="shared" si="17"/>
        <v>136.14285714285714</v>
      </c>
      <c r="G162" s="156">
        <f t="shared" si="33"/>
        <v>4764</v>
      </c>
      <c r="H162" s="156">
        <f t="shared" si="25"/>
        <v>6424</v>
      </c>
      <c r="I162" s="184">
        <v>181398</v>
      </c>
      <c r="J162" s="156">
        <v>1569</v>
      </c>
      <c r="K162" s="23">
        <f t="shared" si="21"/>
        <v>1371.4285714285713</v>
      </c>
      <c r="L162" s="156">
        <v>16588</v>
      </c>
      <c r="M162" s="23">
        <f t="shared" si="21"/>
        <v>15985.285714285714</v>
      </c>
      <c r="N162" s="4">
        <v>872643</v>
      </c>
      <c r="O162" s="7">
        <f t="shared" si="31"/>
        <v>983.05200000002515</v>
      </c>
      <c r="P162" s="7">
        <f t="shared" si="32"/>
        <v>490542.94799999997</v>
      </c>
      <c r="Q162" s="4">
        <v>491526</v>
      </c>
      <c r="R162" s="4">
        <v>1136</v>
      </c>
      <c r="S162" s="4">
        <v>67245</v>
      </c>
      <c r="T162" s="4">
        <v>144896</v>
      </c>
      <c r="U162" s="4">
        <f>253686-T162-S162-R162</f>
        <v>40409</v>
      </c>
      <c r="V162" s="125">
        <f t="shared" si="24"/>
        <v>67706</v>
      </c>
      <c r="W162" s="43">
        <f t="shared" ref="W162:W225" si="35">J162/(D162-G162-I162)</f>
        <v>2.3173721679024015E-2</v>
      </c>
      <c r="X162" s="35">
        <f t="shared" si="29"/>
        <v>1.8765657743394205E-2</v>
      </c>
      <c r="Y162" s="218">
        <f t="shared" si="20"/>
        <v>2.3173721679024015E-2</v>
      </c>
      <c r="Z162" s="87">
        <f t="shared" si="23"/>
        <v>0.17284718765554996</v>
      </c>
      <c r="AB162" s="87">
        <f t="shared" si="22"/>
        <v>0.42114623269614021</v>
      </c>
      <c r="AD162" s="87">
        <f t="shared" si="30"/>
        <v>-0.37771936435576225</v>
      </c>
      <c r="AF162" s="197">
        <f>MAX($B$2:B162)</f>
        <v>7513</v>
      </c>
    </row>
    <row r="163" spans="1:32" x14ac:dyDescent="0.25">
      <c r="A163" s="2">
        <v>44054</v>
      </c>
      <c r="B163" s="159">
        <v>7043</v>
      </c>
      <c r="C163" s="23">
        <f t="shared" si="16"/>
        <v>6768</v>
      </c>
      <c r="D163" s="156">
        <f t="shared" si="34"/>
        <v>260911</v>
      </c>
      <c r="E163" s="156">
        <f>21+220</f>
        <v>241</v>
      </c>
      <c r="F163" s="23">
        <f t="shared" si="17"/>
        <v>146.57142857142858</v>
      </c>
      <c r="G163" s="156">
        <f t="shared" si="33"/>
        <v>5005</v>
      </c>
      <c r="H163" s="156">
        <f t="shared" si="25"/>
        <v>5885</v>
      </c>
      <c r="I163" s="184">
        <v>187283</v>
      </c>
      <c r="J163" s="156">
        <v>1585</v>
      </c>
      <c r="K163" s="23">
        <f t="shared" si="21"/>
        <v>1425.4285714285713</v>
      </c>
      <c r="L163" s="156">
        <v>19174</v>
      </c>
      <c r="M163" s="23">
        <f t="shared" si="21"/>
        <v>16362.714285714286</v>
      </c>
      <c r="N163" s="4">
        <f>N162+L163</f>
        <v>891817</v>
      </c>
      <c r="O163" s="7">
        <f t="shared" si="31"/>
        <v>1003.3040000000037</v>
      </c>
      <c r="P163" s="7">
        <f t="shared" si="32"/>
        <v>500648.696</v>
      </c>
      <c r="Q163" s="4">
        <v>501652</v>
      </c>
      <c r="R163" s="4">
        <v>1137</v>
      </c>
      <c r="S163" s="4">
        <v>68717</v>
      </c>
      <c r="T163" s="4">
        <v>151086</v>
      </c>
      <c r="U163" s="4">
        <f>260911-T163-S163-R163</f>
        <v>39971</v>
      </c>
      <c r="V163" s="125">
        <f t="shared" si="24"/>
        <v>68623</v>
      </c>
      <c r="W163" s="43">
        <f t="shared" si="35"/>
        <v>2.3097212304912348E-2</v>
      </c>
      <c r="X163" s="35">
        <f t="shared" si="29"/>
        <v>1.9182786467416092E-2</v>
      </c>
      <c r="Y163" s="218">
        <f t="shared" si="20"/>
        <v>2.3097212304912348E-2</v>
      </c>
      <c r="Z163" s="87">
        <f t="shared" si="23"/>
        <v>0.1364966655471862</v>
      </c>
      <c r="AB163" s="87">
        <f t="shared" si="22"/>
        <v>0.41362330734509645</v>
      </c>
      <c r="AD163" s="87">
        <f t="shared" si="30"/>
        <v>-0.39060279909065077</v>
      </c>
      <c r="AF163" s="197">
        <f>MAX($B$2:B163)</f>
        <v>7513</v>
      </c>
    </row>
    <row r="164" spans="1:32" x14ac:dyDescent="0.25">
      <c r="A164" s="2">
        <v>44055</v>
      </c>
      <c r="B164" s="159">
        <v>7663</v>
      </c>
      <c r="C164" s="23">
        <f t="shared" si="16"/>
        <v>6841.7142857142853</v>
      </c>
      <c r="D164" s="156">
        <f t="shared" si="34"/>
        <v>268574</v>
      </c>
      <c r="E164" s="156">
        <f>84+125</f>
        <v>209</v>
      </c>
      <c r="F164" s="23">
        <f t="shared" si="17"/>
        <v>158.28571428571428</v>
      </c>
      <c r="G164" s="156">
        <f t="shared" si="33"/>
        <v>5214</v>
      </c>
      <c r="H164" s="156">
        <f t="shared" si="25"/>
        <v>5151</v>
      </c>
      <c r="I164" s="184">
        <v>192434</v>
      </c>
      <c r="J164" s="156">
        <v>1662</v>
      </c>
      <c r="K164" s="23">
        <f t="shared" si="21"/>
        <v>1488.7142857142858</v>
      </c>
      <c r="L164" s="156">
        <v>19779</v>
      </c>
      <c r="M164" s="23">
        <f t="shared" si="21"/>
        <v>16721.714285714286</v>
      </c>
      <c r="N164" s="4">
        <v>911596</v>
      </c>
      <c r="O164" s="7">
        <f t="shared" si="31"/>
        <v>1024.2339999999967</v>
      </c>
      <c r="P164" s="7">
        <f t="shared" si="32"/>
        <v>511092.766</v>
      </c>
      <c r="Q164" s="4">
        <v>512117</v>
      </c>
      <c r="R164" s="4">
        <v>1142</v>
      </c>
      <c r="S164" s="4">
        <v>70280</v>
      </c>
      <c r="T164" s="4">
        <v>156764</v>
      </c>
      <c r="U164" s="4">
        <f>268574-T164-S164-R164</f>
        <v>40388</v>
      </c>
      <c r="V164" s="125">
        <f t="shared" si="24"/>
        <v>70926</v>
      </c>
      <c r="W164" s="43">
        <f t="shared" si="35"/>
        <v>2.3432873699348617E-2</v>
      </c>
      <c r="X164" s="35">
        <f t="shared" si="29"/>
        <v>1.9413643911919992E-2</v>
      </c>
      <c r="Y164" s="218">
        <f t="shared" si="20"/>
        <v>2.3432873699348617E-2</v>
      </c>
      <c r="Z164" s="87">
        <f t="shared" si="23"/>
        <v>0.11839708561020035</v>
      </c>
      <c r="AB164" s="87">
        <f t="shared" si="22"/>
        <v>0.40915148822745445</v>
      </c>
      <c r="AD164" s="87">
        <f t="shared" si="30"/>
        <v>-0.39236146807854422</v>
      </c>
      <c r="AF164" s="197">
        <f>MAX($B$2:B164)</f>
        <v>7663</v>
      </c>
    </row>
    <row r="165" spans="1:32" x14ac:dyDescent="0.25">
      <c r="A165" s="2">
        <v>44056</v>
      </c>
      <c r="B165" s="159">
        <v>7498</v>
      </c>
      <c r="C165" s="23">
        <f t="shared" ref="C165:C228" si="36">AVERAGE(B159:B165)</f>
        <v>6839.5714285714284</v>
      </c>
      <c r="D165" s="156">
        <f t="shared" si="34"/>
        <v>276072</v>
      </c>
      <c r="E165" s="156">
        <f>33+116</f>
        <v>149</v>
      </c>
      <c r="F165" s="23">
        <f t="shared" ref="F165:F228" si="37">AVERAGE(E159:E165)</f>
        <v>158.85714285714286</v>
      </c>
      <c r="G165" s="156">
        <f t="shared" si="33"/>
        <v>5363</v>
      </c>
      <c r="H165" s="156">
        <f t="shared" si="25"/>
        <v>6571</v>
      </c>
      <c r="I165" s="184">
        <v>199005</v>
      </c>
      <c r="J165" s="156">
        <v>1682</v>
      </c>
      <c r="K165" s="23">
        <f t="shared" si="21"/>
        <v>1551.1428571428571</v>
      </c>
      <c r="L165" s="156">
        <v>18501</v>
      </c>
      <c r="M165" s="23">
        <f t="shared" si="21"/>
        <v>16790.428571428572</v>
      </c>
      <c r="N165" s="4">
        <v>930097</v>
      </c>
      <c r="O165" s="7">
        <f t="shared" si="31"/>
        <v>1045.8319999999949</v>
      </c>
      <c r="P165" s="7">
        <f t="shared" si="32"/>
        <v>521870.16800000001</v>
      </c>
      <c r="Q165" s="4">
        <v>522916</v>
      </c>
      <c r="R165" s="4">
        <v>1143</v>
      </c>
      <c r="S165" s="4">
        <v>71620</v>
      </c>
      <c r="T165" s="4">
        <v>162959</v>
      </c>
      <c r="U165" s="4">
        <f>276072-T165-S165-R165</f>
        <v>40350</v>
      </c>
      <c r="V165" s="125">
        <f>D165-G165-I165</f>
        <v>71704</v>
      </c>
      <c r="W165" s="43">
        <f t="shared" si="35"/>
        <v>2.3457547696083901E-2</v>
      </c>
      <c r="X165" s="35">
        <f t="shared" si="29"/>
        <v>1.9426091744182677E-2</v>
      </c>
      <c r="Y165" s="218">
        <f t="shared" si="20"/>
        <v>2.3457547696083901E-2</v>
      </c>
      <c r="Z165" s="87">
        <f t="shared" si="23"/>
        <v>7.8918309859154823E-2</v>
      </c>
      <c r="AB165" s="87">
        <f t="shared" si="22"/>
        <v>0.40734942526779711</v>
      </c>
      <c r="AD165" s="87">
        <f t="shared" si="30"/>
        <v>-0.40567109003953683</v>
      </c>
      <c r="AF165" s="197">
        <f>MAX($B$2:B165)</f>
        <v>7663</v>
      </c>
    </row>
    <row r="166" spans="1:32" x14ac:dyDescent="0.25">
      <c r="A166" s="2">
        <v>44057</v>
      </c>
      <c r="B166" s="159">
        <v>6365</v>
      </c>
      <c r="C166" s="23">
        <f t="shared" si="36"/>
        <v>6680</v>
      </c>
      <c r="D166" s="156">
        <f t="shared" si="34"/>
        <v>282437</v>
      </c>
      <c r="E166" s="156">
        <f>66+99</f>
        <v>165</v>
      </c>
      <c r="F166" s="23">
        <f t="shared" si="37"/>
        <v>159.57142857142858</v>
      </c>
      <c r="G166" s="156">
        <f t="shared" si="33"/>
        <v>5528</v>
      </c>
      <c r="H166" s="156">
        <f t="shared" si="25"/>
        <v>6692</v>
      </c>
      <c r="I166" s="184">
        <v>205697</v>
      </c>
      <c r="J166" s="156">
        <v>1718</v>
      </c>
      <c r="K166" s="23">
        <f t="shared" si="21"/>
        <v>1611.8571428571429</v>
      </c>
      <c r="L166" s="156">
        <v>19073</v>
      </c>
      <c r="M166" s="23">
        <f t="shared" si="21"/>
        <v>17016.142857142859</v>
      </c>
      <c r="N166" s="4">
        <v>949170</v>
      </c>
      <c r="O166" s="7">
        <f t="shared" si="31"/>
        <v>1066.9579999999842</v>
      </c>
      <c r="P166" s="7">
        <f t="shared" si="32"/>
        <v>532412.04200000002</v>
      </c>
      <c r="Q166" s="4">
        <v>533479</v>
      </c>
      <c r="R166" s="4">
        <v>1148</v>
      </c>
      <c r="S166" s="4">
        <v>72902</v>
      </c>
      <c r="T166" s="4">
        <v>168252</v>
      </c>
      <c r="U166" s="4">
        <f>282437-T166-S166-R166</f>
        <v>40135</v>
      </c>
      <c r="V166" s="125">
        <f t="shared" ref="V166:V221" si="38">D166-G166-I166</f>
        <v>71212</v>
      </c>
      <c r="W166" s="43">
        <f t="shared" si="35"/>
        <v>2.4125147447059483E-2</v>
      </c>
      <c r="X166" s="35">
        <f t="shared" si="29"/>
        <v>1.9572506435063395E-2</v>
      </c>
      <c r="Y166" s="218">
        <f t="shared" si="20"/>
        <v>2.4125147447059483E-2</v>
      </c>
      <c r="Z166" s="87">
        <f t="shared" si="23"/>
        <v>3.2959264822832957E-2</v>
      </c>
      <c r="AB166" s="87">
        <f t="shared" si="22"/>
        <v>0.39256840143393246</v>
      </c>
      <c r="AD166" s="87">
        <f t="shared" si="30"/>
        <v>-0.42115359604629987</v>
      </c>
      <c r="AF166" s="197">
        <f>MAX($B$2:B166)</f>
        <v>7663</v>
      </c>
    </row>
    <row r="167" spans="1:32" x14ac:dyDescent="0.25">
      <c r="A167" s="37">
        <v>44058</v>
      </c>
      <c r="B167" s="156">
        <v>6663</v>
      </c>
      <c r="C167" s="23">
        <f t="shared" si="36"/>
        <v>6755.5714285714284</v>
      </c>
      <c r="D167" s="156">
        <f t="shared" si="34"/>
        <v>289100</v>
      </c>
      <c r="E167" s="156">
        <f>38+72-1</f>
        <v>109</v>
      </c>
      <c r="F167" s="23">
        <f t="shared" si="37"/>
        <v>159.14285714285714</v>
      </c>
      <c r="G167" s="156">
        <f t="shared" si="33"/>
        <v>5637</v>
      </c>
      <c r="H167" s="156">
        <f t="shared" si="25"/>
        <v>6005</v>
      </c>
      <c r="I167" s="184">
        <v>211702</v>
      </c>
      <c r="J167" s="156">
        <v>1716</v>
      </c>
      <c r="K167" s="23">
        <f t="shared" si="21"/>
        <v>1642.4285714285713</v>
      </c>
      <c r="L167" s="156">
        <v>17756</v>
      </c>
      <c r="M167" s="23">
        <f t="shared" si="21"/>
        <v>17386.571428571428</v>
      </c>
      <c r="N167" s="4">
        <f>N166+L167</f>
        <v>966926</v>
      </c>
      <c r="O167" s="7">
        <f t="shared" si="31"/>
        <v>1086.1879999999655</v>
      </c>
      <c r="P167" s="7">
        <f t="shared" si="32"/>
        <v>542007.81200000003</v>
      </c>
      <c r="Q167" s="4">
        <v>543094</v>
      </c>
      <c r="R167" s="4">
        <v>1151</v>
      </c>
      <c r="S167" s="4">
        <v>74109</v>
      </c>
      <c r="T167" s="4">
        <v>171954</v>
      </c>
      <c r="U167" s="4">
        <f>289100-T167-S167-R167</f>
        <v>41886</v>
      </c>
      <c r="V167" s="125">
        <f t="shared" si="38"/>
        <v>71761</v>
      </c>
      <c r="W167" s="43">
        <f t="shared" si="35"/>
        <v>2.3912710246512731E-2</v>
      </c>
      <c r="X167" s="35">
        <f t="shared" si="29"/>
        <v>1.9498443445174679E-2</v>
      </c>
      <c r="Y167" s="218">
        <f t="shared" si="20"/>
        <v>2.3912710246512731E-2</v>
      </c>
      <c r="Z167" s="87">
        <f t="shared" si="23"/>
        <v>6.0767160161507405E-2</v>
      </c>
      <c r="AB167" s="87">
        <f t="shared" si="22"/>
        <v>0.38855109854896225</v>
      </c>
      <c r="AD167" s="87">
        <f t="shared" ref="AD167:AD222" si="39">V167/V160-1</f>
        <v>6.8205838133940766E-2</v>
      </c>
      <c r="AF167" s="197">
        <f>MAX($B$2:B167)</f>
        <v>7663</v>
      </c>
    </row>
    <row r="168" spans="1:32" x14ac:dyDescent="0.25">
      <c r="A168" s="37">
        <v>44059</v>
      </c>
      <c r="B168" s="156">
        <v>5469</v>
      </c>
      <c r="C168" s="23">
        <f t="shared" si="36"/>
        <v>6867.1428571428569</v>
      </c>
      <c r="D168" s="156">
        <f t="shared" si="34"/>
        <v>294569</v>
      </c>
      <c r="E168" s="156">
        <f>20+46</f>
        <v>66</v>
      </c>
      <c r="F168" s="23">
        <f t="shared" si="37"/>
        <v>156.71428571428572</v>
      </c>
      <c r="G168" s="156">
        <f t="shared" si="33"/>
        <v>5703</v>
      </c>
      <c r="H168" s="156">
        <f t="shared" si="25"/>
        <v>6148</v>
      </c>
      <c r="I168" s="184">
        <v>217850</v>
      </c>
      <c r="J168" s="156">
        <v>1708</v>
      </c>
      <c r="K168" s="23">
        <f t="shared" si="21"/>
        <v>1662.8571428571429</v>
      </c>
      <c r="L168" s="156">
        <v>14533</v>
      </c>
      <c r="M168" s="23">
        <f t="shared" si="21"/>
        <v>17914.857142857141</v>
      </c>
      <c r="N168" s="288">
        <v>981459</v>
      </c>
      <c r="O168" s="7">
        <f t="shared" si="31"/>
        <v>1101.25</v>
      </c>
      <c r="P168" s="7">
        <f t="shared" si="32"/>
        <v>549523.75</v>
      </c>
      <c r="Q168" s="4">
        <v>550625</v>
      </c>
      <c r="R168" s="4">
        <v>1154</v>
      </c>
      <c r="S168" s="4">
        <v>75051</v>
      </c>
      <c r="T168" s="4">
        <v>175520</v>
      </c>
      <c r="U168" s="4">
        <f>294569-T168-S168-R168</f>
        <v>42844</v>
      </c>
      <c r="V168" s="125">
        <f t="shared" si="38"/>
        <v>71016</v>
      </c>
      <c r="W168" s="43">
        <f t="shared" si="35"/>
        <v>2.4050918102962712E-2</v>
      </c>
      <c r="X168" s="35">
        <f t="shared" si="29"/>
        <v>1.9360489392977537E-2</v>
      </c>
      <c r="Y168" s="218">
        <f t="shared" si="20"/>
        <v>2.4050918102962712E-2</v>
      </c>
      <c r="Z168" s="87">
        <f t="shared" si="23"/>
        <v>2.005305039787797E-2</v>
      </c>
      <c r="AB168" s="87">
        <f t="shared" si="22"/>
        <v>0.38332110618481069</v>
      </c>
      <c r="AD168" s="87">
        <f t="shared" si="39"/>
        <v>6.1223269923340151E-2</v>
      </c>
      <c r="AF168" s="197">
        <f>MAX($B$2:B168)</f>
        <v>7663</v>
      </c>
    </row>
    <row r="169" spans="1:32" x14ac:dyDescent="0.25">
      <c r="A169" s="44">
        <v>44060</v>
      </c>
      <c r="B169" s="156">
        <v>4557</v>
      </c>
      <c r="C169" s="23">
        <f t="shared" si="36"/>
        <v>6465.4285714285716</v>
      </c>
      <c r="D169" s="156">
        <f t="shared" si="34"/>
        <v>299126</v>
      </c>
      <c r="E169" s="156">
        <f>47+64</f>
        <v>111</v>
      </c>
      <c r="F169" s="23">
        <f t="shared" si="37"/>
        <v>150</v>
      </c>
      <c r="G169" s="156">
        <f t="shared" si="33"/>
        <v>5814</v>
      </c>
      <c r="H169" s="156">
        <f t="shared" si="25"/>
        <v>5681</v>
      </c>
      <c r="I169" s="184">
        <v>223531</v>
      </c>
      <c r="J169" s="163">
        <v>1749</v>
      </c>
      <c r="K169" s="23">
        <f t="shared" si="21"/>
        <v>1688.5714285714287</v>
      </c>
      <c r="L169" s="163">
        <v>13483</v>
      </c>
      <c r="M169" s="23">
        <f t="shared" si="21"/>
        <v>17471.285714285714</v>
      </c>
      <c r="N169" s="28">
        <f>N168+L169</f>
        <v>994942</v>
      </c>
      <c r="O169" s="7">
        <f t="shared" si="31"/>
        <v>1116.6300000000047</v>
      </c>
      <c r="P169" s="7">
        <f t="shared" si="32"/>
        <v>557198.37</v>
      </c>
      <c r="Q169" s="4">
        <v>558315</v>
      </c>
      <c r="R169" s="4">
        <v>1157</v>
      </c>
      <c r="S169" s="4">
        <v>76226</v>
      </c>
      <c r="T169" s="4">
        <v>180483</v>
      </c>
      <c r="U169" s="4">
        <f>299126-T169-S169-R169</f>
        <v>41260</v>
      </c>
      <c r="V169" s="125">
        <f t="shared" si="38"/>
        <v>69781</v>
      </c>
      <c r="W169" s="43">
        <f t="shared" si="35"/>
        <v>2.5064129204224645E-2</v>
      </c>
      <c r="X169" s="35">
        <f t="shared" si="29"/>
        <v>1.9436625368573778E-2</v>
      </c>
      <c r="Y169" s="218">
        <f t="shared" si="20"/>
        <v>2.5064129204224645E-2</v>
      </c>
      <c r="Z169" s="87">
        <f t="shared" si="23"/>
        <v>-4.4706180344478152E-2</v>
      </c>
      <c r="AB169" s="87">
        <f t="shared" si="22"/>
        <v>0.37006026214441656</v>
      </c>
      <c r="AD169" s="87">
        <f t="shared" si="39"/>
        <v>3.0647209996159885E-2</v>
      </c>
      <c r="AF169" s="197">
        <f>MAX($B$2:B169)</f>
        <v>7663</v>
      </c>
    </row>
    <row r="170" spans="1:32" x14ac:dyDescent="0.25">
      <c r="A170" s="2">
        <v>44061</v>
      </c>
      <c r="B170" s="156">
        <v>6840</v>
      </c>
      <c r="C170" s="23">
        <f t="shared" si="36"/>
        <v>6436.4285714285716</v>
      </c>
      <c r="D170" s="156">
        <f t="shared" si="34"/>
        <v>305966</v>
      </c>
      <c r="E170" s="156">
        <f>63+170</f>
        <v>233</v>
      </c>
      <c r="F170" s="23">
        <f t="shared" si="37"/>
        <v>148.85714285714286</v>
      </c>
      <c r="G170" s="156">
        <f t="shared" si="33"/>
        <v>6047</v>
      </c>
      <c r="H170" s="156">
        <f t="shared" si="25"/>
        <v>5194</v>
      </c>
      <c r="I170" s="184">
        <v>228725</v>
      </c>
      <c r="J170" s="156">
        <v>1799</v>
      </c>
      <c r="K170" s="23">
        <f t="shared" si="21"/>
        <v>1719.1428571428571</v>
      </c>
      <c r="L170" s="156">
        <v>18037</v>
      </c>
      <c r="M170" s="23">
        <f t="shared" si="21"/>
        <v>17308.857142857141</v>
      </c>
      <c r="N170" s="4">
        <f t="shared" ref="N170:N233" si="40">N171-L171</f>
        <v>969683</v>
      </c>
      <c r="O170" s="7">
        <f t="shared" si="31"/>
        <v>1136.4399999999441</v>
      </c>
      <c r="P170" s="7">
        <f t="shared" si="32"/>
        <v>567083.56000000006</v>
      </c>
      <c r="Q170" s="4">
        <v>568220</v>
      </c>
      <c r="R170" s="4">
        <v>1161</v>
      </c>
      <c r="S170" s="4">
        <v>77895</v>
      </c>
      <c r="T170" s="4">
        <v>185880</v>
      </c>
      <c r="U170" s="4">
        <f>305966-T170-S170-R170</f>
        <v>41030</v>
      </c>
      <c r="V170" s="125">
        <f t="shared" si="38"/>
        <v>71194</v>
      </c>
      <c r="W170" s="43">
        <f t="shared" si="35"/>
        <v>2.5268983341292805E-2</v>
      </c>
      <c r="X170" s="35">
        <f t="shared" si="29"/>
        <v>1.9763633867815378E-2</v>
      </c>
      <c r="Y170" s="218">
        <f t="shared" si="20"/>
        <v>2.5268983341292805E-2</v>
      </c>
      <c r="Z170" s="87">
        <f t="shared" si="23"/>
        <v>-5.9237450931261981E-2</v>
      </c>
      <c r="AB170" s="87">
        <f t="shared" si="22"/>
        <v>0.37185751308165926</v>
      </c>
      <c r="AD170" s="87">
        <f t="shared" si="39"/>
        <v>3.7465572767148014E-2</v>
      </c>
      <c r="AF170" s="197">
        <f>MAX($B$2:B170)</f>
        <v>7663</v>
      </c>
    </row>
    <row r="171" spans="1:32" x14ac:dyDescent="0.25">
      <c r="A171" s="2">
        <v>44062</v>
      </c>
      <c r="B171" s="156">
        <v>6693</v>
      </c>
      <c r="C171" s="23">
        <f t="shared" si="36"/>
        <v>6297.8571428571431</v>
      </c>
      <c r="D171" s="156">
        <f t="shared" si="34"/>
        <v>312659</v>
      </c>
      <c r="E171" s="156">
        <f>217+66</f>
        <v>283</v>
      </c>
      <c r="F171" s="23">
        <f t="shared" si="37"/>
        <v>159.42857142857142</v>
      </c>
      <c r="G171" s="156">
        <f t="shared" si="33"/>
        <v>6330</v>
      </c>
      <c r="H171" s="156">
        <f t="shared" si="25"/>
        <v>4926</v>
      </c>
      <c r="I171" s="184">
        <v>233651</v>
      </c>
      <c r="J171" s="156">
        <v>1795</v>
      </c>
      <c r="K171" s="23">
        <f t="shared" si="21"/>
        <v>1738.1428571428571</v>
      </c>
      <c r="L171" s="156">
        <v>18013</v>
      </c>
      <c r="M171" s="23">
        <f t="shared" si="21"/>
        <v>17056.571428571428</v>
      </c>
      <c r="N171" s="4">
        <f t="shared" si="40"/>
        <v>987696</v>
      </c>
      <c r="O171" s="7">
        <f t="shared" si="31"/>
        <v>1156.0860000000102</v>
      </c>
      <c r="P171" s="7">
        <f t="shared" si="32"/>
        <v>576886.91399999999</v>
      </c>
      <c r="Q171" s="4">
        <v>578043</v>
      </c>
      <c r="R171" s="4">
        <v>1163</v>
      </c>
      <c r="S171" s="4">
        <v>79219</v>
      </c>
      <c r="T171" s="4">
        <v>191037</v>
      </c>
      <c r="U171" s="7">
        <f>D171-T171-S171-R171</f>
        <v>41240</v>
      </c>
      <c r="V171" s="125">
        <f t="shared" si="38"/>
        <v>72678</v>
      </c>
      <c r="W171" s="43">
        <f t="shared" si="35"/>
        <v>2.4697982883403507E-2</v>
      </c>
      <c r="X171" s="35">
        <f t="shared" si="29"/>
        <v>2.0245698988354724E-2</v>
      </c>
      <c r="Y171" s="218">
        <f t="shared" si="20"/>
        <v>2.4697982883403507E-2</v>
      </c>
      <c r="Z171" s="87">
        <f t="shared" si="23"/>
        <v>-7.9202957578795585E-2</v>
      </c>
      <c r="AB171" s="87">
        <f t="shared" si="22"/>
        <v>0.36923347515829674</v>
      </c>
      <c r="AD171" s="87">
        <f t="shared" si="39"/>
        <v>2.4701801878013629E-2</v>
      </c>
      <c r="AF171" s="197">
        <f>MAX($B$2:B171)</f>
        <v>7663</v>
      </c>
    </row>
    <row r="172" spans="1:32" x14ac:dyDescent="0.25">
      <c r="A172" s="2">
        <v>44063</v>
      </c>
      <c r="B172" s="161">
        <v>8225</v>
      </c>
      <c r="C172" s="23">
        <f t="shared" si="36"/>
        <v>6401.7142857142853</v>
      </c>
      <c r="D172" s="156">
        <f t="shared" si="34"/>
        <v>320884</v>
      </c>
      <c r="E172" s="156">
        <f>111+75</f>
        <v>186</v>
      </c>
      <c r="F172" s="23">
        <f t="shared" si="37"/>
        <v>164.71428571428572</v>
      </c>
      <c r="G172" s="156">
        <f>G171+E172</f>
        <v>6516</v>
      </c>
      <c r="H172" s="156">
        <f t="shared" si="25"/>
        <v>6155</v>
      </c>
      <c r="I172" s="184">
        <v>239806</v>
      </c>
      <c r="J172" s="156">
        <v>1832</v>
      </c>
      <c r="K172" s="23">
        <f t="shared" si="21"/>
        <v>1759.5714285714287</v>
      </c>
      <c r="L172" s="156">
        <v>21695</v>
      </c>
      <c r="M172" s="23">
        <f t="shared" si="21"/>
        <v>17512.857142857141</v>
      </c>
      <c r="N172" s="4">
        <f t="shared" si="40"/>
        <v>1009391</v>
      </c>
      <c r="O172" s="7">
        <f t="shared" si="31"/>
        <v>1178.905999999959</v>
      </c>
      <c r="P172" s="7">
        <f t="shared" si="32"/>
        <v>588274.09400000004</v>
      </c>
      <c r="Q172" s="4">
        <v>589453</v>
      </c>
      <c r="R172" s="4">
        <v>1172</v>
      </c>
      <c r="S172" s="4">
        <v>80662</v>
      </c>
      <c r="T172" s="4">
        <v>196370</v>
      </c>
      <c r="U172" s="7">
        <f>D172-T172-S172-R172</f>
        <v>42680</v>
      </c>
      <c r="V172" s="125">
        <f t="shared" si="38"/>
        <v>74562</v>
      </c>
      <c r="W172" s="43">
        <f t="shared" si="35"/>
        <v>2.4570156379925431E-2</v>
      </c>
      <c r="X172" s="35">
        <f t="shared" si="29"/>
        <v>2.0306403560165043E-2</v>
      </c>
      <c r="Y172" s="218">
        <f t="shared" si="20"/>
        <v>2.4570156379925431E-2</v>
      </c>
      <c r="Z172" s="87">
        <f t="shared" si="23"/>
        <v>-4.1659538066723734E-2</v>
      </c>
      <c r="AA172" s="87">
        <f t="shared" ref="AA172:AA235" si="41">C172/M172</f>
        <v>0.3655436821926748</v>
      </c>
      <c r="AB172" s="87">
        <f t="shared" si="22"/>
        <v>0.36554368219267475</v>
      </c>
      <c r="AD172" s="87">
        <f t="shared" si="39"/>
        <v>3.9858306370634811E-2</v>
      </c>
      <c r="AF172" s="197">
        <f>MAX($B$2:B172)</f>
        <v>8225</v>
      </c>
    </row>
    <row r="173" spans="1:32" x14ac:dyDescent="0.25">
      <c r="A173" s="2">
        <v>44064</v>
      </c>
      <c r="B173" s="156">
        <v>8159</v>
      </c>
      <c r="C173" s="23">
        <f t="shared" si="36"/>
        <v>6658</v>
      </c>
      <c r="D173" s="156">
        <f t="shared" si="34"/>
        <v>329043</v>
      </c>
      <c r="E173" s="156">
        <f>50+164</f>
        <v>214</v>
      </c>
      <c r="F173" s="23">
        <f t="shared" si="37"/>
        <v>171.71428571428572</v>
      </c>
      <c r="G173" s="156">
        <f>G172+E173</f>
        <v>6730</v>
      </c>
      <c r="H173" s="156">
        <f t="shared" si="25"/>
        <v>5975</v>
      </c>
      <c r="I173" s="184">
        <v>245781</v>
      </c>
      <c r="J173" s="163">
        <v>1853</v>
      </c>
      <c r="K173" s="23">
        <f t="shared" si="21"/>
        <v>1778.8571428571429</v>
      </c>
      <c r="L173" s="163">
        <v>21032</v>
      </c>
      <c r="M173" s="23">
        <f t="shared" si="21"/>
        <v>17792.714285714286</v>
      </c>
      <c r="N173" s="4">
        <f t="shared" si="40"/>
        <v>1030423</v>
      </c>
      <c r="O173" s="7">
        <f t="shared" si="31"/>
        <v>1201.0119999999879</v>
      </c>
      <c r="P173" s="7">
        <f t="shared" si="32"/>
        <v>599304.98800000001</v>
      </c>
      <c r="Q173" s="4">
        <v>600506</v>
      </c>
      <c r="R173" s="4">
        <v>1175</v>
      </c>
      <c r="S173" s="4">
        <v>82187</v>
      </c>
      <c r="T173" s="4">
        <v>201933</v>
      </c>
      <c r="U173" s="7">
        <f>D173-T173-S173-R173</f>
        <v>43748</v>
      </c>
      <c r="V173" s="125">
        <f t="shared" si="38"/>
        <v>76532</v>
      </c>
      <c r="W173" s="43">
        <f t="shared" si="35"/>
        <v>2.4212094287356923E-2</v>
      </c>
      <c r="X173" s="35">
        <f t="shared" si="29"/>
        <v>2.0453253830046529E-2</v>
      </c>
      <c r="Y173" s="218">
        <f t="shared" si="20"/>
        <v>2.4212094287356923E-2</v>
      </c>
      <c r="Z173" s="87">
        <f t="shared" si="23"/>
        <v>-1.4443105161876968E-2</v>
      </c>
      <c r="AA173" s="87">
        <f t="shared" si="41"/>
        <v>0.37419810676922333</v>
      </c>
      <c r="AB173" s="87">
        <f t="shared" si="22"/>
        <v>0.37419810676922338</v>
      </c>
      <c r="AD173" s="87">
        <f t="shared" si="39"/>
        <v>7.4706510138740745E-2</v>
      </c>
      <c r="AF173" s="197">
        <f>MAX($B$2:B173)</f>
        <v>8225</v>
      </c>
    </row>
    <row r="174" spans="1:32" x14ac:dyDescent="0.25">
      <c r="A174" s="2">
        <v>44065</v>
      </c>
      <c r="B174" s="156">
        <v>7759</v>
      </c>
      <c r="C174" s="23">
        <f t="shared" si="36"/>
        <v>6814.5714285714284</v>
      </c>
      <c r="D174" s="156">
        <f t="shared" si="34"/>
        <v>336802</v>
      </c>
      <c r="E174" s="156">
        <v>118</v>
      </c>
      <c r="F174" s="23">
        <f t="shared" si="37"/>
        <v>173</v>
      </c>
      <c r="G174" s="156">
        <f>G173+E174</f>
        <v>6848</v>
      </c>
      <c r="H174" s="156">
        <f t="shared" si="25"/>
        <v>5619</v>
      </c>
      <c r="I174" s="184">
        <v>251400</v>
      </c>
      <c r="J174" s="163">
        <v>1907</v>
      </c>
      <c r="K174" s="23">
        <f t="shared" si="21"/>
        <v>1806.1428571428571</v>
      </c>
      <c r="L174" s="163">
        <v>18837</v>
      </c>
      <c r="M174" s="23">
        <f t="shared" si="21"/>
        <v>17947.142857142859</v>
      </c>
      <c r="N174" s="4">
        <f t="shared" si="40"/>
        <v>1049260</v>
      </c>
      <c r="O174" s="7">
        <f t="shared" si="31"/>
        <v>1220.3220000000438</v>
      </c>
      <c r="P174" s="7">
        <f t="shared" si="32"/>
        <v>608940.67799999996</v>
      </c>
      <c r="Q174" s="4">
        <v>610161</v>
      </c>
      <c r="R174" s="4">
        <v>1178</v>
      </c>
      <c r="S174" s="4">
        <v>83443</v>
      </c>
      <c r="T174" s="4">
        <v>205996</v>
      </c>
      <c r="U174" s="7">
        <f>D174-T174-S174-R174</f>
        <v>46185</v>
      </c>
      <c r="V174" s="125">
        <f t="shared" si="38"/>
        <v>78554</v>
      </c>
      <c r="W174" s="43">
        <f t="shared" si="35"/>
        <v>2.4276294014308628E-2</v>
      </c>
      <c r="X174" s="35">
        <f t="shared" si="29"/>
        <v>2.0332420828854936E-2</v>
      </c>
      <c r="Y174" s="218">
        <f t="shared" si="20"/>
        <v>2.4276294014308628E-2</v>
      </c>
      <c r="Z174" s="87">
        <f t="shared" si="23"/>
        <v>-7.6555023923444709E-3</v>
      </c>
      <c r="AA174" s="87">
        <f t="shared" si="41"/>
        <v>0.37970230040595393</v>
      </c>
      <c r="AB174" s="87">
        <f t="shared" si="22"/>
        <v>0.37970230040595399</v>
      </c>
      <c r="AD174" s="87">
        <f t="shared" si="39"/>
        <v>9.4661445632028496E-2</v>
      </c>
      <c r="AF174" s="197">
        <f>MAX($B$2:B174)</f>
        <v>8225</v>
      </c>
    </row>
    <row r="175" spans="1:32" x14ac:dyDescent="0.25">
      <c r="A175" s="2">
        <v>44066</v>
      </c>
      <c r="B175" s="156">
        <v>5352</v>
      </c>
      <c r="C175" s="23">
        <f t="shared" si="36"/>
        <v>6797.8571428571431</v>
      </c>
      <c r="D175" s="156">
        <f t="shared" si="34"/>
        <v>342154</v>
      </c>
      <c r="E175" s="156">
        <f>99+37</f>
        <v>136</v>
      </c>
      <c r="F175" s="23">
        <f t="shared" si="37"/>
        <v>183</v>
      </c>
      <c r="G175" s="156">
        <f>G174+E175</f>
        <v>6984</v>
      </c>
      <c r="H175" s="156">
        <f t="shared" si="25"/>
        <v>5389</v>
      </c>
      <c r="I175" s="184">
        <v>256789</v>
      </c>
      <c r="J175" s="156">
        <v>1922</v>
      </c>
      <c r="K175" s="23">
        <f t="shared" si="21"/>
        <v>1836.7142857142858</v>
      </c>
      <c r="L175" s="156">
        <v>13322</v>
      </c>
      <c r="M175" s="23">
        <f t="shared" si="21"/>
        <v>17774.142857142859</v>
      </c>
      <c r="N175" s="4">
        <f t="shared" si="40"/>
        <v>1062582</v>
      </c>
      <c r="O175" s="7">
        <f t="shared" si="31"/>
        <v>1234.4039999999804</v>
      </c>
      <c r="P175" s="7">
        <f t="shared" si="32"/>
        <v>615967.59600000002</v>
      </c>
      <c r="Q175" s="4">
        <v>617202</v>
      </c>
      <c r="R175" s="4">
        <v>1179</v>
      </c>
      <c r="S175" s="4">
        <v>84223</v>
      </c>
      <c r="T175" s="4">
        <v>209236</v>
      </c>
      <c r="U175" s="7">
        <f t="shared" ref="U175:U198" si="42">D175-T175-S175-R175</f>
        <v>47516</v>
      </c>
      <c r="V175" s="125">
        <f t="shared" si="38"/>
        <v>78381</v>
      </c>
      <c r="W175" s="43">
        <f t="shared" si="35"/>
        <v>2.4521248772023833E-2</v>
      </c>
      <c r="X175" s="35">
        <f t="shared" si="29"/>
        <v>2.041186132560192E-2</v>
      </c>
      <c r="Y175" s="218">
        <f t="shared" si="20"/>
        <v>2.4521248772023833E-2</v>
      </c>
      <c r="Z175" s="87">
        <f t="shared" si="23"/>
        <v>5.1416324185779239E-2</v>
      </c>
      <c r="AA175" s="87">
        <f t="shared" si="41"/>
        <v>0.38245766321864022</v>
      </c>
      <c r="AB175" s="87">
        <f t="shared" si="22"/>
        <v>0.38245766321864022</v>
      </c>
      <c r="AD175" s="87">
        <f t="shared" si="39"/>
        <v>0.10370902331868881</v>
      </c>
      <c r="AF175" s="197">
        <f>MAX($B$2:B175)</f>
        <v>8225</v>
      </c>
    </row>
    <row r="176" spans="1:32" x14ac:dyDescent="0.25">
      <c r="A176" s="44">
        <v>44067</v>
      </c>
      <c r="B176" s="156">
        <v>8713</v>
      </c>
      <c r="C176" s="23">
        <f t="shared" si="36"/>
        <v>7391.5714285714284</v>
      </c>
      <c r="D176" s="156">
        <f t="shared" si="34"/>
        <v>350867</v>
      </c>
      <c r="E176" s="156">
        <f>95+286</f>
        <v>381</v>
      </c>
      <c r="F176" s="23">
        <f t="shared" si="37"/>
        <v>221.57142857142858</v>
      </c>
      <c r="G176" s="156">
        <f>E176+G175</f>
        <v>7365</v>
      </c>
      <c r="H176" s="156">
        <f t="shared" si="25"/>
        <v>6413</v>
      </c>
      <c r="I176" s="184">
        <v>263202</v>
      </c>
      <c r="J176" s="156">
        <v>1960</v>
      </c>
      <c r="K176" s="23">
        <f t="shared" si="21"/>
        <v>1866.8571428571429</v>
      </c>
      <c r="L176" s="156">
        <v>21220</v>
      </c>
      <c r="M176" s="23">
        <f t="shared" si="21"/>
        <v>18879.428571428572</v>
      </c>
      <c r="N176" s="4">
        <f t="shared" si="40"/>
        <v>1083802</v>
      </c>
      <c r="O176" s="7">
        <f t="shared" si="31"/>
        <v>1256.7859999999637</v>
      </c>
      <c r="P176" s="7">
        <f t="shared" si="32"/>
        <v>627136.21400000004</v>
      </c>
      <c r="Q176" s="4">
        <v>628393</v>
      </c>
      <c r="R176" s="4">
        <v>1180</v>
      </c>
      <c r="S176" s="4">
        <v>85600</v>
      </c>
      <c r="T176" s="4">
        <v>213348</v>
      </c>
      <c r="U176" s="7">
        <f t="shared" si="42"/>
        <v>50739</v>
      </c>
      <c r="V176" s="125">
        <f t="shared" si="38"/>
        <v>80300</v>
      </c>
      <c r="W176" s="43">
        <f t="shared" si="35"/>
        <v>2.4408468244084682E-2</v>
      </c>
      <c r="X176" s="35">
        <f t="shared" si="29"/>
        <v>2.0990859784476738E-2</v>
      </c>
      <c r="Y176" s="218">
        <f t="shared" ref="Y176:Y239" si="43">J176/V176</f>
        <v>2.4408468244084682E-2</v>
      </c>
      <c r="Z176" s="87">
        <f t="shared" si="23"/>
        <v>0.14839640439462864</v>
      </c>
      <c r="AA176" s="87">
        <f t="shared" si="41"/>
        <v>0.39151457368564418</v>
      </c>
      <c r="AB176" s="87">
        <f t="shared" si="22"/>
        <v>0.39151457368564424</v>
      </c>
      <c r="AD176" s="87">
        <f t="shared" si="39"/>
        <v>0.15074303893610019</v>
      </c>
      <c r="AF176" s="197">
        <f>MAX($B$2:B176)</f>
        <v>8713</v>
      </c>
    </row>
    <row r="177" spans="1:32" s="40" customFormat="1" x14ac:dyDescent="0.25">
      <c r="A177" s="2">
        <v>44068</v>
      </c>
      <c r="B177" s="156">
        <v>8771</v>
      </c>
      <c r="C177" s="23">
        <f t="shared" si="36"/>
        <v>7667.4285714285716</v>
      </c>
      <c r="D177" s="156">
        <f t="shared" si="34"/>
        <v>359638</v>
      </c>
      <c r="E177" s="156">
        <f>36+162</f>
        <v>198</v>
      </c>
      <c r="F177" s="23">
        <f t="shared" si="37"/>
        <v>216.57142857142858</v>
      </c>
      <c r="G177" s="156">
        <f t="shared" ref="G177:G239" si="44">G176+E177</f>
        <v>7563</v>
      </c>
      <c r="H177" s="156">
        <f t="shared" si="25"/>
        <v>5599</v>
      </c>
      <c r="I177" s="184">
        <v>268801</v>
      </c>
      <c r="J177" s="156">
        <v>1990</v>
      </c>
      <c r="K177" s="23">
        <f t="shared" si="21"/>
        <v>1894.1428571428571</v>
      </c>
      <c r="L177" s="156">
        <v>21476</v>
      </c>
      <c r="M177" s="23">
        <f t="shared" si="21"/>
        <v>19370.714285714286</v>
      </c>
      <c r="N177" s="4">
        <f t="shared" si="40"/>
        <v>1105278</v>
      </c>
      <c r="O177" s="7">
        <f t="shared" si="31"/>
        <v>1278.204000000027</v>
      </c>
      <c r="P177" s="7">
        <f t="shared" si="32"/>
        <v>637823.79599999997</v>
      </c>
      <c r="Q177" s="4">
        <v>639102</v>
      </c>
      <c r="R177" s="4">
        <v>1183</v>
      </c>
      <c r="S177" s="4">
        <v>87216</v>
      </c>
      <c r="T177" s="4">
        <v>219449</v>
      </c>
      <c r="U177" s="4">
        <f t="shared" si="42"/>
        <v>51790</v>
      </c>
      <c r="V177" s="125">
        <f t="shared" si="38"/>
        <v>83274</v>
      </c>
      <c r="W177" s="43">
        <f t="shared" si="35"/>
        <v>2.3897014674448207E-2</v>
      </c>
      <c r="X177" s="35">
        <f t="shared" si="29"/>
        <v>2.1029479643419217E-2</v>
      </c>
      <c r="Y177" s="218">
        <f t="shared" si="43"/>
        <v>2.3897014674448207E-2</v>
      </c>
      <c r="Z177" s="87">
        <f t="shared" si="23"/>
        <v>0.21746625836452305</v>
      </c>
      <c r="AA177" s="87">
        <f t="shared" si="41"/>
        <v>0.39582580478631219</v>
      </c>
      <c r="AB177" s="87">
        <f t="shared" si="22"/>
        <v>0.39582580478631219</v>
      </c>
      <c r="AD177" s="87">
        <f t="shared" si="39"/>
        <v>0.1696772199904486</v>
      </c>
      <c r="AF177" s="197">
        <f>MAX($B$2:B177)</f>
        <v>8771</v>
      </c>
    </row>
    <row r="178" spans="1:32" x14ac:dyDescent="0.25">
      <c r="A178" s="2">
        <v>44069</v>
      </c>
      <c r="B178" s="156">
        <v>10550</v>
      </c>
      <c r="C178" s="23">
        <f t="shared" si="36"/>
        <v>8218.4285714285706</v>
      </c>
      <c r="D178" s="156">
        <f t="shared" si="34"/>
        <v>370188</v>
      </c>
      <c r="E178" s="156">
        <f>98+178</f>
        <v>276</v>
      </c>
      <c r="F178" s="23">
        <f t="shared" si="37"/>
        <v>215.57142857142858</v>
      </c>
      <c r="G178" s="156">
        <f t="shared" si="44"/>
        <v>7839</v>
      </c>
      <c r="H178" s="156">
        <f t="shared" si="25"/>
        <v>5657</v>
      </c>
      <c r="I178" s="184">
        <v>274458</v>
      </c>
      <c r="J178" s="156">
        <v>2022</v>
      </c>
      <c r="K178" s="23">
        <f t="shared" si="21"/>
        <v>1926.5714285714287</v>
      </c>
      <c r="L178" s="156">
        <v>24237</v>
      </c>
      <c r="M178" s="23">
        <f t="shared" si="21"/>
        <v>20259.857142857141</v>
      </c>
      <c r="N178" s="4">
        <f t="shared" si="40"/>
        <v>1129515</v>
      </c>
      <c r="O178" s="7">
        <f t="shared" si="31"/>
        <v>1301.7900000000373</v>
      </c>
      <c r="P178" s="7">
        <f t="shared" si="32"/>
        <v>649593.21</v>
      </c>
      <c r="Q178" s="4">
        <v>650895</v>
      </c>
      <c r="R178" s="4">
        <v>1187</v>
      </c>
      <c r="S178" s="4">
        <v>88811</v>
      </c>
      <c r="T178" s="4">
        <v>226073</v>
      </c>
      <c r="U178" s="4">
        <f t="shared" si="42"/>
        <v>54117</v>
      </c>
      <c r="V178" s="125">
        <f t="shared" si="38"/>
        <v>87891</v>
      </c>
      <c r="W178" s="43">
        <f t="shared" si="35"/>
        <v>2.300576850872103E-2</v>
      </c>
      <c r="X178" s="35">
        <f t="shared" si="29"/>
        <v>2.1175726927939318E-2</v>
      </c>
      <c r="Y178" s="218">
        <f t="shared" si="43"/>
        <v>2.300576850872103E-2</v>
      </c>
      <c r="Z178" s="87">
        <f t="shared" si="23"/>
        <v>0.28378559314469332</v>
      </c>
      <c r="AA178" s="87">
        <f t="shared" si="41"/>
        <v>0.40565086483475415</v>
      </c>
      <c r="AB178" s="87">
        <f t="shared" si="22"/>
        <v>0.40565086483475415</v>
      </c>
      <c r="AD178" s="87">
        <f t="shared" si="39"/>
        <v>0.20932056468257243</v>
      </c>
      <c r="AF178" s="197">
        <f>MAX($B$2:B178)</f>
        <v>10550</v>
      </c>
    </row>
    <row r="179" spans="1:32" x14ac:dyDescent="0.25">
      <c r="A179" s="2">
        <v>44070</v>
      </c>
      <c r="B179" s="156">
        <v>10104</v>
      </c>
      <c r="C179" s="23">
        <f t="shared" si="36"/>
        <v>8486.8571428571431</v>
      </c>
      <c r="D179" s="156">
        <f t="shared" si="34"/>
        <v>380292</v>
      </c>
      <c r="E179" s="156">
        <f>105+106</f>
        <v>211</v>
      </c>
      <c r="F179" s="23">
        <f t="shared" si="37"/>
        <v>219.14285714285714</v>
      </c>
      <c r="G179" s="156">
        <f t="shared" si="44"/>
        <v>8050</v>
      </c>
      <c r="H179" s="156">
        <f t="shared" si="25"/>
        <v>0</v>
      </c>
      <c r="I179" s="184">
        <v>274458</v>
      </c>
      <c r="J179" s="156">
        <v>2075</v>
      </c>
      <c r="K179" s="23">
        <f t="shared" si="21"/>
        <v>1961.2857142857142</v>
      </c>
      <c r="L179" s="156">
        <v>24067</v>
      </c>
      <c r="M179" s="23">
        <f t="shared" si="21"/>
        <v>20598.714285714286</v>
      </c>
      <c r="N179" s="4">
        <f t="shared" si="40"/>
        <v>1153582</v>
      </c>
      <c r="O179" s="7">
        <f t="shared" si="31"/>
        <v>1061.1663999999873</v>
      </c>
      <c r="P179" s="7">
        <f t="shared" ref="P179:P202" si="45">0.9984*Q179</f>
        <v>662167.83360000001</v>
      </c>
      <c r="Q179" s="4">
        <v>663229</v>
      </c>
      <c r="R179" s="4">
        <v>1187</v>
      </c>
      <c r="S179" s="4">
        <v>90269</v>
      </c>
      <c r="T179" s="4">
        <v>232379</v>
      </c>
      <c r="U179" s="4">
        <f t="shared" si="42"/>
        <v>56457</v>
      </c>
      <c r="V179" s="125">
        <f t="shared" si="38"/>
        <v>97784</v>
      </c>
      <c r="W179" s="43">
        <f t="shared" si="35"/>
        <v>2.1220240530148083E-2</v>
      </c>
      <c r="X179" s="35">
        <f t="shared" si="29"/>
        <v>2.1167944632019604E-2</v>
      </c>
      <c r="Y179" s="218">
        <f t="shared" si="43"/>
        <v>2.1220240530148083E-2</v>
      </c>
      <c r="Z179" s="87">
        <f t="shared" si="23"/>
        <v>0.27468566279019879</v>
      </c>
      <c r="AA179" s="87">
        <f t="shared" si="41"/>
        <v>0.41200907130126013</v>
      </c>
      <c r="AB179" s="87">
        <f t="shared" si="22"/>
        <v>0.41200907130126013</v>
      </c>
      <c r="AD179" s="87">
        <f t="shared" si="39"/>
        <v>0.31144550843593244</v>
      </c>
      <c r="AF179" s="197">
        <f>MAX($B$2:B179)</f>
        <v>10550</v>
      </c>
    </row>
    <row r="180" spans="1:32" x14ac:dyDescent="0.25">
      <c r="A180" s="2">
        <v>44071</v>
      </c>
      <c r="B180" s="162">
        <v>11717</v>
      </c>
      <c r="C180" s="23">
        <f t="shared" si="36"/>
        <v>8995.1428571428569</v>
      </c>
      <c r="D180" s="163">
        <f t="shared" si="34"/>
        <v>392009</v>
      </c>
      <c r="E180" s="163">
        <f>80+142</f>
        <v>222</v>
      </c>
      <c r="F180" s="23">
        <f t="shared" si="37"/>
        <v>220.28571428571428</v>
      </c>
      <c r="G180" s="163">
        <f t="shared" si="44"/>
        <v>8272</v>
      </c>
      <c r="H180" s="156">
        <f t="shared" si="25"/>
        <v>12762</v>
      </c>
      <c r="I180" s="184">
        <v>287220</v>
      </c>
      <c r="J180" s="163">
        <v>2114</v>
      </c>
      <c r="K180" s="23">
        <f t="shared" si="21"/>
        <v>1998.5714285714287</v>
      </c>
      <c r="L180" s="163">
        <v>25481</v>
      </c>
      <c r="M180" s="23">
        <f t="shared" si="21"/>
        <v>21234.285714285714</v>
      </c>
      <c r="N180" s="4">
        <f t="shared" si="40"/>
        <v>1179063</v>
      </c>
      <c r="O180" s="7">
        <f t="shared" si="31"/>
        <v>1081.8352000000887</v>
      </c>
      <c r="P180" s="7">
        <f t="shared" si="45"/>
        <v>675065.16479999991</v>
      </c>
      <c r="Q180" s="4">
        <v>676147</v>
      </c>
      <c r="R180" s="4">
        <v>1190</v>
      </c>
      <c r="S180" s="4">
        <v>92043</v>
      </c>
      <c r="T180" s="4">
        <v>239019</v>
      </c>
      <c r="U180" s="4">
        <f t="shared" si="42"/>
        <v>59757</v>
      </c>
      <c r="V180" s="125">
        <f t="shared" si="38"/>
        <v>96517</v>
      </c>
      <c r="W180" s="43">
        <f t="shared" si="35"/>
        <v>2.1902877213340655E-2</v>
      </c>
      <c r="X180" s="35">
        <f t="shared" si="29"/>
        <v>2.1101556341818681E-2</v>
      </c>
      <c r="Y180" s="218">
        <f t="shared" si="43"/>
        <v>2.1902877213340655E-2</v>
      </c>
      <c r="Z180" s="87">
        <f t="shared" si="23"/>
        <v>0.31998658337176633</v>
      </c>
      <c r="AA180" s="87">
        <f t="shared" si="41"/>
        <v>0.42361410118406889</v>
      </c>
      <c r="AB180" s="87">
        <f t="shared" si="22"/>
        <v>0.42361410118406889</v>
      </c>
      <c r="AD180" s="87">
        <f t="shared" si="39"/>
        <v>0.26113259812888723</v>
      </c>
      <c r="AF180" s="197">
        <f>MAX($B$2:B180)</f>
        <v>11717</v>
      </c>
    </row>
    <row r="181" spans="1:32" x14ac:dyDescent="0.25">
      <c r="A181" s="42">
        <v>44072</v>
      </c>
      <c r="B181" s="163">
        <v>9230</v>
      </c>
      <c r="C181" s="23">
        <f t="shared" si="36"/>
        <v>9205.2857142857138</v>
      </c>
      <c r="D181" s="163">
        <f t="shared" si="34"/>
        <v>401239</v>
      </c>
      <c r="E181" s="163">
        <f>34+47</f>
        <v>81</v>
      </c>
      <c r="F181" s="23">
        <f t="shared" si="37"/>
        <v>215</v>
      </c>
      <c r="G181" s="163">
        <f t="shared" si="44"/>
        <v>8353</v>
      </c>
      <c r="H181" s="156">
        <f t="shared" si="25"/>
        <v>6787</v>
      </c>
      <c r="I181" s="184">
        <v>294007</v>
      </c>
      <c r="J181" s="163">
        <v>2192</v>
      </c>
      <c r="K181" s="23">
        <f t="shared" si="21"/>
        <v>2039.2857142857142</v>
      </c>
      <c r="L181" s="163">
        <v>19910</v>
      </c>
      <c r="M181" s="23">
        <f t="shared" si="21"/>
        <v>21387.571428571428</v>
      </c>
      <c r="N181" s="4">
        <f t="shared" si="40"/>
        <v>1198973</v>
      </c>
      <c r="O181" s="7">
        <f t="shared" si="31"/>
        <v>1097.3584000000264</v>
      </c>
      <c r="P181" s="7">
        <f t="shared" si="45"/>
        <v>684751.64159999997</v>
      </c>
      <c r="Q181" s="7">
        <v>685849</v>
      </c>
      <c r="R181" s="4">
        <v>1191</v>
      </c>
      <c r="S181" s="4">
        <v>93278</v>
      </c>
      <c r="T181" s="4">
        <v>244308</v>
      </c>
      <c r="U181" s="4">
        <f t="shared" si="42"/>
        <v>62462</v>
      </c>
      <c r="V181" s="125">
        <f t="shared" si="38"/>
        <v>98879</v>
      </c>
      <c r="W181" s="43">
        <f t="shared" si="35"/>
        <v>2.2168508985730032E-2</v>
      </c>
      <c r="X181" s="35">
        <f t="shared" si="29"/>
        <v>2.0818016194836492E-2</v>
      </c>
      <c r="Y181" s="218">
        <f t="shared" si="43"/>
        <v>2.2168508985730032E-2</v>
      </c>
      <c r="Z181" s="87">
        <f t="shared" si="23"/>
        <v>0.35414521382788688</v>
      </c>
      <c r="AA181" s="87">
        <f t="shared" si="41"/>
        <v>0.43040350537361483</v>
      </c>
      <c r="AB181" s="87">
        <f t="shared" si="22"/>
        <v>0.43040350537361483</v>
      </c>
      <c r="AD181" s="87">
        <f t="shared" si="39"/>
        <v>0.25873921124322119</v>
      </c>
      <c r="AF181" s="197">
        <f>MAX($B$2:B181)</f>
        <v>11717</v>
      </c>
    </row>
    <row r="182" spans="1:32" x14ac:dyDescent="0.25">
      <c r="A182" s="2">
        <v>44073</v>
      </c>
      <c r="B182" s="156">
        <v>7187</v>
      </c>
      <c r="C182" s="23">
        <f t="shared" si="36"/>
        <v>9467.4285714285706</v>
      </c>
      <c r="D182" s="156">
        <f t="shared" si="34"/>
        <v>408426</v>
      </c>
      <c r="E182" s="156">
        <f>48+55</f>
        <v>103</v>
      </c>
      <c r="F182" s="23">
        <f t="shared" si="37"/>
        <v>210.28571428571428</v>
      </c>
      <c r="G182" s="156">
        <f t="shared" si="44"/>
        <v>8456</v>
      </c>
      <c r="H182" s="156">
        <f t="shared" si="25"/>
        <v>6188</v>
      </c>
      <c r="I182" s="184">
        <v>300195</v>
      </c>
      <c r="J182" s="156">
        <v>2232</v>
      </c>
      <c r="K182" s="23">
        <f t="shared" si="21"/>
        <v>2083.5714285714284</v>
      </c>
      <c r="L182" s="156">
        <v>15637</v>
      </c>
      <c r="M182" s="23">
        <f t="shared" si="21"/>
        <v>21718.285714285714</v>
      </c>
      <c r="N182" s="4">
        <f t="shared" si="40"/>
        <v>1214610</v>
      </c>
      <c r="O182" s="7">
        <f t="shared" si="31"/>
        <v>1109.0415999999968</v>
      </c>
      <c r="P182" s="7">
        <f t="shared" si="45"/>
        <v>692041.9584</v>
      </c>
      <c r="Q182" s="4">
        <v>693151</v>
      </c>
      <c r="R182" s="4">
        <v>1191</v>
      </c>
      <c r="S182" s="4">
        <v>94301</v>
      </c>
      <c r="T182" s="4">
        <v>247931</v>
      </c>
      <c r="U182" s="4">
        <f t="shared" si="42"/>
        <v>65003</v>
      </c>
      <c r="V182" s="125">
        <f t="shared" si="38"/>
        <v>99775</v>
      </c>
      <c r="W182" s="43">
        <f t="shared" si="35"/>
        <v>2.2370333249812076E-2</v>
      </c>
      <c r="X182" s="35">
        <f t="shared" si="29"/>
        <v>2.0703872917003326E-2</v>
      </c>
      <c r="Y182" s="218">
        <f t="shared" si="43"/>
        <v>2.2370333249812076E-2</v>
      </c>
      <c r="Z182" s="87">
        <f t="shared" si="23"/>
        <v>0.28084111246400334</v>
      </c>
      <c r="AA182" s="87">
        <f t="shared" si="41"/>
        <v>0.43591969900281524</v>
      </c>
      <c r="AB182" s="87">
        <f t="shared" si="22"/>
        <v>0.4359196990028153</v>
      </c>
      <c r="AD182" s="87">
        <f t="shared" si="39"/>
        <v>0.27294880136767841</v>
      </c>
      <c r="AF182" s="197">
        <f>MAX($B$2:B182)</f>
        <v>11717</v>
      </c>
    </row>
    <row r="183" spans="1:32" x14ac:dyDescent="0.25">
      <c r="A183" s="44">
        <v>44074</v>
      </c>
      <c r="B183" s="163">
        <v>9309</v>
      </c>
      <c r="C183" s="23">
        <f t="shared" si="36"/>
        <v>9552.5714285714294</v>
      </c>
      <c r="D183" s="163">
        <f t="shared" si="34"/>
        <v>417735</v>
      </c>
      <c r="E183" s="163">
        <f>41+162</f>
        <v>203</v>
      </c>
      <c r="F183" s="23">
        <f t="shared" si="37"/>
        <v>184.85714285714286</v>
      </c>
      <c r="G183" s="163">
        <f t="shared" si="44"/>
        <v>8659</v>
      </c>
      <c r="H183" s="156">
        <f t="shared" si="25"/>
        <v>8181</v>
      </c>
      <c r="I183" s="184">
        <v>308376</v>
      </c>
      <c r="J183" s="163">
        <v>2273</v>
      </c>
      <c r="K183" s="23">
        <f t="shared" si="21"/>
        <v>2128.2857142857142</v>
      </c>
      <c r="L183" s="163">
        <v>19845</v>
      </c>
      <c r="M183" s="23">
        <f t="shared" si="21"/>
        <v>21521.857142857141</v>
      </c>
      <c r="N183" s="4">
        <f t="shared" si="40"/>
        <v>1234455</v>
      </c>
      <c r="O183" s="7">
        <f t="shared" si="31"/>
        <v>1125.2863999999827</v>
      </c>
      <c r="P183" s="7">
        <f t="shared" si="45"/>
        <v>702178.71360000002</v>
      </c>
      <c r="Q183" s="4">
        <v>703304</v>
      </c>
      <c r="R183" s="4">
        <v>1197</v>
      </c>
      <c r="S183" s="4">
        <v>95857</v>
      </c>
      <c r="T183" s="4">
        <v>255688</v>
      </c>
      <c r="U183" s="4">
        <f t="shared" si="42"/>
        <v>64993</v>
      </c>
      <c r="V183" s="125">
        <f t="shared" si="38"/>
        <v>100700</v>
      </c>
      <c r="W183" s="43">
        <f t="shared" si="35"/>
        <v>2.2571996027805363E-2</v>
      </c>
      <c r="X183" s="35">
        <f t="shared" si="29"/>
        <v>2.0728452248435014E-2</v>
      </c>
      <c r="Y183" s="218">
        <f t="shared" si="43"/>
        <v>2.2571996027805363E-2</v>
      </c>
      <c r="Z183" s="87">
        <f t="shared" si="23"/>
        <v>0.24586376509166796</v>
      </c>
      <c r="AA183" s="87">
        <f t="shared" si="41"/>
        <v>0.44385442042309153</v>
      </c>
      <c r="AB183" s="87">
        <f t="shared" si="22"/>
        <v>0.44385442042309148</v>
      </c>
      <c r="AD183" s="87">
        <f t="shared" si="39"/>
        <v>0.25404732254047313</v>
      </c>
      <c r="AF183" s="197">
        <f>MAX($B$2:B183)</f>
        <v>11717</v>
      </c>
    </row>
    <row r="184" spans="1:32" x14ac:dyDescent="0.25">
      <c r="A184" s="2">
        <v>44075</v>
      </c>
      <c r="B184" s="156">
        <v>10504</v>
      </c>
      <c r="C184" s="23">
        <f t="shared" si="36"/>
        <v>9800.1428571428569</v>
      </c>
      <c r="D184" s="156">
        <f t="shared" si="34"/>
        <v>428239</v>
      </c>
      <c r="E184" s="156">
        <f>70+189</f>
        <v>259</v>
      </c>
      <c r="F184" s="23">
        <f t="shared" si="37"/>
        <v>193.57142857142858</v>
      </c>
      <c r="G184" s="156">
        <f t="shared" si="44"/>
        <v>8918</v>
      </c>
      <c r="H184" s="156">
        <f t="shared" si="25"/>
        <v>7154</v>
      </c>
      <c r="I184" s="184">
        <v>315530</v>
      </c>
      <c r="J184" s="156">
        <v>2314</v>
      </c>
      <c r="K184" s="23">
        <f t="shared" si="21"/>
        <v>2174.5714285714284</v>
      </c>
      <c r="L184" s="156">
        <v>23115</v>
      </c>
      <c r="M184" s="23">
        <f t="shared" si="21"/>
        <v>21756</v>
      </c>
      <c r="N184" s="4">
        <f t="shared" si="40"/>
        <v>1257570</v>
      </c>
      <c r="O184" s="7">
        <f t="shared" si="31"/>
        <v>1148.1040000000503</v>
      </c>
      <c r="P184" s="7">
        <f t="shared" si="45"/>
        <v>716416.89599999995</v>
      </c>
      <c r="Q184" s="4">
        <v>717565</v>
      </c>
      <c r="R184" s="4">
        <v>1200</v>
      </c>
      <c r="S184" s="4">
        <v>97726</v>
      </c>
      <c r="T184" s="4">
        <v>263555</v>
      </c>
      <c r="U184" s="4">
        <f t="shared" si="42"/>
        <v>65758</v>
      </c>
      <c r="V184" s="125">
        <f t="shared" si="38"/>
        <v>103791</v>
      </c>
      <c r="W184" s="43">
        <f t="shared" si="35"/>
        <v>2.2294803981077357E-2</v>
      </c>
      <c r="X184" s="35">
        <f t="shared" si="29"/>
        <v>2.0824819785213396E-2</v>
      </c>
      <c r="Y184" s="218">
        <f t="shared" si="43"/>
        <v>2.2294803981077357E-2</v>
      </c>
      <c r="Z184" s="87">
        <f t="shared" si="23"/>
        <v>0.19245945523127483</v>
      </c>
      <c r="AA184" s="87">
        <f t="shared" si="41"/>
        <v>0.45045701678354738</v>
      </c>
      <c r="AB184" s="87">
        <f t="shared" si="22"/>
        <v>0.45045701678354738</v>
      </c>
      <c r="AD184" s="87">
        <f t="shared" si="39"/>
        <v>0.24637942214856978</v>
      </c>
      <c r="AF184" s="197">
        <f>MAX($B$2:B184)</f>
        <v>11717</v>
      </c>
    </row>
    <row r="185" spans="1:32" x14ac:dyDescent="0.25">
      <c r="A185" s="2">
        <v>44076</v>
      </c>
      <c r="B185" s="156">
        <v>10933</v>
      </c>
      <c r="C185" s="23">
        <f t="shared" si="36"/>
        <v>9854.8571428571431</v>
      </c>
      <c r="D185" s="156">
        <f t="shared" si="34"/>
        <v>439172</v>
      </c>
      <c r="E185" s="156">
        <f>52+146</f>
        <v>198</v>
      </c>
      <c r="F185" s="23">
        <f t="shared" si="37"/>
        <v>182.42857142857142</v>
      </c>
      <c r="G185" s="156">
        <f t="shared" si="44"/>
        <v>9116</v>
      </c>
      <c r="H185" s="156">
        <f t="shared" si="25"/>
        <v>6931</v>
      </c>
      <c r="I185" s="184">
        <v>322461</v>
      </c>
      <c r="J185" s="156">
        <v>2359</v>
      </c>
      <c r="K185" s="23">
        <f t="shared" ref="K185:M248" si="46">AVERAGE(J179:J185)</f>
        <v>2222.7142857142858</v>
      </c>
      <c r="L185" s="156">
        <v>23821</v>
      </c>
      <c r="M185" s="23">
        <f t="shared" si="46"/>
        <v>21696.571428571428</v>
      </c>
      <c r="N185" s="4">
        <f t="shared" si="40"/>
        <v>1281391</v>
      </c>
      <c r="O185" s="7">
        <f t="shared" si="31"/>
        <v>1166.611200000043</v>
      </c>
      <c r="P185" s="7">
        <f t="shared" si="45"/>
        <v>727965.38879999996</v>
      </c>
      <c r="Q185" s="4">
        <v>729132</v>
      </c>
      <c r="R185" s="4">
        <v>1200</v>
      </c>
      <c r="S185" s="4">
        <v>99630</v>
      </c>
      <c r="T185" s="4">
        <v>272419</v>
      </c>
      <c r="U185" s="4">
        <f t="shared" si="42"/>
        <v>65923</v>
      </c>
      <c r="V185" s="125">
        <f t="shared" si="38"/>
        <v>107595</v>
      </c>
      <c r="W185" s="43">
        <f t="shared" si="35"/>
        <v>2.1924810632464334E-2</v>
      </c>
      <c r="X185" s="35">
        <f t="shared" si="29"/>
        <v>2.075724317579445E-2</v>
      </c>
      <c r="Y185" s="218">
        <f t="shared" si="43"/>
        <v>2.1924810632464334E-2</v>
      </c>
      <c r="Z185" s="87">
        <f t="shared" si="23"/>
        <v>0.16119041206571505</v>
      </c>
      <c r="AA185" s="87">
        <f t="shared" si="41"/>
        <v>0.45421264715952492</v>
      </c>
      <c r="AB185" s="87">
        <f t="shared" si="22"/>
        <v>0.45421264715952486</v>
      </c>
      <c r="AD185" s="87">
        <f t="shared" si="39"/>
        <v>0.22418677680308563</v>
      </c>
      <c r="AF185" s="197">
        <f>MAX($B$2:B185)</f>
        <v>11717</v>
      </c>
    </row>
    <row r="186" spans="1:32" x14ac:dyDescent="0.25">
      <c r="A186" s="2">
        <v>44077</v>
      </c>
      <c r="B186" s="164">
        <v>12026</v>
      </c>
      <c r="C186" s="23">
        <f t="shared" si="36"/>
        <v>10129.428571428571</v>
      </c>
      <c r="D186" s="156">
        <f t="shared" si="34"/>
        <v>451198</v>
      </c>
      <c r="E186" s="156">
        <f>38+206</f>
        <v>244</v>
      </c>
      <c r="F186" s="23">
        <f t="shared" si="37"/>
        <v>187.14285714285714</v>
      </c>
      <c r="G186" s="156">
        <f t="shared" si="44"/>
        <v>9360</v>
      </c>
      <c r="H186" s="156">
        <f t="shared" si="25"/>
        <v>9160</v>
      </c>
      <c r="I186" s="184">
        <v>331621</v>
      </c>
      <c r="J186" s="156">
        <v>2394</v>
      </c>
      <c r="K186" s="23">
        <f t="shared" si="46"/>
        <v>2268.2857142857142</v>
      </c>
      <c r="L186" s="156">
        <v>25351</v>
      </c>
      <c r="M186" s="23">
        <f t="shared" si="46"/>
        <v>21880</v>
      </c>
      <c r="N186" s="4">
        <f t="shared" si="40"/>
        <v>1306742</v>
      </c>
      <c r="O186" s="7">
        <f t="shared" si="31"/>
        <v>1185.8656000000192</v>
      </c>
      <c r="P186" s="7">
        <f t="shared" si="45"/>
        <v>739980.13439999998</v>
      </c>
      <c r="Q186" s="4">
        <v>741166</v>
      </c>
      <c r="R186" s="4">
        <v>1202</v>
      </c>
      <c r="S186" s="4">
        <v>101394</v>
      </c>
      <c r="T186" s="4">
        <v>280927</v>
      </c>
      <c r="U186" s="4">
        <f t="shared" si="42"/>
        <v>67675</v>
      </c>
      <c r="V186" s="125">
        <f t="shared" si="38"/>
        <v>110217</v>
      </c>
      <c r="W186" s="43">
        <f t="shared" si="35"/>
        <v>2.1720787174392336E-2</v>
      </c>
      <c r="X186" s="35">
        <f t="shared" si="29"/>
        <v>2.0744772804843992E-2</v>
      </c>
      <c r="Y186" s="218">
        <f t="shared" si="43"/>
        <v>2.1720787174392336E-2</v>
      </c>
      <c r="Z186" s="87">
        <f t="shared" si="23"/>
        <v>0.12609979989200526</v>
      </c>
      <c r="AA186" s="87">
        <f t="shared" si="41"/>
        <v>0.4629537738312875</v>
      </c>
      <c r="AB186" s="87">
        <f t="shared" ref="AB186:AB249" si="47">SUM(B180:B186)/SUM(L180:L186)</f>
        <v>0.46295377383128755</v>
      </c>
      <c r="AD186" s="87">
        <f t="shared" si="39"/>
        <v>0.12714759060787051</v>
      </c>
      <c r="AF186" s="197">
        <f>MAX($B$2:B186)</f>
        <v>12026</v>
      </c>
    </row>
    <row r="187" spans="1:32" x14ac:dyDescent="0.25">
      <c r="A187" s="2">
        <v>44078</v>
      </c>
      <c r="B187" s="156">
        <v>10684</v>
      </c>
      <c r="C187" s="23">
        <f t="shared" si="36"/>
        <v>9981.8571428571431</v>
      </c>
      <c r="D187" s="156">
        <f t="shared" si="34"/>
        <v>461882</v>
      </c>
      <c r="E187" s="156">
        <f>107+155</f>
        <v>262</v>
      </c>
      <c r="F187" s="23">
        <f t="shared" si="37"/>
        <v>192.85714285714286</v>
      </c>
      <c r="G187" s="156">
        <f t="shared" si="44"/>
        <v>9622</v>
      </c>
      <c r="H187" s="156">
        <f t="shared" si="25"/>
        <v>8760</v>
      </c>
      <c r="I187" s="184">
        <v>340381</v>
      </c>
      <c r="J187" s="156">
        <v>2425</v>
      </c>
      <c r="K187" s="23">
        <f t="shared" si="46"/>
        <v>2312.7142857142858</v>
      </c>
      <c r="L187" s="156">
        <v>24486</v>
      </c>
      <c r="M187" s="23">
        <f t="shared" si="46"/>
        <v>21737.857142857141</v>
      </c>
      <c r="N187" s="4">
        <f t="shared" si="40"/>
        <v>1331228</v>
      </c>
      <c r="O187" s="7">
        <f t="shared" si="31"/>
        <v>1205.8336000000127</v>
      </c>
      <c r="P187" s="7">
        <f t="shared" si="45"/>
        <v>752440.16639999999</v>
      </c>
      <c r="Q187" s="4">
        <v>753646</v>
      </c>
      <c r="R187" s="4">
        <v>1205</v>
      </c>
      <c r="S187" s="4">
        <v>103049</v>
      </c>
      <c r="T187" s="4">
        <v>289005</v>
      </c>
      <c r="U187" s="4">
        <f t="shared" si="42"/>
        <v>68623</v>
      </c>
      <c r="V187" s="125">
        <f t="shared" si="38"/>
        <v>111879</v>
      </c>
      <c r="W187" s="43">
        <f t="shared" si="35"/>
        <v>2.167520267431779E-2</v>
      </c>
      <c r="X187" s="35">
        <f t="shared" si="29"/>
        <v>2.0832160595130357E-2</v>
      </c>
      <c r="Y187" s="218">
        <f t="shared" si="43"/>
        <v>2.167520267431779E-2</v>
      </c>
      <c r="Z187" s="87">
        <f t="shared" ref="Z187:Z250" si="48">C187/C181-1</f>
        <v>8.4361469342148165E-2</v>
      </c>
      <c r="AA187" s="87">
        <f t="shared" si="41"/>
        <v>0.45919232412184147</v>
      </c>
      <c r="AB187" s="87">
        <f t="shared" si="47"/>
        <v>0.45919232412184141</v>
      </c>
      <c r="AD187" s="87">
        <f t="shared" si="39"/>
        <v>0.15916367064869408</v>
      </c>
      <c r="AF187" s="197">
        <f>MAX($B$2:B187)</f>
        <v>12026</v>
      </c>
    </row>
    <row r="188" spans="1:32" x14ac:dyDescent="0.25">
      <c r="A188" s="2">
        <v>44079</v>
      </c>
      <c r="B188" s="163">
        <v>9924</v>
      </c>
      <c r="C188" s="23">
        <f t="shared" si="36"/>
        <v>10081</v>
      </c>
      <c r="D188" s="163">
        <f t="shared" si="34"/>
        <v>471806</v>
      </c>
      <c r="E188" s="163">
        <f>62+55</f>
        <v>117</v>
      </c>
      <c r="F188" s="23">
        <f t="shared" si="37"/>
        <v>198</v>
      </c>
      <c r="G188" s="163">
        <f t="shared" si="44"/>
        <v>9739</v>
      </c>
      <c r="H188" s="156">
        <f t="shared" si="25"/>
        <v>8751</v>
      </c>
      <c r="I188" s="184">
        <v>349132</v>
      </c>
      <c r="J188" s="163">
        <v>2456</v>
      </c>
      <c r="K188" s="23">
        <f t="shared" si="46"/>
        <v>2350.4285714285716</v>
      </c>
      <c r="L188" s="163">
        <v>22363</v>
      </c>
      <c r="M188" s="23">
        <f t="shared" si="46"/>
        <v>22088.285714285714</v>
      </c>
      <c r="N188" s="4">
        <f t="shared" si="40"/>
        <v>1353591</v>
      </c>
      <c r="O188" s="7">
        <f t="shared" si="31"/>
        <v>1223.704000000027</v>
      </c>
      <c r="P188" s="7">
        <f t="shared" si="45"/>
        <v>763591.29599999997</v>
      </c>
      <c r="Q188" s="7">
        <v>764815</v>
      </c>
      <c r="R188" s="4">
        <v>1207</v>
      </c>
      <c r="S188" s="4">
        <v>104581</v>
      </c>
      <c r="T188" s="4">
        <v>294844</v>
      </c>
      <c r="U188" s="4">
        <f t="shared" si="42"/>
        <v>71174</v>
      </c>
      <c r="V188" s="125">
        <f t="shared" si="38"/>
        <v>112935</v>
      </c>
      <c r="W188" s="43">
        <f t="shared" si="35"/>
        <v>2.1747022623633063E-2</v>
      </c>
      <c r="X188" s="35">
        <f t="shared" si="29"/>
        <v>2.0641958771189853E-2</v>
      </c>
      <c r="Y188" s="218">
        <f t="shared" si="43"/>
        <v>2.1747022623633063E-2</v>
      </c>
      <c r="Z188" s="87">
        <f t="shared" si="48"/>
        <v>6.4808667310478185E-2</v>
      </c>
      <c r="AA188" s="87">
        <f t="shared" si="41"/>
        <v>0.45639576245973951</v>
      </c>
      <c r="AB188" s="87">
        <f t="shared" si="47"/>
        <v>0.45639576245973951</v>
      </c>
      <c r="AD188" s="87">
        <f t="shared" si="39"/>
        <v>0.14215354119681622</v>
      </c>
      <c r="AF188" s="197">
        <f>MAX($B$2:B188)</f>
        <v>12026</v>
      </c>
    </row>
    <row r="189" spans="1:32" x14ac:dyDescent="0.25">
      <c r="A189" s="2">
        <v>44080</v>
      </c>
      <c r="B189" s="156">
        <v>6986</v>
      </c>
      <c r="C189" s="23">
        <f t="shared" si="36"/>
        <v>10052.285714285714</v>
      </c>
      <c r="D189" s="156">
        <f t="shared" si="34"/>
        <v>478792</v>
      </c>
      <c r="E189" s="156">
        <f>67+51+1</f>
        <v>119</v>
      </c>
      <c r="F189" s="23">
        <f t="shared" si="37"/>
        <v>200.28571428571428</v>
      </c>
      <c r="G189" s="156">
        <f t="shared" si="44"/>
        <v>9858</v>
      </c>
      <c r="H189" s="156">
        <f t="shared" si="25"/>
        <v>8256</v>
      </c>
      <c r="I189" s="184">
        <v>357388</v>
      </c>
      <c r="J189" s="156">
        <v>2512</v>
      </c>
      <c r="K189" s="23">
        <f t="shared" si="46"/>
        <v>2390.4285714285716</v>
      </c>
      <c r="L189" s="156">
        <v>15262</v>
      </c>
      <c r="M189" s="23">
        <f t="shared" si="46"/>
        <v>22034.714285714286</v>
      </c>
      <c r="N189" s="4">
        <f t="shared" si="40"/>
        <v>1368853</v>
      </c>
      <c r="O189" s="7">
        <f t="shared" si="31"/>
        <v>1235.9904000000097</v>
      </c>
      <c r="P189" s="7">
        <f t="shared" si="45"/>
        <v>771258.00959999999</v>
      </c>
      <c r="Q189" s="7">
        <v>772494</v>
      </c>
      <c r="R189" s="4">
        <v>1210</v>
      </c>
      <c r="S189" s="4">
        <v>105702</v>
      </c>
      <c r="T189" s="4">
        <v>299270</v>
      </c>
      <c r="U189" s="4">
        <f t="shared" si="42"/>
        <v>72610</v>
      </c>
      <c r="V189" s="125">
        <f t="shared" si="38"/>
        <v>111546</v>
      </c>
      <c r="W189" s="43">
        <f t="shared" si="35"/>
        <v>2.2519857278611513E-2</v>
      </c>
      <c r="X189" s="35">
        <f t="shared" si="29"/>
        <v>2.0589316446390081E-2</v>
      </c>
      <c r="Y189" s="218">
        <f t="shared" si="43"/>
        <v>2.2519857278611513E-2</v>
      </c>
      <c r="Z189" s="87">
        <f t="shared" si="48"/>
        <v>5.2312017706526159E-2</v>
      </c>
      <c r="AA189" s="87">
        <f t="shared" si="41"/>
        <v>0.45620222635711177</v>
      </c>
      <c r="AB189" s="87">
        <f t="shared" si="47"/>
        <v>0.45620222635711183</v>
      </c>
      <c r="AD189" s="87">
        <f t="shared" si="39"/>
        <v>0.11797544475068911</v>
      </c>
      <c r="AF189" s="197">
        <f>MAX($B$2:B189)</f>
        <v>12026</v>
      </c>
    </row>
    <row r="190" spans="1:32" x14ac:dyDescent="0.25">
      <c r="A190" s="42">
        <v>44081</v>
      </c>
      <c r="B190" s="163">
        <v>9215</v>
      </c>
      <c r="C190" s="23">
        <f t="shared" si="36"/>
        <v>10038.857142857143</v>
      </c>
      <c r="D190" s="163">
        <f t="shared" si="34"/>
        <v>488007</v>
      </c>
      <c r="E190" s="163">
        <f>53+215</f>
        <v>268</v>
      </c>
      <c r="F190" s="23">
        <f t="shared" si="37"/>
        <v>209.57142857142858</v>
      </c>
      <c r="G190" s="163">
        <f t="shared" si="44"/>
        <v>10126</v>
      </c>
      <c r="H190" s="156">
        <f t="shared" si="25"/>
        <v>9202</v>
      </c>
      <c r="I190" s="184">
        <v>366590</v>
      </c>
      <c r="J190" s="163">
        <v>2698</v>
      </c>
      <c r="K190" s="23">
        <f t="shared" si="46"/>
        <v>2451.1428571428573</v>
      </c>
      <c r="L190" s="163">
        <v>20475</v>
      </c>
      <c r="M190" s="23">
        <f t="shared" si="46"/>
        <v>22124.714285714286</v>
      </c>
      <c r="N190" s="4">
        <f t="shared" si="40"/>
        <v>1389328</v>
      </c>
      <c r="O190" s="7">
        <f t="shared" si="31"/>
        <v>1252.6800000000512</v>
      </c>
      <c r="P190" s="7">
        <f t="shared" si="45"/>
        <v>781672.32</v>
      </c>
      <c r="Q190" s="4">
        <v>782925</v>
      </c>
      <c r="R190" s="4">
        <v>1217</v>
      </c>
      <c r="S190" s="4">
        <v>107504</v>
      </c>
      <c r="T190" s="4">
        <v>307566</v>
      </c>
      <c r="U190" s="4">
        <f t="shared" si="42"/>
        <v>71720</v>
      </c>
      <c r="V190" s="125">
        <f t="shared" si="38"/>
        <v>111291</v>
      </c>
      <c r="W190" s="43">
        <f t="shared" si="35"/>
        <v>2.4242750986153416E-2</v>
      </c>
      <c r="X190" s="35">
        <f t="shared" si="29"/>
        <v>2.074970236082679E-2</v>
      </c>
      <c r="Y190" s="218">
        <f t="shared" si="43"/>
        <v>2.4242750986153416E-2</v>
      </c>
      <c r="Z190" s="87">
        <f t="shared" si="48"/>
        <v>2.4358245506625353E-2</v>
      </c>
      <c r="AA190" s="87">
        <f t="shared" si="41"/>
        <v>0.45373951560310705</v>
      </c>
      <c r="AB190" s="87">
        <f t="shared" si="47"/>
        <v>0.45373951560310705</v>
      </c>
      <c r="AD190" s="87">
        <f t="shared" si="39"/>
        <v>0.10517378351539231</v>
      </c>
      <c r="AF190" s="197">
        <f>MAX($B$2:B190)</f>
        <v>12026</v>
      </c>
    </row>
    <row r="191" spans="1:32" x14ac:dyDescent="0.25">
      <c r="A191" s="2">
        <v>44082</v>
      </c>
      <c r="B191" s="156">
        <v>12027</v>
      </c>
      <c r="C191" s="23">
        <f t="shared" si="36"/>
        <v>10256.428571428571</v>
      </c>
      <c r="D191" s="156">
        <f t="shared" si="34"/>
        <v>500034</v>
      </c>
      <c r="E191" s="156">
        <f>50+227</f>
        <v>277</v>
      </c>
      <c r="F191" s="23">
        <f t="shared" si="37"/>
        <v>212.14285714285714</v>
      </c>
      <c r="G191" s="156">
        <f t="shared" si="44"/>
        <v>10403</v>
      </c>
      <c r="H191" s="156">
        <f t="shared" si="25"/>
        <v>15900</v>
      </c>
      <c r="I191" s="184">
        <v>382490</v>
      </c>
      <c r="J191" s="156">
        <v>2719</v>
      </c>
      <c r="K191" s="23">
        <f t="shared" si="46"/>
        <v>2509</v>
      </c>
      <c r="L191" s="156">
        <v>25995</v>
      </c>
      <c r="M191" s="23">
        <f t="shared" si="46"/>
        <v>22536.142857142859</v>
      </c>
      <c r="N191" s="4">
        <f t="shared" si="40"/>
        <v>1415323</v>
      </c>
      <c r="O191" s="7">
        <f t="shared" si="31"/>
        <v>1273.516799999983</v>
      </c>
      <c r="P191" s="7">
        <f t="shared" si="45"/>
        <v>794674.48320000002</v>
      </c>
      <c r="Q191" s="4">
        <v>795948</v>
      </c>
      <c r="R191" s="4">
        <v>1221</v>
      </c>
      <c r="S191" s="4">
        <v>109701</v>
      </c>
      <c r="T191" s="4">
        <v>316074</v>
      </c>
      <c r="U191" s="4">
        <f t="shared" si="42"/>
        <v>73038</v>
      </c>
      <c r="V191" s="125">
        <f t="shared" si="38"/>
        <v>107141</v>
      </c>
      <c r="W191" s="43">
        <f t="shared" si="35"/>
        <v>2.5377773214735722E-2</v>
      </c>
      <c r="X191" s="35">
        <f t="shared" si="29"/>
        <v>2.0804585288200401E-2</v>
      </c>
      <c r="Y191" s="218">
        <f t="shared" si="43"/>
        <v>2.5377773214735722E-2</v>
      </c>
      <c r="Z191" s="87">
        <f t="shared" si="48"/>
        <v>4.0748579380725847E-2</v>
      </c>
      <c r="AA191" s="87">
        <f t="shared" si="41"/>
        <v>0.45511020392639118</v>
      </c>
      <c r="AB191" s="87">
        <f t="shared" si="47"/>
        <v>0.45511020392639123</v>
      </c>
      <c r="AD191" s="87">
        <f t="shared" si="39"/>
        <v>3.2276401614783623E-2</v>
      </c>
      <c r="AF191" s="197">
        <f>MAX($B$2:B191)</f>
        <v>12027</v>
      </c>
    </row>
    <row r="192" spans="1:32" x14ac:dyDescent="0.25">
      <c r="A192" s="2">
        <v>44083</v>
      </c>
      <c r="B192" s="156">
        <v>12259</v>
      </c>
      <c r="C192" s="23">
        <f t="shared" si="36"/>
        <v>10445.857142857143</v>
      </c>
      <c r="D192" s="156">
        <f t="shared" si="34"/>
        <v>512293</v>
      </c>
      <c r="E192" s="156">
        <f>52+202</f>
        <v>254</v>
      </c>
      <c r="F192" s="23">
        <f t="shared" si="37"/>
        <v>220.14285714285714</v>
      </c>
      <c r="G192" s="156">
        <f t="shared" si="44"/>
        <v>10657</v>
      </c>
      <c r="H192" s="156">
        <f t="shared" si="25"/>
        <v>7608</v>
      </c>
      <c r="I192" s="184">
        <v>390098</v>
      </c>
      <c r="J192" s="156">
        <v>2829</v>
      </c>
      <c r="K192" s="23">
        <f t="shared" si="46"/>
        <v>2576.1428571428573</v>
      </c>
      <c r="L192" s="156">
        <v>27171</v>
      </c>
      <c r="M192" s="23">
        <f t="shared" si="46"/>
        <v>23014.714285714286</v>
      </c>
      <c r="N192" s="4">
        <f t="shared" si="40"/>
        <v>1442494</v>
      </c>
      <c r="O192" s="7">
        <f t="shared" si="31"/>
        <v>1293.7232000000076</v>
      </c>
      <c r="P192" s="7">
        <f t="shared" si="45"/>
        <v>807283.27679999999</v>
      </c>
      <c r="Q192" s="4">
        <v>808577</v>
      </c>
      <c r="R192" s="4">
        <v>1222</v>
      </c>
      <c r="S192" s="4">
        <v>112220</v>
      </c>
      <c r="T192" s="4">
        <v>324064</v>
      </c>
      <c r="U192" s="4">
        <f t="shared" si="42"/>
        <v>74787</v>
      </c>
      <c r="V192" s="125">
        <f t="shared" si="38"/>
        <v>111538</v>
      </c>
      <c r="W192" s="43">
        <f t="shared" si="35"/>
        <v>2.5363553228496118E-2</v>
      </c>
      <c r="X192" s="35">
        <f t="shared" si="29"/>
        <v>2.0802548541557272E-2</v>
      </c>
      <c r="Y192" s="218">
        <f t="shared" si="43"/>
        <v>2.5363553228496118E-2</v>
      </c>
      <c r="Z192" s="87">
        <f t="shared" si="48"/>
        <v>3.1238541167179168E-2</v>
      </c>
      <c r="AA192" s="87">
        <f t="shared" si="41"/>
        <v>0.45387733313470263</v>
      </c>
      <c r="AB192" s="87">
        <f t="shared" si="47"/>
        <v>0.45387733313470263</v>
      </c>
      <c r="AD192" s="87">
        <f t="shared" si="39"/>
        <v>3.6646684325479795E-2</v>
      </c>
      <c r="AF192" s="197">
        <f>MAX($B$2:B192)</f>
        <v>12259</v>
      </c>
    </row>
    <row r="193" spans="1:32" x14ac:dyDescent="0.25">
      <c r="A193" s="2">
        <v>44084</v>
      </c>
      <c r="B193" s="156">
        <v>11905</v>
      </c>
      <c r="C193" s="23">
        <f t="shared" si="36"/>
        <v>10428.571428571429</v>
      </c>
      <c r="D193" s="156">
        <f t="shared" si="34"/>
        <v>524198</v>
      </c>
      <c r="E193" s="156">
        <f>55+195</f>
        <v>250</v>
      </c>
      <c r="F193" s="23">
        <f t="shared" si="37"/>
        <v>221</v>
      </c>
      <c r="G193" s="156">
        <f t="shared" si="44"/>
        <v>10907</v>
      </c>
      <c r="H193" s="156">
        <f t="shared" si="25"/>
        <v>10023</v>
      </c>
      <c r="I193" s="184">
        <v>400121</v>
      </c>
      <c r="J193" s="156">
        <v>2880</v>
      </c>
      <c r="K193" s="23">
        <f t="shared" si="46"/>
        <v>2645.5714285714284</v>
      </c>
      <c r="L193" s="156">
        <v>28057</v>
      </c>
      <c r="M193" s="23">
        <f t="shared" si="46"/>
        <v>23401.285714285714</v>
      </c>
      <c r="N193" s="4">
        <f t="shared" si="40"/>
        <v>1470551</v>
      </c>
      <c r="O193" s="7">
        <f t="shared" si="31"/>
        <v>1315.7488000000594</v>
      </c>
      <c r="P193" s="7">
        <f t="shared" si="45"/>
        <v>821027.25119999994</v>
      </c>
      <c r="Q193" s="4">
        <v>822343</v>
      </c>
      <c r="R193" s="4">
        <v>1227</v>
      </c>
      <c r="S193" s="4">
        <v>114335</v>
      </c>
      <c r="T193" s="4">
        <v>332280</v>
      </c>
      <c r="U193" s="4">
        <f t="shared" si="42"/>
        <v>76356</v>
      </c>
      <c r="V193" s="125">
        <f t="shared" si="38"/>
        <v>113170</v>
      </c>
      <c r="W193" s="43">
        <f t="shared" si="35"/>
        <v>2.5448440399399135E-2</v>
      </c>
      <c r="X193" s="35">
        <f t="shared" si="29"/>
        <v>2.0807023300355974E-2</v>
      </c>
      <c r="Y193" s="218">
        <f t="shared" si="43"/>
        <v>2.5448440399399135E-2</v>
      </c>
      <c r="Z193" s="87">
        <f t="shared" si="48"/>
        <v>4.4752622615316318E-2</v>
      </c>
      <c r="AA193" s="87">
        <f t="shared" si="41"/>
        <v>0.44564095989841834</v>
      </c>
      <c r="AB193" s="87">
        <f t="shared" si="47"/>
        <v>0.44564095989841829</v>
      </c>
      <c r="AD193" s="87">
        <f t="shared" si="39"/>
        <v>2.6792600052623516E-2</v>
      </c>
      <c r="AF193" s="197">
        <f>MAX($B$2:B193)</f>
        <v>12259</v>
      </c>
    </row>
    <row r="194" spans="1:32" x14ac:dyDescent="0.25">
      <c r="A194" s="42">
        <v>44085</v>
      </c>
      <c r="B194" s="154">
        <v>11507</v>
      </c>
      <c r="C194" s="23">
        <f t="shared" si="36"/>
        <v>10546.142857142857</v>
      </c>
      <c r="D194" s="154">
        <f t="shared" si="34"/>
        <v>535705</v>
      </c>
      <c r="E194" s="154">
        <f>87+154</f>
        <v>241</v>
      </c>
      <c r="F194" s="23">
        <f t="shared" si="37"/>
        <v>218</v>
      </c>
      <c r="G194" s="154">
        <f t="shared" si="44"/>
        <v>11148</v>
      </c>
      <c r="H194" s="156">
        <f t="shared" si="25"/>
        <v>9650</v>
      </c>
      <c r="I194" s="184">
        <v>409771</v>
      </c>
      <c r="J194" s="154">
        <v>3093</v>
      </c>
      <c r="K194" s="23">
        <f t="shared" si="46"/>
        <v>2741</v>
      </c>
      <c r="L194" s="156">
        <v>26254</v>
      </c>
      <c r="M194" s="23">
        <f t="shared" si="46"/>
        <v>23653.857142857141</v>
      </c>
      <c r="N194" s="4">
        <f t="shared" si="40"/>
        <v>1496805</v>
      </c>
      <c r="O194" s="7">
        <f t="shared" si="31"/>
        <v>1338.017600000021</v>
      </c>
      <c r="P194" s="7">
        <f t="shared" si="45"/>
        <v>834922.98239999998</v>
      </c>
      <c r="Q194" s="4">
        <v>836261</v>
      </c>
      <c r="R194" s="4">
        <v>1229</v>
      </c>
      <c r="S194" s="4">
        <v>116159</v>
      </c>
      <c r="T194" s="4">
        <v>340885</v>
      </c>
      <c r="U194" s="4">
        <f t="shared" si="42"/>
        <v>77432</v>
      </c>
      <c r="V194" s="125">
        <f t="shared" si="38"/>
        <v>114786</v>
      </c>
      <c r="W194" s="43">
        <f t="shared" si="35"/>
        <v>2.6945794783335947E-2</v>
      </c>
      <c r="X194" s="35">
        <f t="shared" si="29"/>
        <v>2.0809960705985571E-2</v>
      </c>
      <c r="Y194" s="218">
        <f t="shared" si="43"/>
        <v>2.6945794783335947E-2</v>
      </c>
      <c r="Z194" s="87">
        <f t="shared" si="48"/>
        <v>4.6140547281307009E-2</v>
      </c>
      <c r="AA194" s="87">
        <f t="shared" si="41"/>
        <v>0.44585298682788072</v>
      </c>
      <c r="AB194" s="87">
        <f t="shared" si="47"/>
        <v>0.44585298682788066</v>
      </c>
      <c r="AD194" s="87">
        <f t="shared" si="39"/>
        <v>2.5983428525460539E-2</v>
      </c>
      <c r="AF194" s="197">
        <f>MAX($B$2:B194)</f>
        <v>12259</v>
      </c>
    </row>
    <row r="195" spans="1:32" x14ac:dyDescent="0.25">
      <c r="A195" s="2">
        <v>44086</v>
      </c>
      <c r="B195" s="154">
        <v>10776</v>
      </c>
      <c r="C195" s="23">
        <f t="shared" si="36"/>
        <v>10667.857142857143</v>
      </c>
      <c r="D195" s="154">
        <f t="shared" si="34"/>
        <v>546481</v>
      </c>
      <c r="E195" s="154">
        <f>57+58</f>
        <v>115</v>
      </c>
      <c r="F195" s="23">
        <f t="shared" si="37"/>
        <v>217.71428571428572</v>
      </c>
      <c r="G195" s="154">
        <f t="shared" si="44"/>
        <v>11263</v>
      </c>
      <c r="H195" s="156">
        <f t="shared" ref="H195:H258" si="49">I195-I194</f>
        <v>9742</v>
      </c>
      <c r="I195" s="184">
        <v>419513</v>
      </c>
      <c r="J195" s="154">
        <v>2962</v>
      </c>
      <c r="K195" s="23">
        <f t="shared" si="46"/>
        <v>2813.2857142857142</v>
      </c>
      <c r="L195" s="156">
        <v>23140</v>
      </c>
      <c r="M195" s="23">
        <f t="shared" si="46"/>
        <v>23764.857142857141</v>
      </c>
      <c r="N195" s="4">
        <f t="shared" si="40"/>
        <v>1519945</v>
      </c>
      <c r="O195" s="7">
        <f t="shared" si="31"/>
        <v>1355.5903999999864</v>
      </c>
      <c r="P195" s="7">
        <f t="shared" si="45"/>
        <v>845888.40960000001</v>
      </c>
      <c r="Q195" s="4">
        <v>847244</v>
      </c>
      <c r="R195" s="4">
        <v>1232</v>
      </c>
      <c r="S195" s="4">
        <v>117339</v>
      </c>
      <c r="T195" s="4">
        <v>347893</v>
      </c>
      <c r="U195" s="4">
        <f t="shared" si="42"/>
        <v>80017</v>
      </c>
      <c r="V195" s="125">
        <f t="shared" si="38"/>
        <v>115705</v>
      </c>
      <c r="W195" s="43">
        <f t="shared" si="35"/>
        <v>2.5599585151894904E-2</v>
      </c>
      <c r="X195" s="35">
        <f t="shared" si="29"/>
        <v>2.0610048656769402E-2</v>
      </c>
      <c r="Y195" s="218">
        <f t="shared" si="43"/>
        <v>2.5599585151894904E-2</v>
      </c>
      <c r="Z195" s="87">
        <f t="shared" si="48"/>
        <v>6.1236961032316906E-2</v>
      </c>
      <c r="AA195" s="87">
        <f t="shared" si="41"/>
        <v>0.44889212162015946</v>
      </c>
      <c r="AB195" s="87">
        <f t="shared" si="47"/>
        <v>0.4488921216201594</v>
      </c>
      <c r="AD195" s="87">
        <f t="shared" si="39"/>
        <v>2.4527383007924897E-2</v>
      </c>
      <c r="AF195" s="197">
        <f>MAX($B$2:B195)</f>
        <v>12259</v>
      </c>
    </row>
    <row r="196" spans="1:32" ht="16.5" x14ac:dyDescent="0.25">
      <c r="A196" s="2">
        <v>44087</v>
      </c>
      <c r="B196" s="154">
        <v>9056</v>
      </c>
      <c r="C196" s="23">
        <f t="shared" si="36"/>
        <v>10963.571428571429</v>
      </c>
      <c r="D196" s="176">
        <f t="shared" si="34"/>
        <v>555537</v>
      </c>
      <c r="E196" s="154">
        <f>44+45</f>
        <v>89</v>
      </c>
      <c r="F196" s="23">
        <f t="shared" si="37"/>
        <v>213.42857142857142</v>
      </c>
      <c r="G196" s="154">
        <f t="shared" si="44"/>
        <v>11352</v>
      </c>
      <c r="H196" s="156">
        <f t="shared" si="49"/>
        <v>9440</v>
      </c>
      <c r="I196" s="184">
        <v>428953</v>
      </c>
      <c r="J196" s="154">
        <v>2984</v>
      </c>
      <c r="K196" s="23">
        <f t="shared" si="46"/>
        <v>2880.7142857142858</v>
      </c>
      <c r="L196" s="156">
        <v>17955</v>
      </c>
      <c r="M196" s="23">
        <f t="shared" si="46"/>
        <v>24149.571428571428</v>
      </c>
      <c r="N196" s="4">
        <f t="shared" si="40"/>
        <v>1537900</v>
      </c>
      <c r="O196" s="7">
        <f t="shared" si="31"/>
        <v>1368.1983999999939</v>
      </c>
      <c r="P196" s="7">
        <f t="shared" si="45"/>
        <v>853755.80160000001</v>
      </c>
      <c r="Q196" s="4">
        <v>855124</v>
      </c>
      <c r="R196" s="4">
        <v>1235</v>
      </c>
      <c r="S196" s="4">
        <v>118561</v>
      </c>
      <c r="T196" s="4">
        <v>353007</v>
      </c>
      <c r="U196" s="4">
        <f t="shared" si="42"/>
        <v>82734</v>
      </c>
      <c r="V196" s="125">
        <f t="shared" si="38"/>
        <v>115232</v>
      </c>
      <c r="W196" s="43">
        <f t="shared" si="35"/>
        <v>2.5895584559844486E-2</v>
      </c>
      <c r="X196" s="35">
        <f t="shared" si="29"/>
        <v>2.0434282505035668E-2</v>
      </c>
      <c r="Y196" s="218">
        <f t="shared" si="43"/>
        <v>2.5895584559844486E-2</v>
      </c>
      <c r="Z196" s="87">
        <f t="shared" si="48"/>
        <v>9.2113501821493582E-2</v>
      </c>
      <c r="AA196" s="87">
        <f t="shared" si="41"/>
        <v>0.45398616952681803</v>
      </c>
      <c r="AB196" s="87">
        <f t="shared" si="47"/>
        <v>0.45398616952681797</v>
      </c>
      <c r="AD196" s="87">
        <f t="shared" si="39"/>
        <v>3.3044663188281032E-2</v>
      </c>
      <c r="AF196" s="197">
        <f>MAX($B$2:B196)</f>
        <v>12259</v>
      </c>
    </row>
    <row r="197" spans="1:32" ht="16.5" x14ac:dyDescent="0.25">
      <c r="A197" s="42">
        <v>44088</v>
      </c>
      <c r="B197" s="156">
        <v>9909</v>
      </c>
      <c r="C197" s="23">
        <f t="shared" si="36"/>
        <v>11062.714285714286</v>
      </c>
      <c r="D197" s="176">
        <f t="shared" si="34"/>
        <v>565446</v>
      </c>
      <c r="E197" s="156">
        <f>60+254</f>
        <v>314</v>
      </c>
      <c r="F197" s="23">
        <f t="shared" si="37"/>
        <v>220</v>
      </c>
      <c r="G197" s="156">
        <f t="shared" si="44"/>
        <v>11666</v>
      </c>
      <c r="H197" s="156">
        <f t="shared" si="49"/>
        <v>9930</v>
      </c>
      <c r="I197" s="184">
        <v>438883</v>
      </c>
      <c r="J197" s="156">
        <v>2992</v>
      </c>
      <c r="K197" s="23">
        <f t="shared" si="46"/>
        <v>2922.7142857142858</v>
      </c>
      <c r="L197" s="156">
        <v>21207</v>
      </c>
      <c r="M197" s="23">
        <f t="shared" si="46"/>
        <v>24254.142857142859</v>
      </c>
      <c r="N197" s="4">
        <f t="shared" si="40"/>
        <v>1559107</v>
      </c>
      <c r="O197" s="7">
        <f t="shared" si="31"/>
        <v>1385.3168000000296</v>
      </c>
      <c r="P197" s="7">
        <f t="shared" si="45"/>
        <v>864437.68319999997</v>
      </c>
      <c r="Q197" s="4">
        <v>865823</v>
      </c>
      <c r="R197" s="4">
        <v>1236</v>
      </c>
      <c r="S197" s="4">
        <v>120192</v>
      </c>
      <c r="T197" s="4">
        <v>361677</v>
      </c>
      <c r="U197" s="4">
        <f t="shared" si="42"/>
        <v>82341</v>
      </c>
      <c r="V197" s="125">
        <f t="shared" si="38"/>
        <v>114897</v>
      </c>
      <c r="W197" s="43">
        <f t="shared" si="35"/>
        <v>2.6040714727103405E-2</v>
      </c>
      <c r="X197" s="35">
        <f t="shared" ref="X197:X210" si="50">G197/D187</f>
        <v>2.525753330937339E-2</v>
      </c>
      <c r="Y197" s="218">
        <f t="shared" si="43"/>
        <v>2.6040714727103405E-2</v>
      </c>
      <c r="Z197" s="87">
        <f t="shared" si="48"/>
        <v>7.8612716763005963E-2</v>
      </c>
      <c r="AA197" s="87">
        <f t="shared" si="41"/>
        <v>0.45611648083685263</v>
      </c>
      <c r="AB197" s="87">
        <f t="shared" si="47"/>
        <v>0.45611648083685263</v>
      </c>
      <c r="AD197" s="87">
        <f t="shared" si="39"/>
        <v>3.2401541903658071E-2</v>
      </c>
      <c r="AF197" s="197">
        <f>MAX($B$2:B197)</f>
        <v>12259</v>
      </c>
    </row>
    <row r="198" spans="1:32" ht="16.5" x14ac:dyDescent="0.25">
      <c r="A198" s="2">
        <v>44089</v>
      </c>
      <c r="B198" s="156">
        <v>11892</v>
      </c>
      <c r="C198" s="23">
        <f t="shared" si="36"/>
        <v>11043.428571428571</v>
      </c>
      <c r="D198" s="176">
        <f t="shared" si="34"/>
        <v>577338</v>
      </c>
      <c r="E198" s="156">
        <f>43+142</f>
        <v>185</v>
      </c>
      <c r="F198" s="23">
        <f t="shared" si="37"/>
        <v>206.85714285714286</v>
      </c>
      <c r="G198" s="156">
        <f t="shared" si="44"/>
        <v>11851</v>
      </c>
      <c r="H198" s="156">
        <f t="shared" si="49"/>
        <v>9380</v>
      </c>
      <c r="I198" s="184">
        <v>448263</v>
      </c>
      <c r="J198" s="156">
        <v>3049</v>
      </c>
      <c r="K198" s="23">
        <f t="shared" si="46"/>
        <v>2969.8571428571427</v>
      </c>
      <c r="L198" s="156">
        <v>25791</v>
      </c>
      <c r="M198" s="23">
        <f t="shared" si="46"/>
        <v>24225</v>
      </c>
      <c r="N198" s="4">
        <f t="shared" si="40"/>
        <v>1584898</v>
      </c>
      <c r="O198" s="7">
        <f t="shared" si="31"/>
        <v>1407.344000000041</v>
      </c>
      <c r="P198" s="7">
        <f t="shared" si="45"/>
        <v>878182.65599999996</v>
      </c>
      <c r="Q198" s="4">
        <v>879590</v>
      </c>
      <c r="R198" s="4">
        <v>1242</v>
      </c>
      <c r="S198" s="4">
        <v>125970</v>
      </c>
      <c r="T198" s="4">
        <v>371507</v>
      </c>
      <c r="U198" s="4">
        <f t="shared" si="42"/>
        <v>78619</v>
      </c>
      <c r="V198" s="125">
        <f t="shared" si="38"/>
        <v>117224</v>
      </c>
      <c r="W198" s="43">
        <f t="shared" si="35"/>
        <v>2.6010032075342932E-2</v>
      </c>
      <c r="X198" s="35">
        <f t="shared" si="50"/>
        <v>2.5118374925287089E-2</v>
      </c>
      <c r="Y198" s="218">
        <f t="shared" si="43"/>
        <v>2.6010032075342932E-2</v>
      </c>
      <c r="Z198" s="87">
        <f t="shared" si="48"/>
        <v>5.7206548050491524E-2</v>
      </c>
      <c r="AA198" s="87">
        <f t="shared" si="41"/>
        <v>0.45586908447589558</v>
      </c>
      <c r="AB198" s="87">
        <f t="shared" si="47"/>
        <v>0.45586908447589564</v>
      </c>
      <c r="AD198" s="87">
        <f t="shared" si="39"/>
        <v>9.4109631233608049E-2</v>
      </c>
      <c r="AF198" s="197">
        <f>MAX($B$2:B198)</f>
        <v>12259</v>
      </c>
    </row>
    <row r="199" spans="1:32" ht="16.5" x14ac:dyDescent="0.25">
      <c r="A199" s="2">
        <v>44090</v>
      </c>
      <c r="B199" s="156">
        <v>11674</v>
      </c>
      <c r="C199" s="23">
        <f t="shared" si="36"/>
        <v>10959.857142857143</v>
      </c>
      <c r="D199" s="176">
        <f t="shared" si="34"/>
        <v>589012</v>
      </c>
      <c r="E199" s="156">
        <f>58+206</f>
        <v>264</v>
      </c>
      <c r="F199" s="23">
        <f t="shared" si="37"/>
        <v>208.28571428571428</v>
      </c>
      <c r="G199" s="156">
        <f t="shared" si="44"/>
        <v>12115</v>
      </c>
      <c r="H199" s="156">
        <f t="shared" si="49"/>
        <v>8084</v>
      </c>
      <c r="I199" s="184">
        <v>456347</v>
      </c>
      <c r="J199" s="156">
        <v>3118</v>
      </c>
      <c r="K199" s="23">
        <f t="shared" si="46"/>
        <v>3011.1428571428573</v>
      </c>
      <c r="L199" s="156">
        <v>25422</v>
      </c>
      <c r="M199" s="23">
        <f t="shared" si="46"/>
        <v>23975.142857142859</v>
      </c>
      <c r="N199" s="4">
        <f t="shared" si="40"/>
        <v>1610320</v>
      </c>
      <c r="O199" s="7">
        <f t="shared" si="31"/>
        <v>1429.5023999999976</v>
      </c>
      <c r="P199" s="7">
        <f t="shared" si="45"/>
        <v>892009.4976</v>
      </c>
      <c r="Q199" s="4">
        <v>893439</v>
      </c>
      <c r="R199" s="4">
        <v>1247</v>
      </c>
      <c r="S199" s="4">
        <v>128236</v>
      </c>
      <c r="T199" s="4">
        <v>380805</v>
      </c>
      <c r="U199" s="7">
        <f>D199-T199-S199-R199</f>
        <v>78724</v>
      </c>
      <c r="V199" s="125">
        <f t="shared" si="38"/>
        <v>120550</v>
      </c>
      <c r="W199" s="43">
        <f t="shared" si="35"/>
        <v>2.5864786395686436E-2</v>
      </c>
      <c r="X199" s="35">
        <f t="shared" si="50"/>
        <v>2.530326321241792E-2</v>
      </c>
      <c r="Y199" s="218">
        <f t="shared" si="43"/>
        <v>2.5864786395686436E-2</v>
      </c>
      <c r="Z199" s="87">
        <f t="shared" si="48"/>
        <v>5.0945205479451916E-2</v>
      </c>
      <c r="AA199" s="87">
        <f t="shared" si="41"/>
        <v>0.45713417468091949</v>
      </c>
      <c r="AB199" s="87">
        <f t="shared" si="47"/>
        <v>0.45713417468091955</v>
      </c>
      <c r="AD199" s="87">
        <f t="shared" si="39"/>
        <v>8.0797575714106395E-2</v>
      </c>
      <c r="AF199" s="197">
        <f>MAX($B$2:B199)</f>
        <v>12259</v>
      </c>
    </row>
    <row r="200" spans="1:32" ht="16.5" x14ac:dyDescent="0.25">
      <c r="A200" s="2">
        <v>44091</v>
      </c>
      <c r="B200" s="156">
        <v>12701</v>
      </c>
      <c r="C200" s="23">
        <f t="shared" si="36"/>
        <v>11073.571428571429</v>
      </c>
      <c r="D200" s="176">
        <f t="shared" si="34"/>
        <v>601713</v>
      </c>
      <c r="E200" s="156">
        <v>345</v>
      </c>
      <c r="F200" s="23">
        <f t="shared" si="37"/>
        <v>221.85714285714286</v>
      </c>
      <c r="G200" s="156">
        <f t="shared" si="44"/>
        <v>12460</v>
      </c>
      <c r="H200" s="156">
        <f t="shared" si="49"/>
        <v>10939</v>
      </c>
      <c r="I200" s="184">
        <v>467286</v>
      </c>
      <c r="J200" s="156">
        <v>3108</v>
      </c>
      <c r="K200" s="23">
        <f t="shared" si="46"/>
        <v>3043.7142857142858</v>
      </c>
      <c r="L200" s="156">
        <v>28633</v>
      </c>
      <c r="M200" s="23">
        <f t="shared" si="46"/>
        <v>24057.428571428572</v>
      </c>
      <c r="N200" s="4">
        <f t="shared" si="40"/>
        <v>1638953</v>
      </c>
      <c r="O200" s="7">
        <f t="shared" si="31"/>
        <v>1451.9024000000209</v>
      </c>
      <c r="P200" s="7">
        <f t="shared" si="45"/>
        <v>905987.09759999998</v>
      </c>
      <c r="Q200" s="4">
        <v>907439</v>
      </c>
      <c r="R200" s="4">
        <v>1251</v>
      </c>
      <c r="S200" s="4">
        <v>130230</v>
      </c>
      <c r="T200" s="4">
        <v>390634</v>
      </c>
      <c r="U200" s="4">
        <f>D200-T200-S200-R200</f>
        <v>79598</v>
      </c>
      <c r="V200" s="125">
        <f t="shared" si="38"/>
        <v>121967</v>
      </c>
      <c r="W200" s="43">
        <f t="shared" si="35"/>
        <v>2.5482302590044848E-2</v>
      </c>
      <c r="X200" s="35">
        <f t="shared" si="50"/>
        <v>2.5532420641507191E-2</v>
      </c>
      <c r="Y200" s="218">
        <f t="shared" si="43"/>
        <v>2.5482302590044848E-2</v>
      </c>
      <c r="Z200" s="87">
        <f t="shared" si="48"/>
        <v>5.0011514026793824E-2</v>
      </c>
      <c r="AA200" s="87">
        <f t="shared" si="41"/>
        <v>0.46029738364152445</v>
      </c>
      <c r="AB200" s="87">
        <f t="shared" si="47"/>
        <v>0.46029738364152445</v>
      </c>
      <c r="AD200" s="87">
        <f t="shared" si="39"/>
        <v>7.7732614650525722E-2</v>
      </c>
      <c r="AF200" s="197">
        <f>MAX($B$2:B200)</f>
        <v>12701</v>
      </c>
    </row>
    <row r="201" spans="1:32" ht="16.5" x14ac:dyDescent="0.25">
      <c r="A201" s="2">
        <v>44092</v>
      </c>
      <c r="B201" s="156">
        <v>11945</v>
      </c>
      <c r="C201" s="23">
        <f t="shared" si="36"/>
        <v>11136.142857142857</v>
      </c>
      <c r="D201" s="176">
        <f t="shared" si="34"/>
        <v>613658</v>
      </c>
      <c r="E201" s="156">
        <f>31+166</f>
        <v>197</v>
      </c>
      <c r="F201" s="23">
        <f t="shared" si="37"/>
        <v>215.57142857142858</v>
      </c>
      <c r="G201" s="156">
        <f t="shared" si="44"/>
        <v>12657</v>
      </c>
      <c r="H201" s="156">
        <f t="shared" si="49"/>
        <v>10791</v>
      </c>
      <c r="I201" s="184">
        <v>478077</v>
      </c>
      <c r="J201" s="156">
        <v>3225</v>
      </c>
      <c r="K201" s="23">
        <f t="shared" si="46"/>
        <v>3062.5714285714284</v>
      </c>
      <c r="L201" s="156">
        <v>25698</v>
      </c>
      <c r="M201" s="23">
        <f t="shared" si="46"/>
        <v>23978</v>
      </c>
      <c r="N201" s="4">
        <f t="shared" si="40"/>
        <v>1664651</v>
      </c>
      <c r="O201" s="7">
        <f t="shared" si="31"/>
        <v>1474.3456000000006</v>
      </c>
      <c r="P201" s="7">
        <f t="shared" si="45"/>
        <v>919991.6544</v>
      </c>
      <c r="Q201" s="4">
        <v>921466</v>
      </c>
      <c r="R201" s="4">
        <v>1254</v>
      </c>
      <c r="S201" s="4">
        <v>132427</v>
      </c>
      <c r="T201" s="4">
        <v>400216</v>
      </c>
      <c r="U201" s="4">
        <f>D201-T201-S201-R201</f>
        <v>79761</v>
      </c>
      <c r="V201" s="125">
        <f t="shared" si="38"/>
        <v>122924</v>
      </c>
      <c r="W201" s="43">
        <f t="shared" si="35"/>
        <v>2.6235722885685465E-2</v>
      </c>
      <c r="X201" s="35">
        <f t="shared" si="50"/>
        <v>2.5312278765043977E-2</v>
      </c>
      <c r="Y201" s="218">
        <f t="shared" si="43"/>
        <v>2.6235722885685465E-2</v>
      </c>
      <c r="Z201" s="87">
        <f t="shared" si="48"/>
        <v>4.3896886508202115E-2</v>
      </c>
      <c r="AA201" s="87">
        <f t="shared" si="41"/>
        <v>0.4644316814222561</v>
      </c>
      <c r="AB201" s="87">
        <f t="shared" si="47"/>
        <v>0.4644316814222561</v>
      </c>
      <c r="AD201" s="87">
        <f t="shared" si="39"/>
        <v>7.0897147735786703E-2</v>
      </c>
      <c r="AF201" s="197">
        <f>MAX($B$2:B201)</f>
        <v>12701</v>
      </c>
    </row>
    <row r="202" spans="1:32" x14ac:dyDescent="0.25">
      <c r="A202" s="2">
        <v>44093</v>
      </c>
      <c r="B202" s="156">
        <v>9276</v>
      </c>
      <c r="C202" s="23">
        <f t="shared" si="36"/>
        <v>10921.857142857143</v>
      </c>
      <c r="D202" s="156">
        <f t="shared" si="34"/>
        <v>622934</v>
      </c>
      <c r="E202" s="156">
        <f>49+94</f>
        <v>143</v>
      </c>
      <c r="F202" s="23">
        <f t="shared" si="37"/>
        <v>219.57142857142858</v>
      </c>
      <c r="G202" s="156">
        <f t="shared" si="44"/>
        <v>12800</v>
      </c>
      <c r="H202" s="156">
        <f t="shared" si="49"/>
        <v>10154</v>
      </c>
      <c r="I202" s="184">
        <v>488231</v>
      </c>
      <c r="J202" s="156">
        <v>3213</v>
      </c>
      <c r="K202" s="23">
        <f t="shared" si="46"/>
        <v>3098.4285714285716</v>
      </c>
      <c r="L202" s="156">
        <v>21093</v>
      </c>
      <c r="M202" s="23">
        <f t="shared" si="46"/>
        <v>23685.571428571428</v>
      </c>
      <c r="N202" s="4">
        <f t="shared" si="40"/>
        <v>1685744</v>
      </c>
      <c r="O202" s="7">
        <f t="shared" si="31"/>
        <v>1492.0336000000825</v>
      </c>
      <c r="P202" s="7">
        <f t="shared" si="45"/>
        <v>931028.96639999992</v>
      </c>
      <c r="Q202" s="4">
        <v>932521</v>
      </c>
      <c r="R202" s="28">
        <v>1261</v>
      </c>
      <c r="S202" s="28">
        <v>133793</v>
      </c>
      <c r="T202" s="28">
        <v>406757</v>
      </c>
      <c r="U202" s="28">
        <f>D202-T202-S202-R202</f>
        <v>81123</v>
      </c>
      <c r="V202" s="125">
        <f t="shared" si="38"/>
        <v>121903</v>
      </c>
      <c r="W202" s="90">
        <f t="shared" si="35"/>
        <v>2.6357021566327327E-2</v>
      </c>
      <c r="X202" s="91">
        <f t="shared" si="50"/>
        <v>2.4985701541891066E-2</v>
      </c>
      <c r="Y202" s="218">
        <f t="shared" si="43"/>
        <v>2.6357021566327327E-2</v>
      </c>
      <c r="Z202" s="87">
        <f t="shared" si="48"/>
        <v>-3.8048081308229564E-3</v>
      </c>
      <c r="AA202" s="87">
        <f t="shared" si="41"/>
        <v>0.46111858334489353</v>
      </c>
      <c r="AB202" s="87">
        <f t="shared" si="47"/>
        <v>0.46111858334489353</v>
      </c>
      <c r="AD202" s="87">
        <f t="shared" si="39"/>
        <v>5.3567261570372837E-2</v>
      </c>
      <c r="AF202" s="197">
        <f>MAX($B$2:B202)</f>
        <v>12701</v>
      </c>
    </row>
    <row r="203" spans="1:32" x14ac:dyDescent="0.25">
      <c r="A203" s="2">
        <v>44094</v>
      </c>
      <c r="B203" s="156">
        <v>8431</v>
      </c>
      <c r="C203" s="23">
        <f t="shared" si="36"/>
        <v>10832.571428571429</v>
      </c>
      <c r="D203" s="156">
        <f t="shared" si="34"/>
        <v>631365</v>
      </c>
      <c r="E203" s="156">
        <f>110+143</f>
        <v>253</v>
      </c>
      <c r="F203" s="23">
        <f t="shared" si="37"/>
        <v>243</v>
      </c>
      <c r="G203" s="156">
        <f t="shared" si="44"/>
        <v>13053</v>
      </c>
      <c r="H203" s="156">
        <f t="shared" si="49"/>
        <v>10148</v>
      </c>
      <c r="I203" s="184">
        <v>498379</v>
      </c>
      <c r="J203" s="156">
        <v>3261</v>
      </c>
      <c r="K203" s="23">
        <f t="shared" si="46"/>
        <v>3138</v>
      </c>
      <c r="L203" s="156">
        <v>15454</v>
      </c>
      <c r="M203" s="23">
        <f t="shared" si="46"/>
        <v>23328.285714285714</v>
      </c>
      <c r="N203" s="4">
        <f t="shared" si="40"/>
        <v>1701198</v>
      </c>
      <c r="O203" s="7">
        <v>1348</v>
      </c>
      <c r="P203" s="7">
        <v>939868</v>
      </c>
      <c r="Q203" s="89">
        <f t="shared" ref="Q203:Q225" si="51">P203+O203</f>
        <v>941216</v>
      </c>
      <c r="R203" s="96">
        <v>1262</v>
      </c>
      <c r="S203" s="96">
        <v>134820</v>
      </c>
      <c r="T203" s="96">
        <v>412203</v>
      </c>
      <c r="U203" s="96">
        <f>D203-T203-S203-R203</f>
        <v>83080</v>
      </c>
      <c r="V203" s="125">
        <f t="shared" si="38"/>
        <v>119933</v>
      </c>
      <c r="W203" s="109">
        <f t="shared" si="35"/>
        <v>2.7190181184494677E-2</v>
      </c>
      <c r="X203" s="110">
        <f t="shared" si="50"/>
        <v>2.4900896226235127E-2</v>
      </c>
      <c r="Y203" s="218">
        <f t="shared" si="43"/>
        <v>2.7190181184494677E-2</v>
      </c>
      <c r="Z203" s="87">
        <f t="shared" si="48"/>
        <v>-2.0803471119203443E-2</v>
      </c>
      <c r="AA203" s="87">
        <f t="shared" si="41"/>
        <v>0.46435351320897994</v>
      </c>
      <c r="AB203" s="87">
        <f t="shared" si="47"/>
        <v>0.46435351320897988</v>
      </c>
      <c r="AD203" s="87">
        <f t="shared" si="39"/>
        <v>4.0795959455706798E-2</v>
      </c>
      <c r="AF203" s="197">
        <f>MAX($B$2:B203)</f>
        <v>12701</v>
      </c>
    </row>
    <row r="204" spans="1:32" x14ac:dyDescent="0.25">
      <c r="A204" s="2">
        <v>44095</v>
      </c>
      <c r="B204" s="156">
        <v>8782</v>
      </c>
      <c r="C204" s="23">
        <f t="shared" si="36"/>
        <v>10671.571428571429</v>
      </c>
      <c r="D204" s="156">
        <f t="shared" si="34"/>
        <v>640147</v>
      </c>
      <c r="E204" s="156">
        <v>427</v>
      </c>
      <c r="F204" s="23">
        <f t="shared" si="37"/>
        <v>259.14285714285717</v>
      </c>
      <c r="G204" s="156">
        <f t="shared" si="44"/>
        <v>13480</v>
      </c>
      <c r="H204" s="156">
        <f t="shared" si="49"/>
        <v>10184</v>
      </c>
      <c r="I204" s="184">
        <v>508563</v>
      </c>
      <c r="J204" s="156">
        <v>3387</v>
      </c>
      <c r="K204" s="23">
        <f t="shared" si="46"/>
        <v>3194.4285714285716</v>
      </c>
      <c r="L204" s="156">
        <v>18575</v>
      </c>
      <c r="M204" s="23">
        <f t="shared" si="46"/>
        <v>22952.285714285714</v>
      </c>
      <c r="N204" s="4">
        <f t="shared" si="40"/>
        <v>1719773</v>
      </c>
      <c r="O204" s="7">
        <v>1383</v>
      </c>
      <c r="P204" s="7">
        <v>949102</v>
      </c>
      <c r="Q204" s="89">
        <f t="shared" si="51"/>
        <v>950485</v>
      </c>
      <c r="R204" s="111">
        <v>6401</v>
      </c>
      <c r="S204" s="111">
        <v>138272</v>
      </c>
      <c r="T204" s="123">
        <v>417376</v>
      </c>
      <c r="U204" s="96">
        <f t="shared" ref="U204:U231" si="52">D204-T204-S204-R204</f>
        <v>78098</v>
      </c>
      <c r="V204" s="125">
        <f t="shared" si="38"/>
        <v>118104</v>
      </c>
      <c r="W204" s="109">
        <f t="shared" si="35"/>
        <v>2.8678114204429995E-2</v>
      </c>
      <c r="X204" s="110">
        <f t="shared" si="50"/>
        <v>2.5163102827115671E-2</v>
      </c>
      <c r="Y204" s="218">
        <f t="shared" si="43"/>
        <v>2.8678114204429995E-2</v>
      </c>
      <c r="Z204" s="87">
        <f t="shared" si="48"/>
        <v>-3.3672254993273198E-2</v>
      </c>
      <c r="AA204" s="87">
        <f t="shared" si="41"/>
        <v>0.46494591263864171</v>
      </c>
      <c r="AB204" s="87">
        <f t="shared" si="47"/>
        <v>0.46494591263864166</v>
      </c>
      <c r="AD204" s="87">
        <f t="shared" si="39"/>
        <v>2.7911955925742138E-2</v>
      </c>
      <c r="AF204" s="197">
        <f>MAX($B$2:B204)</f>
        <v>12701</v>
      </c>
    </row>
    <row r="205" spans="1:32" x14ac:dyDescent="0.25">
      <c r="A205" s="2">
        <v>44096</v>
      </c>
      <c r="B205" s="156">
        <v>12027</v>
      </c>
      <c r="C205" s="23">
        <f t="shared" si="36"/>
        <v>10690.857142857143</v>
      </c>
      <c r="D205" s="156">
        <f t="shared" si="34"/>
        <v>652174</v>
      </c>
      <c r="E205" s="156">
        <v>469</v>
      </c>
      <c r="F205" s="23">
        <f t="shared" si="37"/>
        <v>299.71428571428572</v>
      </c>
      <c r="G205" s="156">
        <f t="shared" si="44"/>
        <v>13949</v>
      </c>
      <c r="H205" s="156">
        <f t="shared" si="49"/>
        <v>8665</v>
      </c>
      <c r="I205" s="184">
        <v>517228</v>
      </c>
      <c r="J205" s="156">
        <v>3362</v>
      </c>
      <c r="K205" s="23">
        <f t="shared" si="46"/>
        <v>3239.1428571428573</v>
      </c>
      <c r="L205" s="156">
        <v>25766</v>
      </c>
      <c r="M205" s="23">
        <f t="shared" si="46"/>
        <v>22948.714285714286</v>
      </c>
      <c r="N205" s="4">
        <f t="shared" si="40"/>
        <v>1745539</v>
      </c>
      <c r="O205" s="7">
        <v>1448</v>
      </c>
      <c r="P205" s="7">
        <v>961776</v>
      </c>
      <c r="Q205" s="89">
        <f t="shared" si="51"/>
        <v>963224</v>
      </c>
      <c r="R205" s="112">
        <v>6521</v>
      </c>
      <c r="S205" s="112">
        <v>140870</v>
      </c>
      <c r="T205" s="112">
        <v>425218</v>
      </c>
      <c r="U205" s="96">
        <f t="shared" si="52"/>
        <v>79565</v>
      </c>
      <c r="V205" s="125">
        <f t="shared" si="38"/>
        <v>120997</v>
      </c>
      <c r="W205" s="109">
        <f t="shared" si="35"/>
        <v>2.7785812871393506E-2</v>
      </c>
      <c r="X205" s="110">
        <f t="shared" si="50"/>
        <v>2.5525132621262221E-2</v>
      </c>
      <c r="Y205" s="218">
        <f t="shared" si="43"/>
        <v>2.7785812871393506E-2</v>
      </c>
      <c r="Z205" s="87">
        <f t="shared" si="48"/>
        <v>-2.4544115538523648E-2</v>
      </c>
      <c r="AA205" s="87">
        <f t="shared" si="41"/>
        <v>0.46585865376834057</v>
      </c>
      <c r="AB205" s="87">
        <f t="shared" si="47"/>
        <v>0.46585865376834057</v>
      </c>
      <c r="AD205" s="87">
        <f t="shared" si="39"/>
        <v>3.2186241725243869E-2</v>
      </c>
      <c r="AF205" s="197">
        <f>MAX($B$2:B205)</f>
        <v>12701</v>
      </c>
    </row>
    <row r="206" spans="1:32" x14ac:dyDescent="0.25">
      <c r="A206" s="2">
        <v>44097</v>
      </c>
      <c r="B206" s="156">
        <v>12625</v>
      </c>
      <c r="C206" s="23">
        <f t="shared" si="36"/>
        <v>10826.714285714286</v>
      </c>
      <c r="D206" s="156">
        <f t="shared" si="34"/>
        <v>664799</v>
      </c>
      <c r="E206" s="156">
        <v>423</v>
      </c>
      <c r="F206" s="23">
        <f t="shared" si="37"/>
        <v>322.42857142857144</v>
      </c>
      <c r="G206" s="156">
        <f t="shared" si="44"/>
        <v>14372</v>
      </c>
      <c r="H206" s="156">
        <f t="shared" si="49"/>
        <v>8258</v>
      </c>
      <c r="I206" s="184">
        <v>525486</v>
      </c>
      <c r="J206" s="156">
        <v>3511</v>
      </c>
      <c r="K206" s="23">
        <f t="shared" si="46"/>
        <v>3295.2857142857142</v>
      </c>
      <c r="L206" s="156">
        <v>24903</v>
      </c>
      <c r="M206" s="23">
        <f t="shared" si="46"/>
        <v>22874.571428571428</v>
      </c>
      <c r="N206" s="4">
        <f t="shared" si="40"/>
        <v>1770442</v>
      </c>
      <c r="O206" s="7">
        <v>1456</v>
      </c>
      <c r="P206" s="7">
        <v>974788</v>
      </c>
      <c r="Q206" s="89">
        <f t="shared" si="51"/>
        <v>976244</v>
      </c>
      <c r="R206" s="112">
        <v>6647</v>
      </c>
      <c r="S206" s="112">
        <v>143597</v>
      </c>
      <c r="T206" s="112">
        <v>433450</v>
      </c>
      <c r="U206" s="96">
        <f t="shared" si="52"/>
        <v>81105</v>
      </c>
      <c r="V206" s="125">
        <f t="shared" si="38"/>
        <v>124941</v>
      </c>
      <c r="W206" s="109">
        <f t="shared" si="35"/>
        <v>2.8101263796511955E-2</v>
      </c>
      <c r="X206" s="110">
        <f t="shared" si="50"/>
        <v>2.5870464073500056E-2</v>
      </c>
      <c r="Y206" s="218">
        <f t="shared" si="43"/>
        <v>2.8101263796511955E-2</v>
      </c>
      <c r="Z206" s="87">
        <f t="shared" si="48"/>
        <v>-2.2292459523963082E-2</v>
      </c>
      <c r="AA206" s="87">
        <f t="shared" si="41"/>
        <v>0.47330785276226883</v>
      </c>
      <c r="AB206" s="87">
        <f t="shared" si="47"/>
        <v>0.47330785276226878</v>
      </c>
      <c r="AD206" s="87">
        <f t="shared" si="39"/>
        <v>3.6424720033181313E-2</v>
      </c>
      <c r="AF206" s="197">
        <f>MAX($B$2:B206)</f>
        <v>12701</v>
      </c>
    </row>
    <row r="207" spans="1:32" x14ac:dyDescent="0.25">
      <c r="A207" s="2">
        <v>44098</v>
      </c>
      <c r="B207" s="165">
        <v>13467</v>
      </c>
      <c r="C207" s="23">
        <f t="shared" si="36"/>
        <v>10936.142857142857</v>
      </c>
      <c r="D207" s="166">
        <f t="shared" si="34"/>
        <v>678266</v>
      </c>
      <c r="E207" s="156">
        <v>391</v>
      </c>
      <c r="F207" s="23">
        <f t="shared" si="37"/>
        <v>329</v>
      </c>
      <c r="G207" s="156">
        <f t="shared" si="44"/>
        <v>14763</v>
      </c>
      <c r="H207" s="156">
        <f t="shared" si="49"/>
        <v>11103</v>
      </c>
      <c r="I207" s="184">
        <v>536589</v>
      </c>
      <c r="J207" s="156">
        <v>3527</v>
      </c>
      <c r="K207" s="23">
        <f t="shared" si="46"/>
        <v>3355.1428571428573</v>
      </c>
      <c r="L207" s="156">
        <v>27253</v>
      </c>
      <c r="M207" s="23">
        <f t="shared" si="46"/>
        <v>22677.428571428572</v>
      </c>
      <c r="N207" s="4">
        <f t="shared" si="40"/>
        <v>1797695</v>
      </c>
      <c r="O207" s="7">
        <v>1488</v>
      </c>
      <c r="P207" s="7">
        <v>988976</v>
      </c>
      <c r="Q207" s="26">
        <f t="shared" si="51"/>
        <v>990464</v>
      </c>
      <c r="R207" s="112">
        <v>6740</v>
      </c>
      <c r="S207" s="112">
        <v>143045</v>
      </c>
      <c r="T207" s="112">
        <v>449054</v>
      </c>
      <c r="U207" s="96">
        <f t="shared" si="52"/>
        <v>79427</v>
      </c>
      <c r="V207" s="125">
        <f t="shared" si="38"/>
        <v>126914</v>
      </c>
      <c r="W207" s="109">
        <f t="shared" si="35"/>
        <v>2.7790472288321225E-2</v>
      </c>
      <c r="X207" s="110">
        <f t="shared" si="50"/>
        <v>2.6108593924088243E-2</v>
      </c>
      <c r="Y207" s="218">
        <f t="shared" si="43"/>
        <v>2.7790472288321225E-2</v>
      </c>
      <c r="Z207" s="87">
        <f t="shared" si="48"/>
        <v>-1.7959539722653406E-2</v>
      </c>
      <c r="AA207" s="87">
        <f t="shared" si="41"/>
        <v>0.48224792430484681</v>
      </c>
      <c r="AB207" s="87">
        <f t="shared" si="47"/>
        <v>0.48224792430484686</v>
      </c>
      <c r="AD207" s="87">
        <f t="shared" si="39"/>
        <v>4.0560151516393805E-2</v>
      </c>
      <c r="AF207" s="197">
        <f>MAX($B$2:B207)</f>
        <v>13467</v>
      </c>
    </row>
    <row r="208" spans="1:32" x14ac:dyDescent="0.25">
      <c r="A208" s="2">
        <v>44099</v>
      </c>
      <c r="B208" s="156">
        <v>12969</v>
      </c>
      <c r="C208" s="23">
        <f t="shared" si="36"/>
        <v>11082.428571428571</v>
      </c>
      <c r="D208" s="156">
        <f t="shared" si="34"/>
        <v>691235</v>
      </c>
      <c r="E208" s="156">
        <v>442</v>
      </c>
      <c r="F208" s="23">
        <f t="shared" si="37"/>
        <v>364</v>
      </c>
      <c r="G208" s="156">
        <f t="shared" si="44"/>
        <v>15205</v>
      </c>
      <c r="H208" s="156">
        <f t="shared" si="49"/>
        <v>10335</v>
      </c>
      <c r="I208" s="184">
        <v>546924</v>
      </c>
      <c r="J208" s="156">
        <v>3595</v>
      </c>
      <c r="K208" s="23">
        <f t="shared" si="46"/>
        <v>3408</v>
      </c>
      <c r="L208" s="156">
        <v>25098</v>
      </c>
      <c r="M208" s="23">
        <f t="shared" si="46"/>
        <v>22591.714285714286</v>
      </c>
      <c r="N208" s="4">
        <f t="shared" si="40"/>
        <v>1822793</v>
      </c>
      <c r="O208" s="7">
        <v>1500</v>
      </c>
      <c r="P208" s="7">
        <v>1001959</v>
      </c>
      <c r="Q208" s="26">
        <f t="shared" si="51"/>
        <v>1003459</v>
      </c>
      <c r="R208" s="112">
        <v>6798</v>
      </c>
      <c r="S208" s="112">
        <v>145075</v>
      </c>
      <c r="T208" s="112">
        <v>458440</v>
      </c>
      <c r="U208" s="96">
        <f t="shared" si="52"/>
        <v>80922</v>
      </c>
      <c r="V208" s="125">
        <f t="shared" si="38"/>
        <v>129106</v>
      </c>
      <c r="W208" s="109">
        <f t="shared" si="35"/>
        <v>2.7845336390252971E-2</v>
      </c>
      <c r="X208" s="110">
        <f t="shared" si="50"/>
        <v>2.633639220006305E-2</v>
      </c>
      <c r="Y208" s="218">
        <f t="shared" si="43"/>
        <v>2.7845336390252971E-2</v>
      </c>
      <c r="Z208" s="87">
        <f t="shared" si="48"/>
        <v>1.4701842962342893E-2</v>
      </c>
      <c r="AA208" s="87">
        <f t="shared" si="41"/>
        <v>0.49055279432408844</v>
      </c>
      <c r="AB208" s="87">
        <f t="shared" si="47"/>
        <v>0.49055279432408849</v>
      </c>
      <c r="AD208" s="87">
        <f t="shared" si="39"/>
        <v>5.0291236861800703E-2</v>
      </c>
      <c r="AF208" s="197">
        <f>MAX($B$2:B208)</f>
        <v>13467</v>
      </c>
    </row>
    <row r="209" spans="1:32" x14ac:dyDescent="0.25">
      <c r="A209" s="2">
        <v>44100</v>
      </c>
      <c r="B209" s="156">
        <v>11249</v>
      </c>
      <c r="C209" s="23">
        <f t="shared" si="36"/>
        <v>11364.285714285714</v>
      </c>
      <c r="D209" s="156">
        <f t="shared" si="34"/>
        <v>702484</v>
      </c>
      <c r="E209" s="156">
        <v>337</v>
      </c>
      <c r="F209" s="23">
        <f t="shared" si="37"/>
        <v>391.71428571428572</v>
      </c>
      <c r="G209" s="156">
        <f t="shared" si="44"/>
        <v>15542</v>
      </c>
      <c r="H209" s="156">
        <f t="shared" si="49"/>
        <v>9565</v>
      </c>
      <c r="I209" s="184">
        <v>556489</v>
      </c>
      <c r="J209" s="156">
        <v>3633</v>
      </c>
      <c r="K209" s="23">
        <f t="shared" si="46"/>
        <v>3468</v>
      </c>
      <c r="L209" s="156">
        <v>22101</v>
      </c>
      <c r="M209" s="23">
        <f t="shared" si="46"/>
        <v>22735.714285714286</v>
      </c>
      <c r="N209" s="4">
        <f t="shared" si="40"/>
        <v>1844894</v>
      </c>
      <c r="O209" s="7">
        <v>1537</v>
      </c>
      <c r="P209" s="7">
        <v>1014163</v>
      </c>
      <c r="Q209" s="26">
        <f t="shared" si="51"/>
        <v>1015700</v>
      </c>
      <c r="R209" s="112">
        <v>6835</v>
      </c>
      <c r="S209" s="112">
        <v>146416</v>
      </c>
      <c r="T209" s="112">
        <v>464913</v>
      </c>
      <c r="U209" s="96">
        <f t="shared" si="52"/>
        <v>84320</v>
      </c>
      <c r="V209" s="125">
        <f t="shared" si="38"/>
        <v>130453</v>
      </c>
      <c r="W209" s="109">
        <f t="shared" si="35"/>
        <v>2.7849110407579741E-2</v>
      </c>
      <c r="X209" s="110">
        <f t="shared" si="50"/>
        <v>2.6386559187249158E-2</v>
      </c>
      <c r="Y209" s="218">
        <f t="shared" si="43"/>
        <v>2.7849110407579741E-2</v>
      </c>
      <c r="Z209" s="87">
        <f t="shared" si="48"/>
        <v>4.9084770797066968E-2</v>
      </c>
      <c r="AA209" s="87">
        <f t="shared" si="41"/>
        <v>0.49984291548853282</v>
      </c>
      <c r="AB209" s="87">
        <f t="shared" si="47"/>
        <v>0.49984291548853282</v>
      </c>
      <c r="AD209" s="87">
        <f t="shared" si="39"/>
        <v>7.0137732459414348E-2</v>
      </c>
      <c r="AF209" s="197">
        <f>MAX($B$2:B209)</f>
        <v>13467</v>
      </c>
    </row>
    <row r="210" spans="1:32" x14ac:dyDescent="0.25">
      <c r="A210" s="2">
        <v>44101</v>
      </c>
      <c r="B210" s="156">
        <v>8841</v>
      </c>
      <c r="C210" s="23">
        <f t="shared" si="36"/>
        <v>11422.857142857143</v>
      </c>
      <c r="D210" s="156">
        <f t="shared" si="34"/>
        <v>711325</v>
      </c>
      <c r="E210" s="156">
        <v>206</v>
      </c>
      <c r="F210" s="23">
        <f t="shared" si="37"/>
        <v>385</v>
      </c>
      <c r="G210" s="156">
        <f t="shared" si="44"/>
        <v>15748</v>
      </c>
      <c r="H210" s="156">
        <f t="shared" si="49"/>
        <v>9446</v>
      </c>
      <c r="I210" s="184">
        <v>565935</v>
      </c>
      <c r="J210" s="156">
        <v>3604</v>
      </c>
      <c r="K210" s="23">
        <f t="shared" si="46"/>
        <v>3517</v>
      </c>
      <c r="L210" s="156">
        <v>15171</v>
      </c>
      <c r="M210" s="23">
        <f t="shared" si="46"/>
        <v>22695.285714285714</v>
      </c>
      <c r="N210" s="4">
        <f t="shared" si="40"/>
        <v>1860065</v>
      </c>
      <c r="O210" s="7">
        <v>1567</v>
      </c>
      <c r="P210" s="7">
        <v>1021244</v>
      </c>
      <c r="Q210" s="26">
        <f t="shared" si="51"/>
        <v>1022811</v>
      </c>
      <c r="R210" s="112">
        <v>6874</v>
      </c>
      <c r="S210" s="112">
        <v>147538</v>
      </c>
      <c r="T210" s="112">
        <v>469799</v>
      </c>
      <c r="U210" s="96">
        <f t="shared" si="52"/>
        <v>87114</v>
      </c>
      <c r="V210" s="125">
        <f t="shared" si="38"/>
        <v>129642</v>
      </c>
      <c r="W210" s="109">
        <f t="shared" si="35"/>
        <v>2.779963283503803E-2</v>
      </c>
      <c r="X210" s="110">
        <f t="shared" si="50"/>
        <v>2.6171945761517535E-2</v>
      </c>
      <c r="Y210" s="218">
        <f t="shared" si="43"/>
        <v>2.779963283503803E-2</v>
      </c>
      <c r="Z210" s="87">
        <f t="shared" si="48"/>
        <v>7.040066398040179E-2</v>
      </c>
      <c r="AA210" s="87">
        <f t="shared" si="41"/>
        <v>0.50331409292049323</v>
      </c>
      <c r="AB210" s="87">
        <f t="shared" si="47"/>
        <v>0.50331409292049323</v>
      </c>
      <c r="AD210" s="87">
        <f t="shared" si="39"/>
        <v>8.0953532388917226E-2</v>
      </c>
      <c r="AF210" s="197">
        <f>MAX($B$2:B210)</f>
        <v>13467</v>
      </c>
    </row>
    <row r="211" spans="1:32" x14ac:dyDescent="0.25">
      <c r="A211" s="2">
        <v>44102</v>
      </c>
      <c r="B211" s="156">
        <v>11807</v>
      </c>
      <c r="C211" s="23">
        <f t="shared" si="36"/>
        <v>11855</v>
      </c>
      <c r="D211" s="156">
        <f t="shared" si="34"/>
        <v>723132</v>
      </c>
      <c r="E211" s="156">
        <v>365</v>
      </c>
      <c r="F211" s="23">
        <f t="shared" si="37"/>
        <v>376.14285714285717</v>
      </c>
      <c r="G211" s="156">
        <f t="shared" si="44"/>
        <v>16113</v>
      </c>
      <c r="H211" s="156">
        <f t="shared" si="49"/>
        <v>10780</v>
      </c>
      <c r="I211" s="184">
        <v>576715</v>
      </c>
      <c r="J211" s="156">
        <v>3678</v>
      </c>
      <c r="K211" s="23">
        <f t="shared" si="46"/>
        <v>3558.5714285714284</v>
      </c>
      <c r="L211" s="156">
        <v>21356</v>
      </c>
      <c r="M211" s="23">
        <f t="shared" si="46"/>
        <v>23092.571428571428</v>
      </c>
      <c r="N211" s="4">
        <f t="shared" si="40"/>
        <v>1881421</v>
      </c>
      <c r="O211" s="7">
        <v>1611</v>
      </c>
      <c r="P211" s="7">
        <v>1031143</v>
      </c>
      <c r="Q211" s="26">
        <f t="shared" si="51"/>
        <v>1032754</v>
      </c>
      <c r="R211" s="112">
        <v>6984</v>
      </c>
      <c r="S211" s="112">
        <v>149538</v>
      </c>
      <c r="T211" s="112">
        <v>478119</v>
      </c>
      <c r="U211" s="96">
        <f t="shared" si="52"/>
        <v>88491</v>
      </c>
      <c r="V211" s="125">
        <f t="shared" si="38"/>
        <v>130304</v>
      </c>
      <c r="W211" s="109">
        <f t="shared" si="35"/>
        <v>2.8226301571709234E-2</v>
      </c>
      <c r="X211" s="110">
        <f>G211/D201</f>
        <v>2.6257296409400676E-2</v>
      </c>
      <c r="Y211" s="218">
        <f t="shared" si="43"/>
        <v>2.8226301571709234E-2</v>
      </c>
      <c r="Z211" s="87">
        <f t="shared" si="48"/>
        <v>0.10889144262119843</v>
      </c>
      <c r="AA211" s="87">
        <f t="shared" si="41"/>
        <v>0.51336855389488278</v>
      </c>
      <c r="AB211" s="87">
        <f t="shared" si="47"/>
        <v>0.51336855389488267</v>
      </c>
      <c r="AD211" s="87">
        <f t="shared" si="39"/>
        <v>0.10329878750931387</v>
      </c>
      <c r="AF211" s="197">
        <f>MAX($B$2:B211)</f>
        <v>13467</v>
      </c>
    </row>
    <row r="212" spans="1:32" x14ac:dyDescent="0.25">
      <c r="A212" s="2">
        <v>44103</v>
      </c>
      <c r="B212" s="156">
        <v>13477</v>
      </c>
      <c r="C212" s="23">
        <f t="shared" si="36"/>
        <v>12062.142857142857</v>
      </c>
      <c r="D212" s="156">
        <f t="shared" si="34"/>
        <v>736609</v>
      </c>
      <c r="E212" s="156">
        <v>405</v>
      </c>
      <c r="F212" s="23">
        <f t="shared" si="37"/>
        <v>367</v>
      </c>
      <c r="G212" s="156">
        <f t="shared" si="44"/>
        <v>16518</v>
      </c>
      <c r="H212" s="156">
        <f t="shared" si="49"/>
        <v>9142</v>
      </c>
      <c r="I212" s="184">
        <v>585857</v>
      </c>
      <c r="J212" s="156">
        <v>3768</v>
      </c>
      <c r="K212" s="23">
        <f t="shared" si="46"/>
        <v>3616.5714285714284</v>
      </c>
      <c r="L212" s="156">
        <v>25072</v>
      </c>
      <c r="M212" s="23">
        <f t="shared" si="46"/>
        <v>22993.428571428572</v>
      </c>
      <c r="N212" s="4">
        <f t="shared" si="40"/>
        <v>1906493</v>
      </c>
      <c r="O212" s="7">
        <v>1774</v>
      </c>
      <c r="P212" s="38">
        <v>1043210</v>
      </c>
      <c r="Q212" s="26">
        <f t="shared" si="51"/>
        <v>1044984</v>
      </c>
      <c r="R212" s="112">
        <v>7083</v>
      </c>
      <c r="S212" s="112">
        <v>151787</v>
      </c>
      <c r="T212" s="112">
        <v>487971</v>
      </c>
      <c r="U212" s="96">
        <f t="shared" si="52"/>
        <v>89768</v>
      </c>
      <c r="V212" s="125">
        <f t="shared" si="38"/>
        <v>134234</v>
      </c>
      <c r="W212" s="109">
        <f t="shared" si="35"/>
        <v>2.8070384552348882E-2</v>
      </c>
      <c r="X212" s="110">
        <f>G212/D202</f>
        <v>2.6516452786330493E-2</v>
      </c>
      <c r="Y212" s="218">
        <f t="shared" si="43"/>
        <v>2.8070384552348882E-2</v>
      </c>
      <c r="Z212" s="87">
        <f t="shared" si="48"/>
        <v>0.11410927995566511</v>
      </c>
      <c r="AA212" s="87">
        <f t="shared" si="41"/>
        <v>0.52459087689650452</v>
      </c>
      <c r="AB212" s="87">
        <f t="shared" si="47"/>
        <v>0.52459087689650463</v>
      </c>
      <c r="AD212" s="87">
        <f t="shared" si="39"/>
        <v>0.10939940659685776</v>
      </c>
      <c r="AF212" s="197">
        <f>MAX($B$2:B212)</f>
        <v>13477</v>
      </c>
    </row>
    <row r="213" spans="1:32" x14ac:dyDescent="0.25">
      <c r="A213" s="2">
        <v>44104</v>
      </c>
      <c r="B213" s="156">
        <v>14392</v>
      </c>
      <c r="C213" s="23">
        <f t="shared" si="36"/>
        <v>12314.571428571429</v>
      </c>
      <c r="D213" s="156">
        <f t="shared" si="34"/>
        <v>751001</v>
      </c>
      <c r="E213" s="156">
        <v>418</v>
      </c>
      <c r="F213" s="23">
        <f t="shared" si="37"/>
        <v>366.28571428571428</v>
      </c>
      <c r="G213" s="156">
        <f t="shared" si="44"/>
        <v>16936</v>
      </c>
      <c r="H213" s="156">
        <f t="shared" si="49"/>
        <v>8788</v>
      </c>
      <c r="I213" s="184">
        <v>594645</v>
      </c>
      <c r="J213" s="156">
        <v>3792</v>
      </c>
      <c r="K213" s="23">
        <f t="shared" si="46"/>
        <v>3656.7142857142858</v>
      </c>
      <c r="L213" s="156">
        <v>26524</v>
      </c>
      <c r="M213" s="23">
        <f t="shared" si="46"/>
        <v>23225</v>
      </c>
      <c r="N213" s="4">
        <f t="shared" si="40"/>
        <v>1933017</v>
      </c>
      <c r="O213" s="89">
        <v>2013</v>
      </c>
      <c r="P213" s="8">
        <v>1055774</v>
      </c>
      <c r="Q213" s="106">
        <f t="shared" si="51"/>
        <v>1057787</v>
      </c>
      <c r="R213" s="112">
        <v>7162</v>
      </c>
      <c r="S213" s="112">
        <v>153949</v>
      </c>
      <c r="T213" s="112">
        <v>498519</v>
      </c>
      <c r="U213" s="96">
        <f t="shared" si="52"/>
        <v>91371</v>
      </c>
      <c r="V213" s="125">
        <f t="shared" si="38"/>
        <v>139420</v>
      </c>
      <c r="W213" s="109">
        <f t="shared" si="35"/>
        <v>2.7198393343853107E-2</v>
      </c>
      <c r="X213" s="110">
        <f>G213/D203</f>
        <v>2.682442010564412E-2</v>
      </c>
      <c r="Y213" s="218">
        <f t="shared" si="43"/>
        <v>2.7198393343853107E-2</v>
      </c>
      <c r="Z213" s="87">
        <f t="shared" si="48"/>
        <v>0.12604339477224946</v>
      </c>
      <c r="AA213" s="87">
        <f t="shared" si="41"/>
        <v>0.53022912501922193</v>
      </c>
      <c r="AB213" s="87">
        <f t="shared" si="47"/>
        <v>0.53022912501922193</v>
      </c>
      <c r="AD213" s="87">
        <f t="shared" si="39"/>
        <v>0.11588669852170219</v>
      </c>
      <c r="AF213" s="197">
        <f>MAX($B$2:B213)</f>
        <v>14392</v>
      </c>
    </row>
    <row r="214" spans="1:32" x14ac:dyDescent="0.25">
      <c r="A214" s="2">
        <v>44105</v>
      </c>
      <c r="B214" s="156">
        <v>14001</v>
      </c>
      <c r="C214" s="23">
        <f t="shared" si="36"/>
        <v>12390.857142857143</v>
      </c>
      <c r="D214" s="156">
        <f t="shared" si="34"/>
        <v>765002</v>
      </c>
      <c r="E214" s="169">
        <v>3351</v>
      </c>
      <c r="F214" s="23">
        <f t="shared" si="37"/>
        <v>789.14285714285711</v>
      </c>
      <c r="G214" s="156">
        <f t="shared" si="44"/>
        <v>20287</v>
      </c>
      <c r="H214" s="156">
        <f t="shared" si="49"/>
        <v>8495</v>
      </c>
      <c r="I214" s="184">
        <v>603140</v>
      </c>
      <c r="J214" s="167">
        <v>3799</v>
      </c>
      <c r="K214" s="23">
        <f t="shared" si="46"/>
        <v>3695.5714285714284</v>
      </c>
      <c r="L214" s="156">
        <v>26662</v>
      </c>
      <c r="M214" s="23">
        <f t="shared" si="46"/>
        <v>23140.571428571428</v>
      </c>
      <c r="N214" s="4">
        <f t="shared" si="40"/>
        <v>1959679</v>
      </c>
      <c r="O214" s="89">
        <v>1482</v>
      </c>
      <c r="P214" s="8">
        <v>1068705</v>
      </c>
      <c r="Q214" s="106">
        <f t="shared" si="51"/>
        <v>1070187</v>
      </c>
      <c r="R214" s="112">
        <v>7226</v>
      </c>
      <c r="S214" s="112">
        <v>155848</v>
      </c>
      <c r="T214" s="112">
        <v>508945</v>
      </c>
      <c r="U214" s="96">
        <f t="shared" si="52"/>
        <v>92983</v>
      </c>
      <c r="V214" s="125">
        <f t="shared" si="38"/>
        <v>141575</v>
      </c>
      <c r="W214" s="109">
        <f t="shared" si="35"/>
        <v>2.6833833657072224E-2</v>
      </c>
      <c r="X214" s="110">
        <f>G214/D204</f>
        <v>3.1691158437046493E-2</v>
      </c>
      <c r="Y214" s="218">
        <f t="shared" si="43"/>
        <v>2.6833833657072224E-2</v>
      </c>
      <c r="Z214" s="87">
        <f t="shared" si="48"/>
        <v>0.11806334351676417</v>
      </c>
      <c r="AA214" s="87">
        <f t="shared" si="41"/>
        <v>0.5354602923745555</v>
      </c>
      <c r="AB214" s="87">
        <f t="shared" si="47"/>
        <v>0.5354602923745555</v>
      </c>
      <c r="AD214" s="87">
        <f t="shared" si="39"/>
        <v>0.11551917046188764</v>
      </c>
      <c r="AF214" s="197">
        <f>MAX($B$2:B214)</f>
        <v>14392</v>
      </c>
    </row>
    <row r="215" spans="1:32" x14ac:dyDescent="0.25">
      <c r="A215" s="2">
        <v>44106</v>
      </c>
      <c r="B215" s="165">
        <v>14687</v>
      </c>
      <c r="C215" s="23">
        <f t="shared" si="36"/>
        <v>12636.285714285714</v>
      </c>
      <c r="D215" s="156">
        <f t="shared" si="34"/>
        <v>779689</v>
      </c>
      <c r="E215" s="156">
        <v>309</v>
      </c>
      <c r="F215" s="23">
        <f t="shared" si="37"/>
        <v>770.14285714285711</v>
      </c>
      <c r="G215" s="156">
        <f t="shared" si="44"/>
        <v>20596</v>
      </c>
      <c r="H215" s="156">
        <f t="shared" si="49"/>
        <v>11375</v>
      </c>
      <c r="I215" s="184">
        <v>614515</v>
      </c>
      <c r="J215" s="167">
        <v>3828</v>
      </c>
      <c r="K215" s="23">
        <f t="shared" si="46"/>
        <v>3728.8571428571427</v>
      </c>
      <c r="L215" s="156">
        <v>27537</v>
      </c>
      <c r="M215" s="23">
        <f t="shared" si="46"/>
        <v>23489</v>
      </c>
      <c r="N215" s="4">
        <f t="shared" si="40"/>
        <v>1987216</v>
      </c>
      <c r="O215" s="7">
        <v>1492</v>
      </c>
      <c r="P215" s="8">
        <v>1082729</v>
      </c>
      <c r="Q215" s="26">
        <f t="shared" si="51"/>
        <v>1084221</v>
      </c>
      <c r="R215" s="112">
        <v>7323</v>
      </c>
      <c r="S215" s="112">
        <v>158001</v>
      </c>
      <c r="T215" s="112">
        <v>520163</v>
      </c>
      <c r="U215" s="96">
        <f t="shared" si="52"/>
        <v>94202</v>
      </c>
      <c r="V215" s="125">
        <f t="shared" si="38"/>
        <v>144578</v>
      </c>
      <c r="W215" s="109">
        <f t="shared" si="35"/>
        <v>2.6477057366957629E-2</v>
      </c>
      <c r="X215" s="35">
        <f t="shared" ref="X215:X245" si="53">G215/D195</f>
        <v>3.7688410027064072E-2</v>
      </c>
      <c r="Y215" s="218">
        <f t="shared" si="43"/>
        <v>2.6477057366957629E-2</v>
      </c>
      <c r="Z215" s="87">
        <f t="shared" si="48"/>
        <v>0.11192960402262719</v>
      </c>
      <c r="AA215" s="87">
        <f t="shared" si="41"/>
        <v>0.53796609963326292</v>
      </c>
      <c r="AB215" s="87">
        <f t="shared" si="47"/>
        <v>0.53796609963326303</v>
      </c>
      <c r="AD215" s="87">
        <f t="shared" si="39"/>
        <v>0.11983951171905249</v>
      </c>
      <c r="AF215" s="197">
        <f>MAX($B$2:B215)</f>
        <v>14687</v>
      </c>
    </row>
    <row r="216" spans="1:32" x14ac:dyDescent="0.25">
      <c r="A216" s="42">
        <v>44107</v>
      </c>
      <c r="B216" s="163">
        <v>11129</v>
      </c>
      <c r="C216" s="23">
        <f t="shared" si="36"/>
        <v>12619.142857142857</v>
      </c>
      <c r="D216" s="163">
        <f t="shared" si="34"/>
        <v>790818</v>
      </c>
      <c r="E216" s="163">
        <v>195</v>
      </c>
      <c r="F216" s="23">
        <f t="shared" si="37"/>
        <v>749.85714285714289</v>
      </c>
      <c r="G216" s="163">
        <f t="shared" si="44"/>
        <v>20791</v>
      </c>
      <c r="H216" s="156">
        <f t="shared" si="49"/>
        <v>11599</v>
      </c>
      <c r="I216" s="184">
        <v>626114</v>
      </c>
      <c r="J216" s="167">
        <v>3820</v>
      </c>
      <c r="K216" s="23">
        <f t="shared" si="46"/>
        <v>3755.5714285714284</v>
      </c>
      <c r="L216" s="163">
        <v>20525</v>
      </c>
      <c r="M216" s="23">
        <f t="shared" si="46"/>
        <v>23263.857142857141</v>
      </c>
      <c r="N216" s="4">
        <f t="shared" si="40"/>
        <v>2007741</v>
      </c>
      <c r="O216" s="38">
        <v>1499</v>
      </c>
      <c r="P216" s="38">
        <v>1095695</v>
      </c>
      <c r="Q216" s="107">
        <f t="shared" si="51"/>
        <v>1097194</v>
      </c>
      <c r="R216" s="112">
        <v>7387</v>
      </c>
      <c r="S216" s="112">
        <v>159347</v>
      </c>
      <c r="T216" s="112">
        <v>527803</v>
      </c>
      <c r="U216" s="96">
        <f t="shared" si="52"/>
        <v>96281</v>
      </c>
      <c r="V216" s="125">
        <f t="shared" si="38"/>
        <v>143913</v>
      </c>
      <c r="W216" s="109">
        <f t="shared" si="35"/>
        <v>2.6543814665805035E-2</v>
      </c>
      <c r="X216" s="35">
        <f t="shared" si="53"/>
        <v>3.7425049996669887E-2</v>
      </c>
      <c r="Y216" s="218">
        <f t="shared" si="43"/>
        <v>2.6543814665805035E-2</v>
      </c>
      <c r="Z216" s="87">
        <f t="shared" si="48"/>
        <v>0.10472736368184088</v>
      </c>
      <c r="AA216" s="87">
        <f t="shared" si="41"/>
        <v>0.54243553765190644</v>
      </c>
      <c r="AB216" s="87">
        <f t="shared" si="47"/>
        <v>0.54243553765190644</v>
      </c>
      <c r="AD216" s="87">
        <f t="shared" si="39"/>
        <v>0.10317892267713269</v>
      </c>
      <c r="AF216" s="197">
        <f>MAX($B$2:B216)</f>
        <v>14687</v>
      </c>
    </row>
    <row r="217" spans="1:32" x14ac:dyDescent="0.25">
      <c r="A217" s="2">
        <v>44108</v>
      </c>
      <c r="B217" s="156">
        <v>7668</v>
      </c>
      <c r="C217" s="23">
        <f t="shared" si="36"/>
        <v>12451.571428571429</v>
      </c>
      <c r="D217" s="156">
        <f t="shared" si="34"/>
        <v>798486</v>
      </c>
      <c r="E217" s="156">
        <v>222</v>
      </c>
      <c r="F217" s="23">
        <f t="shared" si="37"/>
        <v>752.14285714285711</v>
      </c>
      <c r="G217" s="156">
        <f t="shared" si="44"/>
        <v>21013</v>
      </c>
      <c r="H217" s="156">
        <f t="shared" si="49"/>
        <v>10558</v>
      </c>
      <c r="I217" s="184">
        <v>636672</v>
      </c>
      <c r="J217" s="167">
        <v>3950</v>
      </c>
      <c r="K217" s="23">
        <f t="shared" si="46"/>
        <v>3805</v>
      </c>
      <c r="L217" s="156">
        <v>13213</v>
      </c>
      <c r="M217" s="23">
        <f t="shared" si="46"/>
        <v>22984.142857142859</v>
      </c>
      <c r="N217" s="4">
        <f t="shared" si="40"/>
        <v>2020954</v>
      </c>
      <c r="O217" s="7">
        <v>1504</v>
      </c>
      <c r="P217" s="7">
        <v>1103068</v>
      </c>
      <c r="Q217" s="26">
        <f t="shared" si="51"/>
        <v>1104572</v>
      </c>
      <c r="R217" s="112">
        <v>7425</v>
      </c>
      <c r="S217" s="112">
        <v>160401</v>
      </c>
      <c r="T217" s="112">
        <v>533573</v>
      </c>
      <c r="U217" s="96">
        <f t="shared" si="52"/>
        <v>97087</v>
      </c>
      <c r="V217" s="125">
        <f t="shared" si="38"/>
        <v>140801</v>
      </c>
      <c r="W217" s="109">
        <f t="shared" si="35"/>
        <v>2.8053778027144694E-2</v>
      </c>
      <c r="X217" s="35">
        <f t="shared" si="53"/>
        <v>3.7161815628724934E-2</v>
      </c>
      <c r="Y217" s="218">
        <f t="shared" si="43"/>
        <v>2.8053778027144694E-2</v>
      </c>
      <c r="Z217" s="87">
        <f t="shared" si="48"/>
        <v>5.0322347412182999E-2</v>
      </c>
      <c r="AA217" s="87">
        <f t="shared" si="41"/>
        <v>0.5417461728272287</v>
      </c>
      <c r="AB217" s="87">
        <f t="shared" si="47"/>
        <v>0.5417461728272287</v>
      </c>
      <c r="AD217" s="87">
        <f t="shared" si="39"/>
        <v>8.6075500223693036E-2</v>
      </c>
      <c r="AF217" s="197">
        <f>MAX($B$2:B217)</f>
        <v>14687</v>
      </c>
    </row>
    <row r="218" spans="1:32" x14ac:dyDescent="0.25">
      <c r="A218" s="2">
        <v>44109</v>
      </c>
      <c r="B218" s="166">
        <v>11242</v>
      </c>
      <c r="C218" s="23">
        <f t="shared" si="36"/>
        <v>12370.857142857143</v>
      </c>
      <c r="D218" s="156">
        <f t="shared" si="34"/>
        <v>809728</v>
      </c>
      <c r="E218" s="156">
        <v>450</v>
      </c>
      <c r="F218" s="23">
        <f t="shared" si="37"/>
        <v>764.28571428571433</v>
      </c>
      <c r="G218" s="156">
        <f t="shared" si="44"/>
        <v>21463</v>
      </c>
      <c r="H218" s="156">
        <f t="shared" si="49"/>
        <v>12345</v>
      </c>
      <c r="I218" s="184">
        <v>649017</v>
      </c>
      <c r="J218" s="167">
        <v>3978</v>
      </c>
      <c r="K218" s="23">
        <f t="shared" si="46"/>
        <v>3847.8571428571427</v>
      </c>
      <c r="L218" s="156">
        <v>20263</v>
      </c>
      <c r="M218" s="23">
        <f t="shared" si="46"/>
        <v>22828</v>
      </c>
      <c r="N218" s="4">
        <f t="shared" si="40"/>
        <v>2041217</v>
      </c>
      <c r="O218" s="7">
        <v>1508</v>
      </c>
      <c r="P218" s="7">
        <v>1113469</v>
      </c>
      <c r="Q218" s="26">
        <f t="shared" si="51"/>
        <v>1114977</v>
      </c>
      <c r="R218" s="112">
        <v>7503</v>
      </c>
      <c r="S218" s="112">
        <v>162682</v>
      </c>
      <c r="T218" s="112">
        <v>544916</v>
      </c>
      <c r="U218" s="96">
        <f t="shared" si="52"/>
        <v>94627</v>
      </c>
      <c r="V218" s="125">
        <f t="shared" si="38"/>
        <v>139248</v>
      </c>
      <c r="W218" s="109">
        <f t="shared" si="35"/>
        <v>2.8567735263702172E-2</v>
      </c>
      <c r="X218" s="35">
        <f t="shared" si="53"/>
        <v>3.7175796500490181E-2</v>
      </c>
      <c r="Y218" s="218">
        <f t="shared" si="43"/>
        <v>2.8567735263702172E-2</v>
      </c>
      <c r="Z218" s="87">
        <f t="shared" si="48"/>
        <v>2.5593651921596461E-2</v>
      </c>
      <c r="AA218" s="87">
        <f t="shared" si="41"/>
        <v>0.54191594282710454</v>
      </c>
      <c r="AB218" s="87">
        <f t="shared" si="47"/>
        <v>0.54191594282710454</v>
      </c>
      <c r="AD218" s="87">
        <f t="shared" si="39"/>
        <v>6.8639489194499026E-2</v>
      </c>
      <c r="AF218" s="197">
        <f>MAX($B$2:B218)</f>
        <v>14687</v>
      </c>
    </row>
    <row r="219" spans="1:32" x14ac:dyDescent="0.25">
      <c r="A219" s="2">
        <v>44110</v>
      </c>
      <c r="B219" s="166">
        <v>14740</v>
      </c>
      <c r="C219" s="23">
        <f t="shared" si="36"/>
        <v>12551.285714285714</v>
      </c>
      <c r="D219" s="156">
        <f t="shared" si="34"/>
        <v>824468</v>
      </c>
      <c r="E219" s="156">
        <v>359</v>
      </c>
      <c r="F219" s="23">
        <f t="shared" si="37"/>
        <v>757.71428571428567</v>
      </c>
      <c r="G219" s="156">
        <f t="shared" si="44"/>
        <v>21822</v>
      </c>
      <c r="H219" s="156">
        <f t="shared" si="49"/>
        <v>11255</v>
      </c>
      <c r="I219" s="184">
        <v>660272</v>
      </c>
      <c r="J219" s="167">
        <v>4007</v>
      </c>
      <c r="K219" s="23">
        <f t="shared" si="46"/>
        <v>3882</v>
      </c>
      <c r="L219" s="156">
        <v>26481</v>
      </c>
      <c r="M219" s="23">
        <f t="shared" si="46"/>
        <v>23029.285714285714</v>
      </c>
      <c r="N219" s="4">
        <f t="shared" si="40"/>
        <v>2067698</v>
      </c>
      <c r="O219" s="7">
        <v>1528</v>
      </c>
      <c r="P219" s="7">
        <v>1127417</v>
      </c>
      <c r="Q219" s="26">
        <f t="shared" si="51"/>
        <v>1128945</v>
      </c>
      <c r="R219" s="112">
        <v>7581</v>
      </c>
      <c r="S219" s="112">
        <v>165737</v>
      </c>
      <c r="T219" s="112">
        <v>556132</v>
      </c>
      <c r="U219" s="96">
        <f t="shared" si="52"/>
        <v>95018</v>
      </c>
      <c r="V219" s="125">
        <f t="shared" si="38"/>
        <v>142374</v>
      </c>
      <c r="W219" s="109">
        <f t="shared" si="35"/>
        <v>2.8144183629033391E-2</v>
      </c>
      <c r="X219" s="35">
        <f t="shared" si="53"/>
        <v>3.7048481185442739E-2</v>
      </c>
      <c r="Y219" s="218">
        <f t="shared" si="43"/>
        <v>2.8144183629033391E-2</v>
      </c>
      <c r="Z219" s="87">
        <f t="shared" si="48"/>
        <v>1.9222291826175519E-2</v>
      </c>
      <c r="AA219" s="87">
        <f t="shared" si="41"/>
        <v>0.54501411246549425</v>
      </c>
      <c r="AB219" s="87">
        <f t="shared" si="47"/>
        <v>0.54501411246549425</v>
      </c>
      <c r="AD219" s="87">
        <f t="shared" si="39"/>
        <v>6.0640374271794029E-2</v>
      </c>
      <c r="AF219" s="197">
        <f>MAX($B$2:B219)</f>
        <v>14740</v>
      </c>
    </row>
    <row r="220" spans="1:32" x14ac:dyDescent="0.25">
      <c r="A220" s="2">
        <v>44111</v>
      </c>
      <c r="B220" s="166">
        <v>16447</v>
      </c>
      <c r="C220" s="23">
        <f t="shared" si="36"/>
        <v>12844.857142857143</v>
      </c>
      <c r="D220" s="156">
        <f t="shared" si="34"/>
        <v>840915</v>
      </c>
      <c r="E220" s="156">
        <v>401</v>
      </c>
      <c r="F220" s="23">
        <f t="shared" si="37"/>
        <v>755.28571428571433</v>
      </c>
      <c r="G220" s="156">
        <f t="shared" si="44"/>
        <v>22223</v>
      </c>
      <c r="H220" s="156">
        <f t="shared" si="49"/>
        <v>10453</v>
      </c>
      <c r="I220" s="184">
        <v>670725</v>
      </c>
      <c r="J220" s="167">
        <v>3997</v>
      </c>
      <c r="K220" s="23">
        <f t="shared" si="46"/>
        <v>3911.2857142857142</v>
      </c>
      <c r="L220" s="258">
        <v>29441</v>
      </c>
      <c r="M220" s="23">
        <f t="shared" si="46"/>
        <v>23446</v>
      </c>
      <c r="N220" s="4">
        <f t="shared" si="40"/>
        <v>2097139</v>
      </c>
      <c r="O220" s="7">
        <v>1542</v>
      </c>
      <c r="P220" s="7">
        <v>1142661</v>
      </c>
      <c r="Q220" s="26">
        <f t="shared" si="51"/>
        <v>1144203</v>
      </c>
      <c r="R220" s="112">
        <v>7669</v>
      </c>
      <c r="S220" s="112">
        <v>168593</v>
      </c>
      <c r="T220" s="112">
        <v>568246</v>
      </c>
      <c r="U220" s="96">
        <f t="shared" si="52"/>
        <v>96407</v>
      </c>
      <c r="V220" s="125">
        <f t="shared" si="38"/>
        <v>147967</v>
      </c>
      <c r="W220" s="109">
        <f t="shared" si="35"/>
        <v>2.7012779876594107E-2</v>
      </c>
      <c r="X220" s="35">
        <f t="shared" si="53"/>
        <v>3.6932889932575833E-2</v>
      </c>
      <c r="Y220" s="218">
        <f t="shared" si="43"/>
        <v>2.7012779876594107E-2</v>
      </c>
      <c r="Z220" s="87">
        <f t="shared" si="48"/>
        <v>3.663991883416351E-2</v>
      </c>
      <c r="AA220" s="87">
        <f t="shared" si="41"/>
        <v>0.54784855168715951</v>
      </c>
      <c r="AB220" s="87">
        <f t="shared" si="47"/>
        <v>0.54784855168715951</v>
      </c>
      <c r="AD220" s="87">
        <f t="shared" si="39"/>
        <v>6.1303973604934781E-2</v>
      </c>
      <c r="AF220" s="197">
        <f>MAX($B$2:B220)</f>
        <v>16447</v>
      </c>
    </row>
    <row r="221" spans="1:32" x14ac:dyDescent="0.25">
      <c r="A221" s="2">
        <v>44112</v>
      </c>
      <c r="B221" s="156">
        <v>15454</v>
      </c>
      <c r="C221" s="23">
        <f t="shared" si="36"/>
        <v>13052.428571428571</v>
      </c>
      <c r="D221" s="156">
        <f t="shared" si="34"/>
        <v>856369</v>
      </c>
      <c r="E221" s="156">
        <v>484</v>
      </c>
      <c r="F221" s="23">
        <f t="shared" si="37"/>
        <v>345.71428571428572</v>
      </c>
      <c r="G221" s="156">
        <f t="shared" si="44"/>
        <v>22707</v>
      </c>
      <c r="H221" s="156">
        <f t="shared" si="49"/>
        <v>14119</v>
      </c>
      <c r="I221" s="184">
        <v>684844</v>
      </c>
      <c r="J221" s="167">
        <v>4043</v>
      </c>
      <c r="K221" s="23">
        <f t="shared" si="46"/>
        <v>3946.1428571428573</v>
      </c>
      <c r="L221" s="156">
        <v>25841</v>
      </c>
      <c r="M221" s="23">
        <f t="shared" si="46"/>
        <v>23328.714285714286</v>
      </c>
      <c r="N221" s="4">
        <f t="shared" si="40"/>
        <v>2122980</v>
      </c>
      <c r="O221" s="7">
        <v>1544</v>
      </c>
      <c r="P221" s="7">
        <v>1155668</v>
      </c>
      <c r="Q221" s="26">
        <f t="shared" si="51"/>
        <v>1157212</v>
      </c>
      <c r="R221" s="112">
        <v>7761</v>
      </c>
      <c r="S221" s="112">
        <v>171322</v>
      </c>
      <c r="T221" s="112">
        <v>578517</v>
      </c>
      <c r="U221" s="96">
        <f t="shared" si="52"/>
        <v>98769</v>
      </c>
      <c r="V221" s="125">
        <f t="shared" si="38"/>
        <v>148818</v>
      </c>
      <c r="W221" s="109">
        <f t="shared" si="35"/>
        <v>2.7167412544181483E-2</v>
      </c>
      <c r="X221" s="35">
        <f t="shared" si="53"/>
        <v>3.7002695312372692E-2</v>
      </c>
      <c r="Y221" s="218">
        <f t="shared" si="43"/>
        <v>2.7167412544181483E-2</v>
      </c>
      <c r="Z221" s="87">
        <f t="shared" si="48"/>
        <v>3.2932371628190849E-2</v>
      </c>
      <c r="AA221" s="87">
        <f t="shared" si="41"/>
        <v>0.55950055419133993</v>
      </c>
      <c r="AB221" s="87">
        <f t="shared" si="47"/>
        <v>0.55950055419133993</v>
      </c>
      <c r="AD221" s="87">
        <f t="shared" si="39"/>
        <v>5.1160162458061098E-2</v>
      </c>
      <c r="AF221" s="197">
        <f>MAX($B$2:B221)</f>
        <v>16447</v>
      </c>
    </row>
    <row r="222" spans="1:32" x14ac:dyDescent="0.25">
      <c r="A222" s="338">
        <v>44113</v>
      </c>
      <c r="B222" s="163">
        <v>15099</v>
      </c>
      <c r="C222" s="23">
        <f t="shared" si="36"/>
        <v>13111.285714285714</v>
      </c>
      <c r="D222" s="156">
        <f t="shared" si="34"/>
        <v>871468</v>
      </c>
      <c r="E222" s="177">
        <v>514</v>
      </c>
      <c r="F222" s="23">
        <f t="shared" si="37"/>
        <v>375</v>
      </c>
      <c r="G222" s="163">
        <f t="shared" si="44"/>
        <v>23221</v>
      </c>
      <c r="H222" s="156">
        <f t="shared" si="49"/>
        <v>12297</v>
      </c>
      <c r="I222" s="184">
        <v>697141</v>
      </c>
      <c r="J222" s="167">
        <v>4092</v>
      </c>
      <c r="K222" s="23">
        <f t="shared" si="46"/>
        <v>3983.8571428571427</v>
      </c>
      <c r="L222" s="163">
        <v>25174</v>
      </c>
      <c r="M222" s="23">
        <f t="shared" si="46"/>
        <v>22991.142857142859</v>
      </c>
      <c r="N222" s="4">
        <f t="shared" si="40"/>
        <v>2148154</v>
      </c>
      <c r="O222" s="38">
        <v>1564</v>
      </c>
      <c r="P222" s="38">
        <v>1172099</v>
      </c>
      <c r="Q222" s="107">
        <f t="shared" si="51"/>
        <v>1173663</v>
      </c>
      <c r="R222" s="112">
        <v>7817</v>
      </c>
      <c r="S222" s="112">
        <v>174267</v>
      </c>
      <c r="T222" s="112">
        <v>588788</v>
      </c>
      <c r="U222" s="96">
        <f t="shared" si="52"/>
        <v>100596</v>
      </c>
      <c r="V222" s="125">
        <f t="shared" ref="V222:V285" si="54">D222-G222-I222</f>
        <v>151106</v>
      </c>
      <c r="W222" s="109">
        <f t="shared" si="35"/>
        <v>2.7080327716966897E-2</v>
      </c>
      <c r="X222" s="35">
        <f t="shared" si="53"/>
        <v>3.7276822263674805E-2</v>
      </c>
      <c r="Y222" s="218">
        <f t="shared" si="43"/>
        <v>2.7080327716966897E-2</v>
      </c>
      <c r="Z222" s="87">
        <f t="shared" si="48"/>
        <v>3.8999705662598805E-2</v>
      </c>
      <c r="AA222" s="87">
        <f t="shared" si="41"/>
        <v>0.57027550982365871</v>
      </c>
      <c r="AB222" s="87">
        <f t="shared" si="47"/>
        <v>0.57027550982365882</v>
      </c>
      <c r="AD222" s="87">
        <f t="shared" si="39"/>
        <v>4.5152097829545212E-2</v>
      </c>
      <c r="AF222" s="197">
        <f>MAX($B$2:B222)</f>
        <v>16447</v>
      </c>
    </row>
    <row r="223" spans="1:32" x14ac:dyDescent="0.25">
      <c r="A223" s="339">
        <v>44114</v>
      </c>
      <c r="B223" s="167">
        <v>12414</v>
      </c>
      <c r="C223" s="23">
        <f t="shared" si="36"/>
        <v>13294.857142857143</v>
      </c>
      <c r="D223" s="156">
        <f t="shared" si="34"/>
        <v>883882</v>
      </c>
      <c r="E223" s="167">
        <v>357</v>
      </c>
      <c r="F223" s="23">
        <f t="shared" si="37"/>
        <v>398.14285714285717</v>
      </c>
      <c r="G223" s="167">
        <f t="shared" si="44"/>
        <v>23578</v>
      </c>
      <c r="H223" s="156">
        <f t="shared" si="49"/>
        <v>12323</v>
      </c>
      <c r="I223" s="184">
        <v>709464</v>
      </c>
      <c r="J223" s="167">
        <v>4200</v>
      </c>
      <c r="K223" s="23">
        <f t="shared" si="46"/>
        <v>4038.1428571428573</v>
      </c>
      <c r="L223" s="167">
        <v>19871</v>
      </c>
      <c r="M223" s="23">
        <f t="shared" si="46"/>
        <v>22897.714285714286</v>
      </c>
      <c r="N223" s="4">
        <f t="shared" si="40"/>
        <v>2168025</v>
      </c>
      <c r="O223" s="97">
        <v>1566</v>
      </c>
      <c r="P223" s="97">
        <v>1182752</v>
      </c>
      <c r="Q223" s="108">
        <f t="shared" si="51"/>
        <v>1184318</v>
      </c>
      <c r="R223" s="112">
        <v>7886</v>
      </c>
      <c r="S223" s="112">
        <v>176230</v>
      </c>
      <c r="T223" s="112">
        <v>594738</v>
      </c>
      <c r="U223" s="96">
        <f t="shared" si="52"/>
        <v>105028</v>
      </c>
      <c r="V223" s="125">
        <f t="shared" si="54"/>
        <v>150840</v>
      </c>
      <c r="W223" s="109">
        <f t="shared" si="35"/>
        <v>2.7844073190135241E-2</v>
      </c>
      <c r="X223" s="35">
        <f t="shared" si="53"/>
        <v>3.7344483777212861E-2</v>
      </c>
      <c r="Y223" s="218">
        <f t="shared" si="43"/>
        <v>2.7844073190135241E-2</v>
      </c>
      <c r="Z223" s="87">
        <f t="shared" si="48"/>
        <v>6.7725244088525871E-2</v>
      </c>
      <c r="AA223" s="87">
        <f t="shared" si="41"/>
        <v>0.58061940056399886</v>
      </c>
      <c r="AB223" s="87">
        <f t="shared" si="47"/>
        <v>0.58061940056399886</v>
      </c>
      <c r="AD223" s="87">
        <f t="shared" ref="AD223:AD286" si="55">V223/V216-1</f>
        <v>4.8133247170165205E-2</v>
      </c>
      <c r="AF223" s="197">
        <f>MAX($B$2:B223)</f>
        <v>16447</v>
      </c>
    </row>
    <row r="224" spans="1:32" x14ac:dyDescent="0.25">
      <c r="A224" s="340">
        <v>44115</v>
      </c>
      <c r="B224" s="168">
        <v>10324</v>
      </c>
      <c r="C224" s="23">
        <f t="shared" si="36"/>
        <v>13674.285714285714</v>
      </c>
      <c r="D224" s="163">
        <f t="shared" si="34"/>
        <v>894206</v>
      </c>
      <c r="E224" s="168">
        <v>283</v>
      </c>
      <c r="F224" s="23">
        <f t="shared" si="37"/>
        <v>406.85714285714283</v>
      </c>
      <c r="G224" s="168">
        <f t="shared" si="44"/>
        <v>23861</v>
      </c>
      <c r="H224" s="156">
        <f t="shared" si="49"/>
        <v>11916</v>
      </c>
      <c r="I224" s="184">
        <v>721380</v>
      </c>
      <c r="J224" s="168">
        <v>4237</v>
      </c>
      <c r="K224" s="23">
        <f t="shared" si="46"/>
        <v>4079.1428571428573</v>
      </c>
      <c r="L224" s="168">
        <v>14237</v>
      </c>
      <c r="M224" s="23">
        <f t="shared" si="46"/>
        <v>23044</v>
      </c>
      <c r="N224" s="4">
        <f t="shared" si="40"/>
        <v>2182262</v>
      </c>
      <c r="O224" s="116">
        <v>1567</v>
      </c>
      <c r="P224" s="116">
        <v>1189378</v>
      </c>
      <c r="Q224" s="121">
        <f t="shared" si="51"/>
        <v>1190945</v>
      </c>
      <c r="R224" s="117">
        <v>7932</v>
      </c>
      <c r="S224" s="117">
        <v>177557</v>
      </c>
      <c r="T224" s="117">
        <v>599352</v>
      </c>
      <c r="U224" s="115">
        <f t="shared" si="52"/>
        <v>109365</v>
      </c>
      <c r="V224" s="125">
        <f t="shared" si="54"/>
        <v>148965</v>
      </c>
      <c r="W224" s="118">
        <f t="shared" si="35"/>
        <v>2.8442922834222804E-2</v>
      </c>
      <c r="X224" s="91">
        <f t="shared" si="53"/>
        <v>3.7274251070457252E-2</v>
      </c>
      <c r="Y224" s="218">
        <f t="shared" si="43"/>
        <v>2.8442922834222804E-2</v>
      </c>
      <c r="Z224" s="87">
        <f t="shared" si="48"/>
        <v>0.10536283431105353</v>
      </c>
      <c r="AA224" s="87">
        <f t="shared" si="41"/>
        <v>0.59339896347360332</v>
      </c>
      <c r="AB224" s="87">
        <f t="shared" si="47"/>
        <v>0.59339896347360332</v>
      </c>
      <c r="AD224" s="87">
        <f t="shared" si="55"/>
        <v>5.79825427376226E-2</v>
      </c>
      <c r="AF224" s="197">
        <f>MAX($B$2:B224)</f>
        <v>16447</v>
      </c>
    </row>
    <row r="225" spans="1:32" x14ac:dyDescent="0.25">
      <c r="A225" s="341">
        <v>44116</v>
      </c>
      <c r="B225" s="156">
        <v>9524</v>
      </c>
      <c r="C225" s="23">
        <f t="shared" si="36"/>
        <v>13428.857142857143</v>
      </c>
      <c r="D225" s="156">
        <f t="shared" ref="D225:D241" si="56">D224+B225</f>
        <v>903730</v>
      </c>
      <c r="E225" s="156">
        <v>318</v>
      </c>
      <c r="F225" s="23">
        <f t="shared" si="37"/>
        <v>388</v>
      </c>
      <c r="G225" s="156">
        <f t="shared" si="44"/>
        <v>24179</v>
      </c>
      <c r="H225" s="156">
        <f t="shared" si="49"/>
        <v>11202</v>
      </c>
      <c r="I225" s="185">
        <v>732582</v>
      </c>
      <c r="J225" s="156">
        <v>4287</v>
      </c>
      <c r="K225" s="23">
        <f t="shared" si="46"/>
        <v>4123.2857142857147</v>
      </c>
      <c r="L225" s="156">
        <v>13956</v>
      </c>
      <c r="M225" s="23">
        <f t="shared" si="46"/>
        <v>22143</v>
      </c>
      <c r="N225" s="4">
        <f t="shared" si="40"/>
        <v>2196218</v>
      </c>
      <c r="O225" s="7">
        <v>1567</v>
      </c>
      <c r="P225" s="7">
        <v>1196534</v>
      </c>
      <c r="Q225" s="4">
        <f t="shared" si="51"/>
        <v>1198101</v>
      </c>
      <c r="R225" s="8">
        <v>7963</v>
      </c>
      <c r="S225" s="8">
        <v>179298</v>
      </c>
      <c r="T225" s="8">
        <v>608522</v>
      </c>
      <c r="U225" s="4">
        <f t="shared" si="52"/>
        <v>107947</v>
      </c>
      <c r="V225" s="125">
        <f t="shared" si="54"/>
        <v>146969</v>
      </c>
      <c r="W225" s="43">
        <f t="shared" si="35"/>
        <v>2.9169416679707967E-2</v>
      </c>
      <c r="X225" s="35">
        <f t="shared" si="53"/>
        <v>3.7074461723405103E-2</v>
      </c>
      <c r="Y225" s="218">
        <f t="shared" si="43"/>
        <v>2.9169416679707967E-2</v>
      </c>
      <c r="Z225" s="87">
        <f t="shared" si="48"/>
        <v>6.9918847243879423E-2</v>
      </c>
      <c r="AA225" s="87">
        <f t="shared" si="41"/>
        <v>0.60646060347997754</v>
      </c>
      <c r="AB225" s="87">
        <f t="shared" si="47"/>
        <v>0.60646060347997754</v>
      </c>
      <c r="AD225" s="87">
        <f t="shared" si="55"/>
        <v>5.5447834080202263E-2</v>
      </c>
      <c r="AF225" s="197">
        <f>MAX($B$2:B225)</f>
        <v>16447</v>
      </c>
    </row>
    <row r="226" spans="1:32" x14ac:dyDescent="0.25">
      <c r="A226" s="341">
        <v>44117</v>
      </c>
      <c r="B226" s="156">
        <v>13305</v>
      </c>
      <c r="C226" s="23">
        <f t="shared" si="36"/>
        <v>13223.857142857143</v>
      </c>
      <c r="D226" s="156">
        <f t="shared" si="56"/>
        <v>917035</v>
      </c>
      <c r="E226" s="156">
        <v>384</v>
      </c>
      <c r="F226" s="23">
        <f t="shared" si="37"/>
        <v>391.57142857142856</v>
      </c>
      <c r="G226" s="156">
        <f t="shared" si="44"/>
        <v>24563</v>
      </c>
      <c r="H226" s="156">
        <f t="shared" si="49"/>
        <v>9653</v>
      </c>
      <c r="I226" s="185">
        <v>742235</v>
      </c>
      <c r="J226" s="156">
        <v>4294</v>
      </c>
      <c r="K226" s="23">
        <f t="shared" si="46"/>
        <v>4164.2857142857147</v>
      </c>
      <c r="L226" s="156">
        <v>20544</v>
      </c>
      <c r="M226" s="23">
        <f t="shared" si="46"/>
        <v>21294.857142857141</v>
      </c>
      <c r="N226" s="4">
        <f t="shared" si="40"/>
        <v>2216762</v>
      </c>
      <c r="O226" s="7">
        <v>1574</v>
      </c>
      <c r="P226" s="7">
        <v>1207475</v>
      </c>
      <c r="Q226" s="7">
        <f t="shared" ref="Q226:Q231" si="57">O226+P226</f>
        <v>1209049</v>
      </c>
      <c r="R226" s="8">
        <v>8033</v>
      </c>
      <c r="S226" s="8">
        <v>182045</v>
      </c>
      <c r="T226" s="8">
        <v>619199</v>
      </c>
      <c r="U226" s="4">
        <f t="shared" si="52"/>
        <v>107758</v>
      </c>
      <c r="V226" s="125">
        <f t="shared" si="54"/>
        <v>150237</v>
      </c>
      <c r="W226" s="43">
        <f t="shared" ref="W226:W245" si="58">J226/(D226-G226-I226)</f>
        <v>2.8581507884209614E-2</v>
      </c>
      <c r="X226" s="35">
        <f t="shared" si="53"/>
        <v>3.6948009849593635E-2</v>
      </c>
      <c r="Y226" s="218">
        <f t="shared" si="43"/>
        <v>2.8581507884209614E-2</v>
      </c>
      <c r="Z226" s="87">
        <f t="shared" si="48"/>
        <v>2.950597237360153E-2</v>
      </c>
      <c r="AA226" s="87">
        <f t="shared" si="41"/>
        <v>0.62098830032737617</v>
      </c>
      <c r="AB226" s="87">
        <f t="shared" si="47"/>
        <v>0.62098830032737617</v>
      </c>
      <c r="AD226" s="87">
        <f t="shared" si="55"/>
        <v>5.5227780353154454E-2</v>
      </c>
      <c r="AF226" s="197">
        <f>MAX($B$2:B226)</f>
        <v>16447</v>
      </c>
    </row>
    <row r="227" spans="1:32" x14ac:dyDescent="0.25">
      <c r="A227" s="341">
        <v>44118</v>
      </c>
      <c r="B227" s="156">
        <v>14932</v>
      </c>
      <c r="C227" s="23">
        <f t="shared" si="36"/>
        <v>13007.428571428571</v>
      </c>
      <c r="D227" s="156">
        <f t="shared" si="56"/>
        <v>931967</v>
      </c>
      <c r="E227" s="156">
        <v>350</v>
      </c>
      <c r="F227" s="23">
        <f t="shared" si="37"/>
        <v>384.28571428571428</v>
      </c>
      <c r="G227" s="156">
        <f t="shared" si="44"/>
        <v>24913</v>
      </c>
      <c r="H227" s="156">
        <f t="shared" si="49"/>
        <v>8911</v>
      </c>
      <c r="I227" s="185">
        <v>751146</v>
      </c>
      <c r="J227" s="156">
        <v>4316</v>
      </c>
      <c r="K227" s="23">
        <f t="shared" si="46"/>
        <v>4209.8571428571431</v>
      </c>
      <c r="L227" s="156">
        <v>23519</v>
      </c>
      <c r="M227" s="23">
        <f t="shared" si="46"/>
        <v>20448.857142857141</v>
      </c>
      <c r="N227" s="4">
        <f t="shared" si="40"/>
        <v>2240281</v>
      </c>
      <c r="O227" s="7">
        <v>1574</v>
      </c>
      <c r="P227" s="7">
        <v>1219715</v>
      </c>
      <c r="Q227" s="7">
        <f t="shared" si="57"/>
        <v>1221289</v>
      </c>
      <c r="R227" s="8">
        <v>8098</v>
      </c>
      <c r="S227" s="8">
        <v>184890</v>
      </c>
      <c r="T227" s="8">
        <v>629734</v>
      </c>
      <c r="U227" s="4">
        <f t="shared" si="52"/>
        <v>109245</v>
      </c>
      <c r="V227" s="125">
        <f t="shared" si="54"/>
        <v>155908</v>
      </c>
      <c r="W227" s="43">
        <f t="shared" si="58"/>
        <v>2.7682992534058547E-2</v>
      </c>
      <c r="X227" s="35">
        <f t="shared" si="53"/>
        <v>3.673042729548584E-2</v>
      </c>
      <c r="Y227" s="218">
        <f t="shared" si="43"/>
        <v>2.7682992534058547E-2</v>
      </c>
      <c r="Z227" s="87">
        <f t="shared" si="48"/>
        <v>-3.4476342662010939E-3</v>
      </c>
      <c r="AA227" s="87">
        <f t="shared" si="41"/>
        <v>0.63609562532310571</v>
      </c>
      <c r="AB227" s="87">
        <f t="shared" si="47"/>
        <v>0.63609562532310571</v>
      </c>
      <c r="AD227" s="87">
        <f t="shared" si="55"/>
        <v>5.366737177884251E-2</v>
      </c>
      <c r="AF227" s="197">
        <f>MAX($B$2:B227)</f>
        <v>16447</v>
      </c>
    </row>
    <row r="228" spans="1:32" x14ac:dyDescent="0.25">
      <c r="A228" s="341">
        <v>44119</v>
      </c>
      <c r="B228" s="169">
        <v>17096</v>
      </c>
      <c r="C228" s="23">
        <f t="shared" si="36"/>
        <v>13242</v>
      </c>
      <c r="D228" s="156">
        <f t="shared" si="56"/>
        <v>949063</v>
      </c>
      <c r="E228" s="156">
        <v>421</v>
      </c>
      <c r="F228" s="23">
        <f t="shared" si="37"/>
        <v>375.28571428571428</v>
      </c>
      <c r="G228" s="156">
        <f t="shared" si="44"/>
        <v>25334</v>
      </c>
      <c r="H228" s="156">
        <f t="shared" si="49"/>
        <v>13713</v>
      </c>
      <c r="I228" s="185">
        <v>764859</v>
      </c>
      <c r="J228" s="156">
        <v>4278</v>
      </c>
      <c r="K228" s="23">
        <f t="shared" si="46"/>
        <v>4243.4285714285716</v>
      </c>
      <c r="L228" s="156">
        <v>27662</v>
      </c>
      <c r="M228" s="23">
        <f t="shared" si="46"/>
        <v>20709</v>
      </c>
      <c r="N228" s="4">
        <f t="shared" si="40"/>
        <v>2267943</v>
      </c>
      <c r="O228" s="7">
        <v>1575</v>
      </c>
      <c r="P228" s="7">
        <v>1234321</v>
      </c>
      <c r="Q228" s="7">
        <f t="shared" si="57"/>
        <v>1235896</v>
      </c>
      <c r="R228" s="8">
        <v>8172</v>
      </c>
      <c r="S228" s="8">
        <v>187747</v>
      </c>
      <c r="T228" s="8">
        <v>642465</v>
      </c>
      <c r="U228" s="4">
        <f t="shared" si="52"/>
        <v>110679</v>
      </c>
      <c r="V228" s="125">
        <f t="shared" si="54"/>
        <v>158870</v>
      </c>
      <c r="W228" s="43">
        <f t="shared" si="58"/>
        <v>2.6927676716812489E-2</v>
      </c>
      <c r="X228" s="35">
        <f t="shared" si="53"/>
        <v>3.6650343226254455E-2</v>
      </c>
      <c r="Y228" s="218">
        <f t="shared" si="43"/>
        <v>2.6927676716812489E-2</v>
      </c>
      <c r="Z228" s="87">
        <f t="shared" si="48"/>
        <v>9.9696008890923782E-3</v>
      </c>
      <c r="AA228" s="87">
        <f t="shared" si="41"/>
        <v>0.63943213095755469</v>
      </c>
      <c r="AB228" s="87">
        <f t="shared" si="47"/>
        <v>0.63943213095755469</v>
      </c>
      <c r="AD228" s="87">
        <f t="shared" si="55"/>
        <v>6.7545592603045268E-2</v>
      </c>
      <c r="AF228" s="197">
        <f>MAX($B$2:B228)</f>
        <v>17096</v>
      </c>
    </row>
    <row r="229" spans="1:32" x14ac:dyDescent="0.25">
      <c r="A229" s="341">
        <v>44120</v>
      </c>
      <c r="B229" s="156">
        <v>16546</v>
      </c>
      <c r="C229" s="23">
        <f t="shared" ref="C229:C292" si="59">AVERAGE(B223:B229)</f>
        <v>13448.714285714286</v>
      </c>
      <c r="D229" s="156">
        <f t="shared" si="56"/>
        <v>965609</v>
      </c>
      <c r="E229" s="156">
        <v>379</v>
      </c>
      <c r="F229" s="23">
        <f t="shared" ref="F229:F292" si="60">AVERAGE(E223:E229)</f>
        <v>356</v>
      </c>
      <c r="G229" s="156">
        <f t="shared" si="44"/>
        <v>25713</v>
      </c>
      <c r="H229" s="156">
        <f t="shared" si="49"/>
        <v>13642</v>
      </c>
      <c r="I229" s="185">
        <v>778501</v>
      </c>
      <c r="J229" s="156">
        <v>4346</v>
      </c>
      <c r="K229" s="23">
        <f t="shared" si="46"/>
        <v>4279.7142857142853</v>
      </c>
      <c r="L229" s="156">
        <v>27412</v>
      </c>
      <c r="M229" s="23">
        <f t="shared" si="46"/>
        <v>21028.714285714286</v>
      </c>
      <c r="N229" s="4">
        <f t="shared" si="40"/>
        <v>2295355</v>
      </c>
      <c r="O229" s="7">
        <v>1597</v>
      </c>
      <c r="P229" s="7">
        <v>1248101</v>
      </c>
      <c r="Q229" s="7">
        <f t="shared" si="57"/>
        <v>1249698</v>
      </c>
      <c r="R229" s="8">
        <v>8249</v>
      </c>
      <c r="S229" s="8">
        <v>190484</v>
      </c>
      <c r="T229" s="8">
        <v>653179</v>
      </c>
      <c r="U229" s="4">
        <f t="shared" si="52"/>
        <v>113697</v>
      </c>
      <c r="V229" s="125">
        <f t="shared" si="54"/>
        <v>161395</v>
      </c>
      <c r="W229" s="43">
        <f t="shared" si="58"/>
        <v>2.6927723907184238E-2</v>
      </c>
      <c r="X229" s="35">
        <f t="shared" si="53"/>
        <v>3.6602968893241696E-2</v>
      </c>
      <c r="Y229" s="218">
        <f t="shared" si="43"/>
        <v>2.6927723907184238E-2</v>
      </c>
      <c r="Z229" s="87">
        <f t="shared" si="48"/>
        <v>1.1572681165649357E-2</v>
      </c>
      <c r="AA229" s="87">
        <f t="shared" si="41"/>
        <v>0.63954049225209064</v>
      </c>
      <c r="AB229" s="87">
        <f t="shared" si="47"/>
        <v>0.63954049225209064</v>
      </c>
      <c r="AD229" s="87">
        <f t="shared" si="55"/>
        <v>6.8091273675433106E-2</v>
      </c>
      <c r="AF229" s="197">
        <f>MAX($B$2:B229)</f>
        <v>17096</v>
      </c>
    </row>
    <row r="230" spans="1:32" x14ac:dyDescent="0.25">
      <c r="A230" s="341">
        <v>44121</v>
      </c>
      <c r="B230" s="156">
        <v>13510</v>
      </c>
      <c r="C230" s="23">
        <f t="shared" si="59"/>
        <v>13605.285714285714</v>
      </c>
      <c r="D230" s="156">
        <f t="shared" si="56"/>
        <v>979119</v>
      </c>
      <c r="E230" s="156">
        <v>383</v>
      </c>
      <c r="F230" s="23">
        <f t="shared" si="60"/>
        <v>359.71428571428572</v>
      </c>
      <c r="G230" s="156">
        <f t="shared" si="44"/>
        <v>26096</v>
      </c>
      <c r="H230" s="156">
        <f t="shared" si="49"/>
        <v>12673</v>
      </c>
      <c r="I230" s="185">
        <v>791174</v>
      </c>
      <c r="J230" s="156">
        <v>4386</v>
      </c>
      <c r="K230" s="23">
        <f t="shared" si="46"/>
        <v>4306.2857142857147</v>
      </c>
      <c r="L230" s="156">
        <v>20955</v>
      </c>
      <c r="M230" s="23">
        <f t="shared" si="46"/>
        <v>21183.571428571428</v>
      </c>
      <c r="N230" s="4">
        <f t="shared" si="40"/>
        <v>2316310</v>
      </c>
      <c r="O230" s="7">
        <v>1611</v>
      </c>
      <c r="P230" s="7">
        <v>1260920</v>
      </c>
      <c r="Q230" s="7">
        <f t="shared" si="57"/>
        <v>1262531</v>
      </c>
      <c r="R230" s="8">
        <v>8311</v>
      </c>
      <c r="S230" s="8">
        <v>192192</v>
      </c>
      <c r="T230" s="8">
        <v>661955</v>
      </c>
      <c r="U230" s="4">
        <f t="shared" si="52"/>
        <v>116661</v>
      </c>
      <c r="V230" s="125">
        <f t="shared" si="54"/>
        <v>161849</v>
      </c>
      <c r="W230" s="43">
        <f t="shared" si="58"/>
        <v>2.7099333329214267E-2</v>
      </c>
      <c r="X230" s="35">
        <f t="shared" si="53"/>
        <v>3.6686465399079181E-2</v>
      </c>
      <c r="Y230" s="218">
        <f t="shared" si="43"/>
        <v>2.7099333329214267E-2</v>
      </c>
      <c r="Z230" s="87">
        <f t="shared" si="48"/>
        <v>-5.0459674049310177E-3</v>
      </c>
      <c r="AA230" s="87">
        <f t="shared" si="41"/>
        <v>0.64225646558991134</v>
      </c>
      <c r="AB230" s="87">
        <f t="shared" si="47"/>
        <v>0.64225646558991134</v>
      </c>
      <c r="AD230" s="87">
        <f t="shared" si="55"/>
        <v>7.29846194643331E-2</v>
      </c>
      <c r="AF230" s="197">
        <f>MAX($B$2:B230)</f>
        <v>17096</v>
      </c>
    </row>
    <row r="231" spans="1:32" x14ac:dyDescent="0.25">
      <c r="A231" s="341">
        <v>44122</v>
      </c>
      <c r="B231" s="156">
        <v>10561</v>
      </c>
      <c r="C231" s="23">
        <f t="shared" si="59"/>
        <v>13639.142857142857</v>
      </c>
      <c r="D231" s="156">
        <f t="shared" si="56"/>
        <v>989680</v>
      </c>
      <c r="E231" s="156">
        <v>159</v>
      </c>
      <c r="F231" s="23">
        <f t="shared" si="60"/>
        <v>342</v>
      </c>
      <c r="G231" s="156">
        <f t="shared" si="44"/>
        <v>26255</v>
      </c>
      <c r="H231" s="156">
        <f t="shared" si="49"/>
        <v>12791</v>
      </c>
      <c r="I231" s="185">
        <v>803965</v>
      </c>
      <c r="J231" s="156">
        <v>4387</v>
      </c>
      <c r="K231" s="23">
        <f t="shared" si="46"/>
        <v>4327.7142857142853</v>
      </c>
      <c r="L231" s="156">
        <v>13890</v>
      </c>
      <c r="M231" s="23">
        <f t="shared" si="46"/>
        <v>21134</v>
      </c>
      <c r="N231" s="4">
        <f t="shared" si="40"/>
        <v>2330200</v>
      </c>
      <c r="O231" s="7">
        <v>1617</v>
      </c>
      <c r="P231" s="7">
        <v>1269203</v>
      </c>
      <c r="Q231" s="4">
        <f t="shared" si="57"/>
        <v>1270820</v>
      </c>
      <c r="R231" s="8">
        <v>8370</v>
      </c>
      <c r="S231" s="8">
        <v>193297</v>
      </c>
      <c r="T231" s="8">
        <v>669231</v>
      </c>
      <c r="U231" s="4">
        <f t="shared" si="52"/>
        <v>118782</v>
      </c>
      <c r="V231" s="125">
        <f t="shared" si="54"/>
        <v>159460</v>
      </c>
      <c r="W231" s="43">
        <f t="shared" si="58"/>
        <v>2.7511601655587609E-2</v>
      </c>
      <c r="X231" s="35">
        <f t="shared" si="53"/>
        <v>3.6307340845101586E-2</v>
      </c>
      <c r="Y231" s="218">
        <f t="shared" si="43"/>
        <v>2.7511601655587609E-2</v>
      </c>
      <c r="Z231" s="87">
        <f t="shared" si="48"/>
        <v>1.5659241292738324E-2</v>
      </c>
      <c r="AA231" s="87">
        <f t="shared" si="41"/>
        <v>0.64536495018183293</v>
      </c>
      <c r="AB231" s="342">
        <f>SUM(B225:B231)/SUM(L225:L231)</f>
        <v>0.64536495018183293</v>
      </c>
      <c r="AD231" s="87">
        <f t="shared" si="55"/>
        <v>7.0452790924042663E-2</v>
      </c>
      <c r="AF231" s="197">
        <f>MAX($B$2:B231)</f>
        <v>17096</v>
      </c>
    </row>
    <row r="232" spans="1:32" x14ac:dyDescent="0.25">
      <c r="A232" s="341">
        <v>44123</v>
      </c>
      <c r="B232" s="156">
        <v>12982</v>
      </c>
      <c r="C232" s="23">
        <f t="shared" si="59"/>
        <v>14133.142857142857</v>
      </c>
      <c r="D232" s="156">
        <f t="shared" si="56"/>
        <v>1002662</v>
      </c>
      <c r="E232" s="156">
        <v>448</v>
      </c>
      <c r="F232" s="23">
        <f t="shared" si="60"/>
        <v>360.57142857142856</v>
      </c>
      <c r="G232" s="156">
        <f t="shared" si="44"/>
        <v>26703</v>
      </c>
      <c r="H232" s="156">
        <f t="shared" si="49"/>
        <v>12282</v>
      </c>
      <c r="I232" s="185">
        <v>816247</v>
      </c>
      <c r="J232" s="156">
        <v>4392</v>
      </c>
      <c r="K232" s="23">
        <f t="shared" si="46"/>
        <v>4342.7142857142853</v>
      </c>
      <c r="L232" s="156">
        <v>28395</v>
      </c>
      <c r="M232" s="23">
        <f t="shared" si="46"/>
        <v>23196.714285714286</v>
      </c>
      <c r="N232" s="4">
        <f t="shared" si="40"/>
        <v>2358595</v>
      </c>
      <c r="O232" s="7">
        <v>1656</v>
      </c>
      <c r="P232" s="7">
        <v>1281757</v>
      </c>
      <c r="Q232" s="4">
        <v>1283413</v>
      </c>
      <c r="R232" s="4">
        <v>8406</v>
      </c>
      <c r="S232" s="4">
        <v>195959</v>
      </c>
      <c r="T232" s="4">
        <v>676839</v>
      </c>
      <c r="U232" s="4">
        <v>121458</v>
      </c>
      <c r="V232" s="125">
        <f t="shared" si="54"/>
        <v>159712</v>
      </c>
      <c r="W232" s="43">
        <f t="shared" si="58"/>
        <v>2.7499499098377077E-2</v>
      </c>
      <c r="X232" s="35">
        <f t="shared" si="53"/>
        <v>3.6251254057444317E-2</v>
      </c>
      <c r="Y232" s="218">
        <f t="shared" si="43"/>
        <v>2.7499499098377077E-2</v>
      </c>
      <c r="Z232" s="87">
        <f t="shared" si="48"/>
        <v>6.8761005541931652E-2</v>
      </c>
      <c r="AA232" s="87">
        <f t="shared" si="41"/>
        <v>0.60927348085012034</v>
      </c>
      <c r="AB232" s="87">
        <f t="shared" si="47"/>
        <v>0.60927348085012045</v>
      </c>
      <c r="AD232" s="87">
        <f t="shared" si="55"/>
        <v>8.6705359633664214E-2</v>
      </c>
      <c r="AF232" s="197">
        <f>MAX($B$2:B232)</f>
        <v>17096</v>
      </c>
    </row>
    <row r="233" spans="1:32" x14ac:dyDescent="0.25">
      <c r="A233" s="341">
        <v>44124</v>
      </c>
      <c r="B233" s="156">
        <v>16337</v>
      </c>
      <c r="C233" s="23">
        <f t="shared" si="59"/>
        <v>14566.285714285714</v>
      </c>
      <c r="D233" s="156">
        <f t="shared" si="56"/>
        <v>1018999</v>
      </c>
      <c r="E233" s="156">
        <v>381</v>
      </c>
      <c r="F233" s="23">
        <f t="shared" si="60"/>
        <v>360.14285714285717</v>
      </c>
      <c r="G233" s="156">
        <f t="shared" si="44"/>
        <v>27084</v>
      </c>
      <c r="H233" s="156">
        <f t="shared" si="49"/>
        <v>13400</v>
      </c>
      <c r="I233" s="185">
        <v>829647</v>
      </c>
      <c r="J233" s="156">
        <v>4451</v>
      </c>
      <c r="K233" s="23">
        <f t="shared" si="46"/>
        <v>4365.1428571428569</v>
      </c>
      <c r="L233" s="156">
        <v>37474</v>
      </c>
      <c r="M233" s="23">
        <f t="shared" si="46"/>
        <v>25615.285714285714</v>
      </c>
      <c r="N233" s="4">
        <f t="shared" si="40"/>
        <v>2396069</v>
      </c>
      <c r="O233" s="7">
        <v>1707</v>
      </c>
      <c r="P233" s="7">
        <v>1298433</v>
      </c>
      <c r="Q233" s="4">
        <v>1283413</v>
      </c>
      <c r="R233" s="4">
        <v>8482</v>
      </c>
      <c r="S233" s="4">
        <v>199382</v>
      </c>
      <c r="T233" s="4">
        <v>689632</v>
      </c>
      <c r="U233" s="12">
        <f>D233-R233-S233-T233</f>
        <v>121503</v>
      </c>
      <c r="V233" s="125">
        <f t="shared" si="54"/>
        <v>162268</v>
      </c>
      <c r="W233" s="43">
        <f t="shared" si="58"/>
        <v>2.7429930731875662E-2</v>
      </c>
      <c r="X233" s="35">
        <f t="shared" si="53"/>
        <v>3.6063866759165432E-2</v>
      </c>
      <c r="Y233" s="218">
        <f t="shared" si="43"/>
        <v>2.7429930731875662E-2</v>
      </c>
      <c r="Z233" s="87">
        <f t="shared" si="48"/>
        <v>0.11984360585160125</v>
      </c>
      <c r="AA233" s="87">
        <f t="shared" si="41"/>
        <v>0.56865599223677821</v>
      </c>
      <c r="AB233" s="87">
        <f t="shared" si="47"/>
        <v>0.56865599223677832</v>
      </c>
      <c r="AD233" s="87">
        <f t="shared" si="55"/>
        <v>8.0080140045394987E-2</v>
      </c>
      <c r="AF233" s="197">
        <f>MAX($B$2:B233)</f>
        <v>17096</v>
      </c>
    </row>
    <row r="234" spans="1:32" x14ac:dyDescent="0.25">
      <c r="A234" s="341">
        <v>44125</v>
      </c>
      <c r="B234" s="169">
        <v>18326</v>
      </c>
      <c r="C234" s="343">
        <f t="shared" si="59"/>
        <v>15051.142857142857</v>
      </c>
      <c r="D234" s="156">
        <f t="shared" si="56"/>
        <v>1037325</v>
      </c>
      <c r="E234" s="156">
        <v>421</v>
      </c>
      <c r="F234" s="23">
        <f t="shared" si="60"/>
        <v>370.28571428571428</v>
      </c>
      <c r="G234" s="156">
        <f t="shared" si="44"/>
        <v>27505</v>
      </c>
      <c r="H234" s="156">
        <f t="shared" si="49"/>
        <v>10873</v>
      </c>
      <c r="I234" s="185">
        <v>840520</v>
      </c>
      <c r="J234" s="156">
        <v>4573</v>
      </c>
      <c r="K234" s="23">
        <f t="shared" si="46"/>
        <v>4401.8571428571431</v>
      </c>
      <c r="L234" s="156">
        <v>38340</v>
      </c>
      <c r="M234" s="23">
        <f t="shared" si="46"/>
        <v>27732.571428571428</v>
      </c>
      <c r="N234" s="4">
        <f t="shared" ref="N234:N297" si="61">N235-L235</f>
        <v>2434409</v>
      </c>
      <c r="O234" s="7">
        <v>1753</v>
      </c>
      <c r="P234" s="7">
        <v>1314443</v>
      </c>
      <c r="Q234" s="7">
        <f>O234+P234</f>
        <v>1316196</v>
      </c>
      <c r="R234" s="4">
        <v>8552</v>
      </c>
      <c r="S234" s="4">
        <v>202216</v>
      </c>
      <c r="T234" s="4">
        <v>702103</v>
      </c>
      <c r="U234" s="12">
        <f>D234-R234-S234-T234</f>
        <v>124454</v>
      </c>
      <c r="V234" s="125">
        <f t="shared" si="54"/>
        <v>169300</v>
      </c>
      <c r="W234" s="43">
        <f t="shared" si="58"/>
        <v>2.7011222681630243E-2</v>
      </c>
      <c r="X234" s="35">
        <f t="shared" si="53"/>
        <v>3.5954154368223877E-2</v>
      </c>
      <c r="Y234" s="218">
        <f t="shared" si="43"/>
        <v>2.7011222681630243E-2</v>
      </c>
      <c r="Z234" s="87">
        <f t="shared" si="48"/>
        <v>0.13662157205428604</v>
      </c>
      <c r="AA234" s="87">
        <f t="shared" si="41"/>
        <v>0.54272438803263823</v>
      </c>
      <c r="AB234" s="87">
        <f t="shared" si="47"/>
        <v>0.54272438803263823</v>
      </c>
      <c r="AD234" s="87">
        <f t="shared" si="55"/>
        <v>8.5896810939785073E-2</v>
      </c>
      <c r="AF234" s="197">
        <f>MAX($B$2:B234)</f>
        <v>18326</v>
      </c>
    </row>
    <row r="235" spans="1:32" x14ac:dyDescent="0.25">
      <c r="A235" s="341">
        <v>44126</v>
      </c>
      <c r="B235" s="156">
        <v>16325</v>
      </c>
      <c r="C235" s="23">
        <f t="shared" si="59"/>
        <v>14941</v>
      </c>
      <c r="D235" s="156">
        <f t="shared" si="56"/>
        <v>1053650</v>
      </c>
      <c r="E235" s="154">
        <v>437</v>
      </c>
      <c r="F235" s="23">
        <f t="shared" si="60"/>
        <v>372.57142857142856</v>
      </c>
      <c r="G235" s="154">
        <f t="shared" si="44"/>
        <v>27942</v>
      </c>
      <c r="H235" s="156">
        <f t="shared" si="49"/>
        <v>11334</v>
      </c>
      <c r="I235" s="179">
        <v>851854</v>
      </c>
      <c r="J235" s="154">
        <v>4611</v>
      </c>
      <c r="K235" s="23">
        <f t="shared" si="46"/>
        <v>4449.4285714285716</v>
      </c>
      <c r="L235" s="154">
        <v>39196</v>
      </c>
      <c r="M235" s="23">
        <f t="shared" si="46"/>
        <v>29380.285714285714</v>
      </c>
      <c r="N235" s="4">
        <f t="shared" si="61"/>
        <v>2473605</v>
      </c>
      <c r="O235" s="124">
        <v>1832</v>
      </c>
      <c r="P235" s="124">
        <v>1332741</v>
      </c>
      <c r="Q235" s="124">
        <f>P235+O235</f>
        <v>1334573</v>
      </c>
      <c r="R235" s="124">
        <v>8614</v>
      </c>
      <c r="S235" s="124">
        <v>205085</v>
      </c>
      <c r="T235" s="124">
        <v>714929</v>
      </c>
      <c r="U235" s="124">
        <f>D235-R235-S235-T235</f>
        <v>125022</v>
      </c>
      <c r="V235" s="125">
        <f t="shared" si="54"/>
        <v>173854</v>
      </c>
      <c r="W235" s="43">
        <f t="shared" si="58"/>
        <v>2.6522254305336661E-2</v>
      </c>
      <c r="X235" s="35">
        <f t="shared" si="53"/>
        <v>3.5837365924105635E-2</v>
      </c>
      <c r="Y235" s="218">
        <f t="shared" si="43"/>
        <v>2.6522254305336661E-2</v>
      </c>
      <c r="Z235" s="87">
        <f t="shared" si="48"/>
        <v>0.11096121774784629</v>
      </c>
      <c r="AA235" s="87">
        <f t="shared" si="41"/>
        <v>0.50853828125759748</v>
      </c>
      <c r="AB235" s="87">
        <f t="shared" si="47"/>
        <v>0.50853828125759737</v>
      </c>
      <c r="AD235" s="87">
        <f t="shared" si="55"/>
        <v>9.431610750928443E-2</v>
      </c>
      <c r="AF235" s="197">
        <f>MAX($B$2:B235)</f>
        <v>18326</v>
      </c>
    </row>
    <row r="236" spans="1:32" x14ac:dyDescent="0.25">
      <c r="A236" s="341">
        <v>44127</v>
      </c>
      <c r="B236" s="156">
        <v>15718</v>
      </c>
      <c r="C236" s="23">
        <f t="shared" si="59"/>
        <v>14822.714285714286</v>
      </c>
      <c r="D236" s="156">
        <f t="shared" si="56"/>
        <v>1069368</v>
      </c>
      <c r="E236" s="154">
        <v>380</v>
      </c>
      <c r="F236" s="23">
        <f t="shared" si="60"/>
        <v>372.71428571428572</v>
      </c>
      <c r="G236" s="154">
        <f t="shared" si="44"/>
        <v>28322</v>
      </c>
      <c r="H236" s="156">
        <f t="shared" si="49"/>
        <v>14841</v>
      </c>
      <c r="I236" s="179">
        <v>866695</v>
      </c>
      <c r="J236" s="154">
        <v>4696</v>
      </c>
      <c r="K236" s="23">
        <f t="shared" si="46"/>
        <v>4499.4285714285716</v>
      </c>
      <c r="L236" s="154">
        <v>35671</v>
      </c>
      <c r="M236" s="23">
        <f t="shared" si="46"/>
        <v>30560.142857142859</v>
      </c>
      <c r="N236" s="4">
        <f t="shared" si="61"/>
        <v>2509276</v>
      </c>
      <c r="O236" s="124">
        <v>1839</v>
      </c>
      <c r="P236" s="124">
        <v>1348372</v>
      </c>
      <c r="Q236" s="124">
        <f t="shared" ref="Q236:Q299" si="62">P236+O236</f>
        <v>1350211</v>
      </c>
      <c r="R236" s="124">
        <v>8671</v>
      </c>
      <c r="S236" s="126">
        <v>208116</v>
      </c>
      <c r="T236" s="126">
        <v>727467</v>
      </c>
      <c r="U236" s="124">
        <f t="shared" ref="U236:U299" si="63">D236-R236-S236-T236</f>
        <v>125114</v>
      </c>
      <c r="V236" s="125">
        <f t="shared" si="54"/>
        <v>174351</v>
      </c>
      <c r="W236" s="43">
        <f t="shared" si="58"/>
        <v>2.6934173018795419E-2</v>
      </c>
      <c r="X236" s="35">
        <f t="shared" si="53"/>
        <v>3.5813550020358666E-2</v>
      </c>
      <c r="Y236" s="218">
        <f t="shared" si="43"/>
        <v>2.6934173018795419E-2</v>
      </c>
      <c r="Z236" s="87">
        <f t="shared" si="48"/>
        <v>8.9482029043334022E-2</v>
      </c>
      <c r="AA236" s="87">
        <f t="shared" ref="AA236:AA299" si="64">C236/M236</f>
        <v>0.48503419486632915</v>
      </c>
      <c r="AB236" s="87">
        <f t="shared" si="47"/>
        <v>0.48503419486632915</v>
      </c>
      <c r="AD236" s="87">
        <f t="shared" si="55"/>
        <v>8.0275101459152953E-2</v>
      </c>
      <c r="AF236" s="197">
        <f>MAX($B$2:B236)</f>
        <v>18326</v>
      </c>
    </row>
    <row r="237" spans="1:32" x14ac:dyDescent="0.25">
      <c r="A237" s="341">
        <v>44128</v>
      </c>
      <c r="B237" s="156">
        <v>11968</v>
      </c>
      <c r="C237" s="23">
        <f t="shared" si="59"/>
        <v>14602.428571428571</v>
      </c>
      <c r="D237" s="156">
        <f t="shared" si="56"/>
        <v>1081336</v>
      </c>
      <c r="E237" s="154">
        <v>273</v>
      </c>
      <c r="F237" s="23">
        <f t="shared" si="60"/>
        <v>357</v>
      </c>
      <c r="G237" s="154">
        <f t="shared" si="44"/>
        <v>28595</v>
      </c>
      <c r="H237" s="156">
        <f t="shared" si="49"/>
        <v>14418</v>
      </c>
      <c r="I237" s="179">
        <v>881113</v>
      </c>
      <c r="J237" s="154">
        <v>4850</v>
      </c>
      <c r="K237" s="23">
        <f t="shared" si="46"/>
        <v>4565.7142857142853</v>
      </c>
      <c r="L237" s="154">
        <v>27027</v>
      </c>
      <c r="M237" s="23">
        <f t="shared" si="46"/>
        <v>31427.571428571428</v>
      </c>
      <c r="N237" s="4">
        <f t="shared" si="61"/>
        <v>2536303</v>
      </c>
      <c r="O237" s="124">
        <v>1868</v>
      </c>
      <c r="P237" s="124">
        <v>1359984</v>
      </c>
      <c r="Q237" s="124">
        <f t="shared" si="62"/>
        <v>1361852</v>
      </c>
      <c r="R237" s="124">
        <v>8708</v>
      </c>
      <c r="S237" s="126">
        <v>210053</v>
      </c>
      <c r="T237" s="126">
        <v>735763</v>
      </c>
      <c r="U237" s="124">
        <f t="shared" si="63"/>
        <v>126812</v>
      </c>
      <c r="V237" s="125">
        <f t="shared" si="54"/>
        <v>171628</v>
      </c>
      <c r="W237" s="43">
        <f t="shared" si="58"/>
        <v>2.8258792271657306E-2</v>
      </c>
      <c r="X237" s="35">
        <f t="shared" si="53"/>
        <v>3.5811523307860124E-2</v>
      </c>
      <c r="Y237" s="218">
        <f t="shared" si="43"/>
        <v>2.8258792271657306E-2</v>
      </c>
      <c r="Z237" s="87">
        <f t="shared" si="48"/>
        <v>7.062655801579476E-2</v>
      </c>
      <c r="AA237" s="87">
        <f t="shared" si="64"/>
        <v>0.46463751119353797</v>
      </c>
      <c r="AB237" s="87">
        <f t="shared" si="47"/>
        <v>0.46463751119353797</v>
      </c>
      <c r="AD237" s="87">
        <f t="shared" si="55"/>
        <v>6.0420515418692755E-2</v>
      </c>
      <c r="AF237" s="197">
        <f>MAX($B$2:B237)</f>
        <v>18326</v>
      </c>
    </row>
    <row r="238" spans="1:32" x14ac:dyDescent="0.25">
      <c r="A238" s="341">
        <v>44129</v>
      </c>
      <c r="B238" s="156">
        <v>9253</v>
      </c>
      <c r="C238" s="23">
        <f t="shared" si="59"/>
        <v>14415.571428571429</v>
      </c>
      <c r="D238" s="156">
        <f t="shared" si="56"/>
        <v>1090589</v>
      </c>
      <c r="E238" s="154">
        <v>282</v>
      </c>
      <c r="F238" s="23">
        <f t="shared" si="60"/>
        <v>374.57142857142856</v>
      </c>
      <c r="G238" s="154">
        <f t="shared" si="44"/>
        <v>28877</v>
      </c>
      <c r="H238" s="156">
        <f t="shared" si="49"/>
        <v>13706</v>
      </c>
      <c r="I238" s="179">
        <v>894819</v>
      </c>
      <c r="J238" s="154">
        <v>4863</v>
      </c>
      <c r="K238" s="23">
        <f t="shared" si="46"/>
        <v>4633.7142857142853</v>
      </c>
      <c r="L238" s="154">
        <v>20303</v>
      </c>
      <c r="M238" s="23">
        <f t="shared" si="46"/>
        <v>32343.714285714286</v>
      </c>
      <c r="N238" s="4">
        <f t="shared" si="61"/>
        <v>2556606</v>
      </c>
      <c r="O238" s="124">
        <v>1904</v>
      </c>
      <c r="P238" s="124">
        <v>1367953</v>
      </c>
      <c r="Q238" s="124">
        <f t="shared" si="62"/>
        <v>1369857</v>
      </c>
      <c r="R238" s="124">
        <v>8749</v>
      </c>
      <c r="S238" s="124">
        <v>211123</v>
      </c>
      <c r="T238" s="124">
        <v>741313</v>
      </c>
      <c r="U238" s="124">
        <f t="shared" si="63"/>
        <v>129404</v>
      </c>
      <c r="V238" s="125">
        <f t="shared" si="54"/>
        <v>166893</v>
      </c>
      <c r="W238" s="43">
        <f t="shared" si="58"/>
        <v>2.9138430012043644E-2</v>
      </c>
      <c r="X238" s="35">
        <f t="shared" si="53"/>
        <v>3.5662592870692379E-2</v>
      </c>
      <c r="Y238" s="218">
        <f t="shared" si="43"/>
        <v>2.9138430012043644E-2</v>
      </c>
      <c r="Z238" s="87">
        <f t="shared" si="48"/>
        <v>1.9983422957182695E-2</v>
      </c>
      <c r="AA238" s="87">
        <f t="shared" si="64"/>
        <v>0.44569931892264342</v>
      </c>
      <c r="AB238" s="87">
        <f t="shared" si="47"/>
        <v>0.44569931892264342</v>
      </c>
      <c r="AD238" s="87">
        <f t="shared" si="55"/>
        <v>4.6613570801455007E-2</v>
      </c>
      <c r="AF238" s="197">
        <f>MAX($B$2:B238)</f>
        <v>18326</v>
      </c>
    </row>
    <row r="239" spans="1:32" x14ac:dyDescent="0.25">
      <c r="A239" s="341">
        <v>44130</v>
      </c>
      <c r="B239" s="156">
        <v>11712</v>
      </c>
      <c r="C239" s="23">
        <f t="shared" si="59"/>
        <v>14234.142857142857</v>
      </c>
      <c r="D239" s="156">
        <f t="shared" si="56"/>
        <v>1102301</v>
      </c>
      <c r="E239" s="154">
        <v>405</v>
      </c>
      <c r="F239" s="23">
        <f t="shared" si="60"/>
        <v>368.42857142857144</v>
      </c>
      <c r="G239" s="154">
        <f t="shared" si="44"/>
        <v>29282</v>
      </c>
      <c r="H239" s="156">
        <f t="shared" si="49"/>
        <v>14767</v>
      </c>
      <c r="I239" s="179">
        <v>909586</v>
      </c>
      <c r="J239" s="154">
        <v>5038</v>
      </c>
      <c r="K239" s="23">
        <f t="shared" si="46"/>
        <v>4726</v>
      </c>
      <c r="L239" s="154">
        <v>26448</v>
      </c>
      <c r="M239" s="23">
        <f t="shared" si="46"/>
        <v>32065.571428571428</v>
      </c>
      <c r="N239" s="4">
        <f t="shared" si="61"/>
        <v>2583054</v>
      </c>
      <c r="O239" s="124">
        <v>1956</v>
      </c>
      <c r="P239" s="124">
        <v>1378916</v>
      </c>
      <c r="Q239" s="124">
        <f t="shared" si="62"/>
        <v>1380872</v>
      </c>
      <c r="R239" s="126">
        <v>8816</v>
      </c>
      <c r="S239" s="126">
        <v>213578</v>
      </c>
      <c r="T239" s="126">
        <v>753406</v>
      </c>
      <c r="U239" s="124">
        <f t="shared" si="63"/>
        <v>126501</v>
      </c>
      <c r="V239" s="125">
        <f t="shared" si="54"/>
        <v>163433</v>
      </c>
      <c r="W239" s="43">
        <f t="shared" si="58"/>
        <v>3.0826087754615043E-2</v>
      </c>
      <c r="X239" s="35">
        <f t="shared" si="53"/>
        <v>3.5516235924256609E-2</v>
      </c>
      <c r="Y239" s="218">
        <f t="shared" si="43"/>
        <v>3.0826087754615043E-2</v>
      </c>
      <c r="Z239" s="87">
        <f t="shared" si="48"/>
        <v>-2.2802165470165892E-2</v>
      </c>
      <c r="AA239" s="87">
        <f t="shared" si="64"/>
        <v>0.44390735056290903</v>
      </c>
      <c r="AB239" s="87">
        <f t="shared" si="47"/>
        <v>0.44390735056290903</v>
      </c>
      <c r="AD239" s="87">
        <f t="shared" si="55"/>
        <v>2.3298186736125048E-2</v>
      </c>
      <c r="AF239" s="197">
        <f>MAX($B$2:B239)</f>
        <v>18326</v>
      </c>
    </row>
    <row r="240" spans="1:32" x14ac:dyDescent="0.25">
      <c r="A240" s="341">
        <v>44131</v>
      </c>
      <c r="B240" s="156">
        <v>14308</v>
      </c>
      <c r="C240" s="23">
        <f t="shared" si="59"/>
        <v>13944.285714285714</v>
      </c>
      <c r="D240" s="156">
        <f t="shared" si="56"/>
        <v>1116609</v>
      </c>
      <c r="E240" s="154">
        <v>425</v>
      </c>
      <c r="F240" s="23">
        <f t="shared" si="60"/>
        <v>374.71428571428572</v>
      </c>
      <c r="G240" s="154">
        <f>G239+E240</f>
        <v>29707</v>
      </c>
      <c r="H240" s="156">
        <f t="shared" si="49"/>
        <v>11758</v>
      </c>
      <c r="I240" s="179">
        <v>921344</v>
      </c>
      <c r="J240" s="154">
        <v>4952</v>
      </c>
      <c r="K240" s="23">
        <f t="shared" si="46"/>
        <v>4797.5714285714284</v>
      </c>
      <c r="L240" s="154">
        <v>32847</v>
      </c>
      <c r="M240" s="23">
        <f t="shared" si="46"/>
        <v>31404.571428571428</v>
      </c>
      <c r="N240" s="4">
        <f t="shared" si="61"/>
        <v>2615901</v>
      </c>
      <c r="O240" s="124">
        <v>2043</v>
      </c>
      <c r="P240" s="124">
        <v>1392805</v>
      </c>
      <c r="Q240" s="124">
        <f t="shared" si="62"/>
        <v>1394848</v>
      </c>
      <c r="R240" s="124">
        <v>8868</v>
      </c>
      <c r="S240" s="124">
        <v>216480</v>
      </c>
      <c r="T240" s="124">
        <v>765831</v>
      </c>
      <c r="U240" s="124">
        <f t="shared" si="63"/>
        <v>125430</v>
      </c>
      <c r="V240" s="125">
        <f t="shared" si="54"/>
        <v>165558</v>
      </c>
      <c r="W240" s="43">
        <f t="shared" si="58"/>
        <v>2.9910967757523044E-2</v>
      </c>
      <c r="X240" s="35">
        <f t="shared" si="53"/>
        <v>3.5326994999494599E-2</v>
      </c>
      <c r="Y240" s="218">
        <f t="shared" ref="Y240:Y303" si="65">J240/V240</f>
        <v>2.9910967757523044E-2</v>
      </c>
      <c r="Z240" s="87">
        <f t="shared" si="48"/>
        <v>-7.3539740693635003E-2</v>
      </c>
      <c r="AA240" s="87">
        <f t="shared" si="64"/>
        <v>0.44402088867862732</v>
      </c>
      <c r="AB240" s="87">
        <f t="shared" si="47"/>
        <v>0.44402088867862732</v>
      </c>
      <c r="AD240" s="87">
        <f t="shared" si="55"/>
        <v>2.0275100451105477E-2</v>
      </c>
      <c r="AF240" s="197">
        <f>MAX($B$2:B240)</f>
        <v>18326</v>
      </c>
    </row>
    <row r="241" spans="1:32" x14ac:dyDescent="0.25">
      <c r="A241" s="341">
        <v>44132</v>
      </c>
      <c r="B241" s="156">
        <v>13924</v>
      </c>
      <c r="C241" s="23">
        <f t="shared" si="59"/>
        <v>13315.428571428571</v>
      </c>
      <c r="D241" s="156">
        <f t="shared" si="56"/>
        <v>1130533</v>
      </c>
      <c r="E241" s="154">
        <v>345</v>
      </c>
      <c r="F241" s="23">
        <f t="shared" si="60"/>
        <v>363.85714285714283</v>
      </c>
      <c r="G241" s="154">
        <f t="shared" ref="G241:G304" si="66">G240+E241</f>
        <v>30052</v>
      </c>
      <c r="H241" s="156">
        <f t="shared" si="49"/>
        <v>9803</v>
      </c>
      <c r="I241" s="179">
        <v>931147</v>
      </c>
      <c r="J241" s="154">
        <v>5037</v>
      </c>
      <c r="K241" s="23">
        <f t="shared" si="46"/>
        <v>4863.8571428571431</v>
      </c>
      <c r="L241" s="154">
        <v>32827</v>
      </c>
      <c r="M241" s="23">
        <f t="shared" si="46"/>
        <v>30617</v>
      </c>
      <c r="N241" s="4">
        <f t="shared" si="61"/>
        <v>2648728</v>
      </c>
      <c r="O241" s="124">
        <v>2109</v>
      </c>
      <c r="P241" s="124">
        <v>1406416</v>
      </c>
      <c r="Q241" s="124">
        <f t="shared" si="62"/>
        <v>1408525</v>
      </c>
      <c r="R241" s="126">
        <v>8959</v>
      </c>
      <c r="S241" s="126">
        <v>219233</v>
      </c>
      <c r="T241" s="126">
        <v>777424</v>
      </c>
      <c r="U241" s="124">
        <f t="shared" si="63"/>
        <v>124917</v>
      </c>
      <c r="V241" s="125">
        <f t="shared" si="54"/>
        <v>169334</v>
      </c>
      <c r="W241" s="43">
        <f t="shared" si="58"/>
        <v>2.9745945882102828E-2</v>
      </c>
      <c r="X241" s="35">
        <f t="shared" si="53"/>
        <v>3.5092349209277778E-2</v>
      </c>
      <c r="Y241" s="218">
        <f t="shared" si="65"/>
        <v>2.9745945882102828E-2</v>
      </c>
      <c r="Z241" s="87">
        <f t="shared" si="48"/>
        <v>-0.1087993727709945</v>
      </c>
      <c r="AA241" s="87">
        <f t="shared" si="64"/>
        <v>0.43490311171664664</v>
      </c>
      <c r="AB241" s="87">
        <f t="shared" si="47"/>
        <v>0.4349031117166467</v>
      </c>
      <c r="AD241" s="87">
        <f t="shared" si="55"/>
        <v>2.0082693443601585E-4</v>
      </c>
      <c r="AF241" s="197">
        <f>MAX($B$2:B241)</f>
        <v>18326</v>
      </c>
    </row>
    <row r="242" spans="1:32" x14ac:dyDescent="0.25">
      <c r="A242" s="341">
        <v>44133</v>
      </c>
      <c r="B242" s="156">
        <v>13267</v>
      </c>
      <c r="C242" s="23">
        <f t="shared" si="59"/>
        <v>12878.571428571429</v>
      </c>
      <c r="D242" s="156">
        <f>D241+B242</f>
        <v>1143800</v>
      </c>
      <c r="E242" s="154">
        <v>370</v>
      </c>
      <c r="F242" s="23">
        <f t="shared" si="60"/>
        <v>354.28571428571428</v>
      </c>
      <c r="G242" s="154">
        <f t="shared" si="66"/>
        <v>30422</v>
      </c>
      <c r="H242" s="156">
        <f t="shared" si="49"/>
        <v>14987</v>
      </c>
      <c r="I242" s="179">
        <v>946134</v>
      </c>
      <c r="J242" s="154">
        <v>4981</v>
      </c>
      <c r="K242" s="23">
        <f t="shared" si="46"/>
        <v>4916.7142857142853</v>
      </c>
      <c r="L242" s="154">
        <v>31568</v>
      </c>
      <c r="M242" s="23">
        <f t="shared" si="46"/>
        <v>29527.285714285714</v>
      </c>
      <c r="N242" s="4">
        <f t="shared" si="61"/>
        <v>2680296</v>
      </c>
      <c r="O242" s="124">
        <v>2160</v>
      </c>
      <c r="P242" s="124">
        <v>1420288</v>
      </c>
      <c r="Q242" s="124">
        <f t="shared" si="62"/>
        <v>1422448</v>
      </c>
      <c r="R242" s="124">
        <v>9010</v>
      </c>
      <c r="S242" s="124">
        <v>221851</v>
      </c>
      <c r="T242" s="124">
        <v>788337</v>
      </c>
      <c r="U242" s="124">
        <f t="shared" si="63"/>
        <v>124602</v>
      </c>
      <c r="V242" s="125">
        <f t="shared" si="54"/>
        <v>167244</v>
      </c>
      <c r="W242" s="43">
        <f t="shared" si="58"/>
        <v>2.9782832269020114E-2</v>
      </c>
      <c r="X242" s="35">
        <f t="shared" si="53"/>
        <v>3.4908912318065609E-2</v>
      </c>
      <c r="Y242" s="218">
        <f t="shared" si="65"/>
        <v>2.9782832269020114E-2</v>
      </c>
      <c r="Z242" s="87">
        <f t="shared" si="48"/>
        <v>-0.13115970662785881</v>
      </c>
      <c r="AA242" s="87">
        <f t="shared" si="64"/>
        <v>0.4361583232941928</v>
      </c>
      <c r="AB242" s="87">
        <f t="shared" si="47"/>
        <v>0.4361583232941928</v>
      </c>
      <c r="AD242" s="87">
        <f t="shared" si="55"/>
        <v>-3.8020407928491706E-2</v>
      </c>
      <c r="AF242" s="197">
        <f>MAX($B$2:B242)</f>
        <v>18326</v>
      </c>
    </row>
    <row r="243" spans="1:32" x14ac:dyDescent="0.25">
      <c r="A243" s="341">
        <v>44134</v>
      </c>
      <c r="B243" s="156">
        <v>13379</v>
      </c>
      <c r="C243" s="23">
        <f t="shared" si="59"/>
        <v>12544.428571428571</v>
      </c>
      <c r="D243" s="156">
        <f>D242+B243</f>
        <v>1157179</v>
      </c>
      <c r="E243" s="154">
        <v>349</v>
      </c>
      <c r="F243" s="23">
        <f t="shared" si="60"/>
        <v>349.85714285714283</v>
      </c>
      <c r="G243" s="154">
        <f t="shared" si="66"/>
        <v>30771</v>
      </c>
      <c r="H243" s="156">
        <f t="shared" si="49"/>
        <v>14967</v>
      </c>
      <c r="I243" s="179">
        <v>961101</v>
      </c>
      <c r="J243" s="154">
        <v>4981</v>
      </c>
      <c r="K243" s="23">
        <f t="shared" si="46"/>
        <v>4957.4285714285716</v>
      </c>
      <c r="L243" s="154">
        <v>32761</v>
      </c>
      <c r="M243" s="23">
        <f t="shared" si="46"/>
        <v>29111.571428571428</v>
      </c>
      <c r="N243" s="4">
        <f t="shared" si="61"/>
        <v>2713057</v>
      </c>
      <c r="O243" s="124">
        <v>2198</v>
      </c>
      <c r="P243" s="124">
        <v>1435121</v>
      </c>
      <c r="Q243" s="124">
        <f t="shared" si="62"/>
        <v>1437319</v>
      </c>
      <c r="R243" s="124">
        <v>9073</v>
      </c>
      <c r="S243" s="124">
        <v>224367</v>
      </c>
      <c r="T243" s="124">
        <v>799735</v>
      </c>
      <c r="U243" s="124">
        <f t="shared" si="63"/>
        <v>124004</v>
      </c>
      <c r="V243" s="125">
        <f t="shared" si="54"/>
        <v>165307</v>
      </c>
      <c r="W243" s="43">
        <f t="shared" si="58"/>
        <v>3.0131815349622219E-2</v>
      </c>
      <c r="X243" s="35">
        <f t="shared" si="53"/>
        <v>3.4813470576389158E-2</v>
      </c>
      <c r="Y243" s="218">
        <f t="shared" si="65"/>
        <v>3.0131815349622219E-2</v>
      </c>
      <c r="Z243" s="87">
        <f t="shared" si="48"/>
        <v>-0.1409354608333252</v>
      </c>
      <c r="AA243" s="87">
        <f t="shared" si="64"/>
        <v>0.43090867156408103</v>
      </c>
      <c r="AB243" s="87">
        <f t="shared" si="47"/>
        <v>0.43090867156408103</v>
      </c>
      <c r="AD243" s="87">
        <f t="shared" si="55"/>
        <v>-5.1872372398208189E-2</v>
      </c>
      <c r="AF243" s="197">
        <f>MAX($B$2:B243)</f>
        <v>18326</v>
      </c>
    </row>
    <row r="244" spans="1:32" x14ac:dyDescent="0.25">
      <c r="A244" s="134">
        <v>44135</v>
      </c>
      <c r="B244" s="156">
        <v>9745</v>
      </c>
      <c r="C244" s="23">
        <f t="shared" si="59"/>
        <v>12226.857142857143</v>
      </c>
      <c r="D244" s="156">
        <f t="shared" ref="D244:D307" si="67">D243+B244</f>
        <v>1166924</v>
      </c>
      <c r="E244" s="154">
        <v>210</v>
      </c>
      <c r="F244" s="23">
        <f t="shared" si="60"/>
        <v>340.85714285714283</v>
      </c>
      <c r="G244" s="154">
        <f t="shared" si="66"/>
        <v>30981</v>
      </c>
      <c r="H244" s="156">
        <f t="shared" si="49"/>
        <v>12838</v>
      </c>
      <c r="I244" s="179">
        <v>973939</v>
      </c>
      <c r="J244" s="154">
        <v>4969</v>
      </c>
      <c r="K244" s="23">
        <f t="shared" si="46"/>
        <v>4974.4285714285716</v>
      </c>
      <c r="L244" s="154">
        <v>26699</v>
      </c>
      <c r="M244" s="23">
        <f t="shared" si="46"/>
        <v>29064.714285714286</v>
      </c>
      <c r="N244" s="4">
        <f t="shared" si="61"/>
        <v>2739756</v>
      </c>
      <c r="O244" s="126">
        <v>2357</v>
      </c>
      <c r="P244" s="127">
        <v>1447945</v>
      </c>
      <c r="Q244" s="124">
        <f t="shared" si="62"/>
        <v>1450302</v>
      </c>
      <c r="R244" s="126">
        <v>9103</v>
      </c>
      <c r="S244" s="126">
        <v>225845</v>
      </c>
      <c r="T244" s="126">
        <v>808139</v>
      </c>
      <c r="U244" s="124">
        <f t="shared" si="63"/>
        <v>123837</v>
      </c>
      <c r="V244" s="125">
        <f t="shared" si="54"/>
        <v>162004</v>
      </c>
      <c r="W244" s="43">
        <f t="shared" si="58"/>
        <v>3.0672082170810598E-2</v>
      </c>
      <c r="X244" s="35">
        <f t="shared" si="53"/>
        <v>3.4646379022283458E-2</v>
      </c>
      <c r="Y244" s="218">
        <f t="shared" si="65"/>
        <v>3.0672082170810598E-2</v>
      </c>
      <c r="Z244" s="87">
        <f t="shared" si="48"/>
        <v>-0.15182986651339325</v>
      </c>
      <c r="AA244" s="87">
        <f t="shared" si="64"/>
        <v>0.4206770113982099</v>
      </c>
      <c r="AB244" s="87">
        <f t="shared" si="47"/>
        <v>0.4206770113982099</v>
      </c>
      <c r="AD244" s="87">
        <f t="shared" si="55"/>
        <v>-5.6074766355140193E-2</v>
      </c>
      <c r="AF244" s="197">
        <f>MAX($B$2:B244)</f>
        <v>18326</v>
      </c>
    </row>
    <row r="245" spans="1:32" x14ac:dyDescent="0.25">
      <c r="A245" s="134">
        <v>44136</v>
      </c>
      <c r="B245" s="156">
        <v>6609</v>
      </c>
      <c r="C245" s="23">
        <f t="shared" si="59"/>
        <v>11849.142857142857</v>
      </c>
      <c r="D245" s="156">
        <f t="shared" si="67"/>
        <v>1173533</v>
      </c>
      <c r="E245" s="154">
        <v>135</v>
      </c>
      <c r="F245" s="23">
        <f t="shared" si="60"/>
        <v>319.85714285714283</v>
      </c>
      <c r="G245" s="154">
        <f t="shared" si="66"/>
        <v>31116</v>
      </c>
      <c r="H245" s="156">
        <f t="shared" si="49"/>
        <v>11377</v>
      </c>
      <c r="I245" s="179">
        <v>985316</v>
      </c>
      <c r="J245" s="154">
        <v>5119</v>
      </c>
      <c r="K245" s="23">
        <f t="shared" si="46"/>
        <v>5011</v>
      </c>
      <c r="L245" s="154">
        <v>15645</v>
      </c>
      <c r="M245" s="23">
        <f t="shared" si="46"/>
        <v>28399.285714285714</v>
      </c>
      <c r="N245" s="4">
        <f t="shared" si="61"/>
        <v>2755401</v>
      </c>
      <c r="O245" s="126">
        <v>2393</v>
      </c>
      <c r="P245" s="126">
        <v>1455146</v>
      </c>
      <c r="Q245" s="124">
        <f t="shared" si="62"/>
        <v>1457539</v>
      </c>
      <c r="R245" s="126">
        <v>9123</v>
      </c>
      <c r="S245" s="126">
        <v>226864</v>
      </c>
      <c r="T245" s="126">
        <v>813376</v>
      </c>
      <c r="U245" s="124">
        <f t="shared" si="63"/>
        <v>124170</v>
      </c>
      <c r="V245" s="125">
        <f t="shared" si="54"/>
        <v>157101</v>
      </c>
      <c r="W245" s="43">
        <f t="shared" si="58"/>
        <v>3.2584133773814299E-2</v>
      </c>
      <c r="X245" s="35">
        <f t="shared" si="53"/>
        <v>3.443063746915561E-2</v>
      </c>
      <c r="Y245" s="218">
        <f t="shared" si="65"/>
        <v>3.2584133773814299E-2</v>
      </c>
      <c r="Z245" s="87">
        <f t="shared" si="48"/>
        <v>-0.16755487309186168</v>
      </c>
      <c r="AA245" s="87">
        <f t="shared" si="64"/>
        <v>0.41723383384893986</v>
      </c>
      <c r="AB245" s="87">
        <f t="shared" si="47"/>
        <v>0.41723383384893986</v>
      </c>
      <c r="AD245" s="87">
        <f t="shared" si="55"/>
        <v>-5.8672322985385827E-2</v>
      </c>
      <c r="AF245" s="197">
        <f>MAX($B$2:B245)</f>
        <v>18326</v>
      </c>
    </row>
    <row r="246" spans="1:32" x14ac:dyDescent="0.25">
      <c r="A246" s="341">
        <v>44137</v>
      </c>
      <c r="B246" s="156">
        <v>9598</v>
      </c>
      <c r="C246" s="23">
        <f t="shared" si="59"/>
        <v>11547.142857142857</v>
      </c>
      <c r="D246" s="156">
        <f t="shared" si="67"/>
        <v>1183131</v>
      </c>
      <c r="E246" s="154">
        <v>479</v>
      </c>
      <c r="F246" s="23">
        <f t="shared" si="60"/>
        <v>330.42857142857144</v>
      </c>
      <c r="G246" s="154">
        <f t="shared" si="66"/>
        <v>31595</v>
      </c>
      <c r="H246" s="156">
        <f t="shared" si="49"/>
        <v>12700</v>
      </c>
      <c r="I246" s="179">
        <v>998016</v>
      </c>
      <c r="J246" s="154">
        <v>4992</v>
      </c>
      <c r="K246" s="23">
        <f t="shared" si="46"/>
        <v>5004.4285714285716</v>
      </c>
      <c r="L246" s="154">
        <v>249864</v>
      </c>
      <c r="M246" s="23">
        <f t="shared" si="46"/>
        <v>60315.857142857145</v>
      </c>
      <c r="N246" s="4">
        <f t="shared" si="61"/>
        <v>3005265</v>
      </c>
      <c r="O246" s="126">
        <v>2514</v>
      </c>
      <c r="P246" s="126">
        <v>1467420</v>
      </c>
      <c r="Q246" s="124">
        <f t="shared" si="62"/>
        <v>1469934</v>
      </c>
      <c r="R246" s="126">
        <v>9159</v>
      </c>
      <c r="S246" s="126">
        <v>229301</v>
      </c>
      <c r="T246" s="126">
        <v>822808</v>
      </c>
      <c r="U246" s="124">
        <f t="shared" si="63"/>
        <v>121863</v>
      </c>
      <c r="V246" s="125">
        <f t="shared" si="54"/>
        <v>153520</v>
      </c>
      <c r="W246" s="8">
        <f t="shared" ref="W246:W295" si="68">J246-J245</f>
        <v>-127</v>
      </c>
      <c r="X246" s="4"/>
      <c r="Y246" s="218">
        <f t="shared" si="65"/>
        <v>3.251693590411673E-2</v>
      </c>
      <c r="Z246" s="87">
        <f t="shared" si="48"/>
        <v>-0.17190861592049989</v>
      </c>
      <c r="AA246" s="87">
        <f t="shared" si="64"/>
        <v>0.19144456207914998</v>
      </c>
      <c r="AB246" s="87">
        <f t="shared" si="47"/>
        <v>0.19144456207915</v>
      </c>
      <c r="AD246" s="87">
        <f t="shared" si="55"/>
        <v>-6.0654824912961258E-2</v>
      </c>
      <c r="AF246" s="197">
        <f>MAX($B$2:B246)</f>
        <v>18326</v>
      </c>
    </row>
    <row r="247" spans="1:32" x14ac:dyDescent="0.25">
      <c r="A247" s="341">
        <v>44138</v>
      </c>
      <c r="B247" s="156">
        <v>12145</v>
      </c>
      <c r="C247" s="23">
        <f t="shared" si="59"/>
        <v>11238.142857142857</v>
      </c>
      <c r="D247" s="156">
        <f t="shared" si="67"/>
        <v>1195276</v>
      </c>
      <c r="E247" s="154">
        <v>429</v>
      </c>
      <c r="F247" s="23">
        <f t="shared" si="60"/>
        <v>331</v>
      </c>
      <c r="G247" s="154">
        <f t="shared" si="66"/>
        <v>32024</v>
      </c>
      <c r="H247" s="156">
        <f t="shared" si="49"/>
        <v>11262</v>
      </c>
      <c r="I247" s="179">
        <v>1009278</v>
      </c>
      <c r="J247" s="154">
        <v>4854</v>
      </c>
      <c r="K247" s="23">
        <f t="shared" si="46"/>
        <v>4990.4285714285716</v>
      </c>
      <c r="L247" s="154">
        <v>30999</v>
      </c>
      <c r="M247" s="23">
        <f t="shared" si="46"/>
        <v>60051.857142857145</v>
      </c>
      <c r="N247" s="4">
        <f t="shared" si="61"/>
        <v>3036264</v>
      </c>
      <c r="O247" s="126">
        <v>2583</v>
      </c>
      <c r="P247" s="126">
        <v>1482833</v>
      </c>
      <c r="Q247" s="124">
        <f t="shared" si="62"/>
        <v>1485416</v>
      </c>
      <c r="R247" s="126">
        <v>9211</v>
      </c>
      <c r="S247" s="126">
        <v>232229</v>
      </c>
      <c r="T247" s="126">
        <v>832741</v>
      </c>
      <c r="U247" s="124">
        <f t="shared" si="63"/>
        <v>121095</v>
      </c>
      <c r="V247" s="125">
        <f t="shared" si="54"/>
        <v>153974</v>
      </c>
      <c r="W247" s="8">
        <f t="shared" si="68"/>
        <v>-138</v>
      </c>
      <c r="X247" s="4"/>
      <c r="Y247" s="218">
        <f t="shared" si="65"/>
        <v>3.1524802888799407E-2</v>
      </c>
      <c r="Z247" s="87">
        <f t="shared" si="48"/>
        <v>-0.15600592223843446</v>
      </c>
      <c r="AA247" s="87">
        <f t="shared" si="64"/>
        <v>0.18714063797241906</v>
      </c>
      <c r="AB247" s="87">
        <f t="shared" si="47"/>
        <v>0.18714063797241909</v>
      </c>
      <c r="AD247" s="87">
        <f t="shared" si="55"/>
        <v>-6.9969436692881026E-2</v>
      </c>
      <c r="AF247" s="197">
        <f>MAX($B$2:B247)</f>
        <v>18326</v>
      </c>
    </row>
    <row r="248" spans="1:32" x14ac:dyDescent="0.25">
      <c r="A248" s="341">
        <v>44139</v>
      </c>
      <c r="B248" s="156">
        <v>10652</v>
      </c>
      <c r="C248" s="23">
        <f t="shared" si="59"/>
        <v>10770.714285714286</v>
      </c>
      <c r="D248" s="156">
        <f t="shared" si="67"/>
        <v>1205928</v>
      </c>
      <c r="E248" s="154">
        <v>464</v>
      </c>
      <c r="F248" s="23">
        <f t="shared" si="60"/>
        <v>348</v>
      </c>
      <c r="G248" s="154">
        <f t="shared" si="66"/>
        <v>32488</v>
      </c>
      <c r="H248" s="156">
        <f t="shared" si="49"/>
        <v>8369</v>
      </c>
      <c r="I248" s="179">
        <v>1017647</v>
      </c>
      <c r="J248" s="154">
        <v>4816</v>
      </c>
      <c r="K248" s="23">
        <f t="shared" si="46"/>
        <v>4958.8571428571431</v>
      </c>
      <c r="L248" s="154">
        <v>36435</v>
      </c>
      <c r="M248" s="23">
        <f t="shared" si="46"/>
        <v>60567.285714285717</v>
      </c>
      <c r="N248" s="4">
        <f t="shared" si="61"/>
        <v>3072699</v>
      </c>
      <c r="O248" s="126">
        <v>2640</v>
      </c>
      <c r="P248" s="126">
        <v>1503103</v>
      </c>
      <c r="Q248" s="124">
        <f t="shared" si="62"/>
        <v>1505743</v>
      </c>
      <c r="R248" s="126">
        <v>9251</v>
      </c>
      <c r="S248" s="126">
        <v>234718</v>
      </c>
      <c r="T248" s="126">
        <v>842950</v>
      </c>
      <c r="U248" s="124">
        <f t="shared" si="63"/>
        <v>119009</v>
      </c>
      <c r="V248" s="125">
        <f t="shared" si="54"/>
        <v>155793</v>
      </c>
      <c r="W248" s="47">
        <f t="shared" si="68"/>
        <v>-38</v>
      </c>
      <c r="X248" s="4"/>
      <c r="Y248" s="218">
        <f t="shared" si="65"/>
        <v>3.0912813797795792E-2</v>
      </c>
      <c r="Z248" s="87">
        <f t="shared" si="48"/>
        <v>-0.1636716583471991</v>
      </c>
      <c r="AA248" s="87">
        <f t="shared" si="64"/>
        <v>0.17783055916560331</v>
      </c>
      <c r="AB248" s="87">
        <f t="shared" si="47"/>
        <v>0.17783055916560331</v>
      </c>
      <c r="AD248" s="87">
        <f t="shared" si="55"/>
        <v>-7.9966220605430682E-2</v>
      </c>
      <c r="AF248" s="197">
        <f>MAX($B$2:B248)</f>
        <v>18326</v>
      </c>
    </row>
    <row r="249" spans="1:32" x14ac:dyDescent="0.25">
      <c r="A249" s="341">
        <v>44140</v>
      </c>
      <c r="B249" s="156">
        <v>11100</v>
      </c>
      <c r="C249" s="23">
        <f t="shared" si="59"/>
        <v>10461.142857142857</v>
      </c>
      <c r="D249" s="156">
        <f t="shared" si="67"/>
        <v>1217028</v>
      </c>
      <c r="E249" s="154">
        <v>246</v>
      </c>
      <c r="F249" s="23">
        <f t="shared" si="60"/>
        <v>330.28571428571428</v>
      </c>
      <c r="G249" s="154">
        <f t="shared" si="66"/>
        <v>32734</v>
      </c>
      <c r="H249" s="156">
        <f t="shared" si="49"/>
        <v>12490</v>
      </c>
      <c r="I249" s="179">
        <v>1030137</v>
      </c>
      <c r="J249" s="154">
        <v>4713</v>
      </c>
      <c r="K249" s="23">
        <f t="shared" ref="K249:M312" si="69">AVERAGE(J243:J249)</f>
        <v>4920.5714285714284</v>
      </c>
      <c r="L249" s="154">
        <v>28900</v>
      </c>
      <c r="M249" s="23">
        <f t="shared" si="69"/>
        <v>60186.142857142855</v>
      </c>
      <c r="N249" s="4">
        <f t="shared" si="61"/>
        <v>3101599</v>
      </c>
      <c r="O249" s="126">
        <v>2667</v>
      </c>
      <c r="P249" s="126">
        <v>1516132</v>
      </c>
      <c r="Q249" s="124">
        <f t="shared" si="62"/>
        <v>1518799</v>
      </c>
      <c r="R249" s="126">
        <v>9294</v>
      </c>
      <c r="S249" s="126">
        <v>237018</v>
      </c>
      <c r="T249" s="126">
        <v>851916</v>
      </c>
      <c r="U249" s="124">
        <f t="shared" si="63"/>
        <v>118800</v>
      </c>
      <c r="V249" s="125">
        <f t="shared" si="54"/>
        <v>154157</v>
      </c>
      <c r="W249" s="47">
        <f t="shared" si="68"/>
        <v>-103</v>
      </c>
      <c r="X249" s="4"/>
      <c r="Y249" s="218">
        <f t="shared" si="65"/>
        <v>3.0572727803473084E-2</v>
      </c>
      <c r="Z249" s="87">
        <f t="shared" si="48"/>
        <v>-0.16607258771680078</v>
      </c>
      <c r="AA249" s="87">
        <f t="shared" si="64"/>
        <v>0.17381314635784698</v>
      </c>
      <c r="AB249" s="87">
        <f t="shared" si="47"/>
        <v>0.17381314635784698</v>
      </c>
      <c r="AD249" s="87">
        <f t="shared" si="55"/>
        <v>-7.8250938748176346E-2</v>
      </c>
      <c r="AF249" s="197">
        <f>MAX($B$2:B249)</f>
        <v>18326</v>
      </c>
    </row>
    <row r="250" spans="1:32" x14ac:dyDescent="0.25">
      <c r="A250" s="341">
        <v>44141</v>
      </c>
      <c r="B250" s="156">
        <v>11786</v>
      </c>
      <c r="C250" s="23">
        <f t="shared" si="59"/>
        <v>10233.571428571429</v>
      </c>
      <c r="D250" s="156">
        <f t="shared" si="67"/>
        <v>1228814</v>
      </c>
      <c r="E250" s="154">
        <v>369</v>
      </c>
      <c r="F250" s="23">
        <f t="shared" si="60"/>
        <v>333.14285714285717</v>
      </c>
      <c r="G250" s="154">
        <f t="shared" si="66"/>
        <v>33103</v>
      </c>
      <c r="H250" s="156">
        <f t="shared" si="49"/>
        <v>12100</v>
      </c>
      <c r="I250" s="179">
        <v>1042237</v>
      </c>
      <c r="J250" s="154">
        <v>4666</v>
      </c>
      <c r="K250" s="23">
        <f t="shared" si="69"/>
        <v>4875.5714285714284</v>
      </c>
      <c r="L250" s="154">
        <v>34727</v>
      </c>
      <c r="M250" s="23">
        <f t="shared" si="69"/>
        <v>60467</v>
      </c>
      <c r="N250" s="4">
        <f t="shared" si="61"/>
        <v>3136326</v>
      </c>
      <c r="O250" s="126">
        <v>2702</v>
      </c>
      <c r="P250" s="126">
        <v>1534460</v>
      </c>
      <c r="Q250" s="124">
        <f t="shared" si="62"/>
        <v>1537162</v>
      </c>
      <c r="R250" s="126">
        <v>9349</v>
      </c>
      <c r="S250" s="126">
        <v>239488</v>
      </c>
      <c r="T250" s="126">
        <v>861070</v>
      </c>
      <c r="U250" s="124">
        <f t="shared" si="63"/>
        <v>118907</v>
      </c>
      <c r="V250" s="125">
        <f t="shared" si="54"/>
        <v>153474</v>
      </c>
      <c r="W250" s="47">
        <f t="shared" si="68"/>
        <v>-47</v>
      </c>
      <c r="X250" s="4"/>
      <c r="Y250" s="218">
        <f t="shared" si="65"/>
        <v>3.0402543753339329E-2</v>
      </c>
      <c r="Z250" s="87">
        <f t="shared" si="48"/>
        <v>-0.16302519044725894</v>
      </c>
      <c r="AA250" s="87">
        <f t="shared" si="64"/>
        <v>0.1692422549253548</v>
      </c>
      <c r="AB250" s="87">
        <f t="shared" ref="AB250:AB289" si="70">SUM(B244:B250)/SUM(L244:L250)</f>
        <v>0.1692422549253548</v>
      </c>
      <c r="AD250" s="87">
        <f t="shared" si="55"/>
        <v>-7.1581965675984738E-2</v>
      </c>
      <c r="AF250" s="197">
        <f>MAX($B$2:B250)</f>
        <v>18326</v>
      </c>
    </row>
    <row r="251" spans="1:32" x14ac:dyDescent="0.25">
      <c r="A251" s="134">
        <v>44142</v>
      </c>
      <c r="B251" s="156">
        <v>8037</v>
      </c>
      <c r="C251" s="23">
        <f t="shared" si="59"/>
        <v>9989.5714285714294</v>
      </c>
      <c r="D251" s="156">
        <f t="shared" si="67"/>
        <v>1236851</v>
      </c>
      <c r="E251" s="154">
        <v>212</v>
      </c>
      <c r="F251" s="23">
        <f t="shared" si="60"/>
        <v>333.42857142857144</v>
      </c>
      <c r="G251" s="154">
        <f t="shared" si="66"/>
        <v>33315</v>
      </c>
      <c r="H251" s="156">
        <f t="shared" si="49"/>
        <v>11076</v>
      </c>
      <c r="I251" s="179">
        <v>1053313</v>
      </c>
      <c r="J251" s="154">
        <v>4593</v>
      </c>
      <c r="K251" s="23">
        <f t="shared" si="69"/>
        <v>4821.8571428571431</v>
      </c>
      <c r="L251" s="154">
        <v>37062</v>
      </c>
      <c r="M251" s="23">
        <f t="shared" si="69"/>
        <v>61947.428571428572</v>
      </c>
      <c r="N251" s="4">
        <f t="shared" si="61"/>
        <v>3173388</v>
      </c>
      <c r="O251" s="126">
        <v>2727</v>
      </c>
      <c r="P251" s="126">
        <v>1559126</v>
      </c>
      <c r="Q251" s="124">
        <f t="shared" si="62"/>
        <v>1561853</v>
      </c>
      <c r="R251" s="126">
        <v>9387</v>
      </c>
      <c r="S251" s="126">
        <v>240865</v>
      </c>
      <c r="T251" s="126">
        <v>866690</v>
      </c>
      <c r="U251" s="124">
        <f t="shared" si="63"/>
        <v>119909</v>
      </c>
      <c r="V251" s="125">
        <f t="shared" si="54"/>
        <v>150223</v>
      </c>
      <c r="W251" s="47">
        <f t="shared" si="68"/>
        <v>-73</v>
      </c>
      <c r="X251" s="4"/>
      <c r="Y251" s="218">
        <f t="shared" si="65"/>
        <v>3.0574545841848454E-2</v>
      </c>
      <c r="Z251" s="87">
        <f t="shared" ref="Z251:Z314" si="71">C251/C245-1</f>
        <v>-0.15693721064814803</v>
      </c>
      <c r="AA251" s="87">
        <f t="shared" si="64"/>
        <v>0.16125885543502325</v>
      </c>
      <c r="AB251" s="87">
        <f t="shared" si="70"/>
        <v>0.16125885543502325</v>
      </c>
      <c r="AD251" s="87">
        <f t="shared" si="55"/>
        <v>-7.2720426656131987E-2</v>
      </c>
      <c r="AF251" s="197">
        <f>MAX($B$2:B251)</f>
        <v>18326</v>
      </c>
    </row>
    <row r="252" spans="1:32" x14ac:dyDescent="0.25">
      <c r="A252" s="134">
        <v>44143</v>
      </c>
      <c r="B252" s="156">
        <v>5331</v>
      </c>
      <c r="C252" s="23">
        <f t="shared" si="59"/>
        <v>9807</v>
      </c>
      <c r="D252" s="156">
        <f t="shared" si="67"/>
        <v>1242182</v>
      </c>
      <c r="E252" s="154">
        <v>211</v>
      </c>
      <c r="F252" s="23">
        <f t="shared" si="60"/>
        <v>344.28571428571428</v>
      </c>
      <c r="G252" s="154">
        <f t="shared" si="66"/>
        <v>33526</v>
      </c>
      <c r="H252" s="156">
        <f t="shared" si="49"/>
        <v>9598</v>
      </c>
      <c r="I252" s="179">
        <v>1062911</v>
      </c>
      <c r="J252" s="154">
        <v>4608</v>
      </c>
      <c r="K252" s="23">
        <f t="shared" si="69"/>
        <v>4748.8571428571431</v>
      </c>
      <c r="L252" s="154">
        <v>14025</v>
      </c>
      <c r="M252" s="23">
        <f t="shared" si="69"/>
        <v>61716</v>
      </c>
      <c r="N252" s="4">
        <f t="shared" si="61"/>
        <v>3187413</v>
      </c>
      <c r="O252" s="126">
        <v>2760</v>
      </c>
      <c r="P252" s="126">
        <v>1566231</v>
      </c>
      <c r="Q252" s="124">
        <f t="shared" si="62"/>
        <v>1568991</v>
      </c>
      <c r="R252" s="126">
        <v>9403</v>
      </c>
      <c r="S252" s="126">
        <v>241673</v>
      </c>
      <c r="T252" s="126">
        <v>871132</v>
      </c>
      <c r="U252" s="124">
        <f t="shared" si="63"/>
        <v>119974</v>
      </c>
      <c r="V252" s="125">
        <f t="shared" si="54"/>
        <v>145745</v>
      </c>
      <c r="W252" s="47">
        <f t="shared" si="68"/>
        <v>15</v>
      </c>
      <c r="X252" s="4"/>
      <c r="Y252" s="218">
        <f t="shared" si="65"/>
        <v>3.1616865072558238E-2</v>
      </c>
      <c r="Z252" s="87">
        <f t="shared" si="71"/>
        <v>-0.15069899789682051</v>
      </c>
      <c r="AA252" s="87">
        <f t="shared" si="64"/>
        <v>0.15890530818588372</v>
      </c>
      <c r="AB252" s="87">
        <f t="shared" si="70"/>
        <v>0.15890530818588372</v>
      </c>
      <c r="AD252" s="87">
        <f t="shared" si="55"/>
        <v>-7.2284708563280953E-2</v>
      </c>
      <c r="AF252" s="197">
        <f>MAX($B$2:B252)</f>
        <v>18326</v>
      </c>
    </row>
    <row r="253" spans="1:32" x14ac:dyDescent="0.25">
      <c r="A253" s="341">
        <v>44144</v>
      </c>
      <c r="B253" s="156">
        <v>8317</v>
      </c>
      <c r="C253" s="23">
        <f t="shared" si="59"/>
        <v>9624</v>
      </c>
      <c r="D253" s="156">
        <f t="shared" si="67"/>
        <v>1250499</v>
      </c>
      <c r="E253" s="154">
        <v>348</v>
      </c>
      <c r="F253" s="23">
        <f t="shared" si="60"/>
        <v>325.57142857142856</v>
      </c>
      <c r="G253" s="154">
        <f t="shared" si="66"/>
        <v>33874</v>
      </c>
      <c r="H253" s="156">
        <f t="shared" si="49"/>
        <v>10666</v>
      </c>
      <c r="I253" s="179">
        <v>1073577</v>
      </c>
      <c r="J253" s="154">
        <v>4577</v>
      </c>
      <c r="K253" s="23">
        <f t="shared" si="69"/>
        <v>4689.5714285714284</v>
      </c>
      <c r="L253" s="154">
        <v>29570</v>
      </c>
      <c r="M253" s="23">
        <f t="shared" si="69"/>
        <v>30245.428571428572</v>
      </c>
      <c r="N253" s="4">
        <f t="shared" si="61"/>
        <v>3216983</v>
      </c>
      <c r="O253" s="126">
        <v>2798</v>
      </c>
      <c r="P253" s="126">
        <v>1581460</v>
      </c>
      <c r="Q253" s="124">
        <f t="shared" si="62"/>
        <v>1584258</v>
      </c>
      <c r="R253" s="126">
        <v>9444</v>
      </c>
      <c r="S253" s="126">
        <v>243982</v>
      </c>
      <c r="T253" s="126">
        <v>878724</v>
      </c>
      <c r="U253" s="124">
        <f t="shared" si="63"/>
        <v>118349</v>
      </c>
      <c r="V253" s="125">
        <f t="shared" si="54"/>
        <v>143048</v>
      </c>
      <c r="W253" s="47">
        <f t="shared" si="68"/>
        <v>-31</v>
      </c>
      <c r="X253" s="4"/>
      <c r="Y253" s="218">
        <f t="shared" si="65"/>
        <v>3.1996253005984007E-2</v>
      </c>
      <c r="Z253" s="87">
        <f t="shared" si="71"/>
        <v>-0.14363074732734182</v>
      </c>
      <c r="AA253" s="87">
        <f t="shared" si="64"/>
        <v>0.31819684674897741</v>
      </c>
      <c r="AB253" s="87">
        <f t="shared" si="70"/>
        <v>0.31819684674897741</v>
      </c>
      <c r="AD253" s="87">
        <f t="shared" si="55"/>
        <v>-6.8212610734757706E-2</v>
      </c>
      <c r="AF253" s="197">
        <f>MAX($B$2:B253)</f>
        <v>18326</v>
      </c>
    </row>
    <row r="254" spans="1:32" x14ac:dyDescent="0.25">
      <c r="A254" s="341">
        <v>44145</v>
      </c>
      <c r="B254" s="156">
        <v>11977</v>
      </c>
      <c r="C254" s="23">
        <f t="shared" si="59"/>
        <v>9600</v>
      </c>
      <c r="D254" s="156">
        <f t="shared" si="67"/>
        <v>1262476</v>
      </c>
      <c r="E254" s="156">
        <v>279</v>
      </c>
      <c r="F254" s="23">
        <f t="shared" si="60"/>
        <v>304.14285714285717</v>
      </c>
      <c r="G254" s="154">
        <f t="shared" si="66"/>
        <v>34153</v>
      </c>
      <c r="H254" s="156">
        <f t="shared" si="49"/>
        <v>8320</v>
      </c>
      <c r="I254" s="179">
        <v>1081897</v>
      </c>
      <c r="J254" s="156">
        <v>4494</v>
      </c>
      <c r="K254" s="23">
        <f t="shared" si="69"/>
        <v>4638.1428571428569</v>
      </c>
      <c r="L254" s="156">
        <v>31535</v>
      </c>
      <c r="M254" s="23">
        <f t="shared" si="69"/>
        <v>30322</v>
      </c>
      <c r="N254" s="4">
        <f t="shared" si="61"/>
        <v>3248518</v>
      </c>
      <c r="O254" s="7">
        <v>2879</v>
      </c>
      <c r="P254" s="7">
        <v>1599337</v>
      </c>
      <c r="Q254" s="129">
        <f t="shared" si="62"/>
        <v>1602216</v>
      </c>
      <c r="R254" s="28">
        <v>9481</v>
      </c>
      <c r="S254" s="28">
        <v>246898</v>
      </c>
      <c r="T254" s="28">
        <v>885833</v>
      </c>
      <c r="U254" s="129">
        <f t="shared" si="63"/>
        <v>120264</v>
      </c>
      <c r="V254" s="125">
        <f t="shared" si="54"/>
        <v>146426</v>
      </c>
      <c r="W254" s="81">
        <f t="shared" si="68"/>
        <v>-83</v>
      </c>
      <c r="X254" s="4"/>
      <c r="Y254" s="218">
        <f t="shared" si="65"/>
        <v>3.0691270675972847E-2</v>
      </c>
      <c r="Z254" s="87">
        <f t="shared" si="71"/>
        <v>-0.10869421049141192</v>
      </c>
      <c r="AA254" s="87">
        <f t="shared" si="64"/>
        <v>0.31660180726864984</v>
      </c>
      <c r="AB254" s="87">
        <f t="shared" si="70"/>
        <v>0.31660180726864984</v>
      </c>
      <c r="AD254" s="87">
        <f t="shared" si="55"/>
        <v>-4.9021263330172649E-2</v>
      </c>
      <c r="AF254" s="197">
        <f>MAX($B$2:B254)</f>
        <v>18326</v>
      </c>
    </row>
    <row r="255" spans="1:32" x14ac:dyDescent="0.25">
      <c r="A255" s="341">
        <v>44146</v>
      </c>
      <c r="B255" s="156">
        <v>10880</v>
      </c>
      <c r="C255" s="23">
        <f t="shared" si="59"/>
        <v>9632.5714285714294</v>
      </c>
      <c r="D255" s="156">
        <f t="shared" si="67"/>
        <v>1273356</v>
      </c>
      <c r="E255" s="156">
        <v>348</v>
      </c>
      <c r="F255" s="23">
        <f t="shared" si="60"/>
        <v>287.57142857142856</v>
      </c>
      <c r="G255" s="154">
        <f t="shared" si="66"/>
        <v>34501</v>
      </c>
      <c r="H255" s="156">
        <f t="shared" si="49"/>
        <v>7632</v>
      </c>
      <c r="I255" s="185">
        <v>1089529</v>
      </c>
      <c r="J255" s="156">
        <v>4418</v>
      </c>
      <c r="K255" s="23">
        <f t="shared" si="69"/>
        <v>4581.2857142857147</v>
      </c>
      <c r="L255" s="156">
        <v>56473</v>
      </c>
      <c r="M255" s="23">
        <f t="shared" si="69"/>
        <v>33184.571428571428</v>
      </c>
      <c r="N255" s="4">
        <f t="shared" si="61"/>
        <v>3304991</v>
      </c>
      <c r="O255" s="7">
        <v>2939</v>
      </c>
      <c r="P255" s="7">
        <v>1635003</v>
      </c>
      <c r="Q255" s="124">
        <f t="shared" si="62"/>
        <v>1637942</v>
      </c>
      <c r="R255" s="4">
        <v>9521</v>
      </c>
      <c r="S255" s="4">
        <v>249148</v>
      </c>
      <c r="T255" s="4">
        <v>892532</v>
      </c>
      <c r="U255" s="124">
        <f t="shared" si="63"/>
        <v>122155</v>
      </c>
      <c r="V255" s="125">
        <f t="shared" si="54"/>
        <v>149326</v>
      </c>
      <c r="W255" s="47">
        <f t="shared" si="68"/>
        <v>-76</v>
      </c>
      <c r="X255" s="4"/>
      <c r="Y255" s="218">
        <f t="shared" si="65"/>
        <v>2.9586274325971364E-2</v>
      </c>
      <c r="Z255" s="87">
        <f t="shared" si="71"/>
        <v>-7.9204675807068248E-2</v>
      </c>
      <c r="AA255" s="87">
        <f t="shared" si="64"/>
        <v>0.29027258794964961</v>
      </c>
      <c r="AB255" s="87">
        <f t="shared" si="70"/>
        <v>0.29027258794964955</v>
      </c>
      <c r="AD255" s="87">
        <f t="shared" si="55"/>
        <v>-4.1510209059457126E-2</v>
      </c>
      <c r="AF255" s="197">
        <f>MAX($B$2:B255)</f>
        <v>18326</v>
      </c>
    </row>
    <row r="256" spans="1:32" x14ac:dyDescent="0.25">
      <c r="A256" s="341">
        <v>44147</v>
      </c>
      <c r="B256" s="156">
        <v>11163</v>
      </c>
      <c r="C256" s="23">
        <f t="shared" si="59"/>
        <v>9641.5714285714294</v>
      </c>
      <c r="D256" s="156">
        <f t="shared" si="67"/>
        <v>1284519</v>
      </c>
      <c r="E256" s="156">
        <v>249</v>
      </c>
      <c r="F256" s="23">
        <f t="shared" si="60"/>
        <v>288</v>
      </c>
      <c r="G256" s="154">
        <f t="shared" si="66"/>
        <v>34750</v>
      </c>
      <c r="H256" s="156">
        <f t="shared" si="49"/>
        <v>10651</v>
      </c>
      <c r="I256" s="185">
        <v>1100180</v>
      </c>
      <c r="J256" s="156">
        <v>4397</v>
      </c>
      <c r="K256" s="23">
        <f t="shared" si="69"/>
        <v>4536.1428571428569</v>
      </c>
      <c r="L256" s="156">
        <v>31520</v>
      </c>
      <c r="M256" s="23">
        <f t="shared" si="69"/>
        <v>33558.857142857145</v>
      </c>
      <c r="N256" s="4">
        <f t="shared" si="61"/>
        <v>3336511</v>
      </c>
      <c r="O256" s="7">
        <v>2991</v>
      </c>
      <c r="P256" s="7">
        <v>1655824</v>
      </c>
      <c r="Q256" s="124">
        <f t="shared" si="62"/>
        <v>1658815</v>
      </c>
      <c r="R256" s="4">
        <v>9553</v>
      </c>
      <c r="S256" s="4">
        <v>251515</v>
      </c>
      <c r="T256" s="4">
        <v>901700</v>
      </c>
      <c r="U256" s="124">
        <f t="shared" si="63"/>
        <v>121751</v>
      </c>
      <c r="V256" s="125">
        <f t="shared" si="54"/>
        <v>149589</v>
      </c>
      <c r="W256" s="47">
        <f t="shared" si="68"/>
        <v>-21</v>
      </c>
      <c r="X256" s="4"/>
      <c r="Y256" s="218">
        <f t="shared" si="65"/>
        <v>2.939387254410418E-2</v>
      </c>
      <c r="Z256" s="87">
        <f t="shared" si="71"/>
        <v>-5.7848816919103818E-2</v>
      </c>
      <c r="AA256" s="87">
        <f t="shared" si="64"/>
        <v>0.28730333060890889</v>
      </c>
      <c r="AB256" s="87">
        <f t="shared" si="70"/>
        <v>0.28730333060890889</v>
      </c>
      <c r="AD256" s="87">
        <f t="shared" si="55"/>
        <v>-2.9632128284800552E-2</v>
      </c>
      <c r="AF256" s="197">
        <f>MAX($B$2:B256)</f>
        <v>18326</v>
      </c>
    </row>
    <row r="257" spans="1:32" x14ac:dyDescent="0.25">
      <c r="A257" s="341">
        <v>44148</v>
      </c>
      <c r="B257" s="156">
        <v>11859</v>
      </c>
      <c r="C257" s="23">
        <f t="shared" si="59"/>
        <v>9652</v>
      </c>
      <c r="D257" s="156">
        <f t="shared" si="67"/>
        <v>1296378</v>
      </c>
      <c r="E257" s="156">
        <v>264</v>
      </c>
      <c r="F257" s="23">
        <f t="shared" si="60"/>
        <v>273</v>
      </c>
      <c r="G257" s="156">
        <f t="shared" si="66"/>
        <v>35014</v>
      </c>
      <c r="H257" s="156">
        <f t="shared" si="49"/>
        <v>10297</v>
      </c>
      <c r="I257" s="185">
        <v>1110477</v>
      </c>
      <c r="J257" s="156">
        <v>4381</v>
      </c>
      <c r="K257" s="23">
        <f t="shared" si="69"/>
        <v>4495.4285714285716</v>
      </c>
      <c r="L257" s="156">
        <v>31738</v>
      </c>
      <c r="M257" s="23">
        <f t="shared" si="69"/>
        <v>33131.857142857145</v>
      </c>
      <c r="N257" s="4">
        <f t="shared" si="61"/>
        <v>3368249</v>
      </c>
      <c r="O257" s="128">
        <v>3104</v>
      </c>
      <c r="P257" s="128">
        <v>1671421</v>
      </c>
      <c r="Q257" s="124">
        <f t="shared" si="62"/>
        <v>1674525</v>
      </c>
      <c r="R257" s="8">
        <v>9613</v>
      </c>
      <c r="S257" s="8">
        <v>253981</v>
      </c>
      <c r="T257" s="8">
        <v>910204</v>
      </c>
      <c r="U257" s="124">
        <f t="shared" si="63"/>
        <v>122580</v>
      </c>
      <c r="V257" s="125">
        <f t="shared" si="54"/>
        <v>150887</v>
      </c>
      <c r="W257" s="47">
        <f t="shared" si="68"/>
        <v>-16</v>
      </c>
      <c r="X257" s="4"/>
      <c r="Y257" s="218">
        <f t="shared" si="65"/>
        <v>2.9034973191858809E-2</v>
      </c>
      <c r="Z257" s="87">
        <f t="shared" si="71"/>
        <v>-3.3792383485635069E-2</v>
      </c>
      <c r="AA257" s="87">
        <f t="shared" si="64"/>
        <v>0.29132082630873174</v>
      </c>
      <c r="AB257" s="87">
        <f t="shared" si="70"/>
        <v>0.2913208263087318</v>
      </c>
      <c r="AD257" s="87">
        <f t="shared" si="55"/>
        <v>-1.6856275330023318E-2</v>
      </c>
      <c r="AF257" s="197">
        <f>MAX($B$2:B257)</f>
        <v>18326</v>
      </c>
    </row>
    <row r="258" spans="1:32" x14ac:dyDescent="0.25">
      <c r="A258" s="134">
        <v>44149</v>
      </c>
      <c r="B258" s="156">
        <v>8468</v>
      </c>
      <c r="C258" s="23">
        <f t="shared" si="59"/>
        <v>9713.5714285714294</v>
      </c>
      <c r="D258" s="156">
        <f t="shared" si="67"/>
        <v>1304846</v>
      </c>
      <c r="E258" s="156">
        <v>262</v>
      </c>
      <c r="F258" s="23">
        <f t="shared" si="60"/>
        <v>280.14285714285717</v>
      </c>
      <c r="G258" s="156">
        <f t="shared" si="66"/>
        <v>35276</v>
      </c>
      <c r="H258" s="156">
        <f t="shared" si="49"/>
        <v>8889</v>
      </c>
      <c r="I258" s="185">
        <v>1119366</v>
      </c>
      <c r="J258" s="156">
        <v>4346</v>
      </c>
      <c r="K258" s="23">
        <f t="shared" si="69"/>
        <v>4460.1428571428569</v>
      </c>
      <c r="L258" s="156">
        <v>25314</v>
      </c>
      <c r="M258" s="23">
        <f t="shared" si="69"/>
        <v>31453.571428571428</v>
      </c>
      <c r="N258" s="4">
        <f t="shared" si="61"/>
        <v>3393563</v>
      </c>
      <c r="O258" s="8">
        <v>3156</v>
      </c>
      <c r="P258" s="8">
        <v>1683861</v>
      </c>
      <c r="Q258" s="124">
        <f t="shared" si="62"/>
        <v>1687017</v>
      </c>
      <c r="R258" s="8">
        <v>9646</v>
      </c>
      <c r="S258" s="8">
        <v>255493</v>
      </c>
      <c r="T258" s="8">
        <v>915339</v>
      </c>
      <c r="U258" s="124">
        <f t="shared" si="63"/>
        <v>124368</v>
      </c>
      <c r="V258" s="125">
        <f t="shared" si="54"/>
        <v>150204</v>
      </c>
      <c r="W258" s="47">
        <f t="shared" si="68"/>
        <v>-35</v>
      </c>
      <c r="X258" s="4"/>
      <c r="Y258" s="218">
        <f t="shared" si="65"/>
        <v>2.8933983116295171E-2</v>
      </c>
      <c r="Z258" s="87">
        <f t="shared" si="71"/>
        <v>-9.5267228947252258E-3</v>
      </c>
      <c r="AA258" s="87">
        <f t="shared" si="64"/>
        <v>0.30882252753491546</v>
      </c>
      <c r="AB258" s="87">
        <f t="shared" si="70"/>
        <v>0.3088225275349154</v>
      </c>
      <c r="AD258" s="87">
        <f t="shared" si="55"/>
        <v>-1.2647863509585022E-4</v>
      </c>
      <c r="AF258" s="197">
        <f>MAX($B$2:B258)</f>
        <v>18326</v>
      </c>
    </row>
    <row r="259" spans="1:32" x14ac:dyDescent="0.25">
      <c r="A259" s="134">
        <v>44150</v>
      </c>
      <c r="B259" s="156">
        <v>5645</v>
      </c>
      <c r="C259" s="23">
        <f t="shared" si="59"/>
        <v>9758.4285714285706</v>
      </c>
      <c r="D259" s="156">
        <f t="shared" si="67"/>
        <v>1310491</v>
      </c>
      <c r="E259" s="156">
        <v>128</v>
      </c>
      <c r="F259" s="23">
        <f t="shared" si="60"/>
        <v>268.28571428571428</v>
      </c>
      <c r="G259" s="156">
        <f t="shared" si="66"/>
        <v>35404</v>
      </c>
      <c r="H259" s="156">
        <f t="shared" ref="H259:H322" si="72">I259-I258</f>
        <v>9736</v>
      </c>
      <c r="I259" s="185">
        <v>1129102</v>
      </c>
      <c r="J259" s="156">
        <v>4365</v>
      </c>
      <c r="K259" s="23">
        <f t="shared" si="69"/>
        <v>4425.4285714285716</v>
      </c>
      <c r="L259" s="156">
        <v>17718</v>
      </c>
      <c r="M259" s="23">
        <f t="shared" si="69"/>
        <v>31981.142857142859</v>
      </c>
      <c r="N259" s="4">
        <f t="shared" si="61"/>
        <v>3411281</v>
      </c>
      <c r="O259" s="8">
        <v>3168</v>
      </c>
      <c r="P259" s="8">
        <v>1693448</v>
      </c>
      <c r="Q259" s="124">
        <f t="shared" si="62"/>
        <v>1696616</v>
      </c>
      <c r="R259" s="8">
        <v>9672</v>
      </c>
      <c r="S259" s="8">
        <v>256696</v>
      </c>
      <c r="T259" s="8">
        <v>918729</v>
      </c>
      <c r="U259" s="124">
        <f t="shared" si="63"/>
        <v>125394</v>
      </c>
      <c r="V259" s="125">
        <f t="shared" si="54"/>
        <v>145985</v>
      </c>
      <c r="W259" s="47">
        <f t="shared" si="68"/>
        <v>19</v>
      </c>
      <c r="X259" s="4"/>
      <c r="Y259" s="218">
        <f t="shared" si="65"/>
        <v>2.9900332225913623E-2</v>
      </c>
      <c r="Z259" s="87">
        <f t="shared" si="71"/>
        <v>1.3968056050350341E-2</v>
      </c>
      <c r="AA259" s="87">
        <f t="shared" si="64"/>
        <v>0.30513070202083364</v>
      </c>
      <c r="AB259" s="87">
        <f t="shared" si="70"/>
        <v>0.3051307020208337</v>
      </c>
      <c r="AD259" s="87">
        <f t="shared" si="55"/>
        <v>1.6467117225291705E-3</v>
      </c>
      <c r="AF259" s="197">
        <f>MAX($B$2:B259)</f>
        <v>18326</v>
      </c>
    </row>
    <row r="260" spans="1:32" x14ac:dyDescent="0.25">
      <c r="A260" s="341">
        <v>44151</v>
      </c>
      <c r="B260" s="156">
        <v>7893</v>
      </c>
      <c r="C260" s="23">
        <f t="shared" si="59"/>
        <v>9697.8571428571431</v>
      </c>
      <c r="D260" s="156">
        <f t="shared" si="67"/>
        <v>1318384</v>
      </c>
      <c r="E260" s="156">
        <v>292</v>
      </c>
      <c r="F260" s="23">
        <f t="shared" si="60"/>
        <v>260.28571428571428</v>
      </c>
      <c r="G260" s="156">
        <f t="shared" si="66"/>
        <v>35696</v>
      </c>
      <c r="H260" s="156">
        <f t="shared" si="72"/>
        <v>11094</v>
      </c>
      <c r="I260" s="185">
        <v>1140196</v>
      </c>
      <c r="J260" s="156">
        <v>4322</v>
      </c>
      <c r="K260" s="23">
        <f t="shared" si="69"/>
        <v>4389</v>
      </c>
      <c r="L260" s="156">
        <v>21572</v>
      </c>
      <c r="M260" s="23">
        <f t="shared" si="69"/>
        <v>30838.571428571428</v>
      </c>
      <c r="N260" s="4">
        <f t="shared" si="61"/>
        <v>3432853</v>
      </c>
      <c r="O260" s="7">
        <v>3225</v>
      </c>
      <c r="P260" s="7">
        <v>1704129</v>
      </c>
      <c r="Q260" s="124">
        <f t="shared" si="62"/>
        <v>1707354</v>
      </c>
      <c r="R260" s="4">
        <v>9692</v>
      </c>
      <c r="S260" s="4">
        <v>258870</v>
      </c>
      <c r="T260" s="4">
        <v>926820</v>
      </c>
      <c r="U260" s="124">
        <f t="shared" si="63"/>
        <v>123002</v>
      </c>
      <c r="V260" s="125">
        <f t="shared" si="54"/>
        <v>142492</v>
      </c>
      <c r="W260" s="47">
        <f t="shared" si="68"/>
        <v>-43</v>
      </c>
      <c r="X260" s="4"/>
      <c r="Y260" s="218">
        <f t="shared" si="65"/>
        <v>3.0331527383993487E-2</v>
      </c>
      <c r="Z260" s="87">
        <f t="shared" si="71"/>
        <v>1.0193452380952372E-2</v>
      </c>
      <c r="AA260" s="87">
        <f t="shared" si="64"/>
        <v>0.31447167276601662</v>
      </c>
      <c r="AB260" s="87">
        <f t="shared" si="70"/>
        <v>0.31447167276601656</v>
      </c>
      <c r="AD260" s="87">
        <f t="shared" si="55"/>
        <v>-3.8868072255466846E-3</v>
      </c>
      <c r="AF260" s="197">
        <f>MAX($B$2:B260)</f>
        <v>18326</v>
      </c>
    </row>
    <row r="261" spans="1:32" x14ac:dyDescent="0.25">
      <c r="A261" s="341">
        <v>44152</v>
      </c>
      <c r="B261" s="156">
        <v>10621</v>
      </c>
      <c r="C261" s="23">
        <f t="shared" si="59"/>
        <v>9504.1428571428569</v>
      </c>
      <c r="D261" s="156">
        <f t="shared" si="67"/>
        <v>1329005</v>
      </c>
      <c r="E261" s="156">
        <v>378</v>
      </c>
      <c r="F261" s="23">
        <f t="shared" si="60"/>
        <v>274.42857142857144</v>
      </c>
      <c r="G261" s="156">
        <f t="shared" si="66"/>
        <v>36074</v>
      </c>
      <c r="H261" s="156">
        <f t="shared" si="72"/>
        <v>8637</v>
      </c>
      <c r="I261" s="185">
        <v>1148833</v>
      </c>
      <c r="J261" s="156">
        <v>4379</v>
      </c>
      <c r="K261" s="23">
        <f t="shared" si="69"/>
        <v>4372.5714285714284</v>
      </c>
      <c r="L261" s="156">
        <v>34573</v>
      </c>
      <c r="M261" s="23">
        <f t="shared" si="69"/>
        <v>31272.571428571428</v>
      </c>
      <c r="N261" s="4">
        <f t="shared" si="61"/>
        <v>3467426</v>
      </c>
      <c r="O261" s="7">
        <v>3279</v>
      </c>
      <c r="P261" s="7">
        <v>1716729</v>
      </c>
      <c r="Q261" s="124">
        <f t="shared" si="62"/>
        <v>1720008</v>
      </c>
      <c r="R261" s="4">
        <v>9722</v>
      </c>
      <c r="S261" s="4">
        <v>261348</v>
      </c>
      <c r="T261" s="4">
        <v>934997</v>
      </c>
      <c r="U261" s="124">
        <f t="shared" si="63"/>
        <v>122938</v>
      </c>
      <c r="V261" s="125">
        <f t="shared" si="54"/>
        <v>144098</v>
      </c>
      <c r="W261" s="47">
        <f t="shared" si="68"/>
        <v>57</v>
      </c>
      <c r="X261" s="4"/>
      <c r="Y261" s="218">
        <f t="shared" si="65"/>
        <v>3.0389040791683437E-2</v>
      </c>
      <c r="Z261" s="87">
        <f t="shared" si="71"/>
        <v>-1.3332740107967145E-2</v>
      </c>
      <c r="AA261" s="87">
        <f t="shared" si="64"/>
        <v>0.30391305936740548</v>
      </c>
      <c r="AB261" s="87">
        <f t="shared" si="70"/>
        <v>0.30391305936740548</v>
      </c>
      <c r="AD261" s="87">
        <f t="shared" si="55"/>
        <v>-1.5898815784082032E-2</v>
      </c>
      <c r="AF261" s="197">
        <f>MAX($B$2:B261)</f>
        <v>18326</v>
      </c>
    </row>
    <row r="262" spans="1:32" x14ac:dyDescent="0.25">
      <c r="A262" s="341">
        <v>44153</v>
      </c>
      <c r="B262" s="156">
        <v>10332</v>
      </c>
      <c r="C262" s="23">
        <f t="shared" si="59"/>
        <v>9425.8571428571431</v>
      </c>
      <c r="D262" s="156">
        <f t="shared" si="67"/>
        <v>1339337</v>
      </c>
      <c r="E262" s="156">
        <v>240</v>
      </c>
      <c r="F262" s="23">
        <f t="shared" si="60"/>
        <v>259</v>
      </c>
      <c r="G262" s="156">
        <f t="shared" si="66"/>
        <v>36314</v>
      </c>
      <c r="H262" s="156">
        <f t="shared" si="72"/>
        <v>7641</v>
      </c>
      <c r="I262" s="185">
        <v>1156474</v>
      </c>
      <c r="J262" s="156">
        <v>4267</v>
      </c>
      <c r="K262" s="23">
        <f t="shared" si="69"/>
        <v>4351</v>
      </c>
      <c r="L262" s="156">
        <v>34573</v>
      </c>
      <c r="M262" s="23">
        <f t="shared" si="69"/>
        <v>28144</v>
      </c>
      <c r="N262" s="4">
        <f t="shared" si="61"/>
        <v>3501999</v>
      </c>
      <c r="O262" s="7">
        <v>3346</v>
      </c>
      <c r="P262" s="7">
        <v>1734731</v>
      </c>
      <c r="Q262" s="124">
        <f t="shared" si="62"/>
        <v>1738077</v>
      </c>
      <c r="R262" s="4">
        <v>9766</v>
      </c>
      <c r="S262" s="4">
        <v>264014</v>
      </c>
      <c r="T262" s="4">
        <v>943339</v>
      </c>
      <c r="U262" s="124">
        <f t="shared" si="63"/>
        <v>122218</v>
      </c>
      <c r="V262" s="125">
        <f t="shared" si="54"/>
        <v>146549</v>
      </c>
      <c r="W262" s="47">
        <f t="shared" si="68"/>
        <v>-112</v>
      </c>
      <c r="X262" s="4"/>
      <c r="Y262" s="218">
        <f t="shared" si="65"/>
        <v>2.9116541225119242E-2</v>
      </c>
      <c r="Z262" s="87">
        <f t="shared" si="71"/>
        <v>-2.2373353484168357E-2</v>
      </c>
      <c r="AA262" s="87">
        <f t="shared" si="64"/>
        <v>0.33491533338747664</v>
      </c>
      <c r="AB262" s="87">
        <f t="shared" si="70"/>
        <v>0.33491533338747664</v>
      </c>
      <c r="AD262" s="87">
        <f t="shared" si="55"/>
        <v>-1.8596895383255374E-2</v>
      </c>
      <c r="AF262" s="197">
        <f>MAX($B$2:B262)</f>
        <v>18326</v>
      </c>
    </row>
    <row r="263" spans="1:32" x14ac:dyDescent="0.25">
      <c r="A263" s="341">
        <v>44154</v>
      </c>
      <c r="B263" s="156">
        <v>10097</v>
      </c>
      <c r="C263" s="23">
        <f t="shared" si="59"/>
        <v>9273.5714285714294</v>
      </c>
      <c r="D263" s="156">
        <f t="shared" si="67"/>
        <v>1349434</v>
      </c>
      <c r="E263" s="156">
        <v>184</v>
      </c>
      <c r="F263" s="23">
        <f t="shared" si="60"/>
        <v>249.71428571428572</v>
      </c>
      <c r="G263" s="156">
        <f t="shared" si="66"/>
        <v>36498</v>
      </c>
      <c r="H263" s="156">
        <f t="shared" si="72"/>
        <v>11040</v>
      </c>
      <c r="I263" s="185">
        <v>1167514</v>
      </c>
      <c r="J263" s="156">
        <v>4292</v>
      </c>
      <c r="K263" s="23">
        <f t="shared" si="69"/>
        <v>4336</v>
      </c>
      <c r="L263" s="156">
        <v>48691</v>
      </c>
      <c r="M263" s="23">
        <f t="shared" si="69"/>
        <v>30597</v>
      </c>
      <c r="N263" s="4">
        <f t="shared" si="61"/>
        <v>3550690</v>
      </c>
      <c r="O263" s="7">
        <v>3474</v>
      </c>
      <c r="P263" s="7">
        <v>1767560</v>
      </c>
      <c r="Q263" s="124">
        <f t="shared" si="62"/>
        <v>1771034</v>
      </c>
      <c r="R263" s="4">
        <v>9802</v>
      </c>
      <c r="S263" s="4">
        <v>266642</v>
      </c>
      <c r="T263" s="4">
        <v>951081</v>
      </c>
      <c r="U263" s="124">
        <f t="shared" si="63"/>
        <v>121909</v>
      </c>
      <c r="V263" s="125">
        <f t="shared" si="54"/>
        <v>145422</v>
      </c>
      <c r="W263" s="47">
        <f t="shared" si="68"/>
        <v>25</v>
      </c>
      <c r="X263" s="4"/>
      <c r="Y263" s="218">
        <f t="shared" si="65"/>
        <v>2.9514103780720936E-2</v>
      </c>
      <c r="Z263" s="87">
        <f t="shared" si="71"/>
        <v>-3.9207270143863493E-2</v>
      </c>
      <c r="AA263" s="87">
        <f t="shared" si="64"/>
        <v>0.30308760429360493</v>
      </c>
      <c r="AB263" s="87">
        <f t="shared" si="70"/>
        <v>0.30308760429360487</v>
      </c>
      <c r="AD263" s="87">
        <f t="shared" si="55"/>
        <v>-2.7856326334155579E-2</v>
      </c>
      <c r="AF263" s="197">
        <f>MAX($B$2:B263)</f>
        <v>18326</v>
      </c>
    </row>
    <row r="264" spans="1:32" x14ac:dyDescent="0.25">
      <c r="A264" s="341">
        <v>44155</v>
      </c>
      <c r="B264" s="156">
        <v>9608</v>
      </c>
      <c r="C264" s="23">
        <f t="shared" si="59"/>
        <v>8952</v>
      </c>
      <c r="D264" s="156">
        <f t="shared" si="67"/>
        <v>1359042</v>
      </c>
      <c r="E264" s="156">
        <v>261</v>
      </c>
      <c r="F264" s="23">
        <f t="shared" si="60"/>
        <v>249.28571428571428</v>
      </c>
      <c r="G264" s="156">
        <f t="shared" si="66"/>
        <v>36759</v>
      </c>
      <c r="H264" s="156">
        <f t="shared" si="72"/>
        <v>10305</v>
      </c>
      <c r="I264" s="185">
        <v>1177819</v>
      </c>
      <c r="J264" s="156">
        <v>4187</v>
      </c>
      <c r="K264" s="23">
        <f t="shared" si="69"/>
        <v>4308.2857142857147</v>
      </c>
      <c r="L264" s="156">
        <v>37816</v>
      </c>
      <c r="M264" s="23">
        <f t="shared" si="69"/>
        <v>31465.285714285714</v>
      </c>
      <c r="N264" s="4">
        <f t="shared" si="61"/>
        <v>3588506</v>
      </c>
      <c r="O264" s="7">
        <v>3601</v>
      </c>
      <c r="P264" s="7">
        <v>1789964</v>
      </c>
      <c r="Q264" s="124">
        <f t="shared" si="62"/>
        <v>1793565</v>
      </c>
      <c r="R264" s="4">
        <v>9840</v>
      </c>
      <c r="S264" s="4">
        <v>268940</v>
      </c>
      <c r="T264" s="4">
        <v>957937</v>
      </c>
      <c r="U264" s="124">
        <f t="shared" si="63"/>
        <v>122325</v>
      </c>
      <c r="V264" s="125">
        <f t="shared" si="54"/>
        <v>144464</v>
      </c>
      <c r="W264" s="47">
        <f t="shared" si="68"/>
        <v>-105</v>
      </c>
      <c r="X264" s="4"/>
      <c r="Y264" s="218">
        <f t="shared" si="65"/>
        <v>2.8982999224720345E-2</v>
      </c>
      <c r="Z264" s="87">
        <f t="shared" si="71"/>
        <v>-7.8402823737039551E-2</v>
      </c>
      <c r="AA264" s="87">
        <f t="shared" si="64"/>
        <v>0.28450401122325286</v>
      </c>
      <c r="AB264" s="87">
        <f t="shared" si="70"/>
        <v>0.28450401122325286</v>
      </c>
      <c r="AD264" s="87">
        <f t="shared" si="55"/>
        <v>-4.2568279573455658E-2</v>
      </c>
      <c r="AF264" s="197">
        <f>MAX($B$2:B264)</f>
        <v>18326</v>
      </c>
    </row>
    <row r="265" spans="1:32" x14ac:dyDescent="0.25">
      <c r="A265" s="134">
        <v>44156</v>
      </c>
      <c r="B265" s="156">
        <v>7140</v>
      </c>
      <c r="C265" s="23">
        <f t="shared" si="59"/>
        <v>8762.2857142857138</v>
      </c>
      <c r="D265" s="156">
        <f t="shared" si="67"/>
        <v>1366182</v>
      </c>
      <c r="E265" s="156">
        <v>112</v>
      </c>
      <c r="F265" s="23">
        <f t="shared" si="60"/>
        <v>227.85714285714286</v>
      </c>
      <c r="G265" s="156">
        <f t="shared" si="66"/>
        <v>36871</v>
      </c>
      <c r="H265" s="156">
        <f t="shared" si="72"/>
        <v>9234</v>
      </c>
      <c r="I265" s="185">
        <v>1187053</v>
      </c>
      <c r="J265" s="156">
        <v>4132</v>
      </c>
      <c r="K265" s="23">
        <f t="shared" si="69"/>
        <v>4277.7142857142853</v>
      </c>
      <c r="L265" s="156">
        <v>39055</v>
      </c>
      <c r="M265" s="23">
        <f t="shared" si="69"/>
        <v>33428.285714285717</v>
      </c>
      <c r="N265" s="4">
        <f t="shared" si="61"/>
        <v>3627561</v>
      </c>
      <c r="O265" s="7">
        <v>3625</v>
      </c>
      <c r="P265" s="7">
        <v>1815364</v>
      </c>
      <c r="Q265" s="124">
        <f t="shared" si="62"/>
        <v>1818989</v>
      </c>
      <c r="R265" s="4">
        <v>9862</v>
      </c>
      <c r="S265" s="4">
        <v>270149</v>
      </c>
      <c r="T265" s="4">
        <v>962192</v>
      </c>
      <c r="U265" s="124">
        <f t="shared" si="63"/>
        <v>123979</v>
      </c>
      <c r="V265" s="125">
        <f t="shared" si="54"/>
        <v>142258</v>
      </c>
      <c r="W265" s="47">
        <f t="shared" si="68"/>
        <v>-55</v>
      </c>
      <c r="X265" s="4"/>
      <c r="Y265" s="218">
        <f t="shared" si="65"/>
        <v>2.904581816136878E-2</v>
      </c>
      <c r="Z265" s="87">
        <f t="shared" si="71"/>
        <v>-0.10208025296813006</v>
      </c>
      <c r="AA265" s="87">
        <f t="shared" si="64"/>
        <v>0.26212189847776474</v>
      </c>
      <c r="AB265" s="87">
        <f t="shared" si="70"/>
        <v>0.26212189847776479</v>
      </c>
      <c r="AD265" s="87">
        <f t="shared" si="55"/>
        <v>-5.2901387446406267E-2</v>
      </c>
      <c r="AF265" s="197">
        <f>MAX($B$2:B265)</f>
        <v>18326</v>
      </c>
    </row>
    <row r="266" spans="1:32" x14ac:dyDescent="0.25">
      <c r="A266" s="134">
        <v>44157</v>
      </c>
      <c r="B266" s="156">
        <v>4184</v>
      </c>
      <c r="C266" s="23">
        <f t="shared" si="59"/>
        <v>8553.5714285714294</v>
      </c>
      <c r="D266" s="156">
        <f t="shared" si="67"/>
        <v>1370366</v>
      </c>
      <c r="E266" s="156">
        <v>100</v>
      </c>
      <c r="F266" s="23">
        <f t="shared" si="60"/>
        <v>223.85714285714286</v>
      </c>
      <c r="G266" s="156">
        <f t="shared" si="66"/>
        <v>36971</v>
      </c>
      <c r="H266" s="156">
        <f t="shared" si="72"/>
        <v>8439</v>
      </c>
      <c r="I266" s="185">
        <v>1195492</v>
      </c>
      <c r="J266" s="156">
        <v>4245</v>
      </c>
      <c r="K266" s="23">
        <f t="shared" si="69"/>
        <v>4260.5714285714284</v>
      </c>
      <c r="L266" s="156">
        <v>15740</v>
      </c>
      <c r="M266" s="23">
        <f t="shared" si="69"/>
        <v>33145.714285714283</v>
      </c>
      <c r="N266" s="4">
        <f t="shared" si="61"/>
        <v>3643301</v>
      </c>
      <c r="O266" s="7">
        <v>3691</v>
      </c>
      <c r="P266" s="7">
        <v>1823849</v>
      </c>
      <c r="Q266" s="124">
        <f t="shared" si="62"/>
        <v>1827540</v>
      </c>
      <c r="R266" s="4">
        <v>9876</v>
      </c>
      <c r="S266" s="4">
        <v>270893</v>
      </c>
      <c r="T266" s="4">
        <v>965274</v>
      </c>
      <c r="U266" s="124">
        <f t="shared" si="63"/>
        <v>124323</v>
      </c>
      <c r="V266" s="125">
        <f t="shared" si="54"/>
        <v>137903</v>
      </c>
      <c r="W266" s="47">
        <f t="shared" si="68"/>
        <v>113</v>
      </c>
      <c r="X266" s="4"/>
      <c r="Y266" s="218">
        <f t="shared" si="65"/>
        <v>3.0782506544455159E-2</v>
      </c>
      <c r="Z266" s="87">
        <f t="shared" si="71"/>
        <v>-0.11799366575826764</v>
      </c>
      <c r="AA266" s="87">
        <f t="shared" si="64"/>
        <v>0.25805965003016984</v>
      </c>
      <c r="AB266" s="87">
        <f t="shared" si="70"/>
        <v>0.25805965003016984</v>
      </c>
      <c r="AD266" s="87">
        <f t="shared" si="55"/>
        <v>-5.5361852245093712E-2</v>
      </c>
      <c r="AF266" s="197">
        <f>MAX($B$2:B266)</f>
        <v>18326</v>
      </c>
    </row>
    <row r="267" spans="1:32" x14ac:dyDescent="0.25">
      <c r="A267" s="341">
        <v>44158</v>
      </c>
      <c r="B267" s="156">
        <v>4265</v>
      </c>
      <c r="C267" s="23">
        <f t="shared" si="59"/>
        <v>8035.2857142857147</v>
      </c>
      <c r="D267" s="156">
        <f t="shared" si="67"/>
        <v>1374631</v>
      </c>
      <c r="E267" s="156">
        <v>119</v>
      </c>
      <c r="F267" s="23">
        <f t="shared" si="60"/>
        <v>199.14285714285714</v>
      </c>
      <c r="G267" s="156">
        <f t="shared" si="66"/>
        <v>37090</v>
      </c>
      <c r="H267" s="156">
        <f t="shared" si="72"/>
        <v>8308</v>
      </c>
      <c r="I267" s="185">
        <v>1203800</v>
      </c>
      <c r="J267" s="156">
        <v>4165</v>
      </c>
      <c r="K267" s="23">
        <f t="shared" si="69"/>
        <v>4238.1428571428569</v>
      </c>
      <c r="L267" s="156">
        <v>13149</v>
      </c>
      <c r="M267" s="23">
        <f t="shared" si="69"/>
        <v>31942.428571428572</v>
      </c>
      <c r="N267" s="4">
        <f t="shared" si="61"/>
        <v>3656450</v>
      </c>
      <c r="O267" s="7">
        <v>3798</v>
      </c>
      <c r="P267" s="7">
        <v>1830584</v>
      </c>
      <c r="Q267" s="124">
        <f t="shared" si="62"/>
        <v>1834382</v>
      </c>
      <c r="R267" s="4">
        <v>9894</v>
      </c>
      <c r="S267" s="4">
        <v>272054</v>
      </c>
      <c r="T267" s="4">
        <v>972396</v>
      </c>
      <c r="U267" s="124">
        <f t="shared" si="63"/>
        <v>120287</v>
      </c>
      <c r="V267" s="125">
        <f t="shared" si="54"/>
        <v>133741</v>
      </c>
      <c r="W267" s="47">
        <f t="shared" si="68"/>
        <v>-80</v>
      </c>
      <c r="X267" s="4"/>
      <c r="Y267" s="218">
        <f t="shared" si="65"/>
        <v>3.1142282471343867E-2</v>
      </c>
      <c r="Z267" s="87">
        <f t="shared" si="71"/>
        <v>-0.15454914398232344</v>
      </c>
      <c r="AA267" s="87">
        <f t="shared" si="64"/>
        <v>0.25155525342468815</v>
      </c>
      <c r="AB267" s="87">
        <f t="shared" si="70"/>
        <v>0.25155525342468815</v>
      </c>
      <c r="AD267" s="87">
        <f t="shared" si="55"/>
        <v>-6.1413974117845216E-2</v>
      </c>
      <c r="AF267" s="197">
        <f>MAX($B$2:B267)</f>
        <v>18326</v>
      </c>
    </row>
    <row r="268" spans="1:32" x14ac:dyDescent="0.25">
      <c r="A268" s="341">
        <v>44159</v>
      </c>
      <c r="B268" s="156">
        <v>7164</v>
      </c>
      <c r="C268" s="23">
        <f t="shared" si="59"/>
        <v>7541.4285714285716</v>
      </c>
      <c r="D268" s="156">
        <f t="shared" si="67"/>
        <v>1381795</v>
      </c>
      <c r="E268" s="156">
        <v>311</v>
      </c>
      <c r="F268" s="23">
        <f t="shared" si="60"/>
        <v>189.57142857142858</v>
      </c>
      <c r="G268" s="156">
        <f t="shared" si="66"/>
        <v>37401</v>
      </c>
      <c r="H268" s="156">
        <f t="shared" si="72"/>
        <v>6834</v>
      </c>
      <c r="I268" s="185">
        <v>1210634</v>
      </c>
      <c r="J268" s="156">
        <v>4148</v>
      </c>
      <c r="K268" s="23">
        <f t="shared" si="69"/>
        <v>4205.1428571428569</v>
      </c>
      <c r="L268" s="156">
        <v>22043</v>
      </c>
      <c r="M268" s="23">
        <f t="shared" si="69"/>
        <v>30152.428571428572</v>
      </c>
      <c r="N268" s="4">
        <f t="shared" si="61"/>
        <v>3678493</v>
      </c>
      <c r="O268" s="8">
        <v>3828</v>
      </c>
      <c r="P268" s="8">
        <v>1842058</v>
      </c>
      <c r="Q268" s="124">
        <f t="shared" si="62"/>
        <v>1845886</v>
      </c>
      <c r="R268" s="4">
        <v>9912</v>
      </c>
      <c r="S268" s="4">
        <v>273939</v>
      </c>
      <c r="T268" s="4">
        <v>979797</v>
      </c>
      <c r="U268" s="124">
        <f t="shared" si="63"/>
        <v>118147</v>
      </c>
      <c r="V268" s="125">
        <f t="shared" si="54"/>
        <v>133760</v>
      </c>
      <c r="W268" s="47">
        <f t="shared" si="68"/>
        <v>-17</v>
      </c>
      <c r="X268" s="4"/>
      <c r="Y268" s="218">
        <f t="shared" si="65"/>
        <v>3.1010765550239235E-2</v>
      </c>
      <c r="Z268" s="87">
        <f t="shared" si="71"/>
        <v>-0.19992118943332171</v>
      </c>
      <c r="AA268" s="87">
        <f t="shared" si="64"/>
        <v>0.25011015459546021</v>
      </c>
      <c r="AB268" s="87">
        <f t="shared" si="70"/>
        <v>0.25011015459546021</v>
      </c>
      <c r="AD268" s="87">
        <f t="shared" si="55"/>
        <v>-7.1742841677191915E-2</v>
      </c>
      <c r="AF268" s="197">
        <f>MAX($B$2:B268)</f>
        <v>18326</v>
      </c>
    </row>
    <row r="269" spans="1:32" x14ac:dyDescent="0.25">
      <c r="A269" s="341">
        <v>44160</v>
      </c>
      <c r="B269" s="156">
        <v>8593</v>
      </c>
      <c r="C269" s="23">
        <f t="shared" si="59"/>
        <v>7293</v>
      </c>
      <c r="D269" s="156">
        <f t="shared" si="67"/>
        <v>1390388</v>
      </c>
      <c r="E269" s="156">
        <v>280</v>
      </c>
      <c r="F269" s="23">
        <f t="shared" si="60"/>
        <v>195.28571428571428</v>
      </c>
      <c r="G269" s="156">
        <f t="shared" si="66"/>
        <v>37681</v>
      </c>
      <c r="H269" s="156">
        <f t="shared" si="72"/>
        <v>6650</v>
      </c>
      <c r="I269" s="185">
        <v>1217284</v>
      </c>
      <c r="J269" s="156">
        <v>4039</v>
      </c>
      <c r="K269" s="23">
        <f t="shared" si="69"/>
        <v>4172.5714285714284</v>
      </c>
      <c r="L269" s="156">
        <v>29437</v>
      </c>
      <c r="M269" s="23">
        <f t="shared" si="69"/>
        <v>29418.714285714286</v>
      </c>
      <c r="N269" s="4">
        <f t="shared" si="61"/>
        <v>3707930</v>
      </c>
      <c r="O269" s="8">
        <v>3872</v>
      </c>
      <c r="P269" s="8">
        <v>1855809</v>
      </c>
      <c r="Q269" s="124">
        <f t="shared" si="62"/>
        <v>1859681</v>
      </c>
      <c r="R269" s="4">
        <v>9949</v>
      </c>
      <c r="S269" s="4">
        <v>275968</v>
      </c>
      <c r="T269" s="4">
        <v>986401</v>
      </c>
      <c r="U269" s="124">
        <f t="shared" si="63"/>
        <v>118070</v>
      </c>
      <c r="V269" s="125">
        <f t="shared" si="54"/>
        <v>135423</v>
      </c>
      <c r="W269" s="47">
        <f t="shared" si="68"/>
        <v>-109</v>
      </c>
      <c r="X269" s="4"/>
      <c r="Y269" s="218">
        <f t="shared" si="65"/>
        <v>2.9825066643037003E-2</v>
      </c>
      <c r="Z269" s="87">
        <f t="shared" si="71"/>
        <v>-0.21357159362242939</v>
      </c>
      <c r="AA269" s="87">
        <f t="shared" si="64"/>
        <v>0.24790342396239518</v>
      </c>
      <c r="AB269" s="87">
        <f t="shared" si="70"/>
        <v>0.24790342396239518</v>
      </c>
      <c r="AD269" s="87">
        <f t="shared" si="55"/>
        <v>-7.5919999454107545E-2</v>
      </c>
      <c r="AF269" s="197">
        <f>MAX($B$2:B269)</f>
        <v>18326</v>
      </c>
    </row>
    <row r="270" spans="1:32" x14ac:dyDescent="0.25">
      <c r="A270" s="341">
        <v>44161</v>
      </c>
      <c r="B270" s="156">
        <v>9043</v>
      </c>
      <c r="C270" s="23">
        <f t="shared" si="59"/>
        <v>7142.4285714285716</v>
      </c>
      <c r="D270" s="156">
        <f t="shared" si="67"/>
        <v>1399431</v>
      </c>
      <c r="E270" s="156">
        <v>229</v>
      </c>
      <c r="F270" s="23">
        <f t="shared" si="60"/>
        <v>201.71428571428572</v>
      </c>
      <c r="G270" s="156">
        <f t="shared" si="66"/>
        <v>37910</v>
      </c>
      <c r="H270" s="156">
        <f t="shared" si="72"/>
        <v>9378</v>
      </c>
      <c r="I270" s="185">
        <v>1226662</v>
      </c>
      <c r="J270" s="156">
        <v>3960</v>
      </c>
      <c r="K270" s="23">
        <f t="shared" si="69"/>
        <v>4125.1428571428569</v>
      </c>
      <c r="L270" s="156">
        <v>32781</v>
      </c>
      <c r="M270" s="23">
        <f t="shared" si="69"/>
        <v>27145.857142857141</v>
      </c>
      <c r="N270" s="4">
        <f t="shared" si="61"/>
        <v>3740711</v>
      </c>
      <c r="O270" s="8">
        <v>3941</v>
      </c>
      <c r="P270" s="8">
        <v>1871509</v>
      </c>
      <c r="Q270" s="124">
        <f t="shared" si="62"/>
        <v>1875450</v>
      </c>
      <c r="R270" s="4">
        <v>9979</v>
      </c>
      <c r="S270" s="4">
        <v>278371</v>
      </c>
      <c r="T270" s="4">
        <v>992925</v>
      </c>
      <c r="U270" s="124">
        <f t="shared" si="63"/>
        <v>118156</v>
      </c>
      <c r="V270" s="125">
        <f t="shared" si="54"/>
        <v>134859</v>
      </c>
      <c r="W270" s="47">
        <f t="shared" si="68"/>
        <v>-79</v>
      </c>
      <c r="X270" s="4"/>
      <c r="Y270" s="218">
        <f t="shared" si="65"/>
        <v>2.9364002402509286E-2</v>
      </c>
      <c r="Z270" s="87">
        <f t="shared" si="71"/>
        <v>-0.20214158049278697</v>
      </c>
      <c r="AA270" s="87">
        <f t="shared" si="64"/>
        <v>0.26311302434994027</v>
      </c>
      <c r="AB270" s="87">
        <f t="shared" si="70"/>
        <v>0.26311302434994027</v>
      </c>
      <c r="AD270" s="87">
        <f t="shared" si="55"/>
        <v>-7.2636877501340957E-2</v>
      </c>
      <c r="AF270" s="197">
        <f>MAX($B$2:B270)</f>
        <v>18326</v>
      </c>
    </row>
    <row r="271" spans="1:32" x14ac:dyDescent="0.25">
      <c r="A271" s="341">
        <v>44162</v>
      </c>
      <c r="B271" s="156">
        <v>7846</v>
      </c>
      <c r="C271" s="23">
        <f t="shared" si="59"/>
        <v>6890.7142857142853</v>
      </c>
      <c r="D271" s="156">
        <f t="shared" si="67"/>
        <v>1407277</v>
      </c>
      <c r="E271" s="156">
        <v>275</v>
      </c>
      <c r="F271" s="23">
        <f t="shared" si="60"/>
        <v>203.71428571428572</v>
      </c>
      <c r="G271" s="156">
        <f t="shared" si="66"/>
        <v>38185</v>
      </c>
      <c r="H271" s="156">
        <f t="shared" si="72"/>
        <v>8595</v>
      </c>
      <c r="I271" s="185">
        <v>1235257</v>
      </c>
      <c r="J271" s="156">
        <v>4120</v>
      </c>
      <c r="K271" s="23">
        <f t="shared" si="69"/>
        <v>4115.5714285714284</v>
      </c>
      <c r="L271" s="156">
        <v>55323</v>
      </c>
      <c r="M271" s="23">
        <f t="shared" si="69"/>
        <v>29646.857142857141</v>
      </c>
      <c r="N271" s="4">
        <f t="shared" si="61"/>
        <v>3796034</v>
      </c>
      <c r="O271" s="7">
        <v>4020</v>
      </c>
      <c r="P271" s="8">
        <v>1912056</v>
      </c>
      <c r="Q271" s="124">
        <f t="shared" si="62"/>
        <v>1916076</v>
      </c>
      <c r="R271" s="4">
        <v>10016</v>
      </c>
      <c r="S271" s="4">
        <v>280344</v>
      </c>
      <c r="T271" s="4">
        <v>999456</v>
      </c>
      <c r="U271" s="124">
        <f t="shared" si="63"/>
        <v>117461</v>
      </c>
      <c r="V271" s="125">
        <f t="shared" si="54"/>
        <v>133835</v>
      </c>
      <c r="W271" s="47">
        <f t="shared" si="68"/>
        <v>160</v>
      </c>
      <c r="X271" s="4"/>
      <c r="Y271" s="218">
        <f t="shared" si="65"/>
        <v>3.0784174543280907E-2</v>
      </c>
      <c r="Z271" s="87">
        <f t="shared" si="71"/>
        <v>-0.21359397417503589</v>
      </c>
      <c r="AA271" s="87">
        <f t="shared" si="64"/>
        <v>0.23242646775374889</v>
      </c>
      <c r="AB271" s="87">
        <f t="shared" si="70"/>
        <v>0.23242646775374889</v>
      </c>
      <c r="AD271" s="87">
        <f t="shared" si="55"/>
        <v>-7.3575423634954062E-2</v>
      </c>
      <c r="AF271" s="197">
        <f>MAX($B$2:B271)</f>
        <v>18326</v>
      </c>
    </row>
    <row r="272" spans="1:32" x14ac:dyDescent="0.25">
      <c r="A272" s="134">
        <v>44163</v>
      </c>
      <c r="B272" s="156">
        <v>6098</v>
      </c>
      <c r="C272" s="23">
        <f t="shared" si="59"/>
        <v>6741.8571428571431</v>
      </c>
      <c r="D272" s="156">
        <f t="shared" si="67"/>
        <v>1413375</v>
      </c>
      <c r="E272" s="156">
        <v>106</v>
      </c>
      <c r="F272" s="23">
        <f t="shared" si="60"/>
        <v>202.85714285714286</v>
      </c>
      <c r="G272" s="156">
        <f t="shared" si="66"/>
        <v>38291</v>
      </c>
      <c r="H272" s="156">
        <f t="shared" si="72"/>
        <v>7620</v>
      </c>
      <c r="I272" s="185">
        <v>1242877</v>
      </c>
      <c r="J272" s="156">
        <v>4021</v>
      </c>
      <c r="K272" s="23">
        <f t="shared" si="69"/>
        <v>4099.7142857142853</v>
      </c>
      <c r="L272" s="156">
        <v>25472</v>
      </c>
      <c r="M272" s="23">
        <f t="shared" si="69"/>
        <v>27706.428571428572</v>
      </c>
      <c r="N272" s="4">
        <f t="shared" si="61"/>
        <v>3821506</v>
      </c>
      <c r="O272" s="7">
        <v>4105</v>
      </c>
      <c r="P272" s="8">
        <v>1926130</v>
      </c>
      <c r="Q272" s="124">
        <f t="shared" si="62"/>
        <v>1930235</v>
      </c>
      <c r="R272" s="4">
        <v>10046</v>
      </c>
      <c r="S272" s="4">
        <v>281257</v>
      </c>
      <c r="T272" s="4">
        <v>1003512</v>
      </c>
      <c r="U272" s="124">
        <f t="shared" si="63"/>
        <v>118560</v>
      </c>
      <c r="V272" s="125">
        <f t="shared" si="54"/>
        <v>132207</v>
      </c>
      <c r="W272" s="47">
        <f t="shared" si="68"/>
        <v>-99</v>
      </c>
      <c r="X272" s="4"/>
      <c r="Y272" s="218">
        <f t="shared" si="65"/>
        <v>3.0414425862473244E-2</v>
      </c>
      <c r="Z272" s="87">
        <f t="shared" si="71"/>
        <v>-0.21180793319415459</v>
      </c>
      <c r="AA272" s="87">
        <f t="shared" si="64"/>
        <v>0.24333187243806234</v>
      </c>
      <c r="AB272" s="87">
        <f t="shared" si="70"/>
        <v>0.24333187243806234</v>
      </c>
      <c r="AD272" s="87">
        <f t="shared" si="55"/>
        <v>-7.0653320024181454E-2</v>
      </c>
      <c r="AF272" s="197">
        <f>MAX($B$2:B272)</f>
        <v>18326</v>
      </c>
    </row>
    <row r="273" spans="1:32" x14ac:dyDescent="0.25">
      <c r="A273" s="134">
        <v>44164</v>
      </c>
      <c r="B273" s="156">
        <v>5432</v>
      </c>
      <c r="C273" s="23">
        <f t="shared" si="59"/>
        <v>6920.1428571428569</v>
      </c>
      <c r="D273" s="156">
        <f t="shared" si="67"/>
        <v>1418807</v>
      </c>
      <c r="E273" s="156">
        <v>151</v>
      </c>
      <c r="F273" s="23">
        <f t="shared" si="60"/>
        <v>210.14285714285714</v>
      </c>
      <c r="G273" s="156">
        <f t="shared" si="66"/>
        <v>38442</v>
      </c>
      <c r="H273" s="156">
        <f t="shared" si="72"/>
        <v>6966</v>
      </c>
      <c r="I273" s="185">
        <v>1249843</v>
      </c>
      <c r="J273" s="156">
        <v>4013</v>
      </c>
      <c r="K273" s="23">
        <f t="shared" si="69"/>
        <v>4066.5714285714284</v>
      </c>
      <c r="L273" s="156">
        <v>17338</v>
      </c>
      <c r="M273" s="23">
        <f t="shared" si="69"/>
        <v>27934.714285714286</v>
      </c>
      <c r="N273" s="4">
        <f t="shared" si="61"/>
        <v>3838844</v>
      </c>
      <c r="O273" s="7">
        <v>4139</v>
      </c>
      <c r="P273" s="7">
        <v>1935553</v>
      </c>
      <c r="Q273" s="124">
        <f t="shared" si="62"/>
        <v>1939692</v>
      </c>
      <c r="R273" s="4">
        <v>10067</v>
      </c>
      <c r="S273" s="4">
        <v>281995</v>
      </c>
      <c r="T273" s="4">
        <v>1006055</v>
      </c>
      <c r="U273" s="124">
        <f t="shared" si="63"/>
        <v>120690</v>
      </c>
      <c r="V273" s="125">
        <f t="shared" si="54"/>
        <v>130522</v>
      </c>
      <c r="W273" s="47">
        <f t="shared" si="68"/>
        <v>-8</v>
      </c>
      <c r="X273" s="4"/>
      <c r="Y273" s="218">
        <f t="shared" si="65"/>
        <v>3.074577465867823E-2</v>
      </c>
      <c r="Z273" s="87">
        <f t="shared" si="71"/>
        <v>-0.13878073497253196</v>
      </c>
      <c r="AA273" s="87">
        <f t="shared" si="64"/>
        <v>0.24772556419815589</v>
      </c>
      <c r="AB273" s="87">
        <f t="shared" si="70"/>
        <v>0.24772556419815592</v>
      </c>
      <c r="AD273" s="87">
        <f t="shared" si="55"/>
        <v>-5.3523128575883039E-2</v>
      </c>
      <c r="AF273" s="197">
        <f>MAX($B$2:B273)</f>
        <v>18326</v>
      </c>
    </row>
    <row r="274" spans="1:32" x14ac:dyDescent="0.25">
      <c r="A274" s="341">
        <v>44165</v>
      </c>
      <c r="B274" s="156">
        <v>5726</v>
      </c>
      <c r="C274" s="23">
        <f t="shared" si="59"/>
        <v>7128.8571428571431</v>
      </c>
      <c r="D274" s="156">
        <f t="shared" si="67"/>
        <v>1424533</v>
      </c>
      <c r="E274" s="156">
        <v>257</v>
      </c>
      <c r="F274" s="23">
        <f t="shared" si="60"/>
        <v>229.85714285714286</v>
      </c>
      <c r="G274" s="156">
        <f t="shared" si="66"/>
        <v>38699</v>
      </c>
      <c r="H274" s="156">
        <f t="shared" si="72"/>
        <v>7384</v>
      </c>
      <c r="I274" s="185">
        <v>1257227</v>
      </c>
      <c r="J274" s="156">
        <v>4062</v>
      </c>
      <c r="K274" s="23">
        <f t="shared" si="69"/>
        <v>4051.8571428571427</v>
      </c>
      <c r="L274" s="156">
        <v>19291</v>
      </c>
      <c r="M274" s="23">
        <f t="shared" si="69"/>
        <v>28812.142857142859</v>
      </c>
      <c r="N274" s="4">
        <f t="shared" si="61"/>
        <v>3858135</v>
      </c>
      <c r="O274" s="7">
        <v>4209</v>
      </c>
      <c r="P274" s="7">
        <v>1945524</v>
      </c>
      <c r="Q274" s="124">
        <f t="shared" si="62"/>
        <v>1949733</v>
      </c>
      <c r="R274" s="4">
        <v>10089</v>
      </c>
      <c r="S274" s="4">
        <v>283567</v>
      </c>
      <c r="T274" s="4">
        <v>1009382</v>
      </c>
      <c r="U274" s="124">
        <f t="shared" si="63"/>
        <v>121495</v>
      </c>
      <c r="V274" s="125">
        <f t="shared" si="54"/>
        <v>128607</v>
      </c>
      <c r="W274" s="47">
        <f t="shared" si="68"/>
        <v>49</v>
      </c>
      <c r="X274" s="4"/>
      <c r="Y274" s="218">
        <f t="shared" si="65"/>
        <v>3.158459492873638E-2</v>
      </c>
      <c r="Z274" s="87">
        <f t="shared" si="71"/>
        <v>-5.470733093388902E-2</v>
      </c>
      <c r="AA274" s="87">
        <f t="shared" si="64"/>
        <v>0.24742544066241912</v>
      </c>
      <c r="AB274" s="87">
        <f t="shared" si="70"/>
        <v>0.24742544066241912</v>
      </c>
      <c r="AD274" s="87">
        <f t="shared" si="55"/>
        <v>-3.8387629821819758E-2</v>
      </c>
      <c r="AF274" s="197">
        <f>MAX($B$2:B274)</f>
        <v>18326</v>
      </c>
    </row>
    <row r="275" spans="1:32" x14ac:dyDescent="0.25">
      <c r="A275" s="341">
        <v>44166</v>
      </c>
      <c r="B275" s="156">
        <v>8037</v>
      </c>
      <c r="C275" s="23">
        <f t="shared" si="59"/>
        <v>7253.5714285714284</v>
      </c>
      <c r="D275" s="156">
        <f t="shared" si="67"/>
        <v>1432570</v>
      </c>
      <c r="E275" s="156">
        <v>198</v>
      </c>
      <c r="F275" s="23">
        <f t="shared" si="60"/>
        <v>213.71428571428572</v>
      </c>
      <c r="G275" s="156">
        <f t="shared" si="66"/>
        <v>38897</v>
      </c>
      <c r="H275" s="156">
        <f t="shared" si="72"/>
        <v>6024</v>
      </c>
      <c r="I275" s="185">
        <v>1263251</v>
      </c>
      <c r="J275" s="156">
        <v>3946</v>
      </c>
      <c r="K275" s="23">
        <f t="shared" si="69"/>
        <v>4023</v>
      </c>
      <c r="L275" s="156">
        <v>33764</v>
      </c>
      <c r="M275" s="23">
        <f t="shared" si="69"/>
        <v>30486.571428571428</v>
      </c>
      <c r="N275" s="4">
        <f t="shared" si="61"/>
        <v>3891899</v>
      </c>
      <c r="O275" s="7">
        <v>4328</v>
      </c>
      <c r="P275" s="7">
        <v>1964346</v>
      </c>
      <c r="Q275" s="124">
        <f t="shared" si="62"/>
        <v>1968674</v>
      </c>
      <c r="R275" s="4">
        <v>10120</v>
      </c>
      <c r="S275" s="4">
        <v>285518</v>
      </c>
      <c r="T275" s="4">
        <v>1015923</v>
      </c>
      <c r="U275" s="124">
        <f t="shared" si="63"/>
        <v>121009</v>
      </c>
      <c r="V275" s="125">
        <f t="shared" si="54"/>
        <v>130422</v>
      </c>
      <c r="W275" s="47">
        <f t="shared" si="68"/>
        <v>-116</v>
      </c>
      <c r="X275" s="4"/>
      <c r="Y275" s="218">
        <f t="shared" si="65"/>
        <v>3.0255631718575086E-2</v>
      </c>
      <c r="Z275" s="87">
        <f t="shared" si="71"/>
        <v>-5.4063583475348898E-3</v>
      </c>
      <c r="AA275" s="87">
        <f t="shared" si="64"/>
        <v>0.23792676869441348</v>
      </c>
      <c r="AB275" s="87">
        <f t="shared" si="70"/>
        <v>0.23792676869441345</v>
      </c>
      <c r="AD275" s="87">
        <f t="shared" si="55"/>
        <v>-2.4955143540669855E-2</v>
      </c>
      <c r="AF275" s="197">
        <f>MAX($B$2:B275)</f>
        <v>18326</v>
      </c>
    </row>
    <row r="276" spans="1:32" x14ac:dyDescent="0.25">
      <c r="A276" s="341">
        <v>44167</v>
      </c>
      <c r="B276" s="156">
        <v>7533</v>
      </c>
      <c r="C276" s="23">
        <f t="shared" si="59"/>
        <v>7102.1428571428569</v>
      </c>
      <c r="D276" s="156">
        <f t="shared" si="67"/>
        <v>1440103</v>
      </c>
      <c r="E276" s="156">
        <v>228</v>
      </c>
      <c r="F276" s="23">
        <f t="shared" si="60"/>
        <v>206.28571428571428</v>
      </c>
      <c r="G276" s="156">
        <f t="shared" si="66"/>
        <v>39125</v>
      </c>
      <c r="H276" s="156">
        <f t="shared" si="72"/>
        <v>5107</v>
      </c>
      <c r="I276" s="185">
        <v>1268358</v>
      </c>
      <c r="J276" s="156">
        <v>3983</v>
      </c>
      <c r="K276" s="23">
        <f t="shared" si="69"/>
        <v>4015</v>
      </c>
      <c r="L276" s="156">
        <v>49474</v>
      </c>
      <c r="M276" s="23">
        <f t="shared" si="69"/>
        <v>33349</v>
      </c>
      <c r="N276" s="4">
        <f t="shared" si="61"/>
        <v>3941373</v>
      </c>
      <c r="O276" s="7">
        <v>4476</v>
      </c>
      <c r="P276" s="7">
        <v>2000098</v>
      </c>
      <c r="Q276" s="132">
        <f t="shared" si="62"/>
        <v>2004574</v>
      </c>
      <c r="R276" s="4">
        <v>10155</v>
      </c>
      <c r="S276" s="4">
        <v>287233</v>
      </c>
      <c r="T276" s="4">
        <v>1022204</v>
      </c>
      <c r="U276" s="132">
        <f t="shared" si="63"/>
        <v>120511</v>
      </c>
      <c r="V276" s="125">
        <f t="shared" si="54"/>
        <v>132620</v>
      </c>
      <c r="W276" s="1">
        <f t="shared" si="68"/>
        <v>37</v>
      </c>
      <c r="X276" s="4"/>
      <c r="Y276" s="218">
        <f t="shared" si="65"/>
        <v>3.0033177499622983E-2</v>
      </c>
      <c r="Z276" s="87">
        <f t="shared" si="71"/>
        <v>-5.6403384203053131E-3</v>
      </c>
      <c r="AA276" s="87">
        <f t="shared" si="64"/>
        <v>0.21296419254379012</v>
      </c>
      <c r="AB276" s="87">
        <f t="shared" si="70"/>
        <v>0.21296419254379012</v>
      </c>
      <c r="AD276" s="87">
        <f t="shared" si="55"/>
        <v>-2.069810888844581E-2</v>
      </c>
      <c r="AF276" s="197">
        <f>MAX($B$2:B276)</f>
        <v>18326</v>
      </c>
    </row>
    <row r="277" spans="1:32" x14ac:dyDescent="0.25">
      <c r="A277" s="341">
        <v>44168</v>
      </c>
      <c r="B277" s="156">
        <v>7629</v>
      </c>
      <c r="C277" s="23">
        <f t="shared" si="59"/>
        <v>6900.1428571428569</v>
      </c>
      <c r="D277" s="156">
        <f t="shared" si="67"/>
        <v>1447732</v>
      </c>
      <c r="E277" s="156">
        <v>148</v>
      </c>
      <c r="F277" s="23">
        <f t="shared" si="60"/>
        <v>194.71428571428572</v>
      </c>
      <c r="G277" s="156">
        <f t="shared" si="66"/>
        <v>39273</v>
      </c>
      <c r="H277" s="156">
        <f t="shared" si="72"/>
        <v>6317</v>
      </c>
      <c r="I277" s="185">
        <v>1274675</v>
      </c>
      <c r="J277" s="156">
        <v>3916</v>
      </c>
      <c r="K277" s="23">
        <f t="shared" si="69"/>
        <v>4008.7142857142858</v>
      </c>
      <c r="L277" s="156">
        <v>47112</v>
      </c>
      <c r="M277" s="23">
        <f t="shared" si="69"/>
        <v>35396.285714285717</v>
      </c>
      <c r="N277" s="4">
        <f t="shared" si="61"/>
        <v>3988485</v>
      </c>
      <c r="O277" s="7">
        <v>4554</v>
      </c>
      <c r="P277" s="7">
        <v>2033435</v>
      </c>
      <c r="Q277" s="132">
        <f t="shared" si="62"/>
        <v>2037989</v>
      </c>
      <c r="R277" s="4">
        <v>10186</v>
      </c>
      <c r="S277" s="4">
        <v>288999</v>
      </c>
      <c r="T277" s="4">
        <v>1028077</v>
      </c>
      <c r="U277" s="132">
        <f t="shared" si="63"/>
        <v>120470</v>
      </c>
      <c r="V277" s="125">
        <f t="shared" si="54"/>
        <v>133784</v>
      </c>
      <c r="W277" s="1">
        <f t="shared" si="68"/>
        <v>-67</v>
      </c>
      <c r="X277" s="4"/>
      <c r="Y277" s="218">
        <f t="shared" si="65"/>
        <v>2.9271063804341326E-2</v>
      </c>
      <c r="Z277" s="87">
        <f t="shared" si="71"/>
        <v>1.36830102622576E-3</v>
      </c>
      <c r="AA277" s="87">
        <f t="shared" si="64"/>
        <v>0.19493974347590948</v>
      </c>
      <c r="AB277" s="87">
        <f t="shared" si="70"/>
        <v>0.1949397434759095</v>
      </c>
      <c r="AD277" s="87">
        <f t="shared" si="55"/>
        <v>-7.9712885309841663E-3</v>
      </c>
      <c r="AF277" s="197">
        <f>MAX($B$2:B277)</f>
        <v>18326</v>
      </c>
    </row>
    <row r="278" spans="1:32" x14ac:dyDescent="0.25">
      <c r="A278" s="341">
        <v>44169</v>
      </c>
      <c r="B278" s="156">
        <v>6899</v>
      </c>
      <c r="C278" s="23">
        <f t="shared" si="59"/>
        <v>6764.8571428571431</v>
      </c>
      <c r="D278" s="156">
        <f t="shared" si="67"/>
        <v>1454631</v>
      </c>
      <c r="E278" s="174">
        <v>207</v>
      </c>
      <c r="F278" s="23">
        <f t="shared" si="60"/>
        <v>185</v>
      </c>
      <c r="G278" s="156">
        <f t="shared" si="66"/>
        <v>39480</v>
      </c>
      <c r="H278" s="156">
        <f t="shared" si="72"/>
        <v>7280</v>
      </c>
      <c r="I278" s="185">
        <v>1281955</v>
      </c>
      <c r="J278" s="156">
        <v>3929</v>
      </c>
      <c r="K278" s="23">
        <f t="shared" si="69"/>
        <v>3981.4285714285716</v>
      </c>
      <c r="L278" s="156">
        <v>32923</v>
      </c>
      <c r="M278" s="23">
        <f t="shared" si="69"/>
        <v>32196.285714285714</v>
      </c>
      <c r="N278" s="4">
        <f t="shared" si="61"/>
        <v>4021408</v>
      </c>
      <c r="O278" s="7">
        <v>4609</v>
      </c>
      <c r="P278" s="7">
        <v>2054205</v>
      </c>
      <c r="Q278" s="132">
        <f t="shared" si="62"/>
        <v>2058814</v>
      </c>
      <c r="R278" s="4">
        <v>10211</v>
      </c>
      <c r="S278" s="4">
        <v>290538</v>
      </c>
      <c r="T278" s="4">
        <v>1033772</v>
      </c>
      <c r="U278" s="132">
        <f t="shared" si="63"/>
        <v>120110</v>
      </c>
      <c r="V278" s="125">
        <f t="shared" si="54"/>
        <v>133196</v>
      </c>
      <c r="W278" s="1">
        <f t="shared" si="68"/>
        <v>13</v>
      </c>
      <c r="X278" s="12">
        <f t="shared" ref="X278:X341" si="73">(D278-I278-G278)-(D277-G277-I277)</f>
        <v>-588</v>
      </c>
      <c r="Y278" s="218">
        <f t="shared" si="65"/>
        <v>2.9497882819303885E-2</v>
      </c>
      <c r="Z278" s="87">
        <f t="shared" si="71"/>
        <v>3.4115228953446319E-3</v>
      </c>
      <c r="AA278" s="87">
        <f t="shared" si="64"/>
        <v>0.21011296777800456</v>
      </c>
      <c r="AB278" s="87">
        <f t="shared" si="70"/>
        <v>0.21011296777800456</v>
      </c>
      <c r="AD278" s="87">
        <f t="shared" si="55"/>
        <v>-4.774535809018543E-3</v>
      </c>
      <c r="AF278" s="197">
        <f>MAX($B$2:B278)</f>
        <v>18326</v>
      </c>
    </row>
    <row r="279" spans="1:32" x14ac:dyDescent="0.25">
      <c r="A279" s="134">
        <v>44170</v>
      </c>
      <c r="B279" s="156">
        <v>5201</v>
      </c>
      <c r="C279" s="23">
        <f t="shared" si="59"/>
        <v>6636.7142857142853</v>
      </c>
      <c r="D279" s="156">
        <f t="shared" si="67"/>
        <v>1459832</v>
      </c>
      <c r="E279" s="156">
        <v>121</v>
      </c>
      <c r="F279" s="23">
        <f t="shared" si="60"/>
        <v>187.14285714285714</v>
      </c>
      <c r="G279" s="156">
        <f t="shared" si="66"/>
        <v>39601</v>
      </c>
      <c r="H279" s="156">
        <f t="shared" si="72"/>
        <v>6830</v>
      </c>
      <c r="I279" s="185">
        <v>1288785</v>
      </c>
      <c r="J279" s="156">
        <v>3757</v>
      </c>
      <c r="K279" s="23">
        <f t="shared" si="69"/>
        <v>3943.7142857142858</v>
      </c>
      <c r="L279" s="156">
        <v>28567</v>
      </c>
      <c r="M279" s="23">
        <f t="shared" si="69"/>
        <v>32638.428571428572</v>
      </c>
      <c r="N279" s="4">
        <f t="shared" si="61"/>
        <v>4049975</v>
      </c>
      <c r="O279" s="7">
        <v>4687</v>
      </c>
      <c r="P279" s="7">
        <v>2072109</v>
      </c>
      <c r="Q279" s="132">
        <f t="shared" si="62"/>
        <v>2076796</v>
      </c>
      <c r="R279" s="4">
        <v>10228</v>
      </c>
      <c r="S279" s="4">
        <v>291315</v>
      </c>
      <c r="T279" s="4">
        <v>1037782</v>
      </c>
      <c r="U279" s="132">
        <f t="shared" si="63"/>
        <v>120507</v>
      </c>
      <c r="V279" s="125">
        <f t="shared" si="54"/>
        <v>131446</v>
      </c>
      <c r="W279" s="1">
        <f t="shared" si="68"/>
        <v>-172</v>
      </c>
      <c r="X279" s="12">
        <f t="shared" si="73"/>
        <v>-1750</v>
      </c>
      <c r="Y279" s="218">
        <f t="shared" si="65"/>
        <v>2.8582079332958022E-2</v>
      </c>
      <c r="Z279" s="87">
        <f t="shared" si="71"/>
        <v>-4.0957040523523447E-2</v>
      </c>
      <c r="AA279" s="87">
        <f t="shared" si="64"/>
        <v>0.20334049696020026</v>
      </c>
      <c r="AB279" s="87">
        <f t="shared" si="70"/>
        <v>0.20334049696020029</v>
      </c>
      <c r="AD279" s="87">
        <f t="shared" si="55"/>
        <v>-5.7561248647953756E-3</v>
      </c>
      <c r="AF279" s="197">
        <f>MAX($B$2:B279)</f>
        <v>18326</v>
      </c>
    </row>
    <row r="280" spans="1:32" x14ac:dyDescent="0.25">
      <c r="A280" s="134">
        <v>44171</v>
      </c>
      <c r="B280" s="156">
        <v>3278</v>
      </c>
      <c r="C280" s="23">
        <f t="shared" si="59"/>
        <v>6329</v>
      </c>
      <c r="D280" s="156">
        <f t="shared" si="67"/>
        <v>1463110</v>
      </c>
      <c r="E280" s="156">
        <v>138</v>
      </c>
      <c r="F280" s="23">
        <f t="shared" si="60"/>
        <v>185.28571428571428</v>
      </c>
      <c r="G280" s="156">
        <f t="shared" si="66"/>
        <v>39739</v>
      </c>
      <c r="H280" s="156">
        <f t="shared" si="72"/>
        <v>5907</v>
      </c>
      <c r="I280" s="185">
        <v>1294692</v>
      </c>
      <c r="J280" s="156">
        <v>3735</v>
      </c>
      <c r="K280" s="23">
        <f t="shared" si="69"/>
        <v>3904</v>
      </c>
      <c r="L280" s="156">
        <v>16826</v>
      </c>
      <c r="M280" s="23">
        <f t="shared" si="69"/>
        <v>32565.285714285714</v>
      </c>
      <c r="N280" s="4">
        <f t="shared" si="61"/>
        <v>4066801</v>
      </c>
      <c r="O280" s="7">
        <v>4696</v>
      </c>
      <c r="P280" s="7">
        <v>2083087</v>
      </c>
      <c r="Q280" s="132">
        <f t="shared" si="62"/>
        <v>2087783</v>
      </c>
      <c r="R280" s="4">
        <v>10245</v>
      </c>
      <c r="S280" s="4">
        <v>291769</v>
      </c>
      <c r="T280" s="4">
        <v>1041718</v>
      </c>
      <c r="U280" s="132">
        <f t="shared" si="63"/>
        <v>119378</v>
      </c>
      <c r="V280" s="125">
        <f t="shared" si="54"/>
        <v>128679</v>
      </c>
      <c r="W280" s="1">
        <f t="shared" si="68"/>
        <v>-22</v>
      </c>
      <c r="X280" s="12">
        <f t="shared" si="73"/>
        <v>-2767</v>
      </c>
      <c r="Y280" s="218">
        <f t="shared" si="65"/>
        <v>2.9025715151656448E-2</v>
      </c>
      <c r="Z280" s="87">
        <f t="shared" si="71"/>
        <v>-0.11219991182718125</v>
      </c>
      <c r="AA280" s="87">
        <f t="shared" si="64"/>
        <v>0.19434805687037468</v>
      </c>
      <c r="AB280" s="87">
        <f t="shared" si="70"/>
        <v>0.19434805687037468</v>
      </c>
      <c r="AD280" s="87">
        <f t="shared" si="55"/>
        <v>-1.4120224942921533E-2</v>
      </c>
      <c r="AF280" s="197">
        <f>MAX($B$2:B280)</f>
        <v>18326</v>
      </c>
    </row>
    <row r="281" spans="1:32" x14ac:dyDescent="0.25">
      <c r="A281" s="134">
        <v>44172</v>
      </c>
      <c r="B281" s="156">
        <v>3199</v>
      </c>
      <c r="C281" s="23">
        <f t="shared" si="59"/>
        <v>5968</v>
      </c>
      <c r="D281" s="178">
        <f t="shared" si="67"/>
        <v>1466309</v>
      </c>
      <c r="E281" s="156">
        <v>118</v>
      </c>
      <c r="F281" s="23">
        <f t="shared" si="60"/>
        <v>165.42857142857142</v>
      </c>
      <c r="G281" s="156">
        <f t="shared" si="66"/>
        <v>39857</v>
      </c>
      <c r="H281" s="156">
        <f t="shared" si="72"/>
        <v>6004</v>
      </c>
      <c r="I281" s="185">
        <v>1300696</v>
      </c>
      <c r="J281" s="156">
        <v>3723</v>
      </c>
      <c r="K281" s="23">
        <f t="shared" si="69"/>
        <v>3855.5714285714284</v>
      </c>
      <c r="L281" s="156">
        <v>9951</v>
      </c>
      <c r="M281" s="23">
        <f t="shared" si="69"/>
        <v>31231</v>
      </c>
      <c r="N281" s="4">
        <f t="shared" si="61"/>
        <v>4076752</v>
      </c>
      <c r="O281" s="7">
        <v>4703</v>
      </c>
      <c r="P281" s="7">
        <v>2088287</v>
      </c>
      <c r="Q281" s="132">
        <f t="shared" si="62"/>
        <v>2092990</v>
      </c>
      <c r="R281" s="4">
        <v>10262</v>
      </c>
      <c r="S281" s="4">
        <v>292290</v>
      </c>
      <c r="T281" s="4">
        <v>1047405</v>
      </c>
      <c r="U281" s="132">
        <f t="shared" si="63"/>
        <v>116352</v>
      </c>
      <c r="V281" s="125">
        <f t="shared" si="54"/>
        <v>125756</v>
      </c>
      <c r="W281" s="1">
        <f t="shared" si="68"/>
        <v>-12</v>
      </c>
      <c r="X281" s="12">
        <f t="shared" si="73"/>
        <v>-2923</v>
      </c>
      <c r="Y281" s="218">
        <f t="shared" si="65"/>
        <v>2.9604949266834185E-2</v>
      </c>
      <c r="Z281" s="87">
        <f t="shared" si="71"/>
        <v>-0.17723289020187094</v>
      </c>
      <c r="AA281" s="87">
        <f t="shared" si="64"/>
        <v>0.19109218404790113</v>
      </c>
      <c r="AB281" s="87">
        <f t="shared" si="70"/>
        <v>0.19109218404790113</v>
      </c>
      <c r="AD281" s="87">
        <f t="shared" si="55"/>
        <v>-2.216831121167584E-2</v>
      </c>
      <c r="AF281" s="197">
        <f>MAX($B$2:B281)</f>
        <v>18326</v>
      </c>
    </row>
    <row r="282" spans="1:32" x14ac:dyDescent="0.25">
      <c r="A282" s="134">
        <v>44173</v>
      </c>
      <c r="B282" s="156">
        <v>3610</v>
      </c>
      <c r="C282" s="23">
        <f t="shared" si="59"/>
        <v>5335.5714285714284</v>
      </c>
      <c r="D282" s="156">
        <f t="shared" si="67"/>
        <v>1469919</v>
      </c>
      <c r="E282" s="156">
        <v>120</v>
      </c>
      <c r="F282" s="23">
        <f t="shared" si="60"/>
        <v>154.28571428571428</v>
      </c>
      <c r="G282" s="156">
        <f t="shared" si="66"/>
        <v>39977</v>
      </c>
      <c r="H282" s="156">
        <f t="shared" si="72"/>
        <v>4891</v>
      </c>
      <c r="I282" s="185">
        <v>1305587</v>
      </c>
      <c r="J282" s="156">
        <v>3715</v>
      </c>
      <c r="K282" s="23">
        <f t="shared" si="69"/>
        <v>3822.5714285714284</v>
      </c>
      <c r="L282" s="156">
        <v>13302</v>
      </c>
      <c r="M282" s="23">
        <f t="shared" si="69"/>
        <v>28307.857142857141</v>
      </c>
      <c r="N282" s="4">
        <f t="shared" si="61"/>
        <v>4090054</v>
      </c>
      <c r="O282" s="7">
        <v>4726</v>
      </c>
      <c r="P282" s="7">
        <v>2095475</v>
      </c>
      <c r="Q282" s="132">
        <f t="shared" si="62"/>
        <v>2100201</v>
      </c>
      <c r="R282" s="4">
        <v>10276</v>
      </c>
      <c r="S282" s="4">
        <v>292866</v>
      </c>
      <c r="T282" s="4">
        <v>1053314</v>
      </c>
      <c r="U282" s="132">
        <f t="shared" si="63"/>
        <v>113463</v>
      </c>
      <c r="V282" s="125">
        <f t="shared" si="54"/>
        <v>124355</v>
      </c>
      <c r="W282" s="1">
        <f t="shared" si="68"/>
        <v>-8</v>
      </c>
      <c r="X282" s="12">
        <f t="shared" si="73"/>
        <v>-1401</v>
      </c>
      <c r="Y282" s="218">
        <f t="shared" si="65"/>
        <v>2.9874150617184674E-2</v>
      </c>
      <c r="Z282" s="87">
        <f t="shared" si="71"/>
        <v>-0.24873780549130042</v>
      </c>
      <c r="AA282" s="87">
        <f t="shared" si="64"/>
        <v>0.18848376271100906</v>
      </c>
      <c r="AB282" s="87">
        <f t="shared" si="70"/>
        <v>0.18848376271100906</v>
      </c>
      <c r="AD282" s="87">
        <f t="shared" si="55"/>
        <v>-4.6518225452761075E-2</v>
      </c>
      <c r="AF282" s="197">
        <f>MAX($B$2:B282)</f>
        <v>18326</v>
      </c>
    </row>
    <row r="283" spans="1:32" x14ac:dyDescent="0.25">
      <c r="A283" s="341">
        <v>44174</v>
      </c>
      <c r="B283" s="156">
        <v>5303</v>
      </c>
      <c r="C283" s="23">
        <f t="shared" si="59"/>
        <v>5017</v>
      </c>
      <c r="D283" s="156">
        <f t="shared" si="67"/>
        <v>1475222</v>
      </c>
      <c r="E283" s="156">
        <v>212</v>
      </c>
      <c r="F283" s="23">
        <f t="shared" si="60"/>
        <v>152</v>
      </c>
      <c r="G283" s="156">
        <f t="shared" si="66"/>
        <v>40189</v>
      </c>
      <c r="H283" s="156">
        <f t="shared" si="72"/>
        <v>5901</v>
      </c>
      <c r="I283" s="185">
        <v>1311488</v>
      </c>
      <c r="J283" s="156">
        <v>3688</v>
      </c>
      <c r="K283" s="23">
        <f t="shared" si="69"/>
        <v>3780.4285714285716</v>
      </c>
      <c r="L283" s="156">
        <v>20785</v>
      </c>
      <c r="M283" s="23">
        <f t="shared" si="69"/>
        <v>24209.428571428572</v>
      </c>
      <c r="N283" s="4">
        <f t="shared" si="61"/>
        <v>4110839</v>
      </c>
      <c r="O283" s="7">
        <v>4782</v>
      </c>
      <c r="P283" s="7">
        <v>2108441</v>
      </c>
      <c r="Q283" s="132">
        <f t="shared" si="62"/>
        <v>2113223</v>
      </c>
      <c r="R283" s="4">
        <v>10316</v>
      </c>
      <c r="S283" s="4">
        <v>294068</v>
      </c>
      <c r="T283" s="4">
        <v>1058646</v>
      </c>
      <c r="U283" s="132">
        <f t="shared" si="63"/>
        <v>112192</v>
      </c>
      <c r="V283" s="125">
        <f t="shared" si="54"/>
        <v>123545</v>
      </c>
      <c r="W283" s="1">
        <f t="shared" si="68"/>
        <v>-27</v>
      </c>
      <c r="X283" s="12">
        <f t="shared" si="73"/>
        <v>-810</v>
      </c>
      <c r="Y283" s="218">
        <f t="shared" si="65"/>
        <v>2.9851471123881985E-2</v>
      </c>
      <c r="Z283" s="87">
        <f t="shared" si="71"/>
        <v>-0.27291360427320344</v>
      </c>
      <c r="AA283" s="87">
        <f t="shared" si="64"/>
        <v>0.20723330933638606</v>
      </c>
      <c r="AB283" s="87">
        <f t="shared" si="70"/>
        <v>0.20723330933638606</v>
      </c>
      <c r="AD283" s="87">
        <f t="shared" si="55"/>
        <v>-6.8428592972402336E-2</v>
      </c>
      <c r="AF283" s="197">
        <f>MAX($B$2:B283)</f>
        <v>18326</v>
      </c>
    </row>
    <row r="284" spans="1:32" x14ac:dyDescent="0.25">
      <c r="A284" s="341">
        <v>44175</v>
      </c>
      <c r="B284" s="156">
        <v>6994</v>
      </c>
      <c r="C284" s="23">
        <f t="shared" si="59"/>
        <v>4926.2857142857147</v>
      </c>
      <c r="D284" s="156">
        <f t="shared" si="67"/>
        <v>1482216</v>
      </c>
      <c r="E284" s="156">
        <v>209</v>
      </c>
      <c r="F284" s="23">
        <f t="shared" si="60"/>
        <v>160.71428571428572</v>
      </c>
      <c r="G284" s="156">
        <f t="shared" si="66"/>
        <v>40398</v>
      </c>
      <c r="H284" s="156">
        <f t="shared" si="72"/>
        <v>6699</v>
      </c>
      <c r="I284" s="185">
        <v>1318187</v>
      </c>
      <c r="J284" s="156">
        <v>3665</v>
      </c>
      <c r="K284" s="23">
        <f t="shared" si="69"/>
        <v>3744.5714285714284</v>
      </c>
      <c r="L284" s="156">
        <v>28166</v>
      </c>
      <c r="M284" s="23">
        <f t="shared" si="69"/>
        <v>21502.857142857141</v>
      </c>
      <c r="N284" s="4">
        <f t="shared" si="61"/>
        <v>4139005</v>
      </c>
      <c r="O284" s="7">
        <v>4881</v>
      </c>
      <c r="P284" s="7">
        <v>2124880</v>
      </c>
      <c r="Q284" s="132">
        <f t="shared" si="62"/>
        <v>2129761</v>
      </c>
      <c r="R284" s="4">
        <v>10335</v>
      </c>
      <c r="S284" s="4">
        <v>295491</v>
      </c>
      <c r="T284" s="4">
        <v>1064115</v>
      </c>
      <c r="U284" s="132">
        <f t="shared" si="63"/>
        <v>112275</v>
      </c>
      <c r="V284" s="125">
        <f t="shared" si="54"/>
        <v>123631</v>
      </c>
      <c r="W284" s="1">
        <f t="shared" si="68"/>
        <v>-23</v>
      </c>
      <c r="X284" s="12">
        <f t="shared" si="73"/>
        <v>86</v>
      </c>
      <c r="Y284" s="218">
        <f t="shared" si="65"/>
        <v>2.9644668408408893E-2</v>
      </c>
      <c r="Z284" s="87">
        <f t="shared" si="71"/>
        <v>-0.27178274274612491</v>
      </c>
      <c r="AA284" s="87">
        <f t="shared" si="64"/>
        <v>0.22909912304012758</v>
      </c>
      <c r="AB284" s="87">
        <f t="shared" si="70"/>
        <v>0.22909912304012756</v>
      </c>
      <c r="AD284" s="87">
        <f t="shared" si="55"/>
        <v>-7.5890988459008546E-2</v>
      </c>
      <c r="AF284" s="197">
        <f>MAX($B$2:B284)</f>
        <v>18326</v>
      </c>
    </row>
    <row r="285" spans="1:32" x14ac:dyDescent="0.25">
      <c r="A285" s="341">
        <v>44176</v>
      </c>
      <c r="B285" s="156">
        <v>7112</v>
      </c>
      <c r="C285" s="23">
        <f t="shared" si="59"/>
        <v>4956.7142857142853</v>
      </c>
      <c r="D285" s="156">
        <f t="shared" si="67"/>
        <v>1489328</v>
      </c>
      <c r="E285" s="156">
        <v>177</v>
      </c>
      <c r="F285" s="23">
        <f t="shared" si="60"/>
        <v>156.42857142857142</v>
      </c>
      <c r="G285" s="156">
        <f t="shared" si="66"/>
        <v>40575</v>
      </c>
      <c r="H285" s="156">
        <f t="shared" si="72"/>
        <v>6605</v>
      </c>
      <c r="I285" s="185">
        <v>1324792</v>
      </c>
      <c r="J285" s="156">
        <v>3620</v>
      </c>
      <c r="K285" s="23">
        <f t="shared" si="69"/>
        <v>3700.4285714285716</v>
      </c>
      <c r="L285" s="156">
        <v>36805</v>
      </c>
      <c r="M285" s="23">
        <f t="shared" si="69"/>
        <v>22057.428571428572</v>
      </c>
      <c r="N285" s="4">
        <f t="shared" si="61"/>
        <v>4175810</v>
      </c>
      <c r="O285" s="7">
        <v>4940</v>
      </c>
      <c r="P285" s="7">
        <v>2147972</v>
      </c>
      <c r="Q285" s="132">
        <f t="shared" si="62"/>
        <v>2152912</v>
      </c>
      <c r="R285" s="4">
        <v>10375</v>
      </c>
      <c r="S285" s="4">
        <v>296884</v>
      </c>
      <c r="T285" s="4">
        <v>1068414</v>
      </c>
      <c r="U285" s="132">
        <f t="shared" si="63"/>
        <v>113655</v>
      </c>
      <c r="V285" s="125">
        <f t="shared" si="54"/>
        <v>123961</v>
      </c>
      <c r="W285" s="1">
        <f t="shared" si="68"/>
        <v>-45</v>
      </c>
      <c r="X285" s="12">
        <f t="shared" si="73"/>
        <v>330</v>
      </c>
      <c r="Y285" s="218">
        <f t="shared" si="65"/>
        <v>2.9202733117674108E-2</v>
      </c>
      <c r="Z285" s="87">
        <f t="shared" si="71"/>
        <v>-0.25313730977032523</v>
      </c>
      <c r="AA285" s="87">
        <f t="shared" si="64"/>
        <v>0.22471859172808639</v>
      </c>
      <c r="AB285" s="87">
        <f t="shared" si="70"/>
        <v>0.22471859172808642</v>
      </c>
      <c r="AD285" s="87">
        <f t="shared" si="55"/>
        <v>-6.9333913931349245E-2</v>
      </c>
      <c r="AF285" s="197">
        <f>MAX($B$2:B285)</f>
        <v>18326</v>
      </c>
    </row>
    <row r="286" spans="1:32" x14ac:dyDescent="0.25">
      <c r="A286" s="136">
        <v>44177</v>
      </c>
      <c r="B286" s="156">
        <v>5274</v>
      </c>
      <c r="C286" s="23">
        <f t="shared" si="59"/>
        <v>4967.1428571428569</v>
      </c>
      <c r="D286" s="156">
        <f t="shared" si="67"/>
        <v>1494602</v>
      </c>
      <c r="E286" s="156">
        <v>62</v>
      </c>
      <c r="F286" s="23">
        <f t="shared" si="60"/>
        <v>148</v>
      </c>
      <c r="G286" s="156">
        <f t="shared" si="66"/>
        <v>40637</v>
      </c>
      <c r="H286" s="156">
        <f t="shared" si="72"/>
        <v>5368</v>
      </c>
      <c r="I286" s="185">
        <v>1330160</v>
      </c>
      <c r="J286" s="156">
        <v>3594</v>
      </c>
      <c r="K286" s="23">
        <f t="shared" si="69"/>
        <v>3677.1428571428573</v>
      </c>
      <c r="L286" s="156">
        <v>27204</v>
      </c>
      <c r="M286" s="23">
        <f t="shared" si="69"/>
        <v>21862.714285714286</v>
      </c>
      <c r="N286" s="4">
        <f t="shared" si="61"/>
        <v>4203014</v>
      </c>
      <c r="O286" s="7">
        <v>4983</v>
      </c>
      <c r="P286" s="7">
        <v>2164993</v>
      </c>
      <c r="Q286" s="132">
        <f t="shared" si="62"/>
        <v>2169976</v>
      </c>
      <c r="R286" s="4">
        <v>10396</v>
      </c>
      <c r="S286" s="4">
        <v>297737</v>
      </c>
      <c r="T286" s="4">
        <v>1071431</v>
      </c>
      <c r="U286" s="132">
        <f t="shared" si="63"/>
        <v>115038</v>
      </c>
      <c r="V286" s="125">
        <f t="shared" ref="V286:V331" si="74">D286-G286-I286</f>
        <v>123805</v>
      </c>
      <c r="W286" s="1">
        <f t="shared" si="68"/>
        <v>-26</v>
      </c>
      <c r="X286" s="12">
        <f t="shared" si="73"/>
        <v>-156</v>
      </c>
      <c r="Y286" s="218">
        <f t="shared" si="65"/>
        <v>2.9029522232543112E-2</v>
      </c>
      <c r="Z286" s="87">
        <f t="shared" si="71"/>
        <v>-0.21517730176286032</v>
      </c>
      <c r="AA286" s="87">
        <f t="shared" si="64"/>
        <v>0.22719698900280319</v>
      </c>
      <c r="AB286" s="87">
        <f t="shared" si="70"/>
        <v>0.22719698900280322</v>
      </c>
      <c r="AD286" s="87">
        <f t="shared" si="55"/>
        <v>-5.8130334890373225E-2</v>
      </c>
      <c r="AF286" s="197">
        <f>MAX($B$2:B286)</f>
        <v>18326</v>
      </c>
    </row>
    <row r="287" spans="1:32" x14ac:dyDescent="0.25">
      <c r="A287" s="136">
        <v>44178</v>
      </c>
      <c r="B287" s="156">
        <v>3558</v>
      </c>
      <c r="C287" s="23">
        <f t="shared" si="59"/>
        <v>5007.1428571428569</v>
      </c>
      <c r="D287" s="156">
        <f t="shared" si="67"/>
        <v>1498160</v>
      </c>
      <c r="E287" s="156">
        <v>98</v>
      </c>
      <c r="F287" s="23">
        <f t="shared" si="60"/>
        <v>142.28571428571428</v>
      </c>
      <c r="G287" s="156">
        <f t="shared" si="66"/>
        <v>40735</v>
      </c>
      <c r="H287" s="156">
        <f t="shared" si="72"/>
        <v>5157</v>
      </c>
      <c r="I287" s="185">
        <v>1335317</v>
      </c>
      <c r="J287" s="156">
        <v>3537</v>
      </c>
      <c r="K287" s="23">
        <f t="shared" si="69"/>
        <v>3648.8571428571427</v>
      </c>
      <c r="L287" s="156">
        <v>21793</v>
      </c>
      <c r="M287" s="23">
        <f t="shared" si="69"/>
        <v>22572.285714285714</v>
      </c>
      <c r="N287" s="4">
        <f t="shared" si="61"/>
        <v>4224807</v>
      </c>
      <c r="O287" s="7">
        <v>5042</v>
      </c>
      <c r="P287" s="7">
        <v>2180522</v>
      </c>
      <c r="Q287" s="132">
        <f t="shared" si="62"/>
        <v>2185564</v>
      </c>
      <c r="R287" s="4">
        <v>10424</v>
      </c>
      <c r="S287" s="4">
        <v>298310</v>
      </c>
      <c r="T287" s="4">
        <v>1073462</v>
      </c>
      <c r="U287" s="132">
        <f t="shared" si="63"/>
        <v>115964</v>
      </c>
      <c r="V287" s="125">
        <f t="shared" si="74"/>
        <v>122108</v>
      </c>
      <c r="W287" s="1">
        <f t="shared" si="68"/>
        <v>-57</v>
      </c>
      <c r="X287" s="12">
        <f t="shared" si="73"/>
        <v>-1697</v>
      </c>
      <c r="Y287" s="218">
        <f t="shared" si="65"/>
        <v>2.8966161103285617E-2</v>
      </c>
      <c r="Z287" s="87">
        <f t="shared" si="71"/>
        <v>-0.16100153198008427</v>
      </c>
      <c r="AA287" s="87">
        <f t="shared" si="64"/>
        <v>0.22182701922711795</v>
      </c>
      <c r="AB287" s="87">
        <f t="shared" si="70"/>
        <v>0.22182701922711795</v>
      </c>
      <c r="AD287" s="87">
        <f t="shared" ref="AD287:AD291" si="75">V287/V280-1</f>
        <v>-5.1065053349808487E-2</v>
      </c>
      <c r="AF287" s="197">
        <f>MAX($B$2:B287)</f>
        <v>18326</v>
      </c>
    </row>
    <row r="288" spans="1:32" x14ac:dyDescent="0.25">
      <c r="A288" s="137">
        <v>44179</v>
      </c>
      <c r="B288" s="156">
        <v>5062</v>
      </c>
      <c r="C288" s="23">
        <f t="shared" si="59"/>
        <v>5273.2857142857147</v>
      </c>
      <c r="D288" s="156">
        <f t="shared" si="67"/>
        <v>1503222</v>
      </c>
      <c r="E288" s="156">
        <v>274</v>
      </c>
      <c r="F288" s="23">
        <f t="shared" si="60"/>
        <v>164.57142857142858</v>
      </c>
      <c r="G288" s="156">
        <f t="shared" si="66"/>
        <v>41009</v>
      </c>
      <c r="H288" s="156">
        <f t="shared" si="72"/>
        <v>4803</v>
      </c>
      <c r="I288" s="185">
        <v>1340120</v>
      </c>
      <c r="J288" s="156">
        <v>3478</v>
      </c>
      <c r="K288" s="23">
        <f t="shared" si="69"/>
        <v>3613.8571428571427</v>
      </c>
      <c r="L288" s="156">
        <v>43000</v>
      </c>
      <c r="M288" s="23">
        <f t="shared" si="69"/>
        <v>27293.571428571428</v>
      </c>
      <c r="N288" s="4">
        <f t="shared" si="61"/>
        <v>4267807</v>
      </c>
      <c r="O288" s="7">
        <v>5131</v>
      </c>
      <c r="P288" s="7">
        <v>2215097</v>
      </c>
      <c r="Q288" s="132">
        <f t="shared" si="62"/>
        <v>2220228</v>
      </c>
      <c r="R288" s="4">
        <v>10451</v>
      </c>
      <c r="S288" s="4">
        <v>299430</v>
      </c>
      <c r="T288" s="4">
        <v>1076117</v>
      </c>
      <c r="U288" s="132">
        <f t="shared" si="63"/>
        <v>117224</v>
      </c>
      <c r="V288" s="125">
        <f t="shared" si="74"/>
        <v>122093</v>
      </c>
      <c r="W288" s="1">
        <f t="shared" si="68"/>
        <v>-59</v>
      </c>
      <c r="X288" s="12">
        <f t="shared" si="73"/>
        <v>-15</v>
      </c>
      <c r="Y288" s="218">
        <f t="shared" si="65"/>
        <v>2.848648161647269E-2</v>
      </c>
      <c r="Z288" s="87">
        <f t="shared" si="71"/>
        <v>-1.1673672655224898E-2</v>
      </c>
      <c r="AA288" s="87">
        <f t="shared" si="64"/>
        <v>0.19320614482740575</v>
      </c>
      <c r="AB288" s="87">
        <f t="shared" si="70"/>
        <v>0.19320614482740572</v>
      </c>
      <c r="AD288" s="87">
        <f t="shared" si="75"/>
        <v>-2.9127834854798196E-2</v>
      </c>
      <c r="AF288" s="197">
        <f>MAX($B$2:B288)</f>
        <v>18326</v>
      </c>
    </row>
    <row r="289" spans="1:32" x14ac:dyDescent="0.25">
      <c r="A289" s="137">
        <v>44180</v>
      </c>
      <c r="B289" s="156">
        <v>6981</v>
      </c>
      <c r="C289" s="23">
        <f t="shared" si="59"/>
        <v>5754.8571428571431</v>
      </c>
      <c r="D289" s="156">
        <f t="shared" si="67"/>
        <v>1510203</v>
      </c>
      <c r="E289" s="156">
        <v>165</v>
      </c>
      <c r="F289" s="23">
        <f t="shared" si="60"/>
        <v>171</v>
      </c>
      <c r="G289" s="156">
        <f t="shared" si="66"/>
        <v>41174</v>
      </c>
      <c r="H289" s="156">
        <f t="shared" si="72"/>
        <v>4180</v>
      </c>
      <c r="I289" s="185">
        <v>1344300</v>
      </c>
      <c r="J289" s="156">
        <v>3475</v>
      </c>
      <c r="K289" s="23">
        <f t="shared" si="69"/>
        <v>3579.5714285714284</v>
      </c>
      <c r="L289" s="156">
        <v>36591</v>
      </c>
      <c r="M289" s="23">
        <f t="shared" si="69"/>
        <v>30620.571428571428</v>
      </c>
      <c r="N289" s="4">
        <f t="shared" si="61"/>
        <v>4304398</v>
      </c>
      <c r="O289" s="7">
        <v>5271</v>
      </c>
      <c r="P289" s="7">
        <v>2238751</v>
      </c>
      <c r="Q289" s="132">
        <f t="shared" si="62"/>
        <v>2244022</v>
      </c>
      <c r="R289" s="4">
        <v>10483</v>
      </c>
      <c r="S289" s="4">
        <v>301009</v>
      </c>
      <c r="T289" s="4">
        <v>1078240</v>
      </c>
      <c r="U289" s="132">
        <f t="shared" si="63"/>
        <v>120471</v>
      </c>
      <c r="V289" s="125">
        <f t="shared" si="74"/>
        <v>124729</v>
      </c>
      <c r="W289" s="1">
        <f t="shared" si="68"/>
        <v>-3</v>
      </c>
      <c r="X289" s="12">
        <f t="shared" si="73"/>
        <v>2636</v>
      </c>
      <c r="Y289" s="218">
        <f t="shared" si="65"/>
        <v>2.7860401350127077E-2</v>
      </c>
      <c r="Z289" s="87">
        <f t="shared" si="71"/>
        <v>0.1470713858595063</v>
      </c>
      <c r="AA289" s="87">
        <f t="shared" si="64"/>
        <v>0.1879408800806181</v>
      </c>
      <c r="AB289" s="87">
        <f t="shared" si="70"/>
        <v>0.18794088008061807</v>
      </c>
      <c r="AD289" s="87">
        <f t="shared" si="75"/>
        <v>3.0075187969924588E-3</v>
      </c>
      <c r="AF289" s="197">
        <f>MAX($B$2:B289)</f>
        <v>18326</v>
      </c>
    </row>
    <row r="290" spans="1:32" x14ac:dyDescent="0.25">
      <c r="A290" s="137">
        <v>44181</v>
      </c>
      <c r="B290" s="156">
        <v>6843</v>
      </c>
      <c r="C290" s="23">
        <f t="shared" si="59"/>
        <v>5974.8571428571431</v>
      </c>
      <c r="D290" s="156">
        <f t="shared" si="67"/>
        <v>1517046</v>
      </c>
      <c r="E290" s="156">
        <v>162</v>
      </c>
      <c r="F290" s="23">
        <f t="shared" si="60"/>
        <v>163.85714285714286</v>
      </c>
      <c r="G290" s="156">
        <f t="shared" si="66"/>
        <v>41336</v>
      </c>
      <c r="H290" s="156">
        <f t="shared" si="72"/>
        <v>3614</v>
      </c>
      <c r="I290" s="185">
        <v>1347914</v>
      </c>
      <c r="J290" s="156">
        <v>3443</v>
      </c>
      <c r="K290" s="23">
        <f t="shared" si="69"/>
        <v>3544.5714285714284</v>
      </c>
      <c r="L290" s="156">
        <v>34599</v>
      </c>
      <c r="M290" s="23">
        <f t="shared" si="69"/>
        <v>32594</v>
      </c>
      <c r="N290" s="4">
        <f t="shared" si="61"/>
        <v>4338997</v>
      </c>
      <c r="O290" s="7">
        <v>5417</v>
      </c>
      <c r="P290" s="7">
        <v>2259690</v>
      </c>
      <c r="Q290" s="132">
        <f t="shared" si="62"/>
        <v>2265107</v>
      </c>
      <c r="R290" s="4">
        <v>10548</v>
      </c>
      <c r="S290" s="4">
        <v>302498</v>
      </c>
      <c r="T290" s="4">
        <v>1083034</v>
      </c>
      <c r="U290" s="132">
        <f t="shared" si="63"/>
        <v>120966</v>
      </c>
      <c r="V290" s="125">
        <f t="shared" si="74"/>
        <v>127796</v>
      </c>
      <c r="W290" s="1">
        <f t="shared" si="68"/>
        <v>-32</v>
      </c>
      <c r="X290" s="12">
        <f t="shared" si="73"/>
        <v>3067</v>
      </c>
      <c r="Y290" s="218">
        <f t="shared" si="65"/>
        <v>2.6941375316911327E-2</v>
      </c>
      <c r="Z290" s="87">
        <f t="shared" si="71"/>
        <v>0.21285233731585662</v>
      </c>
      <c r="AA290" s="87">
        <f t="shared" si="64"/>
        <v>0.18331156479281902</v>
      </c>
      <c r="AB290" s="87">
        <f t="shared" ref="AB290:AB353" si="76">SUM(B284:B290)/SUM(L284:L290)</f>
        <v>0.18331156479281902</v>
      </c>
      <c r="AD290" s="87">
        <f t="shared" si="75"/>
        <v>3.4408515115949667E-2</v>
      </c>
      <c r="AF290" s="197">
        <f>MAX($B$2:B290)</f>
        <v>18326</v>
      </c>
    </row>
    <row r="291" spans="1:32" x14ac:dyDescent="0.25">
      <c r="A291" s="137">
        <v>44182</v>
      </c>
      <c r="B291" s="156">
        <v>7326</v>
      </c>
      <c r="C291" s="23">
        <f t="shared" si="59"/>
        <v>6022.2857142857147</v>
      </c>
      <c r="D291" s="156">
        <f t="shared" si="67"/>
        <v>1524372</v>
      </c>
      <c r="E291" s="156">
        <v>169</v>
      </c>
      <c r="F291" s="23">
        <f t="shared" si="60"/>
        <v>158.14285714285714</v>
      </c>
      <c r="G291" s="156">
        <f t="shared" si="66"/>
        <v>41505</v>
      </c>
      <c r="H291" s="156">
        <f t="shared" si="72"/>
        <v>4642</v>
      </c>
      <c r="I291" s="185">
        <v>1352556</v>
      </c>
      <c r="J291" s="156">
        <v>3471</v>
      </c>
      <c r="K291" s="23">
        <f t="shared" si="69"/>
        <v>3516.8571428571427</v>
      </c>
      <c r="L291" s="156">
        <v>31936</v>
      </c>
      <c r="M291" s="23">
        <f t="shared" si="69"/>
        <v>33132.571428571428</v>
      </c>
      <c r="N291" s="4">
        <f t="shared" si="61"/>
        <v>4370933</v>
      </c>
      <c r="O291" s="7">
        <v>5509</v>
      </c>
      <c r="P291" s="7">
        <v>2279140</v>
      </c>
      <c r="Q291" s="132">
        <f t="shared" si="62"/>
        <v>2284649</v>
      </c>
      <c r="R291" s="4">
        <v>10614</v>
      </c>
      <c r="S291" s="4">
        <v>304151</v>
      </c>
      <c r="T291" s="4">
        <v>1088190</v>
      </c>
      <c r="U291" s="132">
        <f t="shared" si="63"/>
        <v>121417</v>
      </c>
      <c r="V291" s="125">
        <f t="shared" si="74"/>
        <v>130311</v>
      </c>
      <c r="W291" s="1">
        <f t="shared" si="68"/>
        <v>28</v>
      </c>
      <c r="X291" s="12">
        <f t="shared" si="73"/>
        <v>2515</v>
      </c>
      <c r="Y291" s="218">
        <f t="shared" si="65"/>
        <v>2.6636277827658449E-2</v>
      </c>
      <c r="Z291" s="87">
        <f t="shared" si="71"/>
        <v>0.21497535810012414</v>
      </c>
      <c r="AA291" s="87">
        <f t="shared" si="64"/>
        <v>0.18176330585354078</v>
      </c>
      <c r="AB291" s="87">
        <f t="shared" si="76"/>
        <v>0.18176330585354075</v>
      </c>
      <c r="AD291" s="87">
        <f t="shared" si="75"/>
        <v>5.4031755789405667E-2</v>
      </c>
      <c r="AF291" s="197">
        <f>MAX($B$2:B291)</f>
        <v>18326</v>
      </c>
    </row>
    <row r="292" spans="1:32" x14ac:dyDescent="0.25">
      <c r="A292" s="139">
        <v>44183</v>
      </c>
      <c r="B292" s="163">
        <v>7002</v>
      </c>
      <c r="C292" s="23">
        <f t="shared" si="59"/>
        <v>6006.5714285714284</v>
      </c>
      <c r="D292" s="163">
        <f t="shared" si="67"/>
        <v>1531374</v>
      </c>
      <c r="E292" s="163">
        <v>138</v>
      </c>
      <c r="F292" s="23">
        <f t="shared" si="60"/>
        <v>152.57142857142858</v>
      </c>
      <c r="G292" s="163">
        <f t="shared" si="66"/>
        <v>41643</v>
      </c>
      <c r="H292" s="163">
        <f t="shared" si="72"/>
        <v>4199</v>
      </c>
      <c r="I292" s="185">
        <v>1356755</v>
      </c>
      <c r="J292" s="163">
        <v>3434</v>
      </c>
      <c r="K292" s="23">
        <f t="shared" si="69"/>
        <v>3490.2857142857142</v>
      </c>
      <c r="L292" s="163">
        <v>32002</v>
      </c>
      <c r="M292" s="23">
        <f t="shared" si="69"/>
        <v>32446.428571428572</v>
      </c>
      <c r="N292" s="4">
        <f t="shared" si="61"/>
        <v>4402935</v>
      </c>
      <c r="O292" s="38">
        <v>5573</v>
      </c>
      <c r="P292" s="38">
        <v>2298394</v>
      </c>
      <c r="Q292" s="140">
        <f t="shared" si="62"/>
        <v>2303967</v>
      </c>
      <c r="R292" s="28">
        <v>10658</v>
      </c>
      <c r="S292" s="28">
        <v>305458</v>
      </c>
      <c r="T292" s="28">
        <v>1093180</v>
      </c>
      <c r="U292" s="140">
        <f t="shared" si="63"/>
        <v>122078</v>
      </c>
      <c r="V292" s="125">
        <f t="shared" si="74"/>
        <v>132976</v>
      </c>
      <c r="W292" s="1">
        <f t="shared" si="68"/>
        <v>-37</v>
      </c>
      <c r="X292" s="12">
        <f t="shared" si="73"/>
        <v>2665</v>
      </c>
      <c r="Y292" s="218">
        <f t="shared" si="65"/>
        <v>2.5824208879797857E-2</v>
      </c>
      <c r="Z292" s="87">
        <f t="shared" si="71"/>
        <v>0.20926085706068442</v>
      </c>
      <c r="AA292" s="87">
        <f t="shared" si="64"/>
        <v>0.18512272977435332</v>
      </c>
      <c r="AB292" s="87">
        <f t="shared" si="76"/>
        <v>0.18512272977435332</v>
      </c>
      <c r="AD292" s="87">
        <f t="shared" ref="AD292:AD355" si="77">V292/V285-1</f>
        <v>7.2724485927025517E-2</v>
      </c>
      <c r="AF292" s="197">
        <f>MAX($B$2:B292)</f>
        <v>18326</v>
      </c>
    </row>
    <row r="293" spans="1:32" x14ac:dyDescent="0.25">
      <c r="A293" s="144">
        <v>44184</v>
      </c>
      <c r="B293" s="170">
        <v>5795</v>
      </c>
      <c r="C293" s="23">
        <f t="shared" ref="C293:C356" si="78">AVERAGE(B287:B293)</f>
        <v>6081</v>
      </c>
      <c r="D293" s="170">
        <f t="shared" si="67"/>
        <v>1537169</v>
      </c>
      <c r="E293" s="170">
        <v>91</v>
      </c>
      <c r="F293" s="23">
        <f t="shared" ref="F293:F356" si="79">AVERAGE(E287:E293)</f>
        <v>156.71428571428572</v>
      </c>
      <c r="G293" s="170">
        <f t="shared" si="66"/>
        <v>41734</v>
      </c>
      <c r="H293" s="170">
        <f t="shared" si="72"/>
        <v>5862</v>
      </c>
      <c r="I293" s="185">
        <v>1362617</v>
      </c>
      <c r="J293" s="170">
        <v>3452</v>
      </c>
      <c r="K293" s="23">
        <f t="shared" si="69"/>
        <v>3470</v>
      </c>
      <c r="L293" s="170">
        <v>27403</v>
      </c>
      <c r="M293" s="23">
        <f t="shared" si="69"/>
        <v>32474.857142857141</v>
      </c>
      <c r="N293" s="4">
        <f t="shared" si="61"/>
        <v>4430338</v>
      </c>
      <c r="O293" s="142">
        <v>5632</v>
      </c>
      <c r="P293" s="142">
        <v>2314565</v>
      </c>
      <c r="Q293" s="143">
        <f t="shared" si="62"/>
        <v>2320197</v>
      </c>
      <c r="R293" s="141">
        <v>10688</v>
      </c>
      <c r="S293" s="141">
        <v>306243</v>
      </c>
      <c r="T293" s="141">
        <v>1096091</v>
      </c>
      <c r="U293" s="143">
        <f t="shared" si="63"/>
        <v>124147</v>
      </c>
      <c r="V293" s="125">
        <f t="shared" si="74"/>
        <v>132818</v>
      </c>
      <c r="W293" s="15">
        <f t="shared" si="68"/>
        <v>18</v>
      </c>
      <c r="X293" s="12">
        <f t="shared" si="73"/>
        <v>-158</v>
      </c>
      <c r="Y293" s="218">
        <f t="shared" si="65"/>
        <v>2.599045310123628E-2</v>
      </c>
      <c r="Z293" s="87">
        <f t="shared" si="71"/>
        <v>0.21446504992867332</v>
      </c>
      <c r="AA293" s="87">
        <f t="shared" si="64"/>
        <v>0.18725255582340625</v>
      </c>
      <c r="AB293" s="87">
        <f t="shared" si="76"/>
        <v>0.18725255582340625</v>
      </c>
      <c r="AD293" s="87">
        <f t="shared" si="77"/>
        <v>7.2799967691127065E-2</v>
      </c>
      <c r="AF293" s="197">
        <f>MAX($B$2:B293)</f>
        <v>18326</v>
      </c>
    </row>
    <row r="294" spans="1:32" x14ac:dyDescent="0.25">
      <c r="A294" s="146">
        <v>44185</v>
      </c>
      <c r="B294" s="163">
        <v>4116</v>
      </c>
      <c r="C294" s="23">
        <f t="shared" si="78"/>
        <v>6160.7142857142853</v>
      </c>
      <c r="D294" s="163">
        <f t="shared" si="67"/>
        <v>1541285</v>
      </c>
      <c r="E294" s="163">
        <v>50</v>
      </c>
      <c r="F294" s="23">
        <f t="shared" si="79"/>
        <v>149.85714285714286</v>
      </c>
      <c r="G294" s="163">
        <f t="shared" si="66"/>
        <v>41784</v>
      </c>
      <c r="H294" s="163">
        <f t="shared" si="72"/>
        <v>5729</v>
      </c>
      <c r="I294" s="185">
        <v>1368346</v>
      </c>
      <c r="J294" s="163">
        <v>3462</v>
      </c>
      <c r="K294" s="23">
        <f t="shared" si="69"/>
        <v>3459.2857142857142</v>
      </c>
      <c r="L294" s="163">
        <v>32148</v>
      </c>
      <c r="M294" s="23">
        <f t="shared" si="69"/>
        <v>33954.142857142855</v>
      </c>
      <c r="N294" s="4">
        <f t="shared" si="61"/>
        <v>4462486</v>
      </c>
      <c r="O294" s="147">
        <v>5765</v>
      </c>
      <c r="P294" s="148">
        <v>2338847</v>
      </c>
      <c r="Q294" s="149">
        <f t="shared" si="62"/>
        <v>2344612</v>
      </c>
      <c r="R294" s="145">
        <v>10715</v>
      </c>
      <c r="S294" s="145">
        <v>306830</v>
      </c>
      <c r="T294" s="145">
        <v>1098359</v>
      </c>
      <c r="U294" s="149">
        <f t="shared" si="63"/>
        <v>125381</v>
      </c>
      <c r="V294" s="125">
        <f t="shared" si="74"/>
        <v>131155</v>
      </c>
      <c r="W294" s="344">
        <f t="shared" si="68"/>
        <v>10</v>
      </c>
      <c r="X294" s="120">
        <f t="shared" si="73"/>
        <v>-1663</v>
      </c>
      <c r="Y294" s="218">
        <f t="shared" si="65"/>
        <v>2.6396248713354428E-2</v>
      </c>
      <c r="Z294" s="87">
        <f t="shared" si="71"/>
        <v>0.16828759515617797</v>
      </c>
      <c r="AA294" s="87">
        <f t="shared" si="64"/>
        <v>0.18144219724923111</v>
      </c>
      <c r="AB294" s="87">
        <f t="shared" si="76"/>
        <v>0.18144219724923111</v>
      </c>
      <c r="AD294" s="87">
        <f t="shared" si="77"/>
        <v>7.4090149703541108E-2</v>
      </c>
      <c r="AF294" s="197">
        <f>MAX($B$2:B294)</f>
        <v>18326</v>
      </c>
    </row>
    <row r="295" spans="1:32" x14ac:dyDescent="0.25">
      <c r="A295" s="137">
        <v>44186</v>
      </c>
      <c r="B295" s="156">
        <v>5853</v>
      </c>
      <c r="C295" s="23">
        <f t="shared" si="78"/>
        <v>6273.7142857142853</v>
      </c>
      <c r="D295" s="156">
        <f t="shared" si="67"/>
        <v>1547138</v>
      </c>
      <c r="E295" s="156">
        <v>184</v>
      </c>
      <c r="F295" s="23">
        <f t="shared" si="79"/>
        <v>137</v>
      </c>
      <c r="G295" s="156">
        <f t="shared" si="66"/>
        <v>41968</v>
      </c>
      <c r="H295" s="156">
        <f t="shared" si="72"/>
        <v>6055</v>
      </c>
      <c r="I295" s="185">
        <v>1374401</v>
      </c>
      <c r="J295" s="156">
        <v>3367</v>
      </c>
      <c r="K295" s="23">
        <f t="shared" si="69"/>
        <v>3443.4285714285716</v>
      </c>
      <c r="L295" s="156">
        <v>24076</v>
      </c>
      <c r="M295" s="23">
        <f t="shared" si="69"/>
        <v>31250.714285714286</v>
      </c>
      <c r="N295" s="4">
        <f t="shared" si="61"/>
        <v>4486562</v>
      </c>
      <c r="O295" s="7">
        <v>5890</v>
      </c>
      <c r="P295" s="7">
        <v>2353622</v>
      </c>
      <c r="Q295" s="132">
        <f t="shared" si="62"/>
        <v>2359512</v>
      </c>
      <c r="R295" s="4">
        <v>10750</v>
      </c>
      <c r="S295" s="4">
        <v>308256</v>
      </c>
      <c r="T295" s="4">
        <v>1103443</v>
      </c>
      <c r="U295" s="132">
        <f t="shared" si="63"/>
        <v>124689</v>
      </c>
      <c r="V295" s="125">
        <f t="shared" si="74"/>
        <v>130769</v>
      </c>
      <c r="W295" s="1">
        <f t="shared" si="68"/>
        <v>-95</v>
      </c>
      <c r="X295" s="12">
        <f t="shared" si="73"/>
        <v>-386</v>
      </c>
      <c r="Y295" s="218">
        <f t="shared" si="65"/>
        <v>2.5747692495927933E-2</v>
      </c>
      <c r="Z295" s="87">
        <f t="shared" si="71"/>
        <v>9.0159864958792468E-2</v>
      </c>
      <c r="AA295" s="87">
        <f t="shared" si="64"/>
        <v>0.20075426847386343</v>
      </c>
      <c r="AB295" s="87">
        <f t="shared" si="76"/>
        <v>0.20075426847386346</v>
      </c>
      <c r="AD295" s="87">
        <f t="shared" si="77"/>
        <v>7.1060584963920981E-2</v>
      </c>
      <c r="AF295" s="197">
        <f>MAX($B$2:B295)</f>
        <v>18326</v>
      </c>
    </row>
    <row r="296" spans="1:32" x14ac:dyDescent="0.25">
      <c r="A296" s="137">
        <v>44187</v>
      </c>
      <c r="B296" s="156">
        <v>8141</v>
      </c>
      <c r="C296" s="23">
        <f t="shared" si="78"/>
        <v>6439.4285714285716</v>
      </c>
      <c r="D296" s="156">
        <f t="shared" si="67"/>
        <v>1555279</v>
      </c>
      <c r="E296" s="156">
        <v>255</v>
      </c>
      <c r="F296" s="23">
        <f t="shared" si="79"/>
        <v>149.85714285714286</v>
      </c>
      <c r="G296" s="156">
        <f t="shared" si="66"/>
        <v>42223</v>
      </c>
      <c r="H296" s="156">
        <f t="shared" si="72"/>
        <v>5325</v>
      </c>
      <c r="I296" s="185">
        <v>1379726</v>
      </c>
      <c r="J296" s="156">
        <v>3399</v>
      </c>
      <c r="K296" s="23">
        <f t="shared" si="69"/>
        <v>3432.5714285714284</v>
      </c>
      <c r="L296" s="156">
        <v>37688</v>
      </c>
      <c r="M296" s="23">
        <f t="shared" si="69"/>
        <v>31407.428571428572</v>
      </c>
      <c r="N296" s="4">
        <f t="shared" si="61"/>
        <v>4524250</v>
      </c>
      <c r="O296" s="7">
        <v>5936</v>
      </c>
      <c r="P296" s="7">
        <v>2390200</v>
      </c>
      <c r="Q296" s="132">
        <f t="shared" si="62"/>
        <v>2396136</v>
      </c>
      <c r="R296" s="4">
        <v>10808</v>
      </c>
      <c r="S296" s="4">
        <v>309842</v>
      </c>
      <c r="T296" s="4">
        <v>1109025</v>
      </c>
      <c r="U296" s="132">
        <f t="shared" si="63"/>
        <v>125604</v>
      </c>
      <c r="V296" s="125">
        <f t="shared" si="74"/>
        <v>133330</v>
      </c>
      <c r="W296" s="47">
        <f>J296-J295</f>
        <v>32</v>
      </c>
      <c r="X296" s="119">
        <f t="shared" si="73"/>
        <v>2561</v>
      </c>
      <c r="Y296" s="218">
        <f t="shared" si="65"/>
        <v>2.549313732843321E-2</v>
      </c>
      <c r="Z296" s="87">
        <f t="shared" si="71"/>
        <v>7.7754399387911288E-2</v>
      </c>
      <c r="AA296" s="87">
        <f t="shared" si="64"/>
        <v>0.20502883758164583</v>
      </c>
      <c r="AB296" s="87">
        <f t="shared" si="76"/>
        <v>0.20502883758164583</v>
      </c>
      <c r="AD296" s="87">
        <f t="shared" si="77"/>
        <v>6.8957499859695792E-2</v>
      </c>
      <c r="AF296" s="197">
        <f>MAX($B$2:B296)</f>
        <v>18326</v>
      </c>
    </row>
    <row r="297" spans="1:32" x14ac:dyDescent="0.25">
      <c r="A297" s="137">
        <v>44188</v>
      </c>
      <c r="B297" s="156">
        <v>8586</v>
      </c>
      <c r="C297" s="23">
        <f t="shared" si="78"/>
        <v>6688.4285714285716</v>
      </c>
      <c r="D297" s="156">
        <f t="shared" si="67"/>
        <v>1563865</v>
      </c>
      <c r="E297" s="156">
        <v>60</v>
      </c>
      <c r="F297" s="23">
        <f t="shared" si="79"/>
        <v>135.28571428571428</v>
      </c>
      <c r="G297" s="156">
        <f t="shared" si="66"/>
        <v>42283</v>
      </c>
      <c r="H297" s="156">
        <f t="shared" si="72"/>
        <v>4551</v>
      </c>
      <c r="I297" s="185">
        <v>1384277</v>
      </c>
      <c r="J297" s="156">
        <v>3390</v>
      </c>
      <c r="K297" s="23">
        <f t="shared" si="69"/>
        <v>3425</v>
      </c>
      <c r="L297" s="156">
        <v>39323</v>
      </c>
      <c r="M297" s="23">
        <f t="shared" si="69"/>
        <v>32082.285714285714</v>
      </c>
      <c r="N297" s="4">
        <f t="shared" si="61"/>
        <v>4563573</v>
      </c>
      <c r="O297" s="7">
        <v>5897</v>
      </c>
      <c r="P297" s="7">
        <v>2402139</v>
      </c>
      <c r="Q297" s="132">
        <f t="shared" si="62"/>
        <v>2408036</v>
      </c>
      <c r="R297" s="4">
        <v>10873</v>
      </c>
      <c r="S297" s="4">
        <v>311072</v>
      </c>
      <c r="T297" s="4">
        <v>1114236</v>
      </c>
      <c r="U297" s="132">
        <f t="shared" si="63"/>
        <v>127684</v>
      </c>
      <c r="V297" s="125">
        <f t="shared" si="74"/>
        <v>137305</v>
      </c>
      <c r="W297" s="47">
        <f>J297-J296</f>
        <v>-9</v>
      </c>
      <c r="X297" s="119">
        <f t="shared" si="73"/>
        <v>3975</v>
      </c>
      <c r="Y297" s="218">
        <f t="shared" si="65"/>
        <v>2.4689559739266596E-2</v>
      </c>
      <c r="Z297" s="87">
        <f t="shared" si="71"/>
        <v>0.1106129613815352</v>
      </c>
      <c r="AA297" s="87">
        <f t="shared" si="64"/>
        <v>0.20847730834995726</v>
      </c>
      <c r="AB297" s="87">
        <f t="shared" si="76"/>
        <v>0.20847730834995726</v>
      </c>
      <c r="AD297" s="87">
        <f t="shared" si="77"/>
        <v>7.4407649691696109E-2</v>
      </c>
      <c r="AF297" s="197">
        <f>MAX($B$2:B297)</f>
        <v>18326</v>
      </c>
    </row>
    <row r="298" spans="1:32" x14ac:dyDescent="0.25">
      <c r="A298" s="139">
        <v>44189</v>
      </c>
      <c r="B298" s="163">
        <v>7815</v>
      </c>
      <c r="C298" s="23">
        <f t="shared" si="78"/>
        <v>6758.2857142857147</v>
      </c>
      <c r="D298" s="163">
        <f t="shared" si="67"/>
        <v>1571680</v>
      </c>
      <c r="E298" s="163">
        <v>78</v>
      </c>
      <c r="F298" s="23">
        <f t="shared" si="79"/>
        <v>122.28571428571429</v>
      </c>
      <c r="G298" s="163">
        <f t="shared" si="66"/>
        <v>42361</v>
      </c>
      <c r="H298" s="163">
        <f t="shared" si="72"/>
        <v>6439</v>
      </c>
      <c r="I298" s="186">
        <v>1390716</v>
      </c>
      <c r="J298" s="163">
        <v>3390</v>
      </c>
      <c r="K298" s="23">
        <f t="shared" si="69"/>
        <v>3413.4285714285716</v>
      </c>
      <c r="L298" s="156">
        <v>24457</v>
      </c>
      <c r="M298" s="23">
        <f t="shared" si="69"/>
        <v>31013.857142857141</v>
      </c>
      <c r="N298" s="4">
        <f t="shared" ref="N298:N361" si="80">N299-L299</f>
        <v>4588030</v>
      </c>
      <c r="O298" s="7">
        <v>5908</v>
      </c>
      <c r="P298" s="7">
        <v>2423214</v>
      </c>
      <c r="Q298" s="132">
        <f t="shared" si="62"/>
        <v>2429122</v>
      </c>
      <c r="R298" s="4">
        <v>10910</v>
      </c>
      <c r="S298" s="4">
        <v>311984</v>
      </c>
      <c r="T298" s="4">
        <v>1119801</v>
      </c>
      <c r="U298" s="132">
        <f t="shared" si="63"/>
        <v>128985</v>
      </c>
      <c r="V298" s="125">
        <f t="shared" si="74"/>
        <v>138603</v>
      </c>
      <c r="W298" s="47">
        <f>J298-J297</f>
        <v>0</v>
      </c>
      <c r="X298" s="119">
        <f t="shared" si="73"/>
        <v>1298</v>
      </c>
      <c r="Y298" s="218">
        <f t="shared" si="65"/>
        <v>2.4458345057466288E-2</v>
      </c>
      <c r="Z298" s="87">
        <f t="shared" si="71"/>
        <v>0.12514864672025894</v>
      </c>
      <c r="AA298" s="87">
        <f t="shared" si="64"/>
        <v>0.21791180900703375</v>
      </c>
      <c r="AB298" s="87">
        <f t="shared" si="76"/>
        <v>0.21791180900703372</v>
      </c>
      <c r="AD298" s="87">
        <f t="shared" si="77"/>
        <v>6.3632387135391433E-2</v>
      </c>
      <c r="AF298" s="197">
        <f>MAX($B$2:B298)</f>
        <v>18326</v>
      </c>
    </row>
    <row r="299" spans="1:32" x14ac:dyDescent="0.25">
      <c r="A299" s="152">
        <v>44190</v>
      </c>
      <c r="B299" s="171">
        <v>2874</v>
      </c>
      <c r="C299" s="23">
        <f t="shared" si="78"/>
        <v>6168.5714285714284</v>
      </c>
      <c r="D299" s="171">
        <f t="shared" si="67"/>
        <v>1574554</v>
      </c>
      <c r="E299" s="171">
        <v>30</v>
      </c>
      <c r="F299" s="23">
        <f t="shared" si="79"/>
        <v>106.85714285714286</v>
      </c>
      <c r="G299" s="171">
        <f t="shared" si="66"/>
        <v>42391</v>
      </c>
      <c r="H299" s="171">
        <f t="shared" si="72"/>
        <v>5946</v>
      </c>
      <c r="I299" s="187">
        <v>1396662</v>
      </c>
      <c r="J299" s="171">
        <v>3390</v>
      </c>
      <c r="K299" s="23">
        <f t="shared" si="69"/>
        <v>3407.1428571428573</v>
      </c>
      <c r="L299" s="257">
        <v>24454</v>
      </c>
      <c r="M299" s="23">
        <f t="shared" si="69"/>
        <v>29935.571428571428</v>
      </c>
      <c r="N299" s="4">
        <f t="shared" si="80"/>
        <v>4612484</v>
      </c>
      <c r="O299" s="7">
        <v>5907</v>
      </c>
      <c r="P299" s="7">
        <v>2430506</v>
      </c>
      <c r="Q299" s="132">
        <f t="shared" si="62"/>
        <v>2436413</v>
      </c>
      <c r="R299" s="4">
        <v>10934</v>
      </c>
      <c r="S299" s="4">
        <v>312308</v>
      </c>
      <c r="T299" s="4">
        <v>1125100</v>
      </c>
      <c r="U299" s="132">
        <f t="shared" si="63"/>
        <v>126212</v>
      </c>
      <c r="V299" s="125">
        <f t="shared" si="74"/>
        <v>135501</v>
      </c>
      <c r="W299" s="47">
        <f>J299-J298</f>
        <v>0</v>
      </c>
      <c r="X299" s="119">
        <f t="shared" si="73"/>
        <v>-3102</v>
      </c>
      <c r="Y299" s="218">
        <f t="shared" si="65"/>
        <v>2.5018265547855734E-2</v>
      </c>
      <c r="Z299" s="87">
        <f t="shared" si="71"/>
        <v>1.4400826931660671E-2</v>
      </c>
      <c r="AA299" s="87">
        <f t="shared" si="64"/>
        <v>0.20606158941345462</v>
      </c>
      <c r="AB299" s="87">
        <f t="shared" si="76"/>
        <v>0.20606158941345462</v>
      </c>
      <c r="AD299" s="87">
        <f t="shared" si="77"/>
        <v>1.8988388882204221E-2</v>
      </c>
      <c r="AF299" s="197">
        <f>MAX($B$2:B299)</f>
        <v>18326</v>
      </c>
    </row>
    <row r="300" spans="1:32" x14ac:dyDescent="0.25">
      <c r="A300" s="152">
        <v>44191</v>
      </c>
      <c r="B300" s="171">
        <v>3713</v>
      </c>
      <c r="C300" s="23">
        <f t="shared" si="78"/>
        <v>5871.1428571428569</v>
      </c>
      <c r="D300" s="171">
        <f t="shared" si="67"/>
        <v>1578267</v>
      </c>
      <c r="E300" s="171">
        <v>79</v>
      </c>
      <c r="F300" s="23">
        <f t="shared" si="79"/>
        <v>105.14285714285714</v>
      </c>
      <c r="G300" s="171">
        <f t="shared" si="66"/>
        <v>42470</v>
      </c>
      <c r="H300" s="171">
        <f t="shared" si="72"/>
        <v>5565</v>
      </c>
      <c r="I300" s="187">
        <v>1402227</v>
      </c>
      <c r="J300" s="171">
        <v>3262</v>
      </c>
      <c r="K300" s="23">
        <f t="shared" si="69"/>
        <v>3380</v>
      </c>
      <c r="L300" s="257">
        <v>14984</v>
      </c>
      <c r="M300" s="23">
        <f t="shared" si="69"/>
        <v>28161.428571428572</v>
      </c>
      <c r="N300" s="4">
        <f t="shared" si="80"/>
        <v>4627468</v>
      </c>
      <c r="O300" s="7">
        <v>5931</v>
      </c>
      <c r="P300" s="7">
        <v>2439459</v>
      </c>
      <c r="Q300" s="132">
        <f>P300+O300</f>
        <v>2445390</v>
      </c>
      <c r="R300" s="4">
        <v>10957</v>
      </c>
      <c r="S300" s="4">
        <v>312971</v>
      </c>
      <c r="T300" s="4">
        <v>1128587</v>
      </c>
      <c r="U300" s="132">
        <f>D300-R300-S300-T300</f>
        <v>125752</v>
      </c>
      <c r="V300" s="125">
        <f t="shared" si="74"/>
        <v>133570</v>
      </c>
      <c r="W300" s="47">
        <f>J300-J297</f>
        <v>-128</v>
      </c>
      <c r="X300" s="119">
        <f t="shared" si="73"/>
        <v>-1931</v>
      </c>
      <c r="Y300" s="218">
        <f t="shared" si="65"/>
        <v>2.4421651568465971E-2</v>
      </c>
      <c r="Z300" s="87">
        <f t="shared" si="71"/>
        <v>-4.7002898550724592E-2</v>
      </c>
      <c r="AA300" s="87">
        <f t="shared" ref="AA300:AA363" si="81">C300/M300</f>
        <v>0.20848171257545781</v>
      </c>
      <c r="AB300" s="87">
        <f t="shared" si="76"/>
        <v>0.20848171257545781</v>
      </c>
      <c r="AD300" s="87">
        <f t="shared" si="77"/>
        <v>5.6618831784849277E-3</v>
      </c>
      <c r="AF300" s="197">
        <f>MAX($B$2:B300)</f>
        <v>18326</v>
      </c>
    </row>
    <row r="301" spans="1:32" x14ac:dyDescent="0.25">
      <c r="A301" s="153">
        <v>44192</v>
      </c>
      <c r="B301" s="172">
        <v>5030</v>
      </c>
      <c r="C301" s="23">
        <f t="shared" si="78"/>
        <v>6001.7142857142853</v>
      </c>
      <c r="D301" s="172">
        <f t="shared" si="67"/>
        <v>1583297</v>
      </c>
      <c r="E301" s="172">
        <v>149</v>
      </c>
      <c r="F301" s="23">
        <f t="shared" si="79"/>
        <v>119.28571428571429</v>
      </c>
      <c r="G301" s="172">
        <f t="shared" si="66"/>
        <v>42619</v>
      </c>
      <c r="H301" s="172">
        <f t="shared" si="72"/>
        <v>5699</v>
      </c>
      <c r="I301" s="188">
        <v>1407926</v>
      </c>
      <c r="J301" s="172">
        <v>3313</v>
      </c>
      <c r="K301" s="23">
        <f t="shared" si="69"/>
        <v>3358.7142857142858</v>
      </c>
      <c r="L301" s="259">
        <v>21455</v>
      </c>
      <c r="M301" s="23">
        <f t="shared" si="69"/>
        <v>26633.857142857141</v>
      </c>
      <c r="N301" s="4">
        <f t="shared" si="80"/>
        <v>4648923</v>
      </c>
      <c r="O301" s="38">
        <v>5941</v>
      </c>
      <c r="P301" s="38">
        <v>2453195</v>
      </c>
      <c r="Q301" s="140">
        <f>P301+O301</f>
        <v>2459136</v>
      </c>
      <c r="R301" s="28">
        <v>10979</v>
      </c>
      <c r="S301" s="28">
        <v>313631</v>
      </c>
      <c r="T301" s="28">
        <v>1131589</v>
      </c>
      <c r="U301" s="140">
        <f>D301-R301-S301-T301</f>
        <v>127098</v>
      </c>
      <c r="V301" s="125">
        <f t="shared" si="74"/>
        <v>132752</v>
      </c>
      <c r="W301" s="81">
        <f t="shared" ref="W301:W364" si="82">J301-J300</f>
        <v>51</v>
      </c>
      <c r="X301" s="151">
        <f t="shared" si="73"/>
        <v>-818</v>
      </c>
      <c r="Y301" s="218">
        <f t="shared" si="65"/>
        <v>2.495630950946125E-2</v>
      </c>
      <c r="Z301" s="87">
        <f t="shared" si="71"/>
        <v>-4.3355496857637288E-2</v>
      </c>
      <c r="AA301" s="87">
        <f t="shared" si="81"/>
        <v>0.22534153628303394</v>
      </c>
      <c r="AB301" s="87">
        <f t="shared" si="76"/>
        <v>0.22534153628303394</v>
      </c>
      <c r="AD301" s="87">
        <f t="shared" si="77"/>
        <v>1.2176432465403453E-2</v>
      </c>
      <c r="AF301" s="197">
        <f>MAX($B$2:B301)</f>
        <v>18326</v>
      </c>
    </row>
    <row r="302" spans="1:32" x14ac:dyDescent="0.25">
      <c r="A302" s="137">
        <v>44193</v>
      </c>
      <c r="B302" s="156">
        <v>7216</v>
      </c>
      <c r="C302" s="23">
        <f t="shared" si="78"/>
        <v>6196.4285714285716</v>
      </c>
      <c r="D302" s="156">
        <f t="shared" si="67"/>
        <v>1590513</v>
      </c>
      <c r="E302" s="156">
        <v>218</v>
      </c>
      <c r="F302" s="23">
        <f t="shared" si="79"/>
        <v>124.14285714285714</v>
      </c>
      <c r="G302" s="156">
        <f t="shared" si="66"/>
        <v>42837</v>
      </c>
      <c r="H302" s="156">
        <f t="shared" si="72"/>
        <v>6754</v>
      </c>
      <c r="I302" s="185">
        <v>1414680</v>
      </c>
      <c r="J302" s="156">
        <v>3319</v>
      </c>
      <c r="K302" s="23">
        <f t="shared" si="69"/>
        <v>3351.8571428571427</v>
      </c>
      <c r="L302" s="156">
        <v>28978</v>
      </c>
      <c r="M302" s="23">
        <f t="shared" si="69"/>
        <v>27334.142857142859</v>
      </c>
      <c r="N302" s="4">
        <f t="shared" si="80"/>
        <v>4677901</v>
      </c>
      <c r="O302" s="7">
        <v>6049</v>
      </c>
      <c r="P302" s="7">
        <v>2470756</v>
      </c>
      <c r="Q302" s="132">
        <f>P302+O302</f>
        <v>2476805</v>
      </c>
      <c r="R302" s="4">
        <v>11048</v>
      </c>
      <c r="S302" s="4">
        <v>315189</v>
      </c>
      <c r="T302" s="4">
        <v>1138116</v>
      </c>
      <c r="U302" s="132">
        <f>D302-R302-S302-T302</f>
        <v>126160</v>
      </c>
      <c r="V302" s="125">
        <f t="shared" si="74"/>
        <v>132996</v>
      </c>
      <c r="W302" s="47">
        <f t="shared" si="82"/>
        <v>6</v>
      </c>
      <c r="X302" s="119">
        <f t="shared" si="73"/>
        <v>244</v>
      </c>
      <c r="Y302" s="218">
        <f t="shared" si="65"/>
        <v>2.495563776354176E-2</v>
      </c>
      <c r="Z302" s="87">
        <f t="shared" si="71"/>
        <v>-3.7736267636879983E-2</v>
      </c>
      <c r="AA302" s="87">
        <f t="shared" si="81"/>
        <v>0.22669189240039928</v>
      </c>
      <c r="AB302" s="87">
        <f t="shared" si="76"/>
        <v>0.2266918924003993</v>
      </c>
      <c r="AD302" s="87">
        <f t="shared" si="77"/>
        <v>1.7030030052994194E-2</v>
      </c>
      <c r="AF302" s="197">
        <f>MAX($B$2:B302)</f>
        <v>18326</v>
      </c>
    </row>
    <row r="303" spans="1:32" x14ac:dyDescent="0.25">
      <c r="A303" s="137">
        <v>44194</v>
      </c>
      <c r="B303" s="156">
        <v>11650</v>
      </c>
      <c r="C303" s="23">
        <f t="shared" si="78"/>
        <v>6697.7142857142853</v>
      </c>
      <c r="D303" s="156">
        <f t="shared" si="67"/>
        <v>1602163</v>
      </c>
      <c r="E303" s="156">
        <v>151</v>
      </c>
      <c r="F303" s="23">
        <f t="shared" si="79"/>
        <v>109.28571428571429</v>
      </c>
      <c r="G303" s="156">
        <f t="shared" si="66"/>
        <v>42988</v>
      </c>
      <c r="H303" s="156">
        <f t="shared" si="72"/>
        <v>6205</v>
      </c>
      <c r="I303" s="185">
        <v>1420885</v>
      </c>
      <c r="J303" s="156">
        <v>3345</v>
      </c>
      <c r="K303" s="23">
        <f t="shared" si="69"/>
        <v>3344.1428571428573</v>
      </c>
      <c r="L303" s="156">
        <v>45084</v>
      </c>
      <c r="M303" s="23">
        <f t="shared" si="69"/>
        <v>28390.714285714286</v>
      </c>
      <c r="N303" s="4">
        <f t="shared" si="80"/>
        <v>4722985</v>
      </c>
      <c r="O303" s="7">
        <v>6141</v>
      </c>
      <c r="P303" s="7">
        <v>2494970</v>
      </c>
      <c r="Q303" s="132">
        <f>P303+O303</f>
        <v>2501111</v>
      </c>
      <c r="R303" s="4">
        <v>11121</v>
      </c>
      <c r="S303" s="4">
        <v>316933</v>
      </c>
      <c r="T303" s="4">
        <v>1144766</v>
      </c>
      <c r="U303" s="132">
        <f>D303-R303-S303-T303</f>
        <v>129343</v>
      </c>
      <c r="V303" s="125">
        <f t="shared" si="74"/>
        <v>138290</v>
      </c>
      <c r="W303" s="47">
        <f t="shared" si="82"/>
        <v>26</v>
      </c>
      <c r="X303" s="119">
        <f t="shared" si="73"/>
        <v>5294</v>
      </c>
      <c r="Y303" s="218">
        <f t="shared" si="65"/>
        <v>2.4188299949381733E-2</v>
      </c>
      <c r="Z303" s="87">
        <f t="shared" si="71"/>
        <v>1.3883252525683787E-3</v>
      </c>
      <c r="AA303" s="87">
        <f t="shared" si="81"/>
        <v>0.23591214431277829</v>
      </c>
      <c r="AB303" s="87">
        <f t="shared" si="76"/>
        <v>0.23591214431277832</v>
      </c>
      <c r="AD303" s="87">
        <f t="shared" si="77"/>
        <v>3.7200930023250534E-2</v>
      </c>
      <c r="AF303" s="197">
        <f>MAX($B$2:B303)</f>
        <v>18326</v>
      </c>
    </row>
    <row r="304" spans="1:32" x14ac:dyDescent="0.25">
      <c r="A304" s="137">
        <v>44195</v>
      </c>
      <c r="B304" s="156">
        <v>11765</v>
      </c>
      <c r="C304" s="23">
        <f t="shared" si="78"/>
        <v>7151.8571428571431</v>
      </c>
      <c r="D304" s="156">
        <f t="shared" si="67"/>
        <v>1613928</v>
      </c>
      <c r="E304" s="156">
        <v>145</v>
      </c>
      <c r="F304" s="23">
        <f t="shared" si="79"/>
        <v>121.42857142857143</v>
      </c>
      <c r="G304" s="156">
        <f t="shared" si="66"/>
        <v>43133</v>
      </c>
      <c r="H304" s="156">
        <f t="shared" si="72"/>
        <v>5791</v>
      </c>
      <c r="I304" s="185">
        <v>1426676</v>
      </c>
      <c r="J304" s="156">
        <v>3440</v>
      </c>
      <c r="K304" s="23">
        <f t="shared" si="69"/>
        <v>3351.2857142857142</v>
      </c>
      <c r="L304" s="156">
        <v>54126</v>
      </c>
      <c r="M304" s="23">
        <f t="shared" si="69"/>
        <v>30505.428571428572</v>
      </c>
      <c r="N304" s="4">
        <f t="shared" si="80"/>
        <v>4777111</v>
      </c>
      <c r="O304" s="7">
        <v>6228</v>
      </c>
      <c r="P304" s="7">
        <v>2530000</v>
      </c>
      <c r="Q304" s="4">
        <f>P304+O304</f>
        <v>2536228</v>
      </c>
      <c r="R304" s="4">
        <v>11167</v>
      </c>
      <c r="S304" s="4">
        <v>318837</v>
      </c>
      <c r="T304" s="4">
        <v>1151278</v>
      </c>
      <c r="U304" s="132">
        <f>D304-R304-S304-T304</f>
        <v>132646</v>
      </c>
      <c r="V304" s="125">
        <f t="shared" si="74"/>
        <v>144119</v>
      </c>
      <c r="W304" s="47">
        <f t="shared" si="82"/>
        <v>95</v>
      </c>
      <c r="X304" s="119">
        <f t="shared" si="73"/>
        <v>5829</v>
      </c>
      <c r="Y304" s="218">
        <f t="shared" ref="Y304:Y367" si="83">J304/V304</f>
        <v>2.3869163677238948E-2</v>
      </c>
      <c r="Z304" s="87">
        <f t="shared" si="71"/>
        <v>5.823539359093588E-2</v>
      </c>
      <c r="AA304" s="87">
        <f t="shared" si="81"/>
        <v>0.23444539145257517</v>
      </c>
      <c r="AB304" s="87">
        <f t="shared" si="76"/>
        <v>0.23444539145257517</v>
      </c>
      <c r="AD304" s="87">
        <f t="shared" si="77"/>
        <v>4.9626743381522953E-2</v>
      </c>
      <c r="AF304" s="197">
        <f>MAX($B$2:B304)</f>
        <v>18326</v>
      </c>
    </row>
    <row r="305" spans="1:32" x14ac:dyDescent="0.25">
      <c r="A305" s="137">
        <v>44196</v>
      </c>
      <c r="B305" s="156">
        <v>11587</v>
      </c>
      <c r="C305" s="23">
        <f t="shared" si="78"/>
        <v>7690.7142857142853</v>
      </c>
      <c r="D305" s="156">
        <f t="shared" si="67"/>
        <v>1625515</v>
      </c>
      <c r="E305" s="156">
        <v>83</v>
      </c>
      <c r="F305" s="23">
        <f t="shared" si="79"/>
        <v>122.14285714285714</v>
      </c>
      <c r="G305" s="156">
        <f t="shared" ref="G305:G368" si="84">G304+E305</f>
        <v>43216</v>
      </c>
      <c r="H305" s="156">
        <f t="shared" si="72"/>
        <v>7240</v>
      </c>
      <c r="I305" s="185">
        <v>1433916</v>
      </c>
      <c r="J305" s="156">
        <v>3440</v>
      </c>
      <c r="K305" s="23">
        <f t="shared" si="69"/>
        <v>3358.4285714285716</v>
      </c>
      <c r="L305" s="260">
        <v>42835</v>
      </c>
      <c r="M305" s="23">
        <f t="shared" si="69"/>
        <v>33130.857142857145</v>
      </c>
      <c r="N305" s="4">
        <f t="shared" si="80"/>
        <v>4819946</v>
      </c>
      <c r="O305" s="7">
        <v>6253</v>
      </c>
      <c r="P305" s="7">
        <v>2558714</v>
      </c>
      <c r="Q305" s="4">
        <f t="shared" ref="Q305:Q329" si="85">P305+O305</f>
        <v>2564967</v>
      </c>
      <c r="R305" s="4">
        <v>11236</v>
      </c>
      <c r="S305" s="4">
        <v>320315</v>
      </c>
      <c r="T305" s="4">
        <v>1155875</v>
      </c>
      <c r="U305" s="132">
        <f t="shared" ref="U305:U324" si="86">D305-R305-S305-T305</f>
        <v>138089</v>
      </c>
      <c r="V305" s="125">
        <f t="shared" si="74"/>
        <v>148383</v>
      </c>
      <c r="W305" s="47">
        <f t="shared" si="82"/>
        <v>0</v>
      </c>
      <c r="X305" s="119">
        <f t="shared" si="73"/>
        <v>4264</v>
      </c>
      <c r="Y305" s="218">
        <f t="shared" si="83"/>
        <v>2.3183248754911276E-2</v>
      </c>
      <c r="Z305" s="87">
        <f t="shared" si="71"/>
        <v>0.24675775822139867</v>
      </c>
      <c r="AA305" s="87">
        <f t="shared" si="81"/>
        <v>0.23213146139119334</v>
      </c>
      <c r="AB305" s="87">
        <f t="shared" si="76"/>
        <v>0.23213146139119337</v>
      </c>
      <c r="AD305" s="87">
        <f t="shared" si="77"/>
        <v>7.0561243263132845E-2</v>
      </c>
      <c r="AF305" s="197">
        <f>MAX($B$2:B305)</f>
        <v>18326</v>
      </c>
    </row>
    <row r="306" spans="1:32" x14ac:dyDescent="0.25">
      <c r="A306" s="137">
        <v>44197</v>
      </c>
      <c r="B306" s="156">
        <v>4079</v>
      </c>
      <c r="C306" s="23">
        <f t="shared" si="78"/>
        <v>7862.8571428571431</v>
      </c>
      <c r="D306" s="156">
        <f t="shared" si="67"/>
        <v>1629594</v>
      </c>
      <c r="E306" s="156">
        <v>73</v>
      </c>
      <c r="F306" s="23">
        <f t="shared" si="79"/>
        <v>128.28571428571428</v>
      </c>
      <c r="G306" s="156">
        <f t="shared" si="84"/>
        <v>43289</v>
      </c>
      <c r="H306" s="156">
        <f t="shared" si="72"/>
        <v>6235</v>
      </c>
      <c r="I306" s="185">
        <v>1440151</v>
      </c>
      <c r="J306" s="156">
        <v>3440</v>
      </c>
      <c r="K306" s="23">
        <f t="shared" si="69"/>
        <v>3365.5714285714284</v>
      </c>
      <c r="L306" s="260">
        <v>42835</v>
      </c>
      <c r="M306" s="23">
        <f t="shared" si="69"/>
        <v>35756.714285714283</v>
      </c>
      <c r="N306" s="4">
        <f t="shared" si="80"/>
        <v>4862781</v>
      </c>
      <c r="O306" s="7">
        <v>6254</v>
      </c>
      <c r="P306" s="7">
        <v>2565699</v>
      </c>
      <c r="Q306" s="4">
        <f t="shared" si="85"/>
        <v>2571953</v>
      </c>
      <c r="R306" s="4">
        <v>11273</v>
      </c>
      <c r="S306" s="4">
        <v>320768</v>
      </c>
      <c r="T306" s="4">
        <v>1157648</v>
      </c>
      <c r="U306" s="132">
        <f t="shared" si="86"/>
        <v>139905</v>
      </c>
      <c r="V306" s="125">
        <f t="shared" si="74"/>
        <v>146154</v>
      </c>
      <c r="W306" s="47">
        <f t="shared" si="82"/>
        <v>0</v>
      </c>
      <c r="X306" s="119">
        <f t="shared" si="73"/>
        <v>-2229</v>
      </c>
      <c r="Y306" s="218">
        <f t="shared" si="83"/>
        <v>2.353681732966597E-2</v>
      </c>
      <c r="Z306" s="87">
        <f t="shared" si="71"/>
        <v>0.339237919120152</v>
      </c>
      <c r="AA306" s="87">
        <f t="shared" si="81"/>
        <v>0.21989876027279595</v>
      </c>
      <c r="AB306" s="87">
        <f t="shared" si="76"/>
        <v>0.21989876027279592</v>
      </c>
      <c r="AD306" s="87">
        <f t="shared" si="77"/>
        <v>7.8619345982686495E-2</v>
      </c>
      <c r="AF306" s="197">
        <f>MAX($B$2:B306)</f>
        <v>18326</v>
      </c>
    </row>
    <row r="307" spans="1:32" x14ac:dyDescent="0.25">
      <c r="A307" s="137">
        <v>44198</v>
      </c>
      <c r="B307" s="156">
        <v>5240</v>
      </c>
      <c r="C307" s="23">
        <f t="shared" si="78"/>
        <v>8081</v>
      </c>
      <c r="D307" s="156">
        <f t="shared" si="67"/>
        <v>1634834</v>
      </c>
      <c r="E307" s="156">
        <v>56</v>
      </c>
      <c r="F307" s="23">
        <f t="shared" si="79"/>
        <v>125</v>
      </c>
      <c r="G307" s="156">
        <f t="shared" si="84"/>
        <v>43345</v>
      </c>
      <c r="H307" s="156">
        <f t="shared" si="72"/>
        <v>6941</v>
      </c>
      <c r="I307" s="185">
        <v>1447092</v>
      </c>
      <c r="J307" s="156">
        <v>3438</v>
      </c>
      <c r="K307" s="23">
        <f t="shared" si="69"/>
        <v>3390.7142857142858</v>
      </c>
      <c r="L307" s="156">
        <v>17270</v>
      </c>
      <c r="M307" s="23">
        <f t="shared" si="69"/>
        <v>36083.285714285717</v>
      </c>
      <c r="N307" s="4">
        <f t="shared" si="80"/>
        <v>4880051</v>
      </c>
      <c r="O307" s="7"/>
      <c r="P307" s="7"/>
      <c r="Q307" s="4"/>
      <c r="R307" s="4">
        <v>11297</v>
      </c>
      <c r="S307" s="4">
        <v>321585</v>
      </c>
      <c r="T307" s="4">
        <v>1162294</v>
      </c>
      <c r="U307" s="132">
        <f t="shared" si="86"/>
        <v>139658</v>
      </c>
      <c r="V307" s="125">
        <f t="shared" si="74"/>
        <v>144397</v>
      </c>
      <c r="W307" s="47">
        <f t="shared" si="82"/>
        <v>-2</v>
      </c>
      <c r="X307" s="119">
        <f t="shared" si="73"/>
        <v>-1757</v>
      </c>
      <c r="Y307" s="218">
        <f t="shared" si="83"/>
        <v>2.3809358920199173E-2</v>
      </c>
      <c r="Z307" s="87">
        <f t="shared" si="71"/>
        <v>0.34644863372369805</v>
      </c>
      <c r="AA307" s="87">
        <f t="shared" si="81"/>
        <v>0.22395410617499989</v>
      </c>
      <c r="AB307" s="87">
        <f t="shared" si="76"/>
        <v>0.22395410617499989</v>
      </c>
      <c r="AD307" s="87">
        <f t="shared" si="77"/>
        <v>8.1058620947817683E-2</v>
      </c>
      <c r="AF307" s="197">
        <f>MAX($B$2:B307)</f>
        <v>18326</v>
      </c>
    </row>
    <row r="308" spans="1:32" x14ac:dyDescent="0.25">
      <c r="A308" s="137">
        <v>44199</v>
      </c>
      <c r="B308" s="156">
        <v>5884</v>
      </c>
      <c r="C308" s="23">
        <f t="shared" si="78"/>
        <v>8203</v>
      </c>
      <c r="D308" s="156">
        <f t="shared" ref="D308:D371" si="87">D307+B308</f>
        <v>1640718</v>
      </c>
      <c r="E308" s="156">
        <v>107</v>
      </c>
      <c r="F308" s="23">
        <f t="shared" si="79"/>
        <v>119</v>
      </c>
      <c r="G308" s="156">
        <f t="shared" si="84"/>
        <v>43452</v>
      </c>
      <c r="H308" s="156">
        <f t="shared" si="72"/>
        <v>5868</v>
      </c>
      <c r="I308" s="185">
        <v>1452960</v>
      </c>
      <c r="J308" s="156">
        <v>3433</v>
      </c>
      <c r="K308" s="23">
        <f t="shared" si="69"/>
        <v>3407.8571428571427</v>
      </c>
      <c r="L308" s="156">
        <v>22180</v>
      </c>
      <c r="M308" s="23">
        <f t="shared" si="69"/>
        <v>36186.857142857145</v>
      </c>
      <c r="N308" s="4">
        <f t="shared" si="80"/>
        <v>4902231</v>
      </c>
      <c r="O308" s="7"/>
      <c r="P308" s="7"/>
      <c r="Q308" s="4"/>
      <c r="R308" s="4">
        <v>11322</v>
      </c>
      <c r="S308" s="4">
        <v>322365</v>
      </c>
      <c r="T308" s="4">
        <v>1165866</v>
      </c>
      <c r="U308" s="132">
        <f t="shared" si="86"/>
        <v>141165</v>
      </c>
      <c r="V308" s="125">
        <f t="shared" si="74"/>
        <v>144306</v>
      </c>
      <c r="W308" s="47">
        <f t="shared" si="82"/>
        <v>-5</v>
      </c>
      <c r="X308" s="119">
        <f t="shared" si="73"/>
        <v>-91</v>
      </c>
      <c r="Y308" s="218">
        <f t="shared" si="83"/>
        <v>2.3789724612975207E-2</v>
      </c>
      <c r="Z308" s="87">
        <f t="shared" si="71"/>
        <v>0.32382708933717574</v>
      </c>
      <c r="AA308" s="87">
        <f t="shared" si="81"/>
        <v>0.22668451055631877</v>
      </c>
      <c r="AB308" s="87">
        <f t="shared" si="76"/>
        <v>0.2266845105563188</v>
      </c>
      <c r="AD308" s="87">
        <f t="shared" si="77"/>
        <v>8.7034470290466404E-2</v>
      </c>
      <c r="AF308" s="197">
        <f>MAX($B$2:B308)</f>
        <v>18326</v>
      </c>
    </row>
    <row r="309" spans="1:32" x14ac:dyDescent="0.25">
      <c r="A309" s="139">
        <v>44200</v>
      </c>
      <c r="B309" s="163">
        <v>8222</v>
      </c>
      <c r="C309" s="23">
        <f t="shared" si="78"/>
        <v>8346.7142857142862</v>
      </c>
      <c r="D309" s="163">
        <f t="shared" si="87"/>
        <v>1648940</v>
      </c>
      <c r="E309" s="163">
        <v>152</v>
      </c>
      <c r="F309" s="23">
        <f t="shared" si="79"/>
        <v>109.57142857142857</v>
      </c>
      <c r="G309" s="163">
        <f t="shared" si="84"/>
        <v>43604</v>
      </c>
      <c r="H309" s="163">
        <f t="shared" si="72"/>
        <v>5123</v>
      </c>
      <c r="I309" s="186">
        <v>1458083</v>
      </c>
      <c r="J309" s="163">
        <v>3502</v>
      </c>
      <c r="K309" s="23">
        <f t="shared" si="69"/>
        <v>3434</v>
      </c>
      <c r="L309" s="163">
        <v>31819</v>
      </c>
      <c r="M309" s="23">
        <f t="shared" si="69"/>
        <v>36592.714285714283</v>
      </c>
      <c r="N309" s="4">
        <f t="shared" si="80"/>
        <v>4934050</v>
      </c>
      <c r="O309" s="38">
        <v>6347</v>
      </c>
      <c r="P309" s="38">
        <v>2612496</v>
      </c>
      <c r="Q309" s="38">
        <f>P309+O309</f>
        <v>2618843</v>
      </c>
      <c r="R309" s="28">
        <v>11385</v>
      </c>
      <c r="S309" s="28">
        <v>323665</v>
      </c>
      <c r="T309" s="28">
        <v>1174600</v>
      </c>
      <c r="U309" s="140">
        <f t="shared" si="86"/>
        <v>139290</v>
      </c>
      <c r="V309" s="125">
        <f t="shared" si="74"/>
        <v>147253</v>
      </c>
      <c r="W309" s="81">
        <f t="shared" si="82"/>
        <v>69</v>
      </c>
      <c r="X309" s="151">
        <f t="shared" si="73"/>
        <v>2947</v>
      </c>
      <c r="Y309" s="218">
        <f t="shared" si="83"/>
        <v>2.3782197985779577E-2</v>
      </c>
      <c r="Z309" s="87">
        <f t="shared" si="71"/>
        <v>0.24620339561470872</v>
      </c>
      <c r="AA309" s="87">
        <f t="shared" si="81"/>
        <v>0.22809770875545096</v>
      </c>
      <c r="AB309" s="87">
        <f t="shared" si="76"/>
        <v>0.22809770875545093</v>
      </c>
      <c r="AD309" s="87">
        <f t="shared" si="77"/>
        <v>0.10719871274324033</v>
      </c>
      <c r="AF309" s="197">
        <f>MAX($B$2:B309)</f>
        <v>18326</v>
      </c>
    </row>
    <row r="310" spans="1:32" x14ac:dyDescent="0.25">
      <c r="A310" s="137">
        <v>44201</v>
      </c>
      <c r="B310" s="156">
        <v>13790</v>
      </c>
      <c r="C310" s="23">
        <f t="shared" si="78"/>
        <v>8652.4285714285706</v>
      </c>
      <c r="D310" s="156">
        <f t="shared" si="87"/>
        <v>1662730</v>
      </c>
      <c r="E310" s="156">
        <v>151</v>
      </c>
      <c r="F310" s="23">
        <f t="shared" si="79"/>
        <v>109.57142857142857</v>
      </c>
      <c r="G310" s="156">
        <f t="shared" si="84"/>
        <v>43755</v>
      </c>
      <c r="H310" s="156">
        <f t="shared" si="72"/>
        <v>8533</v>
      </c>
      <c r="I310" s="185">
        <v>1466616</v>
      </c>
      <c r="J310" s="156">
        <v>3460</v>
      </c>
      <c r="K310" s="23">
        <f t="shared" si="69"/>
        <v>3450.4285714285716</v>
      </c>
      <c r="L310" s="156">
        <v>50068</v>
      </c>
      <c r="M310" s="23">
        <f t="shared" si="69"/>
        <v>37304.714285714283</v>
      </c>
      <c r="N310" s="4">
        <f t="shared" si="80"/>
        <v>4984118</v>
      </c>
      <c r="O310" s="7">
        <v>6429</v>
      </c>
      <c r="P310" s="7">
        <v>2640401</v>
      </c>
      <c r="Q310" s="4">
        <f t="shared" si="85"/>
        <v>2646830</v>
      </c>
      <c r="R310" s="4">
        <v>11472</v>
      </c>
      <c r="S310" s="4">
        <v>325591</v>
      </c>
      <c r="T310" s="4">
        <v>1184842</v>
      </c>
      <c r="U310" s="132">
        <f t="shared" si="86"/>
        <v>140825</v>
      </c>
      <c r="V310" s="125">
        <f t="shared" si="74"/>
        <v>152359</v>
      </c>
      <c r="W310" s="47">
        <f t="shared" si="82"/>
        <v>-42</v>
      </c>
      <c r="X310" s="119">
        <f t="shared" si="73"/>
        <v>5106</v>
      </c>
      <c r="Y310" s="218">
        <f t="shared" si="83"/>
        <v>2.2709521590454126E-2</v>
      </c>
      <c r="Z310" s="87">
        <f t="shared" si="71"/>
        <v>0.20981563230329758</v>
      </c>
      <c r="AA310" s="87">
        <f t="shared" si="81"/>
        <v>0.23193927998376307</v>
      </c>
      <c r="AB310" s="87">
        <f t="shared" si="76"/>
        <v>0.23193927998376307</v>
      </c>
      <c r="AD310" s="87">
        <f t="shared" si="77"/>
        <v>0.10173548340443994</v>
      </c>
      <c r="AF310" s="197">
        <f>MAX($B$2:B310)</f>
        <v>18326</v>
      </c>
    </row>
    <row r="311" spans="1:32" x14ac:dyDescent="0.25">
      <c r="A311" s="137">
        <v>44202</v>
      </c>
      <c r="B311" s="156">
        <v>13441</v>
      </c>
      <c r="C311" s="23">
        <f t="shared" si="78"/>
        <v>8891.8571428571431</v>
      </c>
      <c r="D311" s="156">
        <f t="shared" si="87"/>
        <v>1676171</v>
      </c>
      <c r="E311" s="156">
        <v>191</v>
      </c>
      <c r="F311" s="23">
        <f t="shared" si="79"/>
        <v>116.14285714285714</v>
      </c>
      <c r="G311" s="156">
        <f t="shared" si="84"/>
        <v>43946</v>
      </c>
      <c r="H311" s="156">
        <f t="shared" si="72"/>
        <v>7432</v>
      </c>
      <c r="I311" s="185">
        <v>1474048</v>
      </c>
      <c r="J311" s="156">
        <v>3521</v>
      </c>
      <c r="K311" s="23">
        <f t="shared" si="69"/>
        <v>3462</v>
      </c>
      <c r="L311" s="156">
        <v>49116</v>
      </c>
      <c r="M311" s="23">
        <f t="shared" si="69"/>
        <v>36589</v>
      </c>
      <c r="N311" s="4">
        <f t="shared" si="80"/>
        <v>5033234</v>
      </c>
      <c r="O311" s="7">
        <v>6530</v>
      </c>
      <c r="P311" s="7">
        <v>2668047</v>
      </c>
      <c r="Q311" s="4">
        <f t="shared" si="85"/>
        <v>2674577</v>
      </c>
      <c r="R311" s="4">
        <v>11560</v>
      </c>
      <c r="S311" s="4">
        <v>327631</v>
      </c>
      <c r="T311" s="4">
        <v>1194273</v>
      </c>
      <c r="U311" s="132">
        <f t="shared" si="86"/>
        <v>142707</v>
      </c>
      <c r="V311" s="125">
        <f t="shared" si="74"/>
        <v>158177</v>
      </c>
      <c r="W311" s="47">
        <f t="shared" si="82"/>
        <v>61</v>
      </c>
      <c r="X311" s="119">
        <f t="shared" si="73"/>
        <v>5818</v>
      </c>
      <c r="Y311" s="218">
        <f t="shared" si="83"/>
        <v>2.2259873432926406E-2</v>
      </c>
      <c r="Z311" s="87">
        <f t="shared" si="71"/>
        <v>0.15618092319123256</v>
      </c>
      <c r="AA311" s="87">
        <f t="shared" si="81"/>
        <v>0.24301995525587317</v>
      </c>
      <c r="AB311" s="87">
        <f t="shared" si="76"/>
        <v>0.24301995525587317</v>
      </c>
      <c r="AD311" s="87">
        <f t="shared" si="77"/>
        <v>9.7544390399600278E-2</v>
      </c>
      <c r="AF311" s="197">
        <f>MAX($B$2:B311)</f>
        <v>18326</v>
      </c>
    </row>
    <row r="312" spans="1:32" x14ac:dyDescent="0.25">
      <c r="A312" s="137">
        <v>44203</v>
      </c>
      <c r="B312" s="156">
        <v>13835</v>
      </c>
      <c r="C312" s="23">
        <f t="shared" si="78"/>
        <v>9213</v>
      </c>
      <c r="D312" s="156">
        <f t="shared" si="87"/>
        <v>1690006</v>
      </c>
      <c r="E312" s="156">
        <v>146</v>
      </c>
      <c r="F312" s="23">
        <f t="shared" si="79"/>
        <v>125.14285714285714</v>
      </c>
      <c r="G312" s="156">
        <f t="shared" si="84"/>
        <v>44092</v>
      </c>
      <c r="H312" s="156">
        <f t="shared" si="72"/>
        <v>10746</v>
      </c>
      <c r="I312" s="185">
        <v>1484794</v>
      </c>
      <c r="J312" s="156">
        <v>3559</v>
      </c>
      <c r="K312" s="23">
        <f t="shared" si="69"/>
        <v>3479</v>
      </c>
      <c r="L312" s="156">
        <v>49166</v>
      </c>
      <c r="M312" s="23">
        <f t="shared" si="69"/>
        <v>37493.428571428572</v>
      </c>
      <c r="N312" s="4">
        <f t="shared" si="80"/>
        <v>5082400</v>
      </c>
      <c r="O312" s="7">
        <v>6628</v>
      </c>
      <c r="P312" s="7">
        <v>2696083</v>
      </c>
      <c r="Q312" s="4">
        <f t="shared" si="85"/>
        <v>2702711</v>
      </c>
      <c r="R312" s="4">
        <v>11682</v>
      </c>
      <c r="S312" s="4">
        <v>329806</v>
      </c>
      <c r="T312" s="4">
        <v>1200435</v>
      </c>
      <c r="U312" s="132">
        <f t="shared" si="86"/>
        <v>148083</v>
      </c>
      <c r="V312" s="125">
        <f t="shared" si="74"/>
        <v>161120</v>
      </c>
      <c r="W312" s="47">
        <f t="shared" si="82"/>
        <v>38</v>
      </c>
      <c r="X312" s="119">
        <f t="shared" si="73"/>
        <v>2943</v>
      </c>
      <c r="Y312" s="218">
        <f t="shared" si="83"/>
        <v>2.2089126117179742E-2</v>
      </c>
      <c r="Z312" s="87">
        <f t="shared" si="71"/>
        <v>0.17171148255813939</v>
      </c>
      <c r="AA312" s="87">
        <f t="shared" si="81"/>
        <v>0.24572306004099764</v>
      </c>
      <c r="AB312" s="87">
        <f t="shared" si="76"/>
        <v>0.24572306004099767</v>
      </c>
      <c r="AD312" s="87">
        <f t="shared" si="77"/>
        <v>8.5838674241658364E-2</v>
      </c>
      <c r="AF312" s="197">
        <f>MAX($B$2:B312)</f>
        <v>18326</v>
      </c>
    </row>
    <row r="313" spans="1:32" x14ac:dyDescent="0.25">
      <c r="A313" s="137">
        <v>44204</v>
      </c>
      <c r="B313" s="156">
        <v>13346</v>
      </c>
      <c r="C313" s="23">
        <f t="shared" si="78"/>
        <v>10536.857142857143</v>
      </c>
      <c r="D313" s="156">
        <f t="shared" si="87"/>
        <v>1703352</v>
      </c>
      <c r="E313" s="156">
        <v>151</v>
      </c>
      <c r="F313" s="23">
        <f t="shared" si="79"/>
        <v>136.28571428571428</v>
      </c>
      <c r="G313" s="156">
        <f t="shared" si="84"/>
        <v>44243</v>
      </c>
      <c r="H313" s="156">
        <f t="shared" si="72"/>
        <v>10102</v>
      </c>
      <c r="I313" s="185">
        <v>1494896</v>
      </c>
      <c r="J313" s="156">
        <v>3602</v>
      </c>
      <c r="K313" s="23">
        <f t="shared" ref="K313:M328" si="88">AVERAGE(J307:J313)</f>
        <v>3502.1428571428573</v>
      </c>
      <c r="L313" s="156">
        <v>58329</v>
      </c>
      <c r="M313" s="23">
        <f t="shared" si="88"/>
        <v>39706.857142857145</v>
      </c>
      <c r="N313" s="4">
        <f t="shared" si="80"/>
        <v>5140729</v>
      </c>
      <c r="O313" s="7">
        <v>6768</v>
      </c>
      <c r="P313" s="7">
        <v>2723301</v>
      </c>
      <c r="Q313" s="4">
        <f t="shared" si="85"/>
        <v>2730069</v>
      </c>
      <c r="R313" s="4">
        <v>11779</v>
      </c>
      <c r="S313" s="4">
        <v>332037</v>
      </c>
      <c r="T313" s="4">
        <v>1203533</v>
      </c>
      <c r="U313" s="132">
        <f t="shared" si="86"/>
        <v>156003</v>
      </c>
      <c r="V313" s="125">
        <f t="shared" si="74"/>
        <v>164213</v>
      </c>
      <c r="W313" s="47">
        <f t="shared" si="82"/>
        <v>43</v>
      </c>
      <c r="X313" s="119">
        <f t="shared" si="73"/>
        <v>3093</v>
      </c>
      <c r="Y313" s="218">
        <f t="shared" si="83"/>
        <v>2.1934925980281707E-2</v>
      </c>
      <c r="Z313" s="87">
        <f t="shared" si="71"/>
        <v>0.30390510368235901</v>
      </c>
      <c r="AA313" s="87">
        <f t="shared" si="81"/>
        <v>0.26536618360268827</v>
      </c>
      <c r="AB313" s="87">
        <f t="shared" si="76"/>
        <v>0.26536618360268827</v>
      </c>
      <c r="AD313" s="87">
        <f t="shared" si="77"/>
        <v>0.12356144888268528</v>
      </c>
      <c r="AF313" s="197">
        <f>MAX($B$2:B313)</f>
        <v>18326</v>
      </c>
    </row>
    <row r="314" spans="1:32" x14ac:dyDescent="0.25">
      <c r="A314" s="137">
        <v>44205</v>
      </c>
      <c r="B314" s="156">
        <v>11057</v>
      </c>
      <c r="C314" s="23">
        <f t="shared" si="78"/>
        <v>11367.857142857143</v>
      </c>
      <c r="D314" s="156">
        <f t="shared" si="87"/>
        <v>1714409</v>
      </c>
      <c r="E314" s="156">
        <v>144</v>
      </c>
      <c r="F314" s="23">
        <f t="shared" si="79"/>
        <v>148.85714285714286</v>
      </c>
      <c r="G314" s="156">
        <f t="shared" si="84"/>
        <v>44387</v>
      </c>
      <c r="H314" s="156">
        <f t="shared" si="72"/>
        <v>9434</v>
      </c>
      <c r="I314" s="185">
        <v>1504330</v>
      </c>
      <c r="J314" s="156">
        <v>3597</v>
      </c>
      <c r="K314" s="23">
        <f t="shared" si="88"/>
        <v>3524.8571428571427</v>
      </c>
      <c r="L314" s="156">
        <v>31990</v>
      </c>
      <c r="M314" s="23">
        <f t="shared" si="88"/>
        <v>41809.714285714283</v>
      </c>
      <c r="N314" s="4">
        <f t="shared" si="80"/>
        <v>5172719</v>
      </c>
      <c r="O314" s="7">
        <v>6802</v>
      </c>
      <c r="P314" s="7">
        <v>2743144</v>
      </c>
      <c r="Q314" s="4">
        <f t="shared" si="85"/>
        <v>2749946</v>
      </c>
      <c r="R314" s="4">
        <v>11857</v>
      </c>
      <c r="S314" s="4">
        <v>333247</v>
      </c>
      <c r="T314" s="4">
        <v>1209389</v>
      </c>
      <c r="U314" s="132">
        <f t="shared" si="86"/>
        <v>159916</v>
      </c>
      <c r="V314" s="125">
        <f t="shared" si="74"/>
        <v>165692</v>
      </c>
      <c r="W314" s="47">
        <f t="shared" si="82"/>
        <v>-5</v>
      </c>
      <c r="X314" s="119">
        <f t="shared" si="73"/>
        <v>1479</v>
      </c>
      <c r="Y314" s="218">
        <f t="shared" si="83"/>
        <v>2.1708953962774304E-2</v>
      </c>
      <c r="Z314" s="87">
        <f t="shared" si="71"/>
        <v>0.38581703557931779</v>
      </c>
      <c r="AA314" s="87">
        <f t="shared" si="81"/>
        <v>0.27189511665094923</v>
      </c>
      <c r="AB314" s="87">
        <f t="shared" si="76"/>
        <v>0.27189511665094918</v>
      </c>
      <c r="AD314" s="87">
        <f t="shared" si="77"/>
        <v>0.14747536306155951</v>
      </c>
      <c r="AF314" s="197">
        <f>MAX($B$2:B314)</f>
        <v>18326</v>
      </c>
    </row>
    <row r="315" spans="1:32" x14ac:dyDescent="0.25">
      <c r="A315" s="137">
        <v>44206</v>
      </c>
      <c r="B315" s="156">
        <v>7808</v>
      </c>
      <c r="C315" s="23">
        <f t="shared" si="78"/>
        <v>11642.714285714286</v>
      </c>
      <c r="D315" s="156">
        <f t="shared" si="87"/>
        <v>1722217</v>
      </c>
      <c r="E315" s="156">
        <v>78</v>
      </c>
      <c r="F315" s="23">
        <f t="shared" si="79"/>
        <v>144.71428571428572</v>
      </c>
      <c r="G315" s="156">
        <f t="shared" si="84"/>
        <v>44465</v>
      </c>
      <c r="H315" s="156">
        <f t="shared" si="72"/>
        <v>7420</v>
      </c>
      <c r="I315" s="185">
        <v>1511750</v>
      </c>
      <c r="J315" s="156">
        <v>3612</v>
      </c>
      <c r="K315" s="23">
        <f t="shared" si="88"/>
        <v>3550.4285714285716</v>
      </c>
      <c r="L315" s="156">
        <v>38365</v>
      </c>
      <c r="M315" s="23">
        <f t="shared" si="88"/>
        <v>44121.857142857145</v>
      </c>
      <c r="N315" s="4">
        <f t="shared" si="80"/>
        <v>5211084</v>
      </c>
      <c r="O315" s="7">
        <v>6832</v>
      </c>
      <c r="P315" s="7">
        <v>2767568</v>
      </c>
      <c r="Q315" s="4">
        <f t="shared" si="85"/>
        <v>2774400</v>
      </c>
      <c r="R315" s="4">
        <v>11922</v>
      </c>
      <c r="S315" s="4">
        <v>334269</v>
      </c>
      <c r="T315" s="4">
        <v>1213524</v>
      </c>
      <c r="U315" s="132">
        <f t="shared" si="86"/>
        <v>162502</v>
      </c>
      <c r="V315" s="125">
        <f t="shared" si="74"/>
        <v>166002</v>
      </c>
      <c r="W315" s="47">
        <f t="shared" si="82"/>
        <v>15</v>
      </c>
      <c r="X315" s="119">
        <f t="shared" si="73"/>
        <v>310</v>
      </c>
      <c r="Y315" s="218">
        <f t="shared" si="83"/>
        <v>2.1758773990674812E-2</v>
      </c>
      <c r="Z315" s="87">
        <f t="shared" ref="Z315:Z378" si="89">C315/C309-1</f>
        <v>0.39488592602735029</v>
      </c>
      <c r="AA315" s="87">
        <f t="shared" si="81"/>
        <v>0.26387634246712838</v>
      </c>
      <c r="AB315" s="87">
        <f t="shared" si="76"/>
        <v>0.26387634246712838</v>
      </c>
      <c r="AD315" s="87">
        <f t="shared" si="77"/>
        <v>0.15034717891147986</v>
      </c>
      <c r="AF315" s="197">
        <f>MAX($B$2:B315)</f>
        <v>18326</v>
      </c>
    </row>
    <row r="316" spans="1:32" x14ac:dyDescent="0.25">
      <c r="A316" s="139">
        <v>44207</v>
      </c>
      <c r="B316" s="163">
        <v>8704</v>
      </c>
      <c r="C316" s="23">
        <f t="shared" si="78"/>
        <v>11711.571428571429</v>
      </c>
      <c r="D316" s="163">
        <f t="shared" si="87"/>
        <v>1730921</v>
      </c>
      <c r="E316" s="163">
        <v>160</v>
      </c>
      <c r="F316" s="23">
        <f t="shared" si="79"/>
        <v>145.85714285714286</v>
      </c>
      <c r="G316" s="163">
        <f t="shared" si="84"/>
        <v>44625</v>
      </c>
      <c r="H316" s="163">
        <f t="shared" si="72"/>
        <v>6965</v>
      </c>
      <c r="I316" s="186">
        <v>1518715</v>
      </c>
      <c r="J316" s="163">
        <v>3606</v>
      </c>
      <c r="K316" s="23">
        <f t="shared" si="88"/>
        <v>3565.2857142857142</v>
      </c>
      <c r="L316" s="163">
        <v>32363</v>
      </c>
      <c r="M316" s="23">
        <f t="shared" si="88"/>
        <v>44199.571428571428</v>
      </c>
      <c r="N316" s="4">
        <f t="shared" si="80"/>
        <v>5243447</v>
      </c>
      <c r="O316" s="38">
        <v>6966</v>
      </c>
      <c r="P316" s="38">
        <v>2785278</v>
      </c>
      <c r="Q316" s="28">
        <f t="shared" si="85"/>
        <v>2792244</v>
      </c>
      <c r="R316" s="28">
        <v>11973</v>
      </c>
      <c r="S316" s="28">
        <v>335669</v>
      </c>
      <c r="T316" s="28">
        <v>1223533</v>
      </c>
      <c r="U316" s="140">
        <f t="shared" si="86"/>
        <v>159746</v>
      </c>
      <c r="V316" s="125">
        <f t="shared" si="74"/>
        <v>167581</v>
      </c>
      <c r="W316" s="47">
        <f t="shared" si="82"/>
        <v>-6</v>
      </c>
      <c r="X316" s="119">
        <f t="shared" si="73"/>
        <v>1579</v>
      </c>
      <c r="Y316" s="218">
        <f t="shared" si="83"/>
        <v>2.1517952512516335E-2</v>
      </c>
      <c r="Z316" s="87">
        <f t="shared" si="89"/>
        <v>0.3535588686908715</v>
      </c>
      <c r="AA316" s="87">
        <f t="shared" si="81"/>
        <v>0.26497024858030299</v>
      </c>
      <c r="AB316" s="87">
        <f t="shared" si="76"/>
        <v>0.26497024858030299</v>
      </c>
      <c r="AD316" s="87">
        <f t="shared" si="77"/>
        <v>0.13804812126068744</v>
      </c>
      <c r="AF316" s="197">
        <f>MAX($B$2:B316)</f>
        <v>18326</v>
      </c>
    </row>
    <row r="317" spans="1:32" x14ac:dyDescent="0.25">
      <c r="A317" s="137">
        <v>44208</v>
      </c>
      <c r="B317" s="156">
        <v>13783</v>
      </c>
      <c r="C317" s="23">
        <f t="shared" si="78"/>
        <v>11710.571428571429</v>
      </c>
      <c r="D317" s="156">
        <f t="shared" si="87"/>
        <v>1744704</v>
      </c>
      <c r="E317" s="156">
        <v>192</v>
      </c>
      <c r="F317" s="23">
        <f t="shared" si="79"/>
        <v>151.71428571428572</v>
      </c>
      <c r="G317" s="156">
        <f t="shared" si="84"/>
        <v>44817</v>
      </c>
      <c r="H317" s="156">
        <f t="shared" si="72"/>
        <v>9146</v>
      </c>
      <c r="I317" s="185">
        <v>1527861</v>
      </c>
      <c r="J317" s="156">
        <v>3619</v>
      </c>
      <c r="K317" s="23">
        <f t="shared" si="88"/>
        <v>3588</v>
      </c>
      <c r="L317" s="156">
        <v>54031</v>
      </c>
      <c r="M317" s="23">
        <f t="shared" si="88"/>
        <v>44765.714285714283</v>
      </c>
      <c r="N317" s="4">
        <f t="shared" si="80"/>
        <v>5297478</v>
      </c>
      <c r="O317" s="7">
        <v>7093</v>
      </c>
      <c r="P317" s="7">
        <v>2816031</v>
      </c>
      <c r="Q317" s="4">
        <f t="shared" si="85"/>
        <v>2823124</v>
      </c>
      <c r="R317" s="4">
        <v>12085</v>
      </c>
      <c r="S317" s="4">
        <v>337864</v>
      </c>
      <c r="T317" s="4">
        <v>1234734</v>
      </c>
      <c r="U317" s="132">
        <f t="shared" si="86"/>
        <v>160021</v>
      </c>
      <c r="V317" s="198">
        <f t="shared" si="74"/>
        <v>172026</v>
      </c>
      <c r="W317" s="47">
        <f t="shared" si="82"/>
        <v>13</v>
      </c>
      <c r="X317" s="119">
        <f t="shared" si="73"/>
        <v>4445</v>
      </c>
      <c r="Y317" s="218">
        <f t="shared" si="83"/>
        <v>2.1037517584551173E-2</v>
      </c>
      <c r="Z317" s="87">
        <f t="shared" si="89"/>
        <v>0.31699950195202686</v>
      </c>
      <c r="AA317" s="87">
        <f t="shared" si="81"/>
        <v>0.26159688537145781</v>
      </c>
      <c r="AB317" s="87">
        <f t="shared" si="76"/>
        <v>0.26159688537145775</v>
      </c>
      <c r="AD317" s="87">
        <f t="shared" si="77"/>
        <v>0.129083283560538</v>
      </c>
      <c r="AF317" s="197">
        <f>MAX($B$2:B317)</f>
        <v>18326</v>
      </c>
    </row>
    <row r="318" spans="1:32" x14ac:dyDescent="0.25">
      <c r="A318" s="137">
        <v>44209</v>
      </c>
      <c r="B318" s="156">
        <v>12725</v>
      </c>
      <c r="C318" s="23">
        <f t="shared" si="78"/>
        <v>11608.285714285714</v>
      </c>
      <c r="D318" s="156">
        <f t="shared" si="87"/>
        <v>1757429</v>
      </c>
      <c r="E318" s="156">
        <v>134</v>
      </c>
      <c r="F318" s="23">
        <f t="shared" si="79"/>
        <v>143.57142857142858</v>
      </c>
      <c r="G318" s="156">
        <f t="shared" si="84"/>
        <v>44951</v>
      </c>
      <c r="H318" s="156">
        <f t="shared" si="72"/>
        <v>8562</v>
      </c>
      <c r="I318" s="185">
        <v>1536423</v>
      </c>
      <c r="J318" s="156">
        <v>3636</v>
      </c>
      <c r="K318" s="23">
        <f t="shared" si="88"/>
        <v>3604.4285714285716</v>
      </c>
      <c r="L318" s="156">
        <v>50648</v>
      </c>
      <c r="M318" s="23">
        <f t="shared" si="88"/>
        <v>44984.571428571428</v>
      </c>
      <c r="N318" s="4">
        <f t="shared" si="80"/>
        <v>5348126</v>
      </c>
      <c r="O318" s="7">
        <v>7265</v>
      </c>
      <c r="P318" s="7">
        <v>2845101</v>
      </c>
      <c r="Q318" s="4">
        <f t="shared" si="85"/>
        <v>2852366</v>
      </c>
      <c r="R318" s="4">
        <v>12177</v>
      </c>
      <c r="S318" s="4">
        <v>339755</v>
      </c>
      <c r="T318" s="4">
        <v>1245296</v>
      </c>
      <c r="U318" s="132">
        <f t="shared" si="86"/>
        <v>160201</v>
      </c>
      <c r="V318" s="125">
        <f t="shared" si="74"/>
        <v>176055</v>
      </c>
      <c r="W318" s="47">
        <f t="shared" si="82"/>
        <v>17</v>
      </c>
      <c r="X318" s="119">
        <f t="shared" si="73"/>
        <v>4029</v>
      </c>
      <c r="Y318" s="218">
        <f t="shared" si="83"/>
        <v>2.0652636960040896E-2</v>
      </c>
      <c r="Z318" s="87">
        <f t="shared" si="89"/>
        <v>0.25998976601386237</v>
      </c>
      <c r="AA318" s="87">
        <f t="shared" si="81"/>
        <v>0.2580503791776228</v>
      </c>
      <c r="AB318" s="87">
        <f t="shared" si="76"/>
        <v>0.2580503791776228</v>
      </c>
      <c r="AD318" s="87">
        <f t="shared" si="77"/>
        <v>0.11302528180456073</v>
      </c>
      <c r="AF318" s="197">
        <f>MAX($B$2:B318)</f>
        <v>18326</v>
      </c>
    </row>
    <row r="319" spans="1:32" x14ac:dyDescent="0.25">
      <c r="A319" s="137">
        <v>44210</v>
      </c>
      <c r="B319" s="156">
        <v>13286</v>
      </c>
      <c r="C319" s="23">
        <f t="shared" si="78"/>
        <v>11529.857142857143</v>
      </c>
      <c r="D319" s="156">
        <f t="shared" si="87"/>
        <v>1770715</v>
      </c>
      <c r="E319" s="209">
        <v>142</v>
      </c>
      <c r="F319" s="23">
        <f t="shared" si="79"/>
        <v>143</v>
      </c>
      <c r="G319" s="156">
        <f t="shared" si="84"/>
        <v>45093</v>
      </c>
      <c r="H319" s="156">
        <f t="shared" si="72"/>
        <v>13067</v>
      </c>
      <c r="I319" s="185">
        <v>1549490</v>
      </c>
      <c r="J319" s="156">
        <v>3634</v>
      </c>
      <c r="K319" s="23">
        <f t="shared" si="88"/>
        <v>3615.1428571428573</v>
      </c>
      <c r="L319" s="156">
        <v>50729</v>
      </c>
      <c r="M319" s="23">
        <f t="shared" si="88"/>
        <v>45207.857142857145</v>
      </c>
      <c r="N319" s="4">
        <f t="shared" si="80"/>
        <v>5398855</v>
      </c>
      <c r="O319" s="7">
        <v>7473</v>
      </c>
      <c r="P319" s="7">
        <v>2874691</v>
      </c>
      <c r="Q319" s="4">
        <f t="shared" si="85"/>
        <v>2882164</v>
      </c>
      <c r="R319" s="4">
        <v>12303</v>
      </c>
      <c r="S319" s="4">
        <v>342210</v>
      </c>
      <c r="T319" s="4">
        <v>1255146</v>
      </c>
      <c r="U319" s="132">
        <f t="shared" si="86"/>
        <v>161056</v>
      </c>
      <c r="V319" s="125">
        <f t="shared" si="74"/>
        <v>176132</v>
      </c>
      <c r="W319" s="47">
        <f t="shared" si="82"/>
        <v>-2</v>
      </c>
      <c r="X319" s="119">
        <f t="shared" si="73"/>
        <v>77</v>
      </c>
      <c r="Y319" s="218">
        <f t="shared" si="83"/>
        <v>2.0632253082915088E-2</v>
      </c>
      <c r="Z319" s="87">
        <f t="shared" si="89"/>
        <v>9.4240624745790313E-2</v>
      </c>
      <c r="AA319" s="87">
        <f t="shared" si="81"/>
        <v>0.25504100109020239</v>
      </c>
      <c r="AB319" s="87">
        <f t="shared" si="76"/>
        <v>0.25504100109020239</v>
      </c>
      <c r="AD319" s="87">
        <f t="shared" si="77"/>
        <v>9.3172790466732769E-2</v>
      </c>
      <c r="AF319" s="197">
        <f>MAX($B$2:B319)</f>
        <v>18326</v>
      </c>
    </row>
    <row r="320" spans="1:32" x14ac:dyDescent="0.25">
      <c r="A320" s="137">
        <v>44211</v>
      </c>
      <c r="B320" s="156">
        <v>12332</v>
      </c>
      <c r="C320" s="23">
        <f t="shared" si="78"/>
        <v>11385</v>
      </c>
      <c r="D320" s="156">
        <f t="shared" si="87"/>
        <v>1783047</v>
      </c>
      <c r="E320" s="156">
        <v>103</v>
      </c>
      <c r="F320" s="23">
        <f t="shared" si="79"/>
        <v>136.14285714285714</v>
      </c>
      <c r="G320" s="156">
        <f t="shared" si="84"/>
        <v>45196</v>
      </c>
      <c r="H320" s="156">
        <f t="shared" si="72"/>
        <v>12473</v>
      </c>
      <c r="I320" s="185">
        <v>1561963</v>
      </c>
      <c r="J320" s="156">
        <v>3578</v>
      </c>
      <c r="K320" s="23">
        <f t="shared" si="88"/>
        <v>3611.7142857142858</v>
      </c>
      <c r="L320" s="156">
        <v>52120</v>
      </c>
      <c r="M320" s="23">
        <f t="shared" si="88"/>
        <v>44320.857142857145</v>
      </c>
      <c r="N320" s="4">
        <f t="shared" si="80"/>
        <v>5450975</v>
      </c>
      <c r="O320" s="7">
        <v>7640</v>
      </c>
      <c r="P320" s="7">
        <v>2906590</v>
      </c>
      <c r="Q320" s="4">
        <f t="shared" si="85"/>
        <v>2914230</v>
      </c>
      <c r="R320" s="4">
        <v>12408</v>
      </c>
      <c r="S320" s="4">
        <v>344202</v>
      </c>
      <c r="T320" s="4">
        <v>1264935</v>
      </c>
      <c r="U320" s="132">
        <f t="shared" si="86"/>
        <v>161502</v>
      </c>
      <c r="V320" s="125">
        <f t="shared" si="74"/>
        <v>175888</v>
      </c>
      <c r="W320" s="47">
        <f t="shared" si="82"/>
        <v>-56</v>
      </c>
      <c r="X320" s="119">
        <f t="shared" si="73"/>
        <v>-244</v>
      </c>
      <c r="Y320" s="218">
        <f t="shared" si="83"/>
        <v>2.0342490675884655E-2</v>
      </c>
      <c r="Z320" s="87">
        <f t="shared" si="89"/>
        <v>1.5080113100847115E-3</v>
      </c>
      <c r="AA320" s="87">
        <f t="shared" si="81"/>
        <v>0.25687680099018195</v>
      </c>
      <c r="AB320" s="87">
        <f t="shared" si="76"/>
        <v>0.25687680099018201</v>
      </c>
      <c r="AD320" s="87">
        <f t="shared" si="77"/>
        <v>7.1096685402495474E-2</v>
      </c>
      <c r="AF320" s="197">
        <f>MAX($B$2:B320)</f>
        <v>18326</v>
      </c>
    </row>
    <row r="321" spans="1:32" x14ac:dyDescent="0.25">
      <c r="A321" s="137">
        <v>44212</v>
      </c>
      <c r="B321" s="156">
        <v>8932</v>
      </c>
      <c r="C321" s="23">
        <f t="shared" si="78"/>
        <v>11081.428571428571</v>
      </c>
      <c r="D321" s="156">
        <f t="shared" si="87"/>
        <v>1791979</v>
      </c>
      <c r="E321" s="156">
        <v>68</v>
      </c>
      <c r="F321" s="23">
        <f t="shared" si="79"/>
        <v>125.28571428571429</v>
      </c>
      <c r="G321" s="156">
        <f t="shared" si="84"/>
        <v>45264</v>
      </c>
      <c r="H321" s="156">
        <f t="shared" si="72"/>
        <v>11141</v>
      </c>
      <c r="I321" s="185">
        <v>1573104</v>
      </c>
      <c r="J321" s="156">
        <v>3578</v>
      </c>
      <c r="K321" s="23">
        <f t="shared" si="88"/>
        <v>3609</v>
      </c>
      <c r="L321" s="156">
        <v>43513</v>
      </c>
      <c r="M321" s="23">
        <f t="shared" si="88"/>
        <v>45967</v>
      </c>
      <c r="N321" s="4">
        <f t="shared" si="80"/>
        <v>5494488</v>
      </c>
      <c r="O321" s="7">
        <v>7674</v>
      </c>
      <c r="P321" s="7">
        <v>2934432</v>
      </c>
      <c r="Q321" s="4">
        <f t="shared" si="85"/>
        <v>2942106</v>
      </c>
      <c r="R321" s="4">
        <v>12474</v>
      </c>
      <c r="S321" s="4">
        <v>345365</v>
      </c>
      <c r="T321" s="4">
        <v>1271065</v>
      </c>
      <c r="U321" s="132">
        <f t="shared" si="86"/>
        <v>163075</v>
      </c>
      <c r="V321" s="125">
        <f t="shared" si="74"/>
        <v>173611</v>
      </c>
      <c r="W321" s="47">
        <f t="shared" si="82"/>
        <v>0</v>
      </c>
      <c r="X321" s="119">
        <f t="shared" si="73"/>
        <v>-2277</v>
      </c>
      <c r="Y321" s="218">
        <f t="shared" si="83"/>
        <v>2.0609293189947642E-2</v>
      </c>
      <c r="Z321" s="87">
        <f t="shared" si="89"/>
        <v>-4.8209180480742186E-2</v>
      </c>
      <c r="AA321" s="87">
        <f t="shared" si="81"/>
        <v>0.24107356519739315</v>
      </c>
      <c r="AB321" s="87">
        <f t="shared" si="76"/>
        <v>0.24107356519739317</v>
      </c>
      <c r="AD321" s="87">
        <f t="shared" si="77"/>
        <v>4.7793496366752786E-2</v>
      </c>
      <c r="AF321" s="197">
        <f>MAX($B$2:B321)</f>
        <v>18326</v>
      </c>
    </row>
    <row r="322" spans="1:32" x14ac:dyDescent="0.25">
      <c r="A322" s="137">
        <v>44213</v>
      </c>
      <c r="B322" s="156">
        <v>7264</v>
      </c>
      <c r="C322" s="23">
        <f t="shared" si="78"/>
        <v>11003.714285714286</v>
      </c>
      <c r="D322" s="156">
        <f t="shared" si="87"/>
        <v>1799243</v>
      </c>
      <c r="E322" s="156">
        <v>112</v>
      </c>
      <c r="F322" s="23">
        <f t="shared" si="79"/>
        <v>130.14285714285714</v>
      </c>
      <c r="G322" s="156">
        <f t="shared" si="84"/>
        <v>45376</v>
      </c>
      <c r="H322" s="156">
        <f t="shared" si="72"/>
        <v>10361</v>
      </c>
      <c r="I322" s="185">
        <v>1583465</v>
      </c>
      <c r="J322" s="156">
        <v>3547</v>
      </c>
      <c r="K322" s="23">
        <f t="shared" si="88"/>
        <v>3599.7142857142858</v>
      </c>
      <c r="L322" s="156">
        <v>39591</v>
      </c>
      <c r="M322" s="23">
        <f t="shared" si="88"/>
        <v>46142.142857142855</v>
      </c>
      <c r="N322" s="4">
        <f t="shared" si="80"/>
        <v>5534079</v>
      </c>
      <c r="O322" s="7">
        <v>7844</v>
      </c>
      <c r="P322" s="7">
        <v>2961095</v>
      </c>
      <c r="Q322" s="4">
        <f t="shared" si="85"/>
        <v>2968939</v>
      </c>
      <c r="R322" s="4">
        <v>12530</v>
      </c>
      <c r="S322" s="4">
        <v>346241</v>
      </c>
      <c r="T322" s="4">
        <v>1275780</v>
      </c>
      <c r="U322" s="132">
        <f t="shared" si="86"/>
        <v>164692</v>
      </c>
      <c r="V322" s="125">
        <f t="shared" si="74"/>
        <v>170402</v>
      </c>
      <c r="W322" s="47">
        <f t="shared" si="82"/>
        <v>-31</v>
      </c>
      <c r="X322" s="119">
        <f t="shared" si="73"/>
        <v>-3209</v>
      </c>
      <c r="Y322" s="218">
        <f t="shared" si="83"/>
        <v>2.0815483386345229E-2</v>
      </c>
      <c r="Z322" s="87">
        <f t="shared" si="89"/>
        <v>-6.0440833851746145E-2</v>
      </c>
      <c r="AA322" s="87">
        <f t="shared" si="81"/>
        <v>0.23847427978761282</v>
      </c>
      <c r="AB322" s="87">
        <f t="shared" si="76"/>
        <v>0.23847427978761282</v>
      </c>
      <c r="AD322" s="87">
        <f t="shared" si="77"/>
        <v>2.6505704750545256E-2</v>
      </c>
      <c r="AF322" s="197">
        <f>MAX($B$2:B322)</f>
        <v>18326</v>
      </c>
    </row>
    <row r="323" spans="1:32" x14ac:dyDescent="0.25">
      <c r="A323" s="137">
        <v>44214</v>
      </c>
      <c r="B323" s="156">
        <v>8185</v>
      </c>
      <c r="C323" s="23">
        <f t="shared" si="78"/>
        <v>10929.571428571429</v>
      </c>
      <c r="D323" s="156">
        <f t="shared" si="87"/>
        <v>1807428</v>
      </c>
      <c r="E323" s="156">
        <v>424</v>
      </c>
      <c r="F323" s="23">
        <f t="shared" si="79"/>
        <v>167.85714285714286</v>
      </c>
      <c r="G323" s="156">
        <f t="shared" si="84"/>
        <v>45800</v>
      </c>
      <c r="H323" s="156">
        <f t="shared" ref="H323:H386" si="90">I323-I322</f>
        <v>11303</v>
      </c>
      <c r="I323" s="185">
        <v>1594768</v>
      </c>
      <c r="J323" s="156">
        <v>3564</v>
      </c>
      <c r="K323" s="23">
        <f t="shared" si="88"/>
        <v>3593.7142857142858</v>
      </c>
      <c r="L323" s="156">
        <v>41451</v>
      </c>
      <c r="M323" s="23">
        <f t="shared" si="88"/>
        <v>47440.428571428572</v>
      </c>
      <c r="N323" s="4">
        <f t="shared" si="80"/>
        <v>5575530</v>
      </c>
      <c r="O323" s="7">
        <v>8070</v>
      </c>
      <c r="P323" s="7">
        <v>2987077</v>
      </c>
      <c r="Q323" s="4">
        <f t="shared" si="85"/>
        <v>2995147</v>
      </c>
      <c r="R323" s="4">
        <v>12585</v>
      </c>
      <c r="S323" s="4">
        <v>347936</v>
      </c>
      <c r="T323" s="4">
        <v>1285430</v>
      </c>
      <c r="U323" s="132">
        <f t="shared" si="86"/>
        <v>161477</v>
      </c>
      <c r="V323" s="125">
        <f t="shared" si="74"/>
        <v>166860</v>
      </c>
      <c r="W323" s="47">
        <f t="shared" si="82"/>
        <v>17</v>
      </c>
      <c r="X323" s="119">
        <f t="shared" si="73"/>
        <v>-3542</v>
      </c>
      <c r="Y323" s="218">
        <f t="shared" si="83"/>
        <v>2.1359223300970873E-2</v>
      </c>
      <c r="Z323" s="87">
        <f t="shared" si="89"/>
        <v>-6.6691877912508857E-2</v>
      </c>
      <c r="AA323" s="87">
        <f t="shared" si="81"/>
        <v>0.23038517479063969</v>
      </c>
      <c r="AB323" s="87">
        <f t="shared" si="76"/>
        <v>0.23038517479063969</v>
      </c>
      <c r="AD323" s="87">
        <f t="shared" si="77"/>
        <v>-4.3023970497848563E-3</v>
      </c>
      <c r="AF323" s="197">
        <f>MAX($B$2:B323)</f>
        <v>18326</v>
      </c>
    </row>
    <row r="324" spans="1:32" x14ac:dyDescent="0.25">
      <c r="A324" s="137">
        <v>44215</v>
      </c>
      <c r="B324" s="156">
        <v>12141</v>
      </c>
      <c r="C324" s="23">
        <f t="shared" si="78"/>
        <v>10695</v>
      </c>
      <c r="D324" s="156">
        <f t="shared" si="87"/>
        <v>1819569</v>
      </c>
      <c r="E324" s="156">
        <v>235</v>
      </c>
      <c r="F324" s="23">
        <f t="shared" si="79"/>
        <v>174</v>
      </c>
      <c r="G324" s="156">
        <f t="shared" si="84"/>
        <v>46035</v>
      </c>
      <c r="H324" s="156">
        <f t="shared" si="90"/>
        <v>9605</v>
      </c>
      <c r="I324" s="185">
        <v>1604373</v>
      </c>
      <c r="J324" s="156">
        <v>3562</v>
      </c>
      <c r="K324" s="23">
        <f t="shared" si="88"/>
        <v>3585.5714285714284</v>
      </c>
      <c r="L324" s="156">
        <v>49566</v>
      </c>
      <c r="M324" s="23">
        <f t="shared" si="88"/>
        <v>46802.571428571428</v>
      </c>
      <c r="N324" s="4">
        <f t="shared" si="80"/>
        <v>5625096</v>
      </c>
      <c r="O324" s="7">
        <v>8115</v>
      </c>
      <c r="P324" s="7">
        <v>3016503</v>
      </c>
      <c r="Q324" s="4">
        <f t="shared" si="85"/>
        <v>3024618</v>
      </c>
      <c r="R324" s="4">
        <v>12688</v>
      </c>
      <c r="S324" s="4">
        <v>349683</v>
      </c>
      <c r="T324" s="4">
        <v>1295213</v>
      </c>
      <c r="U324" s="132">
        <f t="shared" si="86"/>
        <v>161985</v>
      </c>
      <c r="V324" s="125">
        <f t="shared" si="74"/>
        <v>169161</v>
      </c>
      <c r="W324" s="47">
        <f t="shared" si="82"/>
        <v>-2</v>
      </c>
      <c r="X324" s="119">
        <f t="shared" si="73"/>
        <v>2301</v>
      </c>
      <c r="Y324" s="218">
        <f t="shared" si="83"/>
        <v>2.1056862988513902E-2</v>
      </c>
      <c r="Z324" s="87">
        <f t="shared" si="89"/>
        <v>-7.8675330429003876E-2</v>
      </c>
      <c r="AA324" s="87">
        <f t="shared" si="81"/>
        <v>0.22851308536161016</v>
      </c>
      <c r="AB324" s="87">
        <f t="shared" si="76"/>
        <v>0.22851308536161016</v>
      </c>
      <c r="AD324" s="87">
        <f t="shared" si="77"/>
        <v>-1.665445920965436E-2</v>
      </c>
      <c r="AF324" s="197">
        <f>MAX($B$2:B324)</f>
        <v>18326</v>
      </c>
    </row>
    <row r="325" spans="1:32" x14ac:dyDescent="0.25">
      <c r="A325" s="220">
        <v>44216</v>
      </c>
      <c r="B325" s="221">
        <v>12112</v>
      </c>
      <c r="C325" s="23">
        <f t="shared" si="78"/>
        <v>10607.428571428571</v>
      </c>
      <c r="D325" s="156">
        <f t="shared" si="87"/>
        <v>1831681</v>
      </c>
      <c r="E325" s="185">
        <v>149</v>
      </c>
      <c r="F325" s="23">
        <f t="shared" si="79"/>
        <v>176.14285714285714</v>
      </c>
      <c r="G325" s="156">
        <f t="shared" si="84"/>
        <v>46184</v>
      </c>
      <c r="H325" s="156">
        <f t="shared" si="90"/>
        <v>9400</v>
      </c>
      <c r="I325" s="185">
        <v>1613773</v>
      </c>
      <c r="J325" s="156">
        <v>3605</v>
      </c>
      <c r="K325" s="23">
        <f t="shared" si="88"/>
        <v>3581.1428571428573</v>
      </c>
      <c r="L325" s="156">
        <v>54998</v>
      </c>
      <c r="M325" s="23">
        <f t="shared" si="88"/>
        <v>47424</v>
      </c>
      <c r="N325" s="4">
        <f t="shared" si="80"/>
        <v>5680094</v>
      </c>
      <c r="O325" s="7">
        <v>8185</v>
      </c>
      <c r="P325" s="7">
        <v>3071885</v>
      </c>
      <c r="Q325" s="4">
        <f t="shared" si="85"/>
        <v>3080070</v>
      </c>
      <c r="R325" s="4"/>
      <c r="S325" s="4"/>
      <c r="T325" s="4"/>
      <c r="U325" s="4"/>
      <c r="V325" s="217">
        <f t="shared" si="74"/>
        <v>171724</v>
      </c>
      <c r="W325" s="47">
        <f t="shared" si="82"/>
        <v>43</v>
      </c>
      <c r="X325" s="119">
        <f t="shared" si="73"/>
        <v>2563</v>
      </c>
      <c r="Y325" s="218">
        <f t="shared" si="83"/>
        <v>2.0992988749388555E-2</v>
      </c>
      <c r="Z325" s="87">
        <f t="shared" si="89"/>
        <v>-8.0003469253738801E-2</v>
      </c>
      <c r="AA325" s="87">
        <f t="shared" si="81"/>
        <v>0.22367216117216115</v>
      </c>
      <c r="AB325" s="87">
        <f t="shared" si="76"/>
        <v>0.22367216117216118</v>
      </c>
      <c r="AD325" s="87">
        <f t="shared" si="77"/>
        <v>-2.4600266962028883E-2</v>
      </c>
      <c r="AF325" s="197">
        <f>MAX($B$2:B325)</f>
        <v>18326</v>
      </c>
    </row>
    <row r="326" spans="1:32" x14ac:dyDescent="0.25">
      <c r="A326" s="137">
        <v>44217</v>
      </c>
      <c r="B326" s="178">
        <v>11396</v>
      </c>
      <c r="C326" s="23">
        <f t="shared" si="78"/>
        <v>10337.428571428571</v>
      </c>
      <c r="D326" s="156">
        <f t="shared" si="87"/>
        <v>1843077</v>
      </c>
      <c r="E326" s="156">
        <v>142</v>
      </c>
      <c r="F326" s="23">
        <f t="shared" si="79"/>
        <v>176.14285714285714</v>
      </c>
      <c r="G326" s="156">
        <f t="shared" si="84"/>
        <v>46326</v>
      </c>
      <c r="H326" s="156">
        <f t="shared" si="90"/>
        <v>11982</v>
      </c>
      <c r="I326" s="185">
        <v>1625755</v>
      </c>
      <c r="J326" s="156">
        <v>3616</v>
      </c>
      <c r="K326" s="23">
        <f t="shared" si="88"/>
        <v>3578.5714285714284</v>
      </c>
      <c r="L326" s="156">
        <v>53963</v>
      </c>
      <c r="M326" s="23">
        <f t="shared" si="88"/>
        <v>47886</v>
      </c>
      <c r="N326" s="4">
        <f t="shared" si="80"/>
        <v>5734057</v>
      </c>
      <c r="O326" s="7">
        <v>8272</v>
      </c>
      <c r="P326" s="7">
        <v>3085519</v>
      </c>
      <c r="Q326" s="4">
        <f t="shared" si="85"/>
        <v>3093791</v>
      </c>
      <c r="R326" s="4"/>
      <c r="S326" s="4"/>
      <c r="T326" s="4"/>
      <c r="U326" s="4"/>
      <c r="V326" s="217">
        <f t="shared" si="74"/>
        <v>170996</v>
      </c>
      <c r="W326" s="47">
        <f t="shared" si="82"/>
        <v>11</v>
      </c>
      <c r="X326" s="119">
        <f t="shared" si="73"/>
        <v>-728</v>
      </c>
      <c r="Y326" s="218">
        <f t="shared" si="83"/>
        <v>2.1146693489906197E-2</v>
      </c>
      <c r="Z326" s="87">
        <f t="shared" si="89"/>
        <v>-9.2013300708952972E-2</v>
      </c>
      <c r="AA326" s="87">
        <f t="shared" si="81"/>
        <v>0.21587580026372155</v>
      </c>
      <c r="AB326" s="87">
        <f t="shared" si="76"/>
        <v>0.21587580026372158</v>
      </c>
      <c r="AD326" s="87">
        <f t="shared" si="77"/>
        <v>-2.9159948220652709E-2</v>
      </c>
      <c r="AF326" s="197">
        <f>MAX($B$2:B326)</f>
        <v>18326</v>
      </c>
    </row>
    <row r="327" spans="1:32" x14ac:dyDescent="0.25">
      <c r="A327" s="137">
        <v>44218</v>
      </c>
      <c r="B327" s="156">
        <v>10753</v>
      </c>
      <c r="C327" s="23">
        <f t="shared" si="78"/>
        <v>10111.857142857143</v>
      </c>
      <c r="D327" s="156">
        <f t="shared" si="87"/>
        <v>1853830</v>
      </c>
      <c r="E327" s="156">
        <v>220</v>
      </c>
      <c r="F327" s="23">
        <f t="shared" si="79"/>
        <v>192.85714285714286</v>
      </c>
      <c r="G327" s="156">
        <f t="shared" si="84"/>
        <v>46546</v>
      </c>
      <c r="H327" s="156">
        <f t="shared" si="90"/>
        <v>11071</v>
      </c>
      <c r="I327" s="185">
        <v>1636826</v>
      </c>
      <c r="J327" s="156">
        <v>3631</v>
      </c>
      <c r="K327" s="23">
        <f t="shared" si="88"/>
        <v>3586.1428571428573</v>
      </c>
      <c r="L327" s="156">
        <v>55439</v>
      </c>
      <c r="M327" s="23">
        <f t="shared" si="88"/>
        <v>48360.142857142855</v>
      </c>
      <c r="N327" s="4">
        <f t="shared" si="80"/>
        <v>5789496</v>
      </c>
      <c r="O327" s="7">
        <v>8396</v>
      </c>
      <c r="P327" s="7">
        <v>3122500</v>
      </c>
      <c r="Q327" s="4">
        <f t="shared" si="85"/>
        <v>3130896</v>
      </c>
      <c r="R327" s="4"/>
      <c r="S327" s="4"/>
      <c r="T327" s="4"/>
      <c r="U327" s="4"/>
      <c r="V327" s="217">
        <f t="shared" si="74"/>
        <v>170458</v>
      </c>
      <c r="W327" s="47">
        <f t="shared" si="82"/>
        <v>15</v>
      </c>
      <c r="X327" s="119">
        <f t="shared" si="73"/>
        <v>-538</v>
      </c>
      <c r="Y327" s="218">
        <f t="shared" si="83"/>
        <v>2.130143495758486E-2</v>
      </c>
      <c r="Z327" s="87">
        <f t="shared" si="89"/>
        <v>-8.7495165656826024E-2</v>
      </c>
      <c r="AA327" s="87">
        <f t="shared" si="81"/>
        <v>0.20909485674448558</v>
      </c>
      <c r="AB327" s="87">
        <f t="shared" si="76"/>
        <v>0.20909485674448558</v>
      </c>
      <c r="AD327" s="87">
        <f t="shared" si="77"/>
        <v>-3.0871918493586836E-2</v>
      </c>
      <c r="AF327" s="197">
        <f>MAX($B$2:B327)</f>
        <v>18326</v>
      </c>
    </row>
    <row r="328" spans="1:32" x14ac:dyDescent="0.25">
      <c r="A328" s="137">
        <v>44219</v>
      </c>
      <c r="B328" s="156">
        <v>8362</v>
      </c>
      <c r="C328" s="23">
        <f t="shared" si="78"/>
        <v>10030.428571428571</v>
      </c>
      <c r="D328" s="156">
        <f t="shared" si="87"/>
        <v>1862192</v>
      </c>
      <c r="E328" s="156">
        <v>162</v>
      </c>
      <c r="F328" s="23">
        <f t="shared" si="79"/>
        <v>206.28571428571428</v>
      </c>
      <c r="G328" s="156">
        <f t="shared" si="84"/>
        <v>46708</v>
      </c>
      <c r="H328" s="156">
        <f t="shared" si="90"/>
        <v>9842</v>
      </c>
      <c r="I328" s="185">
        <v>1646668</v>
      </c>
      <c r="J328" s="156">
        <v>3618</v>
      </c>
      <c r="K328" s="23">
        <f t="shared" si="88"/>
        <v>3591.8571428571427</v>
      </c>
      <c r="L328" s="156">
        <v>46643</v>
      </c>
      <c r="M328" s="23">
        <f t="shared" si="88"/>
        <v>48807.285714285717</v>
      </c>
      <c r="N328" s="4">
        <f t="shared" si="80"/>
        <v>5836139</v>
      </c>
      <c r="O328" s="7">
        <v>8444</v>
      </c>
      <c r="P328" s="7">
        <v>3152824</v>
      </c>
      <c r="Q328" s="4">
        <f t="shared" si="85"/>
        <v>3161268</v>
      </c>
      <c r="R328" s="4"/>
      <c r="S328" s="4"/>
      <c r="T328" s="4"/>
      <c r="U328" s="4"/>
      <c r="V328" s="217">
        <f t="shared" si="74"/>
        <v>168816</v>
      </c>
      <c r="W328" s="47">
        <f t="shared" si="82"/>
        <v>-13</v>
      </c>
      <c r="X328" s="119">
        <f t="shared" si="73"/>
        <v>-1642</v>
      </c>
      <c r="Y328" s="218">
        <f t="shared" si="83"/>
        <v>2.1431617856127381E-2</v>
      </c>
      <c r="Z328" s="87">
        <f t="shared" si="89"/>
        <v>-8.8450653026250992E-2</v>
      </c>
      <c r="AA328" s="87">
        <f t="shared" si="81"/>
        <v>0.20551088684066485</v>
      </c>
      <c r="AB328" s="87">
        <f t="shared" si="76"/>
        <v>0.2055108868406649</v>
      </c>
      <c r="AD328" s="87">
        <f t="shared" si="77"/>
        <v>-2.7619217676299268E-2</v>
      </c>
      <c r="AF328" s="197">
        <f>MAX($B$2:B328)</f>
        <v>18326</v>
      </c>
    </row>
    <row r="329" spans="1:32" x14ac:dyDescent="0.25">
      <c r="A329" s="137">
        <v>44220</v>
      </c>
      <c r="B329" s="156">
        <v>5031</v>
      </c>
      <c r="C329" s="23">
        <f t="shared" si="78"/>
        <v>9711.4285714285706</v>
      </c>
      <c r="D329" s="156">
        <f t="shared" si="87"/>
        <v>1867223</v>
      </c>
      <c r="E329" s="156">
        <v>90</v>
      </c>
      <c r="F329" s="23">
        <f t="shared" si="79"/>
        <v>203.14285714285714</v>
      </c>
      <c r="G329" s="156">
        <f t="shared" si="84"/>
        <v>46798</v>
      </c>
      <c r="H329" s="156">
        <f t="shared" si="90"/>
        <v>9481</v>
      </c>
      <c r="I329" s="185">
        <v>1656149</v>
      </c>
      <c r="J329" s="156">
        <v>3619</v>
      </c>
      <c r="K329" s="23">
        <f t="shared" ref="K329:M392" si="91">AVERAGE(J323:J329)</f>
        <v>3602.1428571428573</v>
      </c>
      <c r="L329" s="156">
        <v>29659</v>
      </c>
      <c r="M329" s="23">
        <f t="shared" si="91"/>
        <v>47388.428571428572</v>
      </c>
      <c r="N329" s="4">
        <f t="shared" si="80"/>
        <v>5865798</v>
      </c>
      <c r="O329" s="7">
        <v>8475</v>
      </c>
      <c r="P329" s="7">
        <v>3173796</v>
      </c>
      <c r="Q329" s="4">
        <f t="shared" si="85"/>
        <v>3182271</v>
      </c>
      <c r="R329" s="4"/>
      <c r="S329" s="4"/>
      <c r="T329" s="4"/>
      <c r="U329" s="4"/>
      <c r="V329" s="217">
        <f t="shared" si="74"/>
        <v>164276</v>
      </c>
      <c r="W329" s="47">
        <f t="shared" si="82"/>
        <v>1</v>
      </c>
      <c r="X329" s="119">
        <f t="shared" si="73"/>
        <v>-4540</v>
      </c>
      <c r="Y329" s="218">
        <f t="shared" si="83"/>
        <v>2.2029998295551387E-2</v>
      </c>
      <c r="Z329" s="87">
        <f t="shared" si="89"/>
        <v>-0.11145385389572204</v>
      </c>
      <c r="AA329" s="87">
        <f t="shared" si="81"/>
        <v>0.20493248803957564</v>
      </c>
      <c r="AB329" s="87">
        <f t="shared" si="76"/>
        <v>0.20493248803957567</v>
      </c>
      <c r="AD329" s="87">
        <f t="shared" si="77"/>
        <v>-3.5950282273682244E-2</v>
      </c>
      <c r="AF329" s="197">
        <f>MAX($B$2:B329)</f>
        <v>18326</v>
      </c>
    </row>
    <row r="330" spans="1:32" x14ac:dyDescent="0.25">
      <c r="A330" s="137">
        <v>44221</v>
      </c>
      <c r="B330" s="156">
        <v>7578</v>
      </c>
      <c r="C330" s="23">
        <f t="shared" si="78"/>
        <v>9624.7142857142862</v>
      </c>
      <c r="D330" s="156">
        <f t="shared" si="87"/>
        <v>1874801</v>
      </c>
      <c r="E330" s="156">
        <v>208</v>
      </c>
      <c r="F330" s="23">
        <f t="shared" si="79"/>
        <v>172.28571428571428</v>
      </c>
      <c r="G330" s="156">
        <f t="shared" si="84"/>
        <v>47006</v>
      </c>
      <c r="H330" s="156">
        <f t="shared" si="90"/>
        <v>10378</v>
      </c>
      <c r="I330" s="185">
        <v>1666527</v>
      </c>
      <c r="J330" s="156">
        <v>3598</v>
      </c>
      <c r="K330" s="23">
        <f t="shared" si="91"/>
        <v>3607</v>
      </c>
      <c r="L330" s="156">
        <v>36906</v>
      </c>
      <c r="M330" s="23">
        <f t="shared" si="91"/>
        <v>46739.142857142855</v>
      </c>
      <c r="N330" s="4">
        <f t="shared" si="80"/>
        <v>5902704</v>
      </c>
      <c r="O330" s="7">
        <v>8672</v>
      </c>
      <c r="P330" s="7">
        <v>3197613</v>
      </c>
      <c r="Q330" s="7">
        <f>P330+O330</f>
        <v>3206285</v>
      </c>
      <c r="R330" s="4"/>
      <c r="S330" s="4"/>
      <c r="T330" s="4"/>
      <c r="U330" s="4"/>
      <c r="V330" s="217">
        <f t="shared" si="74"/>
        <v>161268</v>
      </c>
      <c r="W330" s="47">
        <f t="shared" si="82"/>
        <v>-21</v>
      </c>
      <c r="X330" s="119">
        <f t="shared" si="73"/>
        <v>-3008</v>
      </c>
      <c r="Y330" s="218">
        <f t="shared" si="83"/>
        <v>2.2310687799191407E-2</v>
      </c>
      <c r="Z330" s="87">
        <f t="shared" si="89"/>
        <v>-0.10007346557136176</v>
      </c>
      <c r="AA330" s="87">
        <f t="shared" si="81"/>
        <v>0.20592406487068046</v>
      </c>
      <c r="AB330" s="87">
        <f t="shared" si="76"/>
        <v>0.20592406487068043</v>
      </c>
      <c r="AD330" s="87">
        <f t="shared" si="77"/>
        <v>-3.3513124775260694E-2</v>
      </c>
      <c r="AF330" s="197">
        <f>MAX($B$2:B330)</f>
        <v>18326</v>
      </c>
    </row>
    <row r="331" spans="1:32" x14ac:dyDescent="0.25">
      <c r="A331" s="137">
        <v>44222</v>
      </c>
      <c r="B331" s="156">
        <v>10409</v>
      </c>
      <c r="C331" s="23">
        <f t="shared" si="78"/>
        <v>9377.2857142857138</v>
      </c>
      <c r="D331" s="156">
        <f t="shared" si="87"/>
        <v>1885210</v>
      </c>
      <c r="E331" s="156">
        <v>219</v>
      </c>
      <c r="F331" s="23">
        <f t="shared" si="79"/>
        <v>170</v>
      </c>
      <c r="G331" s="156">
        <f t="shared" si="84"/>
        <v>47225</v>
      </c>
      <c r="H331" s="156">
        <f t="shared" si="90"/>
        <v>8028</v>
      </c>
      <c r="I331" s="185">
        <v>1674555</v>
      </c>
      <c r="J331" s="156">
        <v>3614</v>
      </c>
      <c r="K331" s="23">
        <f t="shared" si="91"/>
        <v>3614.4285714285716</v>
      </c>
      <c r="L331" s="156">
        <v>55123</v>
      </c>
      <c r="M331" s="23">
        <f t="shared" si="91"/>
        <v>47533</v>
      </c>
      <c r="N331" s="4">
        <f t="shared" si="80"/>
        <v>5957827</v>
      </c>
      <c r="O331" s="7">
        <v>8865</v>
      </c>
      <c r="P331" s="7">
        <v>3232986</v>
      </c>
      <c r="Q331" s="7">
        <f t="shared" ref="Q331:Q394" si="92">P331+O331</f>
        <v>3241851</v>
      </c>
      <c r="R331" s="4"/>
      <c r="S331" s="4"/>
      <c r="T331" s="4"/>
      <c r="U331" s="4"/>
      <c r="V331" s="20">
        <f t="shared" si="74"/>
        <v>163430</v>
      </c>
      <c r="W331" s="47">
        <f t="shared" si="82"/>
        <v>16</v>
      </c>
      <c r="X331" s="119">
        <f t="shared" si="73"/>
        <v>2162</v>
      </c>
      <c r="Y331" s="218">
        <f t="shared" si="83"/>
        <v>2.2113443064308878E-2</v>
      </c>
      <c r="Z331" s="87">
        <f t="shared" si="89"/>
        <v>-0.11596994020363083</v>
      </c>
      <c r="AA331" s="87">
        <f t="shared" si="81"/>
        <v>0.19727948402763792</v>
      </c>
      <c r="AB331" s="87">
        <f t="shared" si="76"/>
        <v>0.19727948402763795</v>
      </c>
      <c r="AD331" s="87">
        <f t="shared" si="77"/>
        <v>-3.3878967374276536E-2</v>
      </c>
      <c r="AF331" s="197">
        <f>MAX($B$2:B331)</f>
        <v>18326</v>
      </c>
    </row>
    <row r="332" spans="1:32" x14ac:dyDescent="0.25">
      <c r="A332" s="139">
        <v>44223</v>
      </c>
      <c r="B332" s="173">
        <v>10843</v>
      </c>
      <c r="C332" s="23">
        <f t="shared" si="78"/>
        <v>9196</v>
      </c>
      <c r="D332" s="156">
        <f t="shared" si="87"/>
        <v>1896053</v>
      </c>
      <c r="E332" s="156">
        <v>182</v>
      </c>
      <c r="F332" s="23">
        <f t="shared" si="79"/>
        <v>174.71428571428572</v>
      </c>
      <c r="G332" s="156">
        <f t="shared" si="84"/>
        <v>47407</v>
      </c>
      <c r="H332" s="156">
        <f t="shared" si="90"/>
        <v>8008</v>
      </c>
      <c r="I332" s="185">
        <v>1682563</v>
      </c>
      <c r="J332" s="156">
        <v>3627</v>
      </c>
      <c r="K332" s="23">
        <f t="shared" si="91"/>
        <v>3617.5714285714284</v>
      </c>
      <c r="L332" s="156">
        <v>49154</v>
      </c>
      <c r="M332" s="23">
        <f t="shared" si="91"/>
        <v>46698.142857142855</v>
      </c>
      <c r="N332" s="4">
        <f t="shared" si="80"/>
        <v>6006981</v>
      </c>
      <c r="O332" s="7">
        <v>8965</v>
      </c>
      <c r="P332" s="7">
        <v>3261828</v>
      </c>
      <c r="Q332" s="7">
        <f t="shared" si="92"/>
        <v>3270793</v>
      </c>
      <c r="R332" s="4"/>
      <c r="S332" s="4"/>
      <c r="T332" s="4"/>
      <c r="U332" s="4"/>
      <c r="V332" s="20">
        <f>D332-G332-I332</f>
        <v>166083</v>
      </c>
      <c r="W332" s="47">
        <f t="shared" si="82"/>
        <v>13</v>
      </c>
      <c r="X332" s="119">
        <f t="shared" si="73"/>
        <v>2653</v>
      </c>
      <c r="Y332" s="218">
        <f t="shared" si="83"/>
        <v>2.1838478351185853E-2</v>
      </c>
      <c r="Z332" s="87">
        <f t="shared" si="89"/>
        <v>-0.11041706973273258</v>
      </c>
      <c r="AA332" s="87">
        <f t="shared" si="81"/>
        <v>0.19692431941313054</v>
      </c>
      <c r="AB332" s="87">
        <f t="shared" si="76"/>
        <v>0.19692431941313054</v>
      </c>
      <c r="AD332" s="87">
        <f t="shared" si="77"/>
        <v>-3.2849223172066844E-2</v>
      </c>
      <c r="AF332" s="197">
        <f>MAX($B$2:B332)</f>
        <v>18326</v>
      </c>
    </row>
    <row r="333" spans="1:32" x14ac:dyDescent="0.25">
      <c r="A333" s="137">
        <v>44224</v>
      </c>
      <c r="B333" s="222">
        <v>9471</v>
      </c>
      <c r="C333" s="23">
        <f t="shared" si="78"/>
        <v>8921</v>
      </c>
      <c r="D333" s="156">
        <f t="shared" si="87"/>
        <v>1905524</v>
      </c>
      <c r="E333" s="156">
        <v>166</v>
      </c>
      <c r="F333" s="23">
        <f t="shared" si="79"/>
        <v>178.14285714285714</v>
      </c>
      <c r="G333" s="156">
        <f t="shared" si="84"/>
        <v>47573</v>
      </c>
      <c r="H333" s="156">
        <f t="shared" si="90"/>
        <v>10583</v>
      </c>
      <c r="I333" s="185">
        <v>1693146</v>
      </c>
      <c r="J333" s="156">
        <v>3607</v>
      </c>
      <c r="K333" s="23">
        <f t="shared" si="91"/>
        <v>3616.2857142857142</v>
      </c>
      <c r="L333" s="156">
        <v>46742</v>
      </c>
      <c r="M333" s="23">
        <f t="shared" si="91"/>
        <v>45666.571428571428</v>
      </c>
      <c r="N333" s="4">
        <f t="shared" si="80"/>
        <v>6053723</v>
      </c>
      <c r="O333" s="7">
        <v>9050</v>
      </c>
      <c r="P333" s="7">
        <v>3289093</v>
      </c>
      <c r="Q333" s="7">
        <f t="shared" si="92"/>
        <v>3298143</v>
      </c>
      <c r="R333" s="4"/>
      <c r="S333" s="4"/>
      <c r="T333" s="4"/>
      <c r="U333" s="4"/>
      <c r="V333" s="20">
        <f>D333-G333-I333</f>
        <v>164805</v>
      </c>
      <c r="W333" s="47">
        <f t="shared" si="82"/>
        <v>-20</v>
      </c>
      <c r="X333" s="119">
        <f t="shared" si="73"/>
        <v>-1278</v>
      </c>
      <c r="Y333" s="218">
        <f t="shared" si="83"/>
        <v>2.1886471891022725E-2</v>
      </c>
      <c r="Z333" s="87">
        <f t="shared" si="89"/>
        <v>-0.11776839071528478</v>
      </c>
      <c r="AA333" s="87">
        <f t="shared" si="81"/>
        <v>0.1953507723686598</v>
      </c>
      <c r="AB333" s="87">
        <f t="shared" si="76"/>
        <v>0.19535077236865978</v>
      </c>
      <c r="AD333" s="87">
        <f t="shared" si="77"/>
        <v>-3.6205525275445072E-2</v>
      </c>
      <c r="AF333" s="197">
        <f>MAX($B$2:B333)</f>
        <v>18326</v>
      </c>
    </row>
    <row r="334" spans="1:32" x14ac:dyDescent="0.25">
      <c r="A334" s="137">
        <v>44225</v>
      </c>
      <c r="B334" s="156">
        <v>9838</v>
      </c>
      <c r="C334" s="23">
        <f t="shared" si="78"/>
        <v>8790.2857142857138</v>
      </c>
      <c r="D334" s="156">
        <f t="shared" si="87"/>
        <v>1915362</v>
      </c>
      <c r="E334" s="156">
        <v>174</v>
      </c>
      <c r="F334" s="23">
        <f t="shared" si="79"/>
        <v>171.57142857142858</v>
      </c>
      <c r="G334" s="156">
        <f t="shared" si="84"/>
        <v>47747</v>
      </c>
      <c r="H334" s="156">
        <f t="shared" si="90"/>
        <v>10313</v>
      </c>
      <c r="I334" s="185">
        <v>1703459</v>
      </c>
      <c r="J334" s="156">
        <v>3628</v>
      </c>
      <c r="K334" s="23">
        <f t="shared" si="91"/>
        <v>3615.8571428571427</v>
      </c>
      <c r="L334" s="156">
        <v>45809</v>
      </c>
      <c r="M334" s="23">
        <f t="shared" si="91"/>
        <v>44290.857142857145</v>
      </c>
      <c r="N334" s="4">
        <f t="shared" si="80"/>
        <v>6099532</v>
      </c>
      <c r="O334" s="7">
        <v>9141</v>
      </c>
      <c r="P334" s="7">
        <v>3315527</v>
      </c>
      <c r="Q334" s="7">
        <f t="shared" si="92"/>
        <v>3324668</v>
      </c>
      <c r="R334" s="4"/>
      <c r="S334" s="4"/>
      <c r="T334" s="4"/>
      <c r="U334" s="4"/>
      <c r="V334" s="4">
        <f>D334-G334-I334</f>
        <v>164156</v>
      </c>
      <c r="W334" s="47">
        <f t="shared" si="82"/>
        <v>21</v>
      </c>
      <c r="X334" s="119">
        <f t="shared" si="73"/>
        <v>-649</v>
      </c>
      <c r="Y334" s="218">
        <f t="shared" si="83"/>
        <v>2.210092838519457E-2</v>
      </c>
      <c r="Z334" s="87">
        <f t="shared" si="89"/>
        <v>-0.12363807272157579</v>
      </c>
      <c r="AA334" s="87">
        <f t="shared" si="81"/>
        <v>0.19846727476809142</v>
      </c>
      <c r="AB334" s="87">
        <f t="shared" si="76"/>
        <v>0.19846727476809145</v>
      </c>
      <c r="AD334" s="87">
        <f t="shared" si="77"/>
        <v>-3.697098405472321E-2</v>
      </c>
      <c r="AF334" s="197">
        <f>MAX($B$2:B334)</f>
        <v>18326</v>
      </c>
    </row>
    <row r="335" spans="1:32" x14ac:dyDescent="0.25">
      <c r="A335" s="137">
        <v>44226</v>
      </c>
      <c r="B335" s="156">
        <v>6902</v>
      </c>
      <c r="C335" s="23">
        <f t="shared" si="78"/>
        <v>8581.7142857142862</v>
      </c>
      <c r="D335" s="156">
        <f t="shared" si="87"/>
        <v>1922264</v>
      </c>
      <c r="E335" s="156">
        <v>156</v>
      </c>
      <c r="F335" s="23">
        <f t="shared" si="79"/>
        <v>170.71428571428572</v>
      </c>
      <c r="G335" s="156">
        <f t="shared" si="84"/>
        <v>47903</v>
      </c>
      <c r="H335" s="156">
        <f t="shared" si="90"/>
        <v>9409</v>
      </c>
      <c r="I335" s="185">
        <v>1712868</v>
      </c>
      <c r="J335" s="156">
        <v>3624</v>
      </c>
      <c r="K335" s="23">
        <f t="shared" si="91"/>
        <v>3616.7142857142858</v>
      </c>
      <c r="L335" s="156">
        <v>40578</v>
      </c>
      <c r="M335" s="23">
        <f t="shared" si="91"/>
        <v>43424.428571428572</v>
      </c>
      <c r="N335" s="4">
        <f t="shared" si="80"/>
        <v>6140110</v>
      </c>
      <c r="O335" s="7">
        <v>9295</v>
      </c>
      <c r="P335" s="7">
        <v>3342833</v>
      </c>
      <c r="Q335" s="7">
        <f t="shared" si="92"/>
        <v>3352128</v>
      </c>
      <c r="R335" s="4"/>
      <c r="S335" s="4"/>
      <c r="T335" s="4"/>
      <c r="U335" s="4"/>
      <c r="V335" s="4">
        <f t="shared" ref="V335:V398" si="93">D335-G335-I335</f>
        <v>161493</v>
      </c>
      <c r="W335" s="47">
        <f t="shared" si="82"/>
        <v>-4</v>
      </c>
      <c r="X335" s="119">
        <f t="shared" si="73"/>
        <v>-2663</v>
      </c>
      <c r="Y335" s="218">
        <f t="shared" si="83"/>
        <v>2.2440601140606715E-2</v>
      </c>
      <c r="Z335" s="87">
        <f t="shared" si="89"/>
        <v>-0.11632833186231228</v>
      </c>
      <c r="AA335" s="87">
        <f t="shared" si="81"/>
        <v>0.19762411545838254</v>
      </c>
      <c r="AB335" s="87">
        <f t="shared" si="76"/>
        <v>0.19762411545838254</v>
      </c>
      <c r="AD335" s="87">
        <f t="shared" si="77"/>
        <v>-4.3378589707136817E-2</v>
      </c>
      <c r="AF335" s="197">
        <f>MAX($B$2:B335)</f>
        <v>18326</v>
      </c>
    </row>
    <row r="336" spans="1:32" x14ac:dyDescent="0.25">
      <c r="A336" s="137">
        <v>44227</v>
      </c>
      <c r="B336" s="156">
        <v>4975</v>
      </c>
      <c r="C336" s="23">
        <f t="shared" si="78"/>
        <v>8573.7142857142862</v>
      </c>
      <c r="D336" s="156">
        <f t="shared" si="87"/>
        <v>1927239</v>
      </c>
      <c r="E336" s="156">
        <v>43</v>
      </c>
      <c r="F336" s="23">
        <f t="shared" si="79"/>
        <v>164</v>
      </c>
      <c r="G336" s="156">
        <f t="shared" si="84"/>
        <v>47946</v>
      </c>
      <c r="H336" s="156">
        <f t="shared" si="90"/>
        <v>8782</v>
      </c>
      <c r="I336" s="185">
        <v>1721650</v>
      </c>
      <c r="J336" s="156">
        <v>3617</v>
      </c>
      <c r="K336" s="23">
        <f t="shared" si="91"/>
        <v>3616.4285714285716</v>
      </c>
      <c r="L336" s="156">
        <v>34412</v>
      </c>
      <c r="M336" s="23">
        <f t="shared" si="91"/>
        <v>44103.428571428572</v>
      </c>
      <c r="N336" s="4">
        <f t="shared" si="80"/>
        <v>6174522</v>
      </c>
      <c r="O336" s="7">
        <v>9403</v>
      </c>
      <c r="P336" s="7">
        <v>3366882</v>
      </c>
      <c r="Q336" s="7">
        <f t="shared" si="92"/>
        <v>3376285</v>
      </c>
      <c r="R336" s="4"/>
      <c r="S336" s="4"/>
      <c r="T336" s="4"/>
      <c r="U336" s="4"/>
      <c r="V336" s="4">
        <f t="shared" si="93"/>
        <v>157643</v>
      </c>
      <c r="W336" s="47">
        <f t="shared" si="82"/>
        <v>-7</v>
      </c>
      <c r="X336" s="119">
        <f t="shared" si="73"/>
        <v>-3850</v>
      </c>
      <c r="Y336" s="218">
        <f t="shared" si="83"/>
        <v>2.2944247445176761E-2</v>
      </c>
      <c r="Z336" s="87">
        <f t="shared" si="89"/>
        <v>-0.10919804669526367</v>
      </c>
      <c r="AA336" s="87">
        <f t="shared" si="81"/>
        <v>0.19440017620917066</v>
      </c>
      <c r="AB336" s="87">
        <f t="shared" si="76"/>
        <v>0.19440017620917066</v>
      </c>
      <c r="AD336" s="87">
        <f t="shared" si="77"/>
        <v>-4.037717012832065E-2</v>
      </c>
      <c r="AF336" s="197">
        <f>MAX($B$2:B336)</f>
        <v>18326</v>
      </c>
    </row>
    <row r="337" spans="1:32" x14ac:dyDescent="0.25">
      <c r="A337" s="137">
        <v>44228</v>
      </c>
      <c r="B337" s="156">
        <v>6614</v>
      </c>
      <c r="C337" s="23">
        <f t="shared" si="78"/>
        <v>8436</v>
      </c>
      <c r="D337" s="156">
        <f t="shared" si="87"/>
        <v>1933853</v>
      </c>
      <c r="E337" s="156">
        <v>275</v>
      </c>
      <c r="F337" s="23">
        <f t="shared" si="79"/>
        <v>173.57142857142858</v>
      </c>
      <c r="G337" s="156">
        <f t="shared" si="84"/>
        <v>48221</v>
      </c>
      <c r="H337" s="156">
        <f t="shared" si="90"/>
        <v>8349</v>
      </c>
      <c r="I337" s="185">
        <v>1729999</v>
      </c>
      <c r="J337" s="156">
        <v>3554</v>
      </c>
      <c r="K337" s="23">
        <f t="shared" si="91"/>
        <v>3610.1428571428573</v>
      </c>
      <c r="L337" s="156">
        <v>34947</v>
      </c>
      <c r="M337" s="23">
        <f t="shared" si="91"/>
        <v>43823.571428571428</v>
      </c>
      <c r="N337" s="4">
        <f t="shared" si="80"/>
        <v>6209469</v>
      </c>
      <c r="O337" s="7">
        <v>9467</v>
      </c>
      <c r="P337" s="7">
        <v>3389599</v>
      </c>
      <c r="Q337" s="4">
        <f t="shared" si="92"/>
        <v>3399066</v>
      </c>
      <c r="R337" s="4"/>
      <c r="S337" s="4"/>
      <c r="T337" s="4"/>
      <c r="U337" s="4"/>
      <c r="V337" s="4">
        <f t="shared" si="93"/>
        <v>155633</v>
      </c>
      <c r="W337" s="47">
        <f t="shared" si="82"/>
        <v>-63</v>
      </c>
      <c r="X337" s="119">
        <f t="shared" si="73"/>
        <v>-2010</v>
      </c>
      <c r="Y337" s="218">
        <f t="shared" si="83"/>
        <v>2.2835773903992083E-2</v>
      </c>
      <c r="Z337" s="87">
        <f t="shared" si="89"/>
        <v>-0.10037933608567806</v>
      </c>
      <c r="AA337" s="87">
        <f t="shared" si="81"/>
        <v>0.19249914429612244</v>
      </c>
      <c r="AB337" s="87">
        <f t="shared" si="76"/>
        <v>0.19249914429612244</v>
      </c>
      <c r="AD337" s="87">
        <f t="shared" si="77"/>
        <v>-3.4941835950095479E-2</v>
      </c>
      <c r="AF337" s="197">
        <f>MAX($B$2:B337)</f>
        <v>18326</v>
      </c>
    </row>
    <row r="338" spans="1:32" x14ac:dyDescent="0.25">
      <c r="A338" s="137">
        <v>44229</v>
      </c>
      <c r="B338" s="156">
        <v>9695</v>
      </c>
      <c r="C338" s="23">
        <f t="shared" si="78"/>
        <v>8334</v>
      </c>
      <c r="D338" s="156">
        <f t="shared" si="87"/>
        <v>1943548</v>
      </c>
      <c r="E338" s="156">
        <v>176</v>
      </c>
      <c r="F338" s="23">
        <f t="shared" si="79"/>
        <v>167.42857142857142</v>
      </c>
      <c r="G338" s="156">
        <f t="shared" si="84"/>
        <v>48397</v>
      </c>
      <c r="H338" s="156">
        <f t="shared" si="90"/>
        <v>8769</v>
      </c>
      <c r="I338" s="185">
        <v>1738768</v>
      </c>
      <c r="J338" s="156">
        <v>3586</v>
      </c>
      <c r="K338" s="23">
        <f t="shared" si="91"/>
        <v>3606.1428571428573</v>
      </c>
      <c r="L338" s="156">
        <v>66202</v>
      </c>
      <c r="M338" s="23">
        <f t="shared" si="91"/>
        <v>45406.285714285717</v>
      </c>
      <c r="N338" s="4">
        <f t="shared" si="80"/>
        <v>6275671</v>
      </c>
      <c r="O338" s="7">
        <v>9653</v>
      </c>
      <c r="P338" s="7">
        <v>3427133</v>
      </c>
      <c r="Q338" s="4">
        <f t="shared" si="92"/>
        <v>3436786</v>
      </c>
      <c r="R338" s="4"/>
      <c r="S338" s="4"/>
      <c r="T338" s="4"/>
      <c r="U338" s="4"/>
      <c r="V338" s="4">
        <f t="shared" si="93"/>
        <v>156383</v>
      </c>
      <c r="W338" s="47">
        <f t="shared" si="82"/>
        <v>32</v>
      </c>
      <c r="X338" s="119">
        <f t="shared" si="73"/>
        <v>750</v>
      </c>
      <c r="Y338" s="218">
        <f t="shared" si="83"/>
        <v>2.293088123389371E-2</v>
      </c>
      <c r="Z338" s="87">
        <f t="shared" si="89"/>
        <v>-9.373640713353637E-2</v>
      </c>
      <c r="AA338" s="87">
        <f t="shared" si="81"/>
        <v>0.1835428700872126</v>
      </c>
      <c r="AB338" s="87">
        <f t="shared" si="76"/>
        <v>0.1835428700872126</v>
      </c>
      <c r="AD338" s="87">
        <f t="shared" si="77"/>
        <v>-4.3119378327112545E-2</v>
      </c>
      <c r="AF338" s="197">
        <f>MAX($B$2:B338)</f>
        <v>18326</v>
      </c>
    </row>
    <row r="339" spans="1:32" x14ac:dyDescent="0.25">
      <c r="A339" s="137">
        <v>44230</v>
      </c>
      <c r="B339" s="156">
        <v>9196</v>
      </c>
      <c r="C339" s="23">
        <f t="shared" si="78"/>
        <v>8098.7142857142853</v>
      </c>
      <c r="D339" s="156">
        <f t="shared" si="87"/>
        <v>1952744</v>
      </c>
      <c r="E339" s="156">
        <v>113</v>
      </c>
      <c r="F339" s="23">
        <f t="shared" si="79"/>
        <v>157.57142857142858</v>
      </c>
      <c r="G339" s="156">
        <f t="shared" si="84"/>
        <v>48510</v>
      </c>
      <c r="H339" s="156">
        <f t="shared" si="90"/>
        <v>6440</v>
      </c>
      <c r="I339" s="185">
        <v>1745208</v>
      </c>
      <c r="J339" s="156">
        <v>3571</v>
      </c>
      <c r="K339" s="23">
        <f t="shared" si="91"/>
        <v>3598.1428571428573</v>
      </c>
      <c r="L339" s="156">
        <v>48160</v>
      </c>
      <c r="M339" s="23">
        <f t="shared" si="91"/>
        <v>45264.285714285717</v>
      </c>
      <c r="N339" s="4">
        <f t="shared" si="80"/>
        <v>6323831</v>
      </c>
      <c r="O339" s="7">
        <v>9845</v>
      </c>
      <c r="P339" s="7">
        <v>3462532</v>
      </c>
      <c r="Q339" s="4">
        <f t="shared" si="92"/>
        <v>3472377</v>
      </c>
      <c r="R339" s="4"/>
      <c r="S339" s="4"/>
      <c r="T339" s="4"/>
      <c r="U339" s="4"/>
      <c r="V339" s="4">
        <f t="shared" si="93"/>
        <v>159026</v>
      </c>
      <c r="W339" s="47">
        <f t="shared" si="82"/>
        <v>-15</v>
      </c>
      <c r="X339" s="119">
        <f t="shared" si="73"/>
        <v>2643</v>
      </c>
      <c r="Y339" s="218">
        <f t="shared" si="83"/>
        <v>2.2455447536880762E-2</v>
      </c>
      <c r="Z339" s="87">
        <f t="shared" si="89"/>
        <v>-9.2174163690809885E-2</v>
      </c>
      <c r="AA339" s="87">
        <f t="shared" si="81"/>
        <v>0.17892062490137287</v>
      </c>
      <c r="AB339" s="87">
        <f t="shared" si="76"/>
        <v>0.17892062490137289</v>
      </c>
      <c r="AD339" s="87">
        <f t="shared" si="77"/>
        <v>-4.2490802791375404E-2</v>
      </c>
      <c r="AF339" s="197">
        <f>MAX($B$2:B339)</f>
        <v>18326</v>
      </c>
    </row>
    <row r="340" spans="1:32" x14ac:dyDescent="0.25">
      <c r="A340" s="137">
        <v>44231</v>
      </c>
      <c r="B340" s="222">
        <v>8891</v>
      </c>
      <c r="C340" s="23">
        <f t="shared" si="78"/>
        <v>8015.8571428571431</v>
      </c>
      <c r="D340" s="156">
        <f t="shared" si="87"/>
        <v>1961635</v>
      </c>
      <c r="E340" s="156">
        <v>162</v>
      </c>
      <c r="F340" s="23">
        <f t="shared" si="79"/>
        <v>157</v>
      </c>
      <c r="G340" s="156">
        <f t="shared" si="84"/>
        <v>48672</v>
      </c>
      <c r="H340" s="156">
        <f t="shared" si="90"/>
        <v>9497</v>
      </c>
      <c r="I340" s="185">
        <v>1754705</v>
      </c>
      <c r="J340" s="156">
        <v>3570</v>
      </c>
      <c r="K340" s="23">
        <f t="shared" si="91"/>
        <v>3592.8571428571427</v>
      </c>
      <c r="L340" s="156">
        <v>52557</v>
      </c>
      <c r="M340" s="23">
        <f t="shared" si="91"/>
        <v>46095</v>
      </c>
      <c r="N340" s="4">
        <f t="shared" si="80"/>
        <v>6376388</v>
      </c>
      <c r="O340" s="7">
        <v>9900</v>
      </c>
      <c r="P340" s="7">
        <v>3486103</v>
      </c>
      <c r="Q340" s="4">
        <f t="shared" si="92"/>
        <v>3496003</v>
      </c>
      <c r="R340" s="4"/>
      <c r="S340" s="4"/>
      <c r="T340" s="4"/>
      <c r="U340" s="4"/>
      <c r="V340" s="4">
        <f t="shared" si="93"/>
        <v>158258</v>
      </c>
      <c r="W340" s="47">
        <f t="shared" si="82"/>
        <v>-1</v>
      </c>
      <c r="X340" s="119">
        <f t="shared" si="73"/>
        <v>-768</v>
      </c>
      <c r="Y340" s="218">
        <f t="shared" si="83"/>
        <v>2.2558101328210897E-2</v>
      </c>
      <c r="Z340" s="87">
        <f t="shared" si="89"/>
        <v>-8.8100500552557914E-2</v>
      </c>
      <c r="AA340" s="87">
        <f t="shared" si="81"/>
        <v>0.17389862550942928</v>
      </c>
      <c r="AB340" s="87">
        <f t="shared" si="76"/>
        <v>0.17389862550942928</v>
      </c>
      <c r="AD340" s="87">
        <f t="shared" si="77"/>
        <v>-3.9725736476441842E-2</v>
      </c>
      <c r="AF340" s="197">
        <f>MAX($B$2:B340)</f>
        <v>18326</v>
      </c>
    </row>
    <row r="341" spans="1:32" x14ac:dyDescent="0.25">
      <c r="A341" s="137">
        <v>44232</v>
      </c>
      <c r="B341" s="156">
        <v>8374</v>
      </c>
      <c r="C341" s="23">
        <f t="shared" si="78"/>
        <v>7806.7142857142853</v>
      </c>
      <c r="D341" s="156">
        <f t="shared" si="87"/>
        <v>1970009</v>
      </c>
      <c r="E341" s="156">
        <v>285</v>
      </c>
      <c r="F341" s="23">
        <f t="shared" si="79"/>
        <v>172.85714285714286</v>
      </c>
      <c r="G341" s="156">
        <f t="shared" si="84"/>
        <v>48957</v>
      </c>
      <c r="H341" s="156">
        <f t="shared" si="90"/>
        <v>9057</v>
      </c>
      <c r="I341" s="185">
        <v>1763762</v>
      </c>
      <c r="J341" s="156">
        <v>3550</v>
      </c>
      <c r="K341" s="23">
        <f t="shared" si="91"/>
        <v>3581.7142857142858</v>
      </c>
      <c r="L341" s="156">
        <v>47745</v>
      </c>
      <c r="M341" s="23">
        <f t="shared" si="91"/>
        <v>46371.571428571428</v>
      </c>
      <c r="N341" s="4">
        <f t="shared" si="80"/>
        <v>6424133</v>
      </c>
      <c r="O341" s="7">
        <v>10282</v>
      </c>
      <c r="P341" s="7">
        <v>3524708</v>
      </c>
      <c r="Q341" s="4">
        <f t="shared" si="92"/>
        <v>3534990</v>
      </c>
      <c r="R341" s="4"/>
      <c r="S341" s="4"/>
      <c r="T341" s="4"/>
      <c r="U341" s="4"/>
      <c r="V341" s="4">
        <f t="shared" si="93"/>
        <v>157290</v>
      </c>
      <c r="W341" s="47">
        <f t="shared" si="82"/>
        <v>-20</v>
      </c>
      <c r="X341" s="119">
        <f t="shared" si="73"/>
        <v>-968</v>
      </c>
      <c r="Y341" s="218">
        <f t="shared" si="83"/>
        <v>2.2569775573780915E-2</v>
      </c>
      <c r="Z341" s="87">
        <f t="shared" si="89"/>
        <v>-9.0308296710614022E-2</v>
      </c>
      <c r="AA341" s="87">
        <f t="shared" si="81"/>
        <v>0.16835129897936235</v>
      </c>
      <c r="AB341" s="87">
        <f t="shared" si="76"/>
        <v>0.16835129897936235</v>
      </c>
      <c r="AD341" s="87">
        <f t="shared" si="77"/>
        <v>-4.1826067886644447E-2</v>
      </c>
      <c r="AF341" s="197">
        <f>MAX($B$2:B341)</f>
        <v>18326</v>
      </c>
    </row>
    <row r="342" spans="1:32" x14ac:dyDescent="0.25">
      <c r="A342" s="137">
        <v>44233</v>
      </c>
      <c r="B342" s="156">
        <v>6680</v>
      </c>
      <c r="C342" s="23">
        <f t="shared" si="78"/>
        <v>7775</v>
      </c>
      <c r="D342" s="156">
        <f t="shared" si="87"/>
        <v>1976689</v>
      </c>
      <c r="E342" s="156">
        <v>125</v>
      </c>
      <c r="F342" s="23">
        <f t="shared" si="79"/>
        <v>168.42857142857142</v>
      </c>
      <c r="G342" s="156">
        <f t="shared" si="84"/>
        <v>49082</v>
      </c>
      <c r="H342" s="156">
        <f t="shared" si="90"/>
        <v>8297</v>
      </c>
      <c r="I342" s="185">
        <v>1772059</v>
      </c>
      <c r="J342" s="156">
        <v>3550</v>
      </c>
      <c r="K342" s="23">
        <f t="shared" si="91"/>
        <v>3571.1428571428573</v>
      </c>
      <c r="L342" s="156">
        <v>42244</v>
      </c>
      <c r="M342" s="23">
        <f t="shared" si="91"/>
        <v>46609.571428571428</v>
      </c>
      <c r="N342" s="4">
        <f t="shared" si="80"/>
        <v>6466377</v>
      </c>
      <c r="O342" s="7">
        <v>10351</v>
      </c>
      <c r="P342" s="7">
        <v>3551197</v>
      </c>
      <c r="Q342" s="4">
        <f t="shared" si="92"/>
        <v>3561548</v>
      </c>
      <c r="R342" s="4"/>
      <c r="S342" s="4"/>
      <c r="T342" s="4"/>
      <c r="U342" s="4"/>
      <c r="V342" s="4">
        <f t="shared" si="93"/>
        <v>155548</v>
      </c>
      <c r="W342" s="47">
        <f t="shared" si="82"/>
        <v>0</v>
      </c>
      <c r="X342" s="119">
        <f t="shared" ref="X342:X405" si="94">(D342-I342-G342)-(D341-G341-I341)</f>
        <v>-1742</v>
      </c>
      <c r="Y342" s="218">
        <f t="shared" si="83"/>
        <v>2.2822537094658882E-2</v>
      </c>
      <c r="Z342" s="87">
        <f t="shared" si="89"/>
        <v>-9.3158491069048277E-2</v>
      </c>
      <c r="AA342" s="87">
        <f t="shared" si="81"/>
        <v>0.16681123129216255</v>
      </c>
      <c r="AB342" s="87">
        <f t="shared" si="76"/>
        <v>0.16681123129216255</v>
      </c>
      <c r="AD342" s="87">
        <f t="shared" si="77"/>
        <v>-3.6812741109521818E-2</v>
      </c>
      <c r="AF342" s="197">
        <f>MAX($B$2:B342)</f>
        <v>18326</v>
      </c>
    </row>
    <row r="343" spans="1:32" x14ac:dyDescent="0.25">
      <c r="A343" s="137">
        <v>44234</v>
      </c>
      <c r="B343" s="156">
        <v>3658</v>
      </c>
      <c r="C343" s="23">
        <f t="shared" si="78"/>
        <v>7586.8571428571431</v>
      </c>
      <c r="D343" s="156">
        <f t="shared" si="87"/>
        <v>1980347</v>
      </c>
      <c r="E343" s="156">
        <v>61</v>
      </c>
      <c r="F343" s="23">
        <f t="shared" si="79"/>
        <v>171</v>
      </c>
      <c r="G343" s="156">
        <f t="shared" si="84"/>
        <v>49143</v>
      </c>
      <c r="H343" s="156">
        <f t="shared" si="90"/>
        <v>6906</v>
      </c>
      <c r="I343" s="185">
        <v>1778965</v>
      </c>
      <c r="J343" s="156">
        <v>3550</v>
      </c>
      <c r="K343" s="23">
        <f t="shared" si="91"/>
        <v>3561.5714285714284</v>
      </c>
      <c r="L343" s="156">
        <v>24721</v>
      </c>
      <c r="M343" s="23">
        <f t="shared" si="91"/>
        <v>45225.142857142855</v>
      </c>
      <c r="N343" s="4">
        <f t="shared" si="80"/>
        <v>6491098</v>
      </c>
      <c r="O343" s="7">
        <v>10480</v>
      </c>
      <c r="P343" s="7">
        <v>3568763</v>
      </c>
      <c r="Q343" s="4">
        <f t="shared" si="92"/>
        <v>3579243</v>
      </c>
      <c r="R343" s="4"/>
      <c r="S343" s="4"/>
      <c r="T343" s="4"/>
      <c r="U343" s="4"/>
      <c r="V343" s="4">
        <f t="shared" si="93"/>
        <v>152239</v>
      </c>
      <c r="W343" s="47">
        <f t="shared" si="82"/>
        <v>0</v>
      </c>
      <c r="X343" s="119">
        <f t="shared" si="94"/>
        <v>-3309</v>
      </c>
      <c r="Y343" s="218">
        <f t="shared" si="83"/>
        <v>2.3318597731198969E-2</v>
      </c>
      <c r="Z343" s="87">
        <f t="shared" si="89"/>
        <v>-0.10065704802546904</v>
      </c>
      <c r="AA343" s="87">
        <f t="shared" si="81"/>
        <v>0.1677575053067826</v>
      </c>
      <c r="AB343" s="87">
        <f t="shared" si="76"/>
        <v>0.16775750530678257</v>
      </c>
      <c r="AD343" s="87">
        <f t="shared" si="77"/>
        <v>-3.42799870593683E-2</v>
      </c>
      <c r="AF343" s="197">
        <f>MAX($B$2:B343)</f>
        <v>18326</v>
      </c>
    </row>
    <row r="344" spans="1:32" x14ac:dyDescent="0.25">
      <c r="A344" s="137">
        <v>44235</v>
      </c>
      <c r="B344" s="156">
        <v>5154</v>
      </c>
      <c r="C344" s="23">
        <f t="shared" si="78"/>
        <v>7378.2857142857147</v>
      </c>
      <c r="D344" s="156">
        <f t="shared" si="87"/>
        <v>1985501</v>
      </c>
      <c r="E344" s="156">
        <v>227</v>
      </c>
      <c r="F344" s="23">
        <f t="shared" si="79"/>
        <v>164.14285714285714</v>
      </c>
      <c r="G344" s="156">
        <f t="shared" si="84"/>
        <v>49370</v>
      </c>
      <c r="H344" s="156">
        <f t="shared" si="90"/>
        <v>7213</v>
      </c>
      <c r="I344" s="185">
        <v>1786178</v>
      </c>
      <c r="J344" s="156">
        <v>3526</v>
      </c>
      <c r="K344" s="23">
        <f t="shared" si="91"/>
        <v>3557.5714285714284</v>
      </c>
      <c r="L344" s="156">
        <v>30651</v>
      </c>
      <c r="M344" s="23">
        <f t="shared" si="91"/>
        <v>44611.428571428572</v>
      </c>
      <c r="N344" s="4">
        <f t="shared" si="80"/>
        <v>6521749</v>
      </c>
      <c r="O344" s="7">
        <v>10625</v>
      </c>
      <c r="P344" s="7">
        <v>3587360</v>
      </c>
      <c r="Q344" s="4">
        <f t="shared" si="92"/>
        <v>3597985</v>
      </c>
      <c r="R344" s="4"/>
      <c r="S344" s="4"/>
      <c r="T344" s="4"/>
      <c r="U344" s="4"/>
      <c r="V344" s="4">
        <f t="shared" si="93"/>
        <v>149953</v>
      </c>
      <c r="W344" s="47">
        <f t="shared" si="82"/>
        <v>-24</v>
      </c>
      <c r="X344" s="119">
        <f t="shared" si="94"/>
        <v>-2286</v>
      </c>
      <c r="Y344" s="218">
        <f t="shared" si="83"/>
        <v>2.3514034397444532E-2</v>
      </c>
      <c r="Z344" s="87">
        <f t="shared" si="89"/>
        <v>-0.11467654016250128</v>
      </c>
      <c r="AA344" s="87">
        <f t="shared" si="81"/>
        <v>0.1653900345843474</v>
      </c>
      <c r="AB344" s="87">
        <f t="shared" si="76"/>
        <v>0.16539003458434737</v>
      </c>
      <c r="AD344" s="87">
        <f t="shared" si="77"/>
        <v>-3.6496115862317158E-2</v>
      </c>
      <c r="AF344" s="197">
        <f>MAX($B$2:B344)</f>
        <v>18326</v>
      </c>
    </row>
    <row r="345" spans="1:32" x14ac:dyDescent="0.25">
      <c r="A345" s="137">
        <v>44236</v>
      </c>
      <c r="B345" s="156">
        <v>7794</v>
      </c>
      <c r="C345" s="23">
        <f t="shared" si="78"/>
        <v>7106.7142857142853</v>
      </c>
      <c r="D345" s="156">
        <f t="shared" si="87"/>
        <v>1993295</v>
      </c>
      <c r="E345" s="156">
        <v>168</v>
      </c>
      <c r="F345" s="23">
        <f t="shared" si="79"/>
        <v>163</v>
      </c>
      <c r="G345" s="156">
        <f t="shared" si="84"/>
        <v>49538</v>
      </c>
      <c r="H345" s="156">
        <f t="shared" si="90"/>
        <v>6143</v>
      </c>
      <c r="I345" s="185">
        <v>1792321</v>
      </c>
      <c r="J345" s="156">
        <v>3553</v>
      </c>
      <c r="K345" s="23">
        <f t="shared" si="91"/>
        <v>3552.8571428571427</v>
      </c>
      <c r="L345" s="156">
        <v>49781</v>
      </c>
      <c r="M345" s="23">
        <f t="shared" si="91"/>
        <v>42265.571428571428</v>
      </c>
      <c r="N345" s="4">
        <f t="shared" si="80"/>
        <v>6571530</v>
      </c>
      <c r="O345" s="7">
        <v>10844</v>
      </c>
      <c r="P345" s="7">
        <v>3619021</v>
      </c>
      <c r="Q345" s="4">
        <f t="shared" si="92"/>
        <v>3629865</v>
      </c>
      <c r="R345" s="4"/>
      <c r="S345" s="4"/>
      <c r="T345" s="4"/>
      <c r="U345" s="4"/>
      <c r="V345" s="4">
        <f t="shared" si="93"/>
        <v>151436</v>
      </c>
      <c r="W345" s="47">
        <f t="shared" si="82"/>
        <v>27</v>
      </c>
      <c r="X345" s="119">
        <f t="shared" si="94"/>
        <v>1483</v>
      </c>
      <c r="Y345" s="218">
        <f t="shared" si="83"/>
        <v>2.3462056578356535E-2</v>
      </c>
      <c r="Z345" s="87">
        <f t="shared" si="89"/>
        <v>-0.12248857843396654</v>
      </c>
      <c r="AA345" s="87">
        <f t="shared" si="81"/>
        <v>0.16814428494654549</v>
      </c>
      <c r="AB345" s="87">
        <f t="shared" si="76"/>
        <v>0.16814428494654549</v>
      </c>
      <c r="AD345" s="87">
        <f t="shared" si="77"/>
        <v>-3.1633873247092104E-2</v>
      </c>
      <c r="AF345" s="197">
        <f>MAX($B$2:B345)</f>
        <v>18326</v>
      </c>
    </row>
    <row r="346" spans="1:32" x14ac:dyDescent="0.25">
      <c r="A346" s="137">
        <v>44237</v>
      </c>
      <c r="B346" s="156">
        <v>7739</v>
      </c>
      <c r="C346" s="23">
        <f t="shared" si="78"/>
        <v>6898.5714285714284</v>
      </c>
      <c r="D346" s="156">
        <f t="shared" si="87"/>
        <v>2001034</v>
      </c>
      <c r="E346" s="156">
        <v>109</v>
      </c>
      <c r="F346" s="23">
        <f t="shared" si="79"/>
        <v>162.42857142857142</v>
      </c>
      <c r="G346" s="156">
        <f t="shared" si="84"/>
        <v>49647</v>
      </c>
      <c r="H346" s="156">
        <f t="shared" si="90"/>
        <v>5799</v>
      </c>
      <c r="I346" s="185">
        <v>1798120</v>
      </c>
      <c r="J346" s="156">
        <v>3561</v>
      </c>
      <c r="K346" s="23">
        <f t="shared" si="91"/>
        <v>3551.4285714285716</v>
      </c>
      <c r="L346" s="156">
        <v>50352</v>
      </c>
      <c r="M346" s="23">
        <f t="shared" si="91"/>
        <v>42578.714285714283</v>
      </c>
      <c r="N346" s="4">
        <f t="shared" si="80"/>
        <v>6621882</v>
      </c>
      <c r="O346" s="7">
        <v>10852</v>
      </c>
      <c r="P346" s="7">
        <v>3639228</v>
      </c>
      <c r="Q346" s="4">
        <f t="shared" si="92"/>
        <v>3650080</v>
      </c>
      <c r="R346" s="4"/>
      <c r="S346" s="4"/>
      <c r="T346" s="4"/>
      <c r="U346" s="4"/>
      <c r="V346" s="4">
        <f t="shared" si="93"/>
        <v>153267</v>
      </c>
      <c r="W346" s="47">
        <f t="shared" si="82"/>
        <v>8</v>
      </c>
      <c r="X346" s="119">
        <f t="shared" si="94"/>
        <v>1831</v>
      </c>
      <c r="Y346" s="218">
        <f t="shared" si="83"/>
        <v>2.3233964258450937E-2</v>
      </c>
      <c r="Z346" s="87">
        <f t="shared" si="89"/>
        <v>-0.13938443442462267</v>
      </c>
      <c r="AA346" s="87">
        <f t="shared" si="81"/>
        <v>0.16201925173879639</v>
      </c>
      <c r="AB346" s="87">
        <f t="shared" si="76"/>
        <v>0.16201925173879639</v>
      </c>
      <c r="AD346" s="87">
        <f t="shared" si="77"/>
        <v>-3.6214203966646985E-2</v>
      </c>
      <c r="AF346" s="197">
        <f>MAX($B$2:B346)</f>
        <v>18326</v>
      </c>
    </row>
    <row r="347" spans="1:32" x14ac:dyDescent="0.25">
      <c r="A347" s="137">
        <v>44238</v>
      </c>
      <c r="B347" s="178">
        <v>7311</v>
      </c>
      <c r="C347" s="23">
        <f t="shared" si="78"/>
        <v>6672.8571428571431</v>
      </c>
      <c r="D347" s="156">
        <f t="shared" si="87"/>
        <v>2008345</v>
      </c>
      <c r="E347" s="178">
        <v>195</v>
      </c>
      <c r="F347" s="23">
        <f t="shared" si="79"/>
        <v>167.14285714285714</v>
      </c>
      <c r="G347" s="156">
        <f t="shared" si="84"/>
        <v>49842</v>
      </c>
      <c r="H347" s="156">
        <f t="shared" si="90"/>
        <v>8140</v>
      </c>
      <c r="I347" s="185">
        <v>1806260</v>
      </c>
      <c r="J347" s="156">
        <v>3541</v>
      </c>
      <c r="K347" s="23">
        <f t="shared" si="91"/>
        <v>3547.2857142857142</v>
      </c>
      <c r="L347" s="156">
        <v>51007</v>
      </c>
      <c r="M347" s="23">
        <f t="shared" si="91"/>
        <v>42357.285714285717</v>
      </c>
      <c r="N347" s="4">
        <f t="shared" si="80"/>
        <v>6672889</v>
      </c>
      <c r="O347" s="7">
        <v>11150</v>
      </c>
      <c r="P347" s="7">
        <v>3684608</v>
      </c>
      <c r="Q347" s="4">
        <f t="shared" si="92"/>
        <v>3695758</v>
      </c>
      <c r="R347" s="4"/>
      <c r="S347" s="4"/>
      <c r="T347" s="4"/>
      <c r="U347" s="4"/>
      <c r="V347" s="4">
        <f t="shared" si="93"/>
        <v>152243</v>
      </c>
      <c r="W347" s="47">
        <f t="shared" si="82"/>
        <v>-20</v>
      </c>
      <c r="X347" s="119">
        <f t="shared" si="94"/>
        <v>-1024</v>
      </c>
      <c r="Y347" s="218">
        <f t="shared" si="83"/>
        <v>2.3258869044882197E-2</v>
      </c>
      <c r="Z347" s="87">
        <f t="shared" si="89"/>
        <v>-0.14524127582483937</v>
      </c>
      <c r="AA347" s="87">
        <f t="shared" si="81"/>
        <v>0.15753741134093982</v>
      </c>
      <c r="AB347" s="87">
        <f t="shared" si="76"/>
        <v>0.15753741134093982</v>
      </c>
      <c r="AD347" s="87">
        <f t="shared" si="77"/>
        <v>-3.8007557279884696E-2</v>
      </c>
      <c r="AF347" s="197">
        <f>MAX($B$2:B347)</f>
        <v>18326</v>
      </c>
    </row>
    <row r="348" spans="1:32" x14ac:dyDescent="0.25">
      <c r="A348" s="137">
        <v>44239</v>
      </c>
      <c r="B348" s="156">
        <v>7151</v>
      </c>
      <c r="C348" s="23">
        <f t="shared" si="78"/>
        <v>6498.1428571428569</v>
      </c>
      <c r="D348" s="156">
        <f t="shared" si="87"/>
        <v>2015496</v>
      </c>
      <c r="E348" s="174">
        <v>155</v>
      </c>
      <c r="F348" s="23">
        <f t="shared" si="79"/>
        <v>148.57142857142858</v>
      </c>
      <c r="G348" s="156">
        <f t="shared" si="84"/>
        <v>49997</v>
      </c>
      <c r="H348" s="156">
        <f t="shared" si="90"/>
        <v>7900</v>
      </c>
      <c r="I348" s="185">
        <v>1814160</v>
      </c>
      <c r="J348" s="156">
        <v>3538</v>
      </c>
      <c r="K348" s="23">
        <f t="shared" si="91"/>
        <v>3545.5714285714284</v>
      </c>
      <c r="L348" s="156">
        <v>49074</v>
      </c>
      <c r="M348" s="23">
        <f t="shared" si="91"/>
        <v>42547.142857142855</v>
      </c>
      <c r="N348" s="4">
        <f t="shared" si="80"/>
        <v>6721963</v>
      </c>
      <c r="O348" s="7">
        <v>11298</v>
      </c>
      <c r="P348" s="7">
        <v>3716607</v>
      </c>
      <c r="Q348" s="4">
        <f t="shared" si="92"/>
        <v>3727905</v>
      </c>
      <c r="R348" s="4"/>
      <c r="S348" s="4"/>
      <c r="T348" s="4"/>
      <c r="U348" s="4"/>
      <c r="V348" s="20">
        <f t="shared" si="93"/>
        <v>151339</v>
      </c>
      <c r="W348" s="47">
        <f t="shared" si="82"/>
        <v>-3</v>
      </c>
      <c r="X348" s="119">
        <f t="shared" si="94"/>
        <v>-904</v>
      </c>
      <c r="Y348" s="218">
        <f t="shared" si="83"/>
        <v>2.3377979238662871E-2</v>
      </c>
      <c r="Z348" s="87">
        <f t="shared" si="89"/>
        <v>-0.16422599908130453</v>
      </c>
      <c r="AA348" s="87">
        <f t="shared" si="81"/>
        <v>0.15272806634657354</v>
      </c>
      <c r="AB348" s="87">
        <f t="shared" si="76"/>
        <v>0.15272806634657354</v>
      </c>
      <c r="AD348" s="87">
        <f t="shared" si="77"/>
        <v>-3.7834573081569123E-2</v>
      </c>
      <c r="AF348" s="197">
        <f>MAX($B$2:B348)</f>
        <v>18326</v>
      </c>
    </row>
    <row r="349" spans="1:32" x14ac:dyDescent="0.25">
      <c r="A349" s="137">
        <v>44240</v>
      </c>
      <c r="B349" s="156">
        <v>6057</v>
      </c>
      <c r="C349" s="23">
        <f t="shared" si="78"/>
        <v>6409.1428571428569</v>
      </c>
      <c r="D349" s="156">
        <f t="shared" si="87"/>
        <v>2021553</v>
      </c>
      <c r="E349" s="174">
        <v>158</v>
      </c>
      <c r="F349" s="23">
        <f t="shared" si="79"/>
        <v>153.28571428571428</v>
      </c>
      <c r="G349" s="156">
        <f t="shared" si="84"/>
        <v>50155</v>
      </c>
      <c r="H349" s="156">
        <f t="shared" si="90"/>
        <v>6805</v>
      </c>
      <c r="I349" s="185">
        <v>1820965</v>
      </c>
      <c r="J349" s="156">
        <v>3514</v>
      </c>
      <c r="K349" s="23">
        <f t="shared" si="91"/>
        <v>3540.4285714285716</v>
      </c>
      <c r="L349" s="156">
        <v>54719</v>
      </c>
      <c r="M349" s="23">
        <f t="shared" si="91"/>
        <v>44329.285714285717</v>
      </c>
      <c r="N349" s="4">
        <f t="shared" si="80"/>
        <v>6776682</v>
      </c>
      <c r="O349" s="7"/>
      <c r="P349" s="7"/>
      <c r="Q349" s="4"/>
      <c r="R349" s="4"/>
      <c r="S349" s="4"/>
      <c r="T349" s="4"/>
      <c r="U349" s="4"/>
      <c r="V349" s="20">
        <f t="shared" si="93"/>
        <v>150433</v>
      </c>
      <c r="W349" s="47">
        <f t="shared" si="82"/>
        <v>-24</v>
      </c>
      <c r="X349" s="119">
        <f t="shared" si="94"/>
        <v>-906</v>
      </c>
      <c r="Y349" s="218">
        <f t="shared" si="83"/>
        <v>2.3359236337771632E-2</v>
      </c>
      <c r="Z349" s="87">
        <f t="shared" si="89"/>
        <v>-0.15523085034269801</v>
      </c>
      <c r="AA349" s="87">
        <f t="shared" si="81"/>
        <v>0.14458033225375033</v>
      </c>
      <c r="AB349" s="87">
        <f t="shared" si="76"/>
        <v>0.14458033225375033</v>
      </c>
      <c r="AD349" s="87">
        <f t="shared" si="77"/>
        <v>-3.2883740067374712E-2</v>
      </c>
      <c r="AF349" s="197">
        <f>MAX($B$2:B349)</f>
        <v>18326</v>
      </c>
    </row>
    <row r="350" spans="1:32" x14ac:dyDescent="0.25">
      <c r="A350" s="137">
        <v>44241</v>
      </c>
      <c r="B350" s="156">
        <v>4245</v>
      </c>
      <c r="C350" s="23">
        <f t="shared" si="78"/>
        <v>6493</v>
      </c>
      <c r="D350" s="156">
        <f t="shared" si="87"/>
        <v>2025798</v>
      </c>
      <c r="E350" s="174">
        <v>48</v>
      </c>
      <c r="F350" s="23">
        <f t="shared" si="79"/>
        <v>151.42857142857142</v>
      </c>
      <c r="G350" s="156">
        <f t="shared" si="84"/>
        <v>50203</v>
      </c>
      <c r="H350" s="156">
        <f t="shared" si="90"/>
        <v>6153</v>
      </c>
      <c r="I350" s="185">
        <v>1827118</v>
      </c>
      <c r="J350" s="156">
        <v>3547</v>
      </c>
      <c r="K350" s="23">
        <f t="shared" si="91"/>
        <v>3540</v>
      </c>
      <c r="L350" s="156">
        <v>41673</v>
      </c>
      <c r="M350" s="23">
        <f t="shared" si="91"/>
        <v>46751</v>
      </c>
      <c r="N350" s="4">
        <f t="shared" si="80"/>
        <v>6818355</v>
      </c>
      <c r="O350" s="7">
        <v>11438</v>
      </c>
      <c r="P350" s="7">
        <v>3778940</v>
      </c>
      <c r="Q350" s="4">
        <f t="shared" si="92"/>
        <v>3790378</v>
      </c>
      <c r="R350" s="4"/>
      <c r="S350" s="4"/>
      <c r="T350" s="4"/>
      <c r="U350" s="4"/>
      <c r="V350" s="20">
        <f t="shared" si="93"/>
        <v>148477</v>
      </c>
      <c r="W350" s="47">
        <f t="shared" si="82"/>
        <v>33</v>
      </c>
      <c r="X350" s="119">
        <f t="shared" si="94"/>
        <v>-1956</v>
      </c>
      <c r="Y350" s="218">
        <f t="shared" si="83"/>
        <v>2.3889221899688166E-2</v>
      </c>
      <c r="Z350" s="87">
        <f t="shared" si="89"/>
        <v>-0.11998528500619587</v>
      </c>
      <c r="AA350" s="87">
        <f t="shared" si="81"/>
        <v>0.13888472973840132</v>
      </c>
      <c r="AB350" s="87">
        <f t="shared" si="76"/>
        <v>0.13888472973840132</v>
      </c>
      <c r="AD350" s="87">
        <f t="shared" si="77"/>
        <v>-2.4711144975991695E-2</v>
      </c>
      <c r="AF350" s="197">
        <f>MAX($B$2:B350)</f>
        <v>18326</v>
      </c>
    </row>
    <row r="351" spans="1:32" x14ac:dyDescent="0.25">
      <c r="A351" s="137">
        <v>44242</v>
      </c>
      <c r="B351" s="156">
        <v>3259</v>
      </c>
      <c r="C351" s="23">
        <f t="shared" si="78"/>
        <v>6222.2857142857147</v>
      </c>
      <c r="D351" s="156">
        <f t="shared" si="87"/>
        <v>2029057</v>
      </c>
      <c r="E351" s="174">
        <v>91</v>
      </c>
      <c r="F351" s="23">
        <f t="shared" si="79"/>
        <v>132</v>
      </c>
      <c r="G351" s="156">
        <f t="shared" si="84"/>
        <v>50294</v>
      </c>
      <c r="H351" s="156">
        <f t="shared" si="90"/>
        <v>6324</v>
      </c>
      <c r="I351" s="185">
        <v>1833442</v>
      </c>
      <c r="J351" s="156">
        <v>3538</v>
      </c>
      <c r="K351" s="23">
        <f t="shared" si="91"/>
        <v>3541.7142857142858</v>
      </c>
      <c r="L351" s="156">
        <v>30040</v>
      </c>
      <c r="M351" s="23">
        <f t="shared" si="91"/>
        <v>46663.714285714283</v>
      </c>
      <c r="N351" s="4">
        <f t="shared" si="80"/>
        <v>6848395</v>
      </c>
      <c r="O351" s="7">
        <v>11525</v>
      </c>
      <c r="P351" s="7">
        <v>3807948</v>
      </c>
      <c r="Q351" s="4">
        <f t="shared" si="92"/>
        <v>3819473</v>
      </c>
      <c r="R351" s="4"/>
      <c r="S351" s="4"/>
      <c r="T351" s="4"/>
      <c r="U351" s="4"/>
      <c r="V351" s="20">
        <f t="shared" si="93"/>
        <v>145321</v>
      </c>
      <c r="W351" s="47">
        <f t="shared" si="82"/>
        <v>-9</v>
      </c>
      <c r="X351" s="119">
        <f t="shared" si="94"/>
        <v>-3156</v>
      </c>
      <c r="Y351" s="218">
        <f t="shared" si="83"/>
        <v>2.4346102765601667E-2</v>
      </c>
      <c r="Z351" s="87">
        <f t="shared" si="89"/>
        <v>-0.12444971556073725</v>
      </c>
      <c r="AA351" s="87">
        <f t="shared" si="81"/>
        <v>0.13334312987148167</v>
      </c>
      <c r="AB351" s="87">
        <f t="shared" si="76"/>
        <v>0.13334312987148167</v>
      </c>
      <c r="AD351" s="87">
        <f t="shared" si="77"/>
        <v>-3.088967876601334E-2</v>
      </c>
      <c r="AF351" s="197">
        <f>MAX($B$2:B351)</f>
        <v>18326</v>
      </c>
    </row>
    <row r="352" spans="1:32" x14ac:dyDescent="0.25">
      <c r="A352" s="137">
        <v>44243</v>
      </c>
      <c r="B352" s="156">
        <v>4003</v>
      </c>
      <c r="C352" s="23">
        <f t="shared" si="78"/>
        <v>5680.7142857142853</v>
      </c>
      <c r="D352" s="156">
        <f t="shared" si="87"/>
        <v>2033060</v>
      </c>
      <c r="E352" s="174">
        <v>105</v>
      </c>
      <c r="F352" s="23">
        <f t="shared" si="79"/>
        <v>123</v>
      </c>
      <c r="G352" s="156">
        <f t="shared" si="84"/>
        <v>50399</v>
      </c>
      <c r="H352" s="156">
        <f t="shared" si="90"/>
        <v>4849</v>
      </c>
      <c r="I352" s="185">
        <v>1838291</v>
      </c>
      <c r="J352" s="156">
        <v>3581</v>
      </c>
      <c r="K352" s="23">
        <f t="shared" si="91"/>
        <v>3545.7142857142858</v>
      </c>
      <c r="L352" s="156">
        <v>36282</v>
      </c>
      <c r="M352" s="23">
        <f t="shared" si="91"/>
        <v>44735.285714285717</v>
      </c>
      <c r="N352" s="4">
        <f t="shared" si="80"/>
        <v>6884677</v>
      </c>
      <c r="O352" s="7">
        <v>11677</v>
      </c>
      <c r="P352" s="7">
        <v>3832083</v>
      </c>
      <c r="Q352" s="4">
        <f t="shared" si="92"/>
        <v>3843760</v>
      </c>
      <c r="R352" s="4"/>
      <c r="S352" s="4"/>
      <c r="T352" s="4"/>
      <c r="U352" s="4"/>
      <c r="V352" s="20">
        <f t="shared" si="93"/>
        <v>144370</v>
      </c>
      <c r="W352" s="47">
        <f t="shared" si="82"/>
        <v>43</v>
      </c>
      <c r="X352" s="119">
        <f t="shared" si="94"/>
        <v>-951</v>
      </c>
      <c r="Y352" s="218">
        <f t="shared" si="83"/>
        <v>2.4804322227609615E-2</v>
      </c>
      <c r="Z352" s="87">
        <f t="shared" si="89"/>
        <v>-0.17653758542141229</v>
      </c>
      <c r="AA352" s="87">
        <f t="shared" si="81"/>
        <v>0.12698509006952005</v>
      </c>
      <c r="AB352" s="87">
        <f t="shared" si="76"/>
        <v>0.12698509006952008</v>
      </c>
      <c r="AD352" s="87">
        <f t="shared" si="77"/>
        <v>-4.6659975171029378E-2</v>
      </c>
      <c r="AF352" s="197">
        <f>MAX($B$2:B352)</f>
        <v>18326</v>
      </c>
    </row>
    <row r="353" spans="1:32" x14ac:dyDescent="0.25">
      <c r="A353" s="137">
        <v>44244</v>
      </c>
      <c r="B353" s="156">
        <v>6064</v>
      </c>
      <c r="C353" s="23">
        <f t="shared" si="78"/>
        <v>5441.4285714285716</v>
      </c>
      <c r="D353" s="156">
        <f t="shared" si="87"/>
        <v>2039124</v>
      </c>
      <c r="E353" s="156">
        <v>183</v>
      </c>
      <c r="F353" s="23">
        <f t="shared" si="79"/>
        <v>133.57142857142858</v>
      </c>
      <c r="G353" s="156">
        <f t="shared" si="84"/>
        <v>50582</v>
      </c>
      <c r="H353" s="156">
        <f t="shared" si="90"/>
        <v>4587</v>
      </c>
      <c r="I353" s="185">
        <v>1842878</v>
      </c>
      <c r="J353" s="156">
        <v>3573</v>
      </c>
      <c r="K353" s="23">
        <f t="shared" si="91"/>
        <v>3547.4285714285716</v>
      </c>
      <c r="L353" s="156">
        <v>45882</v>
      </c>
      <c r="M353" s="23">
        <f t="shared" si="91"/>
        <v>44096.714285714283</v>
      </c>
      <c r="N353" s="4">
        <f t="shared" si="80"/>
        <v>6930559</v>
      </c>
      <c r="O353" s="7">
        <v>11782</v>
      </c>
      <c r="P353" s="7">
        <v>3860961</v>
      </c>
      <c r="Q353" s="4">
        <f t="shared" si="92"/>
        <v>3872743</v>
      </c>
      <c r="R353" s="4"/>
      <c r="S353" s="4"/>
      <c r="T353" s="4"/>
      <c r="U353" s="4"/>
      <c r="V353" s="20">
        <f t="shared" si="93"/>
        <v>145664</v>
      </c>
      <c r="W353" s="47">
        <f t="shared" si="82"/>
        <v>-8</v>
      </c>
      <c r="X353" s="119">
        <f t="shared" si="94"/>
        <v>1294</v>
      </c>
      <c r="Y353" s="218">
        <f t="shared" si="83"/>
        <v>2.4529053163444638E-2</v>
      </c>
      <c r="Z353" s="87">
        <f t="shared" si="89"/>
        <v>-0.18454292442731746</v>
      </c>
      <c r="AA353" s="87">
        <f t="shared" si="81"/>
        <v>0.12339759684071053</v>
      </c>
      <c r="AB353" s="87">
        <f t="shared" si="76"/>
        <v>0.12339759684071051</v>
      </c>
      <c r="AD353" s="87">
        <f t="shared" si="77"/>
        <v>-4.9606242700646619E-2</v>
      </c>
      <c r="AF353" s="197">
        <f>MAX($B$2:B353)</f>
        <v>18326</v>
      </c>
    </row>
    <row r="354" spans="1:32" x14ac:dyDescent="0.25">
      <c r="A354" s="137">
        <v>44245</v>
      </c>
      <c r="B354" s="156">
        <v>7671</v>
      </c>
      <c r="C354" s="23">
        <f t="shared" si="78"/>
        <v>5492.8571428571431</v>
      </c>
      <c r="D354" s="156">
        <f t="shared" si="87"/>
        <v>2046795</v>
      </c>
      <c r="E354" s="156">
        <v>242</v>
      </c>
      <c r="F354" s="23">
        <f t="shared" si="79"/>
        <v>140.28571428571428</v>
      </c>
      <c r="G354" s="156">
        <f t="shared" si="84"/>
        <v>50824</v>
      </c>
      <c r="H354" s="156">
        <f t="shared" si="90"/>
        <v>6573</v>
      </c>
      <c r="I354" s="185">
        <v>1849451</v>
      </c>
      <c r="J354" s="156">
        <v>3595</v>
      </c>
      <c r="K354" s="23">
        <f t="shared" si="91"/>
        <v>3555.1428571428573</v>
      </c>
      <c r="L354" s="156">
        <v>54375</v>
      </c>
      <c r="M354" s="23">
        <f t="shared" si="91"/>
        <v>44577.857142857145</v>
      </c>
      <c r="N354" s="4">
        <f t="shared" si="80"/>
        <v>6984934</v>
      </c>
      <c r="O354" s="7">
        <v>11889</v>
      </c>
      <c r="P354" s="7">
        <v>3886419</v>
      </c>
      <c r="Q354" s="4">
        <f t="shared" si="92"/>
        <v>3898308</v>
      </c>
      <c r="R354" s="4"/>
      <c r="S354" s="4"/>
      <c r="T354" s="4"/>
      <c r="U354" s="4"/>
      <c r="V354" s="4">
        <f t="shared" si="93"/>
        <v>146520</v>
      </c>
      <c r="W354" s="47">
        <f t="shared" si="82"/>
        <v>22</v>
      </c>
      <c r="X354" s="119">
        <f t="shared" si="94"/>
        <v>856</v>
      </c>
      <c r="Y354" s="218">
        <f t="shared" si="83"/>
        <v>2.4535899535899536E-2</v>
      </c>
      <c r="Z354" s="87">
        <f t="shared" si="89"/>
        <v>-0.15470354167124667</v>
      </c>
      <c r="AA354" s="87">
        <f t="shared" si="81"/>
        <v>0.12321940745725776</v>
      </c>
      <c r="AB354" s="87">
        <f t="shared" ref="AB354:AB365" si="95">SUM(B348:B354)/SUM(L348:L354)</f>
        <v>0.12321940745725776</v>
      </c>
      <c r="AD354" s="87">
        <f t="shared" si="77"/>
        <v>-3.7591219300723178E-2</v>
      </c>
      <c r="AF354" s="197">
        <f>MAX($B$2:B354)</f>
        <v>18326</v>
      </c>
    </row>
    <row r="355" spans="1:32" x14ac:dyDescent="0.25">
      <c r="A355" s="137">
        <v>44246</v>
      </c>
      <c r="B355" s="156">
        <v>7886</v>
      </c>
      <c r="C355" s="23">
        <f t="shared" si="78"/>
        <v>5597.8571428571431</v>
      </c>
      <c r="D355" s="156">
        <f t="shared" si="87"/>
        <v>2054681</v>
      </c>
      <c r="E355" s="156">
        <v>143</v>
      </c>
      <c r="F355" s="23">
        <f t="shared" si="79"/>
        <v>138.57142857142858</v>
      </c>
      <c r="G355" s="156">
        <f t="shared" si="84"/>
        <v>50967</v>
      </c>
      <c r="H355" s="156">
        <f t="shared" si="90"/>
        <v>6194</v>
      </c>
      <c r="I355" s="185">
        <v>1855645</v>
      </c>
      <c r="J355" s="156">
        <v>3608</v>
      </c>
      <c r="K355" s="23">
        <f t="shared" si="91"/>
        <v>3565.1428571428573</v>
      </c>
      <c r="L355" s="156">
        <v>59570</v>
      </c>
      <c r="M355" s="23">
        <f t="shared" si="91"/>
        <v>46077.285714285717</v>
      </c>
      <c r="N355" s="4">
        <f t="shared" si="80"/>
        <v>7044504</v>
      </c>
      <c r="O355" s="7">
        <v>12025</v>
      </c>
      <c r="P355" s="7">
        <v>3936801</v>
      </c>
      <c r="Q355" s="4">
        <f t="shared" si="92"/>
        <v>3948826</v>
      </c>
      <c r="R355" s="4"/>
      <c r="S355" s="4"/>
      <c r="T355" s="4"/>
      <c r="U355" s="4"/>
      <c r="V355" s="4">
        <f t="shared" si="93"/>
        <v>148069</v>
      </c>
      <c r="W355" s="47">
        <f t="shared" si="82"/>
        <v>13</v>
      </c>
      <c r="X355" s="119">
        <f t="shared" si="94"/>
        <v>1549</v>
      </c>
      <c r="Y355" s="218">
        <f t="shared" si="83"/>
        <v>2.4367018079408925E-2</v>
      </c>
      <c r="Z355" s="87">
        <f t="shared" si="89"/>
        <v>-0.1265825606276747</v>
      </c>
      <c r="AA355" s="87">
        <f t="shared" si="81"/>
        <v>0.12148843092816107</v>
      </c>
      <c r="AB355" s="87">
        <f t="shared" si="95"/>
        <v>0.12148843092816107</v>
      </c>
      <c r="AD355" s="87">
        <f t="shared" si="77"/>
        <v>-2.1607120438221439E-2</v>
      </c>
      <c r="AF355" s="197">
        <f>MAX($B$2:B355)</f>
        <v>18326</v>
      </c>
    </row>
    <row r="356" spans="1:32" x14ac:dyDescent="0.25">
      <c r="A356" s="137">
        <v>44247</v>
      </c>
      <c r="B356" s="156">
        <v>5944</v>
      </c>
      <c r="C356" s="23">
        <f t="shared" si="78"/>
        <v>5581.7142857142853</v>
      </c>
      <c r="D356" s="156">
        <f t="shared" si="87"/>
        <v>2060625</v>
      </c>
      <c r="E356" s="156">
        <v>122</v>
      </c>
      <c r="F356" s="23">
        <f t="shared" si="79"/>
        <v>133.42857142857142</v>
      </c>
      <c r="G356" s="156">
        <f t="shared" si="84"/>
        <v>51089</v>
      </c>
      <c r="H356" s="156">
        <f t="shared" si="90"/>
        <v>5788</v>
      </c>
      <c r="I356" s="185">
        <v>1861433</v>
      </c>
      <c r="J356" s="156">
        <v>3605</v>
      </c>
      <c r="K356" s="23">
        <f t="shared" si="91"/>
        <v>3578.1428571428573</v>
      </c>
      <c r="L356" s="156">
        <v>51122</v>
      </c>
      <c r="M356" s="23">
        <f t="shared" si="91"/>
        <v>45563.428571428572</v>
      </c>
      <c r="N356" s="4">
        <f t="shared" si="80"/>
        <v>7095626</v>
      </c>
      <c r="O356" s="7">
        <v>12151</v>
      </c>
      <c r="P356" s="7">
        <v>3966620</v>
      </c>
      <c r="Q356" s="4">
        <f t="shared" si="92"/>
        <v>3978771</v>
      </c>
      <c r="R356" s="4"/>
      <c r="S356" s="4"/>
      <c r="T356" s="4"/>
      <c r="U356" s="4"/>
      <c r="V356" s="4">
        <f t="shared" si="93"/>
        <v>148103</v>
      </c>
      <c r="W356" s="47">
        <f t="shared" si="82"/>
        <v>-3</v>
      </c>
      <c r="X356" s="119">
        <f t="shared" si="94"/>
        <v>34</v>
      </c>
      <c r="Y356" s="218">
        <f t="shared" si="83"/>
        <v>2.4341167970939145E-2</v>
      </c>
      <c r="Z356" s="87">
        <f t="shared" si="89"/>
        <v>-0.14034894721788305</v>
      </c>
      <c r="AA356" s="87">
        <f t="shared" si="81"/>
        <v>0.12250426407143572</v>
      </c>
      <c r="AB356" s="87">
        <f t="shared" si="95"/>
        <v>0.12250426407143573</v>
      </c>
      <c r="AD356" s="87">
        <f t="shared" ref="AD356:AD404" si="96">V356/V349-1</f>
        <v>-1.5488622842062538E-2</v>
      </c>
      <c r="AF356" s="197">
        <f>MAX($B$2:B356)</f>
        <v>18326</v>
      </c>
    </row>
    <row r="357" spans="1:32" x14ac:dyDescent="0.25">
      <c r="A357" s="137">
        <v>44248</v>
      </c>
      <c r="B357" s="156">
        <v>3709</v>
      </c>
      <c r="C357" s="23">
        <f t="shared" ref="C357:C405" si="97">AVERAGE(B351:B357)</f>
        <v>5505.1428571428569</v>
      </c>
      <c r="D357" s="156">
        <f t="shared" si="87"/>
        <v>2064334</v>
      </c>
      <c r="E357" s="156">
        <v>77</v>
      </c>
      <c r="F357" s="23">
        <f t="shared" ref="F357:F397" si="98">AVERAGE(E351:E357)</f>
        <v>137.57142857142858</v>
      </c>
      <c r="G357" s="156">
        <f t="shared" si="84"/>
        <v>51166</v>
      </c>
      <c r="H357" s="156">
        <f t="shared" si="90"/>
        <v>5068</v>
      </c>
      <c r="I357" s="185">
        <v>1866501</v>
      </c>
      <c r="J357" s="156">
        <v>3605</v>
      </c>
      <c r="K357" s="23">
        <f t="shared" si="91"/>
        <v>3586.4285714285716</v>
      </c>
      <c r="L357" s="156">
        <v>25350</v>
      </c>
      <c r="M357" s="23">
        <f t="shared" si="91"/>
        <v>43231.571428571428</v>
      </c>
      <c r="N357" s="4">
        <f t="shared" si="80"/>
        <v>7120976</v>
      </c>
      <c r="O357" s="7">
        <v>12205</v>
      </c>
      <c r="P357" s="7">
        <v>3982551</v>
      </c>
      <c r="Q357" s="4">
        <f t="shared" si="92"/>
        <v>3994756</v>
      </c>
      <c r="R357" s="4"/>
      <c r="S357" s="4"/>
      <c r="T357" s="4"/>
      <c r="U357" s="4"/>
      <c r="V357" s="4">
        <f t="shared" si="93"/>
        <v>146667</v>
      </c>
      <c r="W357" s="47">
        <f t="shared" si="82"/>
        <v>0</v>
      </c>
      <c r="X357" s="119">
        <f t="shared" si="94"/>
        <v>-1436</v>
      </c>
      <c r="Y357" s="218">
        <f t="shared" si="83"/>
        <v>2.4579489592069109E-2</v>
      </c>
      <c r="Z357" s="87">
        <f t="shared" si="89"/>
        <v>-0.11525392598034723</v>
      </c>
      <c r="AA357" s="87">
        <f t="shared" si="81"/>
        <v>0.12734079921750308</v>
      </c>
      <c r="AB357" s="87">
        <f t="shared" si="95"/>
        <v>0.12734079921750308</v>
      </c>
      <c r="AD357" s="87">
        <f t="shared" si="96"/>
        <v>-1.2190440270210212E-2</v>
      </c>
      <c r="AF357" s="197">
        <f>MAX($B$2:B357)</f>
        <v>18326</v>
      </c>
    </row>
    <row r="358" spans="1:32" x14ac:dyDescent="0.25">
      <c r="A358" s="137">
        <v>44249</v>
      </c>
      <c r="B358" s="156">
        <v>5417</v>
      </c>
      <c r="C358" s="23">
        <f t="shared" si="97"/>
        <v>5813.4285714285716</v>
      </c>
      <c r="D358" s="156">
        <f t="shared" si="87"/>
        <v>2069751</v>
      </c>
      <c r="E358" s="156">
        <v>161</v>
      </c>
      <c r="F358" s="23">
        <f t="shared" si="98"/>
        <v>147.57142857142858</v>
      </c>
      <c r="G358" s="156">
        <f t="shared" si="84"/>
        <v>51327</v>
      </c>
      <c r="H358" s="156">
        <f t="shared" si="90"/>
        <v>5712</v>
      </c>
      <c r="I358" s="185">
        <v>1872213</v>
      </c>
      <c r="J358" s="156">
        <v>3550</v>
      </c>
      <c r="K358" s="23">
        <f t="shared" si="91"/>
        <v>3588.1428571428573</v>
      </c>
      <c r="L358" s="156">
        <v>42145</v>
      </c>
      <c r="M358" s="23">
        <f t="shared" si="91"/>
        <v>44960.857142857145</v>
      </c>
      <c r="N358" s="4">
        <f t="shared" si="80"/>
        <v>7163121</v>
      </c>
      <c r="O358" s="7">
        <v>12284</v>
      </c>
      <c r="P358" s="7">
        <v>4011747</v>
      </c>
      <c r="Q358" s="4">
        <f t="shared" si="92"/>
        <v>4024031</v>
      </c>
      <c r="R358" s="4"/>
      <c r="S358" s="4"/>
      <c r="T358" s="4"/>
      <c r="U358" s="4"/>
      <c r="V358" s="4">
        <f t="shared" si="93"/>
        <v>146211</v>
      </c>
      <c r="W358" s="47">
        <f t="shared" si="82"/>
        <v>-55</v>
      </c>
      <c r="X358" s="119">
        <f t="shared" si="94"/>
        <v>-456</v>
      </c>
      <c r="Y358" s="218">
        <f t="shared" si="83"/>
        <v>2.4279978934553487E-2</v>
      </c>
      <c r="Z358" s="87">
        <f t="shared" si="89"/>
        <v>2.3362253237771968E-2</v>
      </c>
      <c r="AA358" s="87">
        <f t="shared" si="81"/>
        <v>0.12929977186505087</v>
      </c>
      <c r="AB358" s="87">
        <f t="shared" si="95"/>
        <v>0.12929977186505087</v>
      </c>
      <c r="AD358" s="87">
        <f t="shared" si="96"/>
        <v>6.1243729399054203E-3</v>
      </c>
      <c r="AF358" s="197">
        <f>MAX($B$2:B358)</f>
        <v>18326</v>
      </c>
    </row>
    <row r="359" spans="1:32" x14ac:dyDescent="0.25">
      <c r="A359" s="137">
        <v>44250</v>
      </c>
      <c r="B359" s="156">
        <v>7477</v>
      </c>
      <c r="C359" s="23">
        <f t="shared" si="97"/>
        <v>6309.7142857142853</v>
      </c>
      <c r="D359" s="156">
        <f t="shared" si="87"/>
        <v>2077228</v>
      </c>
      <c r="E359" s="156">
        <v>155</v>
      </c>
      <c r="F359" s="23">
        <f t="shared" si="98"/>
        <v>154.71428571428572</v>
      </c>
      <c r="G359" s="156">
        <f t="shared" si="84"/>
        <v>51482</v>
      </c>
      <c r="H359" s="156">
        <f t="shared" si="90"/>
        <v>5685</v>
      </c>
      <c r="I359" s="185">
        <v>1877898</v>
      </c>
      <c r="J359" s="156">
        <v>3529</v>
      </c>
      <c r="K359" s="23">
        <f t="shared" si="91"/>
        <v>3580.7142857142858</v>
      </c>
      <c r="L359" s="156">
        <v>50888</v>
      </c>
      <c r="M359" s="23">
        <f t="shared" si="91"/>
        <v>47047.428571428572</v>
      </c>
      <c r="N359" s="4">
        <f t="shared" si="80"/>
        <v>7214009</v>
      </c>
      <c r="O359" s="23">
        <v>12458</v>
      </c>
      <c r="P359" s="23">
        <v>4042409</v>
      </c>
      <c r="Q359" s="4">
        <f t="shared" si="92"/>
        <v>4054867</v>
      </c>
      <c r="V359" s="4">
        <f t="shared" si="93"/>
        <v>147848</v>
      </c>
      <c r="W359" s="47">
        <f t="shared" si="82"/>
        <v>-21</v>
      </c>
      <c r="X359" s="119">
        <f t="shared" si="94"/>
        <v>1637</v>
      </c>
      <c r="Y359" s="218">
        <f t="shared" si="83"/>
        <v>2.3869108814458091E-2</v>
      </c>
      <c r="Z359" s="87">
        <f t="shared" si="89"/>
        <v>0.15956944079810964</v>
      </c>
      <c r="AA359" s="87">
        <f t="shared" si="81"/>
        <v>0.13411390329515502</v>
      </c>
      <c r="AB359" s="87">
        <f t="shared" si="95"/>
        <v>0.13411390329515505</v>
      </c>
      <c r="AD359" s="87">
        <f t="shared" si="96"/>
        <v>2.4090877606150807E-2</v>
      </c>
      <c r="AF359" s="197">
        <f>MAX($B$2:B359)</f>
        <v>18326</v>
      </c>
    </row>
    <row r="360" spans="1:32" x14ac:dyDescent="0.25">
      <c r="A360" s="139">
        <v>44251</v>
      </c>
      <c r="B360" s="163">
        <v>8183</v>
      </c>
      <c r="C360" s="23">
        <f t="shared" si="97"/>
        <v>6612.4285714285716</v>
      </c>
      <c r="D360" s="163">
        <f t="shared" si="87"/>
        <v>2085411</v>
      </c>
      <c r="E360" s="163">
        <v>140</v>
      </c>
      <c r="F360" s="23">
        <f t="shared" si="98"/>
        <v>148.57142857142858</v>
      </c>
      <c r="G360" s="163">
        <f t="shared" si="84"/>
        <v>51622</v>
      </c>
      <c r="H360" s="163">
        <f t="shared" si="90"/>
        <v>4670</v>
      </c>
      <c r="I360" s="186">
        <v>1882568</v>
      </c>
      <c r="J360" s="163">
        <v>3504</v>
      </c>
      <c r="K360" s="23">
        <f t="shared" si="91"/>
        <v>3570.8571428571427</v>
      </c>
      <c r="L360" s="163">
        <v>46790</v>
      </c>
      <c r="M360" s="23">
        <f t="shared" si="91"/>
        <v>47177.142857142855</v>
      </c>
      <c r="N360" s="4">
        <f t="shared" si="80"/>
        <v>7260799</v>
      </c>
      <c r="O360" s="23">
        <v>12463</v>
      </c>
      <c r="P360" s="23">
        <v>4062615</v>
      </c>
      <c r="Q360" s="28">
        <f t="shared" si="92"/>
        <v>4075078</v>
      </c>
      <c r="V360" s="28">
        <f t="shared" si="93"/>
        <v>151221</v>
      </c>
      <c r="W360" s="81">
        <f t="shared" si="82"/>
        <v>-25</v>
      </c>
      <c r="X360" s="151">
        <f t="shared" si="94"/>
        <v>3373</v>
      </c>
      <c r="Y360" s="218">
        <f t="shared" si="83"/>
        <v>2.3171384926696688E-2</v>
      </c>
      <c r="Z360" s="87">
        <f t="shared" si="89"/>
        <v>0.20382314694408321</v>
      </c>
      <c r="AA360" s="87">
        <f t="shared" si="81"/>
        <v>0.14016170058139535</v>
      </c>
      <c r="AB360" s="87">
        <f t="shared" si="95"/>
        <v>0.14016170058139535</v>
      </c>
      <c r="AD360" s="87">
        <f t="shared" si="96"/>
        <v>3.8149439806678398E-2</v>
      </c>
      <c r="AF360" s="197">
        <f>MAX($B$2:B360)</f>
        <v>18326</v>
      </c>
    </row>
    <row r="361" spans="1:32" x14ac:dyDescent="0.25">
      <c r="A361" s="137">
        <v>44252</v>
      </c>
      <c r="B361" s="156">
        <v>8234</v>
      </c>
      <c r="C361" s="23">
        <f t="shared" si="97"/>
        <v>6692.8571428571431</v>
      </c>
      <c r="D361" s="156">
        <f t="shared" si="87"/>
        <v>2093645</v>
      </c>
      <c r="E361" s="156">
        <v>145</v>
      </c>
      <c r="F361" s="23">
        <f t="shared" si="98"/>
        <v>134.71428571428572</v>
      </c>
      <c r="G361" s="156">
        <f t="shared" si="84"/>
        <v>51767</v>
      </c>
      <c r="H361" s="156">
        <f t="shared" si="90"/>
        <v>5279</v>
      </c>
      <c r="I361" s="185">
        <v>1887847</v>
      </c>
      <c r="J361" s="156">
        <v>3467</v>
      </c>
      <c r="K361" s="23">
        <f t="shared" si="91"/>
        <v>3552.5714285714284</v>
      </c>
      <c r="L361" s="156">
        <v>50336</v>
      </c>
      <c r="M361" s="23">
        <f t="shared" si="91"/>
        <v>46600.142857142855</v>
      </c>
      <c r="N361" s="4">
        <f t="shared" si="80"/>
        <v>7311135</v>
      </c>
      <c r="O361" s="7">
        <v>12512</v>
      </c>
      <c r="P361" s="7">
        <v>4093490</v>
      </c>
      <c r="Q361" s="4">
        <f t="shared" si="92"/>
        <v>4106002</v>
      </c>
      <c r="R361" s="4"/>
      <c r="S361" s="4"/>
      <c r="T361" s="4"/>
      <c r="U361" s="4"/>
      <c r="V361" s="4">
        <f t="shared" si="93"/>
        <v>154031</v>
      </c>
      <c r="W361" s="47">
        <f t="shared" si="82"/>
        <v>-37</v>
      </c>
      <c r="X361" s="119">
        <f t="shared" si="94"/>
        <v>2810</v>
      </c>
      <c r="Y361" s="218">
        <f t="shared" si="83"/>
        <v>2.2508456090007855E-2</v>
      </c>
      <c r="Z361" s="87">
        <f t="shared" si="89"/>
        <v>0.19561056526732168</v>
      </c>
      <c r="AA361" s="87">
        <f t="shared" si="81"/>
        <v>0.14362310354658631</v>
      </c>
      <c r="AB361" s="87">
        <f t="shared" si="95"/>
        <v>0.14362310354658631</v>
      </c>
      <c r="AD361" s="87">
        <f t="shared" si="96"/>
        <v>5.1262626262626343E-2</v>
      </c>
      <c r="AF361" s="197">
        <f>MAX($B$2:B361)</f>
        <v>18326</v>
      </c>
    </row>
    <row r="362" spans="1:32" x14ac:dyDescent="0.25">
      <c r="A362" s="137">
        <v>44253</v>
      </c>
      <c r="B362" s="156">
        <v>5083</v>
      </c>
      <c r="C362" s="23">
        <f t="shared" si="97"/>
        <v>6292.4285714285716</v>
      </c>
      <c r="D362" s="156">
        <f t="shared" si="87"/>
        <v>2098728</v>
      </c>
      <c r="E362" s="156">
        <v>92</v>
      </c>
      <c r="F362" s="23">
        <f t="shared" si="98"/>
        <v>127.42857142857143</v>
      </c>
      <c r="G362" s="156">
        <f t="shared" si="84"/>
        <v>51859</v>
      </c>
      <c r="H362" s="156">
        <f t="shared" si="90"/>
        <v>4987</v>
      </c>
      <c r="I362" s="185">
        <v>1892834</v>
      </c>
      <c r="J362" s="156">
        <v>3475</v>
      </c>
      <c r="K362" s="23">
        <f t="shared" si="91"/>
        <v>3533.5714285714284</v>
      </c>
      <c r="L362" s="156">
        <v>43445</v>
      </c>
      <c r="M362" s="23">
        <f t="shared" si="91"/>
        <v>44296.571428571428</v>
      </c>
      <c r="N362" s="4">
        <f t="shared" ref="N362:N387" si="99">N363-L363</f>
        <v>7354580</v>
      </c>
      <c r="O362" s="7">
        <v>12668</v>
      </c>
      <c r="P362" s="7">
        <v>4129185</v>
      </c>
      <c r="Q362" s="4">
        <f t="shared" si="92"/>
        <v>4141853</v>
      </c>
      <c r="R362" s="4"/>
      <c r="S362" s="4"/>
      <c r="T362" s="4"/>
      <c r="U362" s="4"/>
      <c r="V362" s="4">
        <f t="shared" si="93"/>
        <v>154035</v>
      </c>
      <c r="W362" s="47">
        <f t="shared" si="82"/>
        <v>8</v>
      </c>
      <c r="X362" s="119">
        <f t="shared" si="94"/>
        <v>4</v>
      </c>
      <c r="Y362" s="218">
        <f t="shared" si="83"/>
        <v>2.2559807835881455E-2</v>
      </c>
      <c r="Z362" s="87">
        <f t="shared" si="89"/>
        <v>0.12732903357903358</v>
      </c>
      <c r="AA362" s="87">
        <f t="shared" si="81"/>
        <v>0.14205227105612819</v>
      </c>
      <c r="AB362" s="87">
        <f t="shared" si="95"/>
        <v>0.14205227105612817</v>
      </c>
      <c r="AD362" s="87">
        <f t="shared" si="96"/>
        <v>4.0292026014898452E-2</v>
      </c>
      <c r="AF362" s="197">
        <f>MAX($B$2:B362)</f>
        <v>18326</v>
      </c>
    </row>
    <row r="363" spans="1:32" x14ac:dyDescent="0.25">
      <c r="A363" s="137">
        <v>44254</v>
      </c>
      <c r="B363" s="156">
        <v>5469</v>
      </c>
      <c r="C363" s="23">
        <f t="shared" si="97"/>
        <v>6224.5714285714284</v>
      </c>
      <c r="D363" s="156">
        <f t="shared" si="87"/>
        <v>2104197</v>
      </c>
      <c r="E363" s="156">
        <v>59</v>
      </c>
      <c r="F363" s="23">
        <f t="shared" si="98"/>
        <v>118.42857142857143</v>
      </c>
      <c r="G363" s="156">
        <f t="shared" si="84"/>
        <v>51918</v>
      </c>
      <c r="H363" s="156">
        <f t="shared" si="90"/>
        <v>6253</v>
      </c>
      <c r="I363" s="185">
        <v>1899087</v>
      </c>
      <c r="J363" s="156">
        <v>3494</v>
      </c>
      <c r="K363" s="23">
        <f t="shared" si="91"/>
        <v>3517.7142857142858</v>
      </c>
      <c r="L363" s="156">
        <v>40095</v>
      </c>
      <c r="M363" s="23">
        <f t="shared" si="91"/>
        <v>42721.285714285717</v>
      </c>
      <c r="N363" s="4">
        <f t="shared" si="99"/>
        <v>7394675</v>
      </c>
      <c r="O363" s="7">
        <v>12698</v>
      </c>
      <c r="P363" s="7">
        <v>4146549</v>
      </c>
      <c r="Q363" s="4">
        <f t="shared" si="92"/>
        <v>4159247</v>
      </c>
      <c r="R363" s="4"/>
      <c r="S363" s="4"/>
      <c r="T363" s="4"/>
      <c r="U363" s="4"/>
      <c r="V363" s="4">
        <f t="shared" si="93"/>
        <v>153192</v>
      </c>
      <c r="W363" s="47">
        <f t="shared" si="82"/>
        <v>19</v>
      </c>
      <c r="X363" s="119">
        <f t="shared" si="94"/>
        <v>-843</v>
      </c>
      <c r="Y363" s="218">
        <f t="shared" si="83"/>
        <v>2.2807979528957127E-2</v>
      </c>
      <c r="Z363" s="87">
        <f t="shared" si="89"/>
        <v>0.130682997716421</v>
      </c>
      <c r="AA363" s="87">
        <f t="shared" si="81"/>
        <v>0.14570187494357112</v>
      </c>
      <c r="AB363" s="87">
        <f t="shared" si="95"/>
        <v>0.14570187494357112</v>
      </c>
      <c r="AD363" s="87">
        <f t="shared" si="96"/>
        <v>3.4361221582277279E-2</v>
      </c>
      <c r="AF363" s="197">
        <f>MAX($B$2:B363)</f>
        <v>18326</v>
      </c>
    </row>
    <row r="364" spans="1:32" x14ac:dyDescent="0.25">
      <c r="A364" s="137">
        <v>44255</v>
      </c>
      <c r="B364" s="156">
        <v>3168</v>
      </c>
      <c r="C364" s="23">
        <f t="shared" si="97"/>
        <v>6147.2857142857147</v>
      </c>
      <c r="D364" s="156">
        <f t="shared" si="87"/>
        <v>2107365</v>
      </c>
      <c r="E364" s="156">
        <v>19</v>
      </c>
      <c r="F364" s="23">
        <f t="shared" si="98"/>
        <v>110.14285714285714</v>
      </c>
      <c r="G364" s="156">
        <f t="shared" si="84"/>
        <v>51937</v>
      </c>
      <c r="H364" s="156">
        <f t="shared" si="90"/>
        <v>5934</v>
      </c>
      <c r="I364" s="185">
        <v>1905021</v>
      </c>
      <c r="J364" s="156">
        <v>3505</v>
      </c>
      <c r="K364" s="23">
        <f t="shared" si="91"/>
        <v>3503.4285714285716</v>
      </c>
      <c r="L364" s="156">
        <v>30915</v>
      </c>
      <c r="M364" s="23">
        <f t="shared" si="91"/>
        <v>43516.285714285717</v>
      </c>
      <c r="N364" s="4">
        <f t="shared" si="99"/>
        <v>7425590</v>
      </c>
      <c r="O364" s="7">
        <v>12841</v>
      </c>
      <c r="P364" s="7">
        <v>4175784</v>
      </c>
      <c r="Q364" s="4">
        <f t="shared" si="92"/>
        <v>4188625</v>
      </c>
      <c r="R364" s="4"/>
      <c r="S364" s="4"/>
      <c r="T364" s="4"/>
      <c r="U364" s="4"/>
      <c r="V364" s="4">
        <f t="shared" si="93"/>
        <v>150407</v>
      </c>
      <c r="W364" s="47">
        <f t="shared" si="82"/>
        <v>11</v>
      </c>
      <c r="X364" s="119">
        <f t="shared" si="94"/>
        <v>-2785</v>
      </c>
      <c r="Y364" s="218">
        <f t="shared" si="83"/>
        <v>2.3303436675154748E-2</v>
      </c>
      <c r="Z364" s="87">
        <f t="shared" si="89"/>
        <v>5.7428613554823871E-2</v>
      </c>
      <c r="AA364" s="87">
        <f t="shared" ref="AA364:AA405" si="100">C364/M364</f>
        <v>0.14126402594759269</v>
      </c>
      <c r="AB364" s="87">
        <f t="shared" si="95"/>
        <v>0.14126402594759269</v>
      </c>
      <c r="AD364" s="87">
        <f t="shared" si="96"/>
        <v>2.5499942045586366E-2</v>
      </c>
      <c r="AF364" s="197">
        <f>MAX($B$2:B364)</f>
        <v>18326</v>
      </c>
    </row>
    <row r="365" spans="1:32" x14ac:dyDescent="0.25">
      <c r="A365" s="137">
        <v>44256</v>
      </c>
      <c r="B365" s="156">
        <v>4658</v>
      </c>
      <c r="C365" s="23">
        <f t="shared" si="97"/>
        <v>6038.8571428571431</v>
      </c>
      <c r="D365" s="156">
        <f t="shared" si="87"/>
        <v>2112023</v>
      </c>
      <c r="E365" s="156">
        <v>112</v>
      </c>
      <c r="F365" s="23">
        <f t="shared" si="98"/>
        <v>103.14285714285714</v>
      </c>
      <c r="G365" s="156">
        <f t="shared" si="84"/>
        <v>52049</v>
      </c>
      <c r="H365" s="156">
        <f t="shared" si="90"/>
        <v>6317</v>
      </c>
      <c r="I365" s="185">
        <v>1911338</v>
      </c>
      <c r="J365" s="156">
        <v>3505</v>
      </c>
      <c r="K365" s="23">
        <f t="shared" si="91"/>
        <v>3497</v>
      </c>
      <c r="L365" s="156">
        <v>30136</v>
      </c>
      <c r="M365" s="23">
        <f t="shared" si="91"/>
        <v>41800.714285714283</v>
      </c>
      <c r="N365" s="4">
        <f t="shared" si="99"/>
        <v>7455726</v>
      </c>
      <c r="O365" s="7">
        <v>12890</v>
      </c>
      <c r="P365" s="7">
        <v>4195306</v>
      </c>
      <c r="Q365" s="4">
        <f t="shared" si="92"/>
        <v>4208196</v>
      </c>
      <c r="R365" s="4"/>
      <c r="S365" s="4"/>
      <c r="T365" s="4"/>
      <c r="U365" s="4"/>
      <c r="V365" s="4">
        <f t="shared" si="93"/>
        <v>148636</v>
      </c>
      <c r="W365" s="47">
        <f t="shared" ref="W365:W408" si="101">J365-J364</f>
        <v>0</v>
      </c>
      <c r="X365" s="119">
        <f t="shared" si="94"/>
        <v>-1771</v>
      </c>
      <c r="Y365" s="218">
        <f t="shared" si="83"/>
        <v>2.358109744610996E-2</v>
      </c>
      <c r="Z365" s="87">
        <f t="shared" si="89"/>
        <v>-4.2927005977177912E-2</v>
      </c>
      <c r="AA365" s="87">
        <f t="shared" si="100"/>
        <v>0.1444677978845201</v>
      </c>
      <c r="AB365" s="87">
        <f t="shared" si="95"/>
        <v>0.14446779788452008</v>
      </c>
      <c r="AD365" s="87">
        <f t="shared" si="96"/>
        <v>1.6585619413040043E-2</v>
      </c>
      <c r="AF365" s="197">
        <f>MAX($B$2:B365)</f>
        <v>18326</v>
      </c>
    </row>
    <row r="366" spans="1:32" x14ac:dyDescent="0.25">
      <c r="A366" s="137">
        <v>44257</v>
      </c>
      <c r="B366" s="156">
        <v>6653</v>
      </c>
      <c r="C366" s="23">
        <f t="shared" si="97"/>
        <v>5921.1428571428569</v>
      </c>
      <c r="D366" s="156">
        <f t="shared" si="87"/>
        <v>2118676</v>
      </c>
      <c r="E366" s="156">
        <v>116</v>
      </c>
      <c r="F366" s="23">
        <f t="shared" si="98"/>
        <v>97.571428571428569</v>
      </c>
      <c r="G366" s="156">
        <f t="shared" si="84"/>
        <v>52165</v>
      </c>
      <c r="H366" s="156">
        <f t="shared" si="90"/>
        <v>5598</v>
      </c>
      <c r="I366" s="185">
        <v>1916936</v>
      </c>
      <c r="J366" s="156">
        <v>3527</v>
      </c>
      <c r="K366" s="23">
        <f t="shared" si="91"/>
        <v>3496.7142857142858</v>
      </c>
      <c r="L366" s="156">
        <v>43912</v>
      </c>
      <c r="M366" s="23">
        <f t="shared" si="91"/>
        <v>40804.142857142855</v>
      </c>
      <c r="N366" s="4">
        <f t="shared" si="99"/>
        <v>7499638</v>
      </c>
      <c r="O366" s="7">
        <v>12962</v>
      </c>
      <c r="P366" s="7">
        <v>4221954</v>
      </c>
      <c r="Q366" s="4">
        <f t="shared" si="92"/>
        <v>4234916</v>
      </c>
      <c r="R366" s="4"/>
      <c r="S366" s="4"/>
      <c r="T366" s="4"/>
      <c r="U366" s="4"/>
      <c r="V366" s="4">
        <f t="shared" si="93"/>
        <v>149575</v>
      </c>
      <c r="W366" s="47">
        <f t="shared" si="101"/>
        <v>22</v>
      </c>
      <c r="X366" s="119">
        <f t="shared" si="94"/>
        <v>939</v>
      </c>
      <c r="Y366" s="218">
        <f t="shared" si="83"/>
        <v>2.3580143740598362E-2</v>
      </c>
      <c r="Z366" s="87">
        <f t="shared" si="89"/>
        <v>-0.10454339231317655</v>
      </c>
      <c r="AA366" s="87">
        <f t="shared" si="100"/>
        <v>0.14511131572774474</v>
      </c>
      <c r="AB366" s="87">
        <f t="shared" ref="AB366:AB402" si="102">SUM(B360:B366)/SUM(L360:L366)</f>
        <v>0.14511131572774474</v>
      </c>
      <c r="AD366" s="87">
        <f t="shared" si="96"/>
        <v>1.1680915534873604E-2</v>
      </c>
      <c r="AF366" s="197">
        <f>MAX($B$2:B366)</f>
        <v>18326</v>
      </c>
    </row>
    <row r="367" spans="1:32" x14ac:dyDescent="0.25">
      <c r="A367" s="137">
        <v>44258</v>
      </c>
      <c r="B367" s="156">
        <v>7855</v>
      </c>
      <c r="C367" s="23">
        <f t="shared" si="97"/>
        <v>5874.2857142857147</v>
      </c>
      <c r="D367" s="156">
        <f t="shared" si="87"/>
        <v>2126531</v>
      </c>
      <c r="E367" s="156">
        <v>262</v>
      </c>
      <c r="F367" s="23">
        <f t="shared" si="98"/>
        <v>115</v>
      </c>
      <c r="G367" s="156">
        <f t="shared" si="84"/>
        <v>52427</v>
      </c>
      <c r="H367" s="156">
        <f t="shared" si="90"/>
        <v>4653</v>
      </c>
      <c r="I367" s="185">
        <v>1921589</v>
      </c>
      <c r="J367" s="156">
        <v>3521</v>
      </c>
      <c r="K367" s="23">
        <f t="shared" si="91"/>
        <v>3499.1428571428573</v>
      </c>
      <c r="L367" s="156">
        <v>54559</v>
      </c>
      <c r="M367" s="23">
        <f t="shared" si="91"/>
        <v>41914</v>
      </c>
      <c r="N367" s="4">
        <f t="shared" si="99"/>
        <v>7554197</v>
      </c>
      <c r="O367" s="7">
        <v>13013</v>
      </c>
      <c r="P367" s="7">
        <v>4258155</v>
      </c>
      <c r="Q367" s="4">
        <f t="shared" si="92"/>
        <v>4271168</v>
      </c>
      <c r="R367" s="4"/>
      <c r="S367" s="4"/>
      <c r="T367" s="4"/>
      <c r="U367" s="4"/>
      <c r="V367" s="4">
        <f t="shared" si="93"/>
        <v>152515</v>
      </c>
      <c r="W367" s="47">
        <f t="shared" si="101"/>
        <v>-6</v>
      </c>
      <c r="X367" s="119">
        <f t="shared" si="94"/>
        <v>2940</v>
      </c>
      <c r="Y367" s="218">
        <f t="shared" si="83"/>
        <v>2.3086253811100549E-2</v>
      </c>
      <c r="Z367" s="87">
        <f t="shared" si="89"/>
        <v>-0.12230522945570965</v>
      </c>
      <c r="AA367" s="87">
        <f t="shared" si="100"/>
        <v>0.14015092127417367</v>
      </c>
      <c r="AB367" s="87">
        <f t="shared" si="102"/>
        <v>0.14015092127417364</v>
      </c>
      <c r="AD367" s="87">
        <f t="shared" si="96"/>
        <v>8.5570125842309164E-3</v>
      </c>
      <c r="AF367" s="197">
        <f>MAX($B$2:B367)</f>
        <v>18326</v>
      </c>
    </row>
    <row r="368" spans="1:32" x14ac:dyDescent="0.25">
      <c r="A368" s="137">
        <v>44259</v>
      </c>
      <c r="B368" s="156">
        <v>7432</v>
      </c>
      <c r="C368" s="23">
        <f t="shared" si="97"/>
        <v>5759.7142857142853</v>
      </c>
      <c r="D368" s="156">
        <f t="shared" si="87"/>
        <v>2133963</v>
      </c>
      <c r="E368" s="156">
        <v>191</v>
      </c>
      <c r="F368" s="23">
        <f t="shared" si="98"/>
        <v>121.57142857142857</v>
      </c>
      <c r="G368" s="156">
        <f t="shared" si="84"/>
        <v>52618</v>
      </c>
      <c r="H368" s="156">
        <f t="shared" si="90"/>
        <v>6788</v>
      </c>
      <c r="I368" s="185">
        <v>1928377</v>
      </c>
      <c r="J368" s="156">
        <v>3489</v>
      </c>
      <c r="K368" s="23">
        <f t="shared" si="91"/>
        <v>3502.2857142857142</v>
      </c>
      <c r="L368" s="156">
        <v>52553</v>
      </c>
      <c r="M368" s="23">
        <f t="shared" si="91"/>
        <v>42230.714285714283</v>
      </c>
      <c r="N368" s="4">
        <f t="shared" si="99"/>
        <v>7606750</v>
      </c>
      <c r="O368" s="7">
        <v>13099</v>
      </c>
      <c r="P368" s="7">
        <v>4288679</v>
      </c>
      <c r="Q368" s="4">
        <f t="shared" si="92"/>
        <v>4301778</v>
      </c>
      <c r="R368" s="4"/>
      <c r="S368" s="4"/>
      <c r="T368" s="4"/>
      <c r="U368" s="4"/>
      <c r="V368" s="4">
        <f t="shared" si="93"/>
        <v>152968</v>
      </c>
      <c r="W368" s="47">
        <f t="shared" si="101"/>
        <v>-32</v>
      </c>
      <c r="X368" s="119">
        <f t="shared" si="94"/>
        <v>453</v>
      </c>
      <c r="Y368" s="218">
        <f t="shared" ref="Y368:Y397" si="103">J368/V368</f>
        <v>2.2808692014016002E-2</v>
      </c>
      <c r="Z368" s="87">
        <f t="shared" si="89"/>
        <v>-8.4659568188525935E-2</v>
      </c>
      <c r="AA368" s="87">
        <f t="shared" si="100"/>
        <v>0.13638685452362026</v>
      </c>
      <c r="AB368" s="87">
        <f t="shared" si="102"/>
        <v>0.13638685452362026</v>
      </c>
      <c r="AD368" s="87">
        <f t="shared" si="96"/>
        <v>-6.9012081983497175E-3</v>
      </c>
      <c r="AF368" s="197">
        <f>MAX($B$2:B368)</f>
        <v>18326</v>
      </c>
    </row>
    <row r="369" spans="1:32" x14ac:dyDescent="0.25">
      <c r="A369" s="137">
        <v>44260</v>
      </c>
      <c r="B369" s="156">
        <v>7891</v>
      </c>
      <c r="C369" s="23">
        <f t="shared" si="97"/>
        <v>6160.8571428571431</v>
      </c>
      <c r="D369" s="156">
        <f t="shared" si="87"/>
        <v>2141854</v>
      </c>
      <c r="E369" s="156">
        <v>140</v>
      </c>
      <c r="F369" s="23">
        <f t="shared" si="98"/>
        <v>128.42857142857142</v>
      </c>
      <c r="G369" s="156">
        <f t="shared" ref="G369:G399" si="104">G368+E369</f>
        <v>52758</v>
      </c>
      <c r="H369" s="156">
        <f t="shared" si="90"/>
        <v>6468</v>
      </c>
      <c r="I369" s="185">
        <v>1934845</v>
      </c>
      <c r="J369" s="156">
        <v>3485</v>
      </c>
      <c r="K369" s="23">
        <f t="shared" si="91"/>
        <v>3503.7142857142858</v>
      </c>
      <c r="L369" s="156">
        <v>42063</v>
      </c>
      <c r="M369" s="23">
        <f t="shared" si="91"/>
        <v>42033.285714285717</v>
      </c>
      <c r="N369" s="4">
        <f t="shared" si="99"/>
        <v>7648813</v>
      </c>
      <c r="O369" s="7">
        <v>13197</v>
      </c>
      <c r="P369" s="7">
        <v>4316933</v>
      </c>
      <c r="Q369" s="4">
        <f t="shared" si="92"/>
        <v>4330130</v>
      </c>
      <c r="R369" s="4"/>
      <c r="S369" s="4"/>
      <c r="T369" s="4"/>
      <c r="U369" s="4"/>
      <c r="V369" s="4">
        <f t="shared" si="93"/>
        <v>154251</v>
      </c>
      <c r="W369" s="47">
        <f t="shared" si="101"/>
        <v>-4</v>
      </c>
      <c r="X369" s="119">
        <f t="shared" si="94"/>
        <v>1283</v>
      </c>
      <c r="Y369" s="218">
        <f t="shared" si="103"/>
        <v>2.2593046398402605E-2</v>
      </c>
      <c r="Z369" s="87">
        <f t="shared" si="89"/>
        <v>-1.0235931332048032E-2</v>
      </c>
      <c r="AA369" s="87">
        <f t="shared" si="100"/>
        <v>0.14657091488718124</v>
      </c>
      <c r="AB369" s="87">
        <f t="shared" si="102"/>
        <v>0.14657091488718124</v>
      </c>
      <c r="AD369" s="87">
        <f t="shared" si="96"/>
        <v>1.4022787028922234E-3</v>
      </c>
      <c r="AF369" s="197">
        <f>MAX($B$2:B369)</f>
        <v>18326</v>
      </c>
    </row>
    <row r="370" spans="1:32" x14ac:dyDescent="0.25">
      <c r="A370" s="137">
        <v>44261</v>
      </c>
      <c r="B370" s="156">
        <v>4860</v>
      </c>
      <c r="C370" s="23">
        <f t="shared" si="97"/>
        <v>6073.8571428571431</v>
      </c>
      <c r="D370" s="156">
        <f t="shared" si="87"/>
        <v>2146714</v>
      </c>
      <c r="E370" s="156">
        <v>86</v>
      </c>
      <c r="F370" s="23">
        <f t="shared" si="98"/>
        <v>132.28571428571428</v>
      </c>
      <c r="G370" s="156">
        <f t="shared" si="104"/>
        <v>52844</v>
      </c>
      <c r="H370" s="156">
        <f t="shared" si="90"/>
        <v>5472</v>
      </c>
      <c r="I370" s="185">
        <v>1940317</v>
      </c>
      <c r="J370" s="156">
        <v>3475</v>
      </c>
      <c r="K370" s="23">
        <f t="shared" si="91"/>
        <v>3501</v>
      </c>
      <c r="L370" s="156">
        <v>37730</v>
      </c>
      <c r="M370" s="23">
        <f t="shared" si="91"/>
        <v>41695.428571428572</v>
      </c>
      <c r="N370" s="4">
        <f t="shared" si="99"/>
        <v>7686543</v>
      </c>
      <c r="O370" s="7"/>
      <c r="P370" s="7"/>
      <c r="Q370" s="4"/>
      <c r="R370" s="4"/>
      <c r="S370" s="4"/>
      <c r="T370" s="4"/>
      <c r="U370" s="4"/>
      <c r="V370" s="4">
        <f t="shared" si="93"/>
        <v>153553</v>
      </c>
      <c r="W370" s="47">
        <f t="shared" si="101"/>
        <v>-10</v>
      </c>
      <c r="X370" s="119">
        <f t="shared" si="94"/>
        <v>-698</v>
      </c>
      <c r="Y370" s="218">
        <f t="shared" si="103"/>
        <v>2.2630622651462363E-2</v>
      </c>
      <c r="Z370" s="87">
        <f t="shared" si="89"/>
        <v>-1.1944876949176231E-2</v>
      </c>
      <c r="AA370" s="87">
        <f t="shared" si="100"/>
        <v>0.14567201611687475</v>
      </c>
      <c r="AB370" s="87">
        <f t="shared" si="102"/>
        <v>0.14567201611687475</v>
      </c>
      <c r="AD370" s="87">
        <f t="shared" si="96"/>
        <v>2.3565199227113531E-3</v>
      </c>
      <c r="AF370" s="197">
        <f>MAX($B$2:B370)</f>
        <v>18326</v>
      </c>
    </row>
    <row r="371" spans="1:32" x14ac:dyDescent="0.25">
      <c r="A371" s="137">
        <v>44262</v>
      </c>
      <c r="B371" s="156">
        <v>2922</v>
      </c>
      <c r="C371" s="23">
        <f t="shared" si="97"/>
        <v>6038.7142857142853</v>
      </c>
      <c r="D371" s="156">
        <f t="shared" si="87"/>
        <v>2149636</v>
      </c>
      <c r="E371" s="156">
        <v>10</v>
      </c>
      <c r="F371" s="23">
        <f t="shared" si="98"/>
        <v>131</v>
      </c>
      <c r="G371" s="156">
        <f t="shared" si="104"/>
        <v>52854</v>
      </c>
      <c r="H371" s="156">
        <f t="shared" si="90"/>
        <v>5499</v>
      </c>
      <c r="I371" s="185">
        <v>1945816</v>
      </c>
      <c r="J371" s="156">
        <v>3467</v>
      </c>
      <c r="K371" s="23">
        <f t="shared" si="91"/>
        <v>3495.5714285714284</v>
      </c>
      <c r="L371" s="156">
        <v>22839</v>
      </c>
      <c r="M371" s="23">
        <f t="shared" si="91"/>
        <v>40541.714285714283</v>
      </c>
      <c r="N371" s="4">
        <f t="shared" si="99"/>
        <v>7709382</v>
      </c>
      <c r="O371" s="7">
        <v>13283</v>
      </c>
      <c r="P371" s="7">
        <v>4351403</v>
      </c>
      <c r="Q371" s="4">
        <f t="shared" si="92"/>
        <v>4364686</v>
      </c>
      <c r="R371" s="4"/>
      <c r="S371" s="4"/>
      <c r="T371" s="4"/>
      <c r="U371" s="4"/>
      <c r="V371" s="4">
        <f t="shared" si="93"/>
        <v>150966</v>
      </c>
      <c r="W371" s="47">
        <f t="shared" si="101"/>
        <v>-8</v>
      </c>
      <c r="X371" s="119">
        <f t="shared" si="94"/>
        <v>-2587</v>
      </c>
      <c r="Y371" s="218">
        <f t="shared" si="103"/>
        <v>2.2965435925970085E-2</v>
      </c>
      <c r="Z371" s="87">
        <f t="shared" si="89"/>
        <v>-2.3656320969123179E-5</v>
      </c>
      <c r="AA371" s="87">
        <f t="shared" si="100"/>
        <v>0.14895063990528273</v>
      </c>
      <c r="AB371" s="87">
        <f t="shared" si="102"/>
        <v>0.14895063990528273</v>
      </c>
      <c r="AD371" s="87">
        <f t="shared" si="96"/>
        <v>3.7165823399176734E-3</v>
      </c>
      <c r="AF371" s="197">
        <f>MAX($B$2:B371)</f>
        <v>18326</v>
      </c>
    </row>
    <row r="372" spans="1:32" x14ac:dyDescent="0.25">
      <c r="A372" s="137">
        <v>44263</v>
      </c>
      <c r="B372" s="156">
        <v>5058</v>
      </c>
      <c r="C372" s="23">
        <f t="shared" si="97"/>
        <v>6095.8571428571431</v>
      </c>
      <c r="D372" s="156">
        <f t="shared" ref="D372:D397" si="105">D371+B372</f>
        <v>2154694</v>
      </c>
      <c r="E372" s="263">
        <v>239</v>
      </c>
      <c r="F372" s="23">
        <f t="shared" si="98"/>
        <v>149.14285714285714</v>
      </c>
      <c r="G372" s="156">
        <f t="shared" si="104"/>
        <v>53093</v>
      </c>
      <c r="H372" s="156">
        <f t="shared" si="90"/>
        <v>5724</v>
      </c>
      <c r="I372" s="185">
        <v>1951540</v>
      </c>
      <c r="J372" s="156">
        <v>3484</v>
      </c>
      <c r="K372" s="23">
        <f t="shared" si="91"/>
        <v>3492.5714285714284</v>
      </c>
      <c r="L372" s="156">
        <v>28407</v>
      </c>
      <c r="M372" s="23">
        <f t="shared" si="91"/>
        <v>40294.714285714283</v>
      </c>
      <c r="N372" s="4">
        <f t="shared" si="99"/>
        <v>7737789</v>
      </c>
      <c r="O372" s="7">
        <v>13343</v>
      </c>
      <c r="P372" s="7">
        <v>4368459</v>
      </c>
      <c r="Q372" s="4">
        <f t="shared" si="92"/>
        <v>4381802</v>
      </c>
      <c r="R372" s="4"/>
      <c r="S372" s="4"/>
      <c r="T372" s="4"/>
      <c r="U372" s="4"/>
      <c r="V372" s="4">
        <f t="shared" si="93"/>
        <v>150061</v>
      </c>
      <c r="W372" s="47">
        <f t="shared" si="101"/>
        <v>17</v>
      </c>
      <c r="X372" s="151">
        <f t="shared" si="94"/>
        <v>-905</v>
      </c>
      <c r="Y372" s="218">
        <f t="shared" si="103"/>
        <v>2.3217224995168633E-2</v>
      </c>
      <c r="Z372" s="87">
        <f t="shared" si="89"/>
        <v>2.9506851959081315E-2</v>
      </c>
      <c r="AA372" s="87">
        <f t="shared" si="100"/>
        <v>0.15128180583770295</v>
      </c>
      <c r="AB372" s="87">
        <f t="shared" si="102"/>
        <v>0.15128180583770293</v>
      </c>
      <c r="AD372" s="87">
        <f t="shared" si="96"/>
        <v>9.587179418175884E-3</v>
      </c>
      <c r="AF372" s="197">
        <f>MAX($B$2:B372)</f>
        <v>18326</v>
      </c>
    </row>
    <row r="373" spans="1:32" x14ac:dyDescent="0.25">
      <c r="A373" s="137">
        <v>44264</v>
      </c>
      <c r="B373" s="156">
        <v>7307</v>
      </c>
      <c r="C373" s="23">
        <f t="shared" si="97"/>
        <v>6189.2857142857147</v>
      </c>
      <c r="D373" s="156">
        <f t="shared" si="105"/>
        <v>2162001</v>
      </c>
      <c r="E373" s="156">
        <v>131</v>
      </c>
      <c r="F373" s="23">
        <f t="shared" si="98"/>
        <v>151.28571428571428</v>
      </c>
      <c r="G373" s="156">
        <f t="shared" si="104"/>
        <v>53224</v>
      </c>
      <c r="H373" s="156">
        <f t="shared" si="90"/>
        <v>5051</v>
      </c>
      <c r="I373" s="185">
        <v>1956591</v>
      </c>
      <c r="J373" s="156">
        <v>3525</v>
      </c>
      <c r="K373" s="23">
        <f t="shared" si="91"/>
        <v>3492.2857142857142</v>
      </c>
      <c r="L373" s="156">
        <v>42565</v>
      </c>
      <c r="M373" s="23">
        <f t="shared" si="91"/>
        <v>40102.285714285717</v>
      </c>
      <c r="N373" s="4">
        <f t="shared" si="99"/>
        <v>7780354</v>
      </c>
      <c r="O373" s="7">
        <v>13426</v>
      </c>
      <c r="P373" s="7">
        <v>4392812</v>
      </c>
      <c r="Q373" s="4">
        <f t="shared" si="92"/>
        <v>4406238</v>
      </c>
      <c r="R373" s="4"/>
      <c r="S373" s="4"/>
      <c r="T373" s="4"/>
      <c r="U373" s="4"/>
      <c r="V373" s="4">
        <f t="shared" si="93"/>
        <v>152186</v>
      </c>
      <c r="W373" s="47">
        <f t="shared" si="101"/>
        <v>41</v>
      </c>
      <c r="X373" s="119">
        <f t="shared" si="94"/>
        <v>2125</v>
      </c>
      <c r="Y373" s="35">
        <f t="shared" si="103"/>
        <v>2.3162445954292774E-2</v>
      </c>
      <c r="Z373" s="266">
        <f t="shared" si="89"/>
        <v>5.3623540856031049E-2</v>
      </c>
      <c r="AA373" s="266">
        <f t="shared" si="100"/>
        <v>0.15433747987289645</v>
      </c>
      <c r="AB373" s="87">
        <f t="shared" si="102"/>
        <v>0.15433747987289645</v>
      </c>
      <c r="AD373" s="87">
        <f t="shared" si="96"/>
        <v>1.7456125689453428E-2</v>
      </c>
      <c r="AF373" s="197">
        <f>MAX($B$2:B373)</f>
        <v>18326</v>
      </c>
    </row>
    <row r="374" spans="1:32" x14ac:dyDescent="0.25">
      <c r="A374" s="137">
        <v>44265</v>
      </c>
      <c r="B374" s="156">
        <v>7693</v>
      </c>
      <c r="C374" s="23">
        <f t="shared" si="97"/>
        <v>6166.1428571428569</v>
      </c>
      <c r="D374" s="156">
        <f t="shared" si="105"/>
        <v>2169694</v>
      </c>
      <c r="E374" s="156">
        <v>107</v>
      </c>
      <c r="F374" s="23">
        <f t="shared" si="98"/>
        <v>129.14285714285714</v>
      </c>
      <c r="G374" s="156">
        <f t="shared" si="104"/>
        <v>53331</v>
      </c>
      <c r="H374" s="156">
        <f t="shared" si="90"/>
        <v>5049</v>
      </c>
      <c r="I374" s="185">
        <v>1961640</v>
      </c>
      <c r="J374" s="156">
        <v>3491</v>
      </c>
      <c r="K374" s="23">
        <f t="shared" si="91"/>
        <v>3488</v>
      </c>
      <c r="L374" s="156">
        <v>45460</v>
      </c>
      <c r="M374" s="23">
        <f t="shared" si="91"/>
        <v>38802.428571428572</v>
      </c>
      <c r="N374" s="4">
        <f t="shared" si="99"/>
        <v>7825814</v>
      </c>
      <c r="O374" s="7">
        <v>13539</v>
      </c>
      <c r="P374" s="7">
        <v>4419508</v>
      </c>
      <c r="Q374" s="4">
        <f t="shared" si="92"/>
        <v>4433047</v>
      </c>
      <c r="R374" s="4"/>
      <c r="S374" s="4"/>
      <c r="T374" s="4"/>
      <c r="U374" s="4"/>
      <c r="V374" s="4">
        <f t="shared" si="93"/>
        <v>154723</v>
      </c>
      <c r="W374" s="47">
        <f t="shared" si="101"/>
        <v>-34</v>
      </c>
      <c r="X374" s="119">
        <f t="shared" si="94"/>
        <v>2537</v>
      </c>
      <c r="Y374" s="35">
        <f t="shared" si="103"/>
        <v>2.2562902735856982E-2</v>
      </c>
      <c r="Z374" s="266">
        <f t="shared" si="89"/>
        <v>7.0564016072225844E-2</v>
      </c>
      <c r="AA374" s="266">
        <f t="shared" si="100"/>
        <v>0.15891126107717851</v>
      </c>
      <c r="AB374" s="87">
        <f t="shared" si="102"/>
        <v>0.15891126107717854</v>
      </c>
      <c r="AD374" s="87">
        <f t="shared" si="96"/>
        <v>1.4477264531357559E-2</v>
      </c>
      <c r="AF374" s="197">
        <f>MAX($B$2:B374)</f>
        <v>18326</v>
      </c>
    </row>
    <row r="375" spans="1:32" x14ac:dyDescent="0.25">
      <c r="A375" s="137">
        <v>44266</v>
      </c>
      <c r="B375" s="156">
        <v>8204</v>
      </c>
      <c r="C375" s="23">
        <f t="shared" si="97"/>
        <v>6276.4285714285716</v>
      </c>
      <c r="D375" s="156">
        <f t="shared" si="105"/>
        <v>2177898</v>
      </c>
      <c r="E375" s="156">
        <v>134</v>
      </c>
      <c r="F375" s="23">
        <f t="shared" si="98"/>
        <v>121</v>
      </c>
      <c r="G375" s="156">
        <f t="shared" si="104"/>
        <v>53465</v>
      </c>
      <c r="H375" s="156">
        <f t="shared" si="90"/>
        <v>6822</v>
      </c>
      <c r="I375" s="185">
        <v>1968462</v>
      </c>
      <c r="J375" s="156">
        <v>3438</v>
      </c>
      <c r="K375" s="23">
        <f t="shared" si="91"/>
        <v>3480.7142857142858</v>
      </c>
      <c r="L375" s="156">
        <v>50248</v>
      </c>
      <c r="M375" s="23">
        <f t="shared" si="91"/>
        <v>38473.142857142855</v>
      </c>
      <c r="N375" s="4">
        <f t="shared" si="99"/>
        <v>7876062</v>
      </c>
      <c r="O375" s="7">
        <v>13624</v>
      </c>
      <c r="P375" s="7">
        <v>4452083</v>
      </c>
      <c r="Q375" s="4">
        <f t="shared" si="92"/>
        <v>4465707</v>
      </c>
      <c r="R375" s="4"/>
      <c r="S375" s="4"/>
      <c r="T375" s="4"/>
      <c r="U375" s="4"/>
      <c r="V375" s="4">
        <f t="shared" si="93"/>
        <v>155971</v>
      </c>
      <c r="W375" s="47">
        <f t="shared" si="101"/>
        <v>-53</v>
      </c>
      <c r="X375" s="119">
        <f t="shared" si="94"/>
        <v>1248</v>
      </c>
      <c r="Y375" s="35">
        <f t="shared" si="103"/>
        <v>2.2042559193696264E-2</v>
      </c>
      <c r="Z375" s="266">
        <f t="shared" si="89"/>
        <v>1.8758985298891639E-2</v>
      </c>
      <c r="AA375" s="266">
        <f t="shared" si="100"/>
        <v>0.16313792181558937</v>
      </c>
      <c r="AB375" s="87">
        <f t="shared" si="102"/>
        <v>0.16313792181558937</v>
      </c>
      <c r="AD375" s="87">
        <f t="shared" si="96"/>
        <v>1.9631556926938964E-2</v>
      </c>
      <c r="AF375" s="197">
        <f>MAX($B$2:B375)</f>
        <v>18326</v>
      </c>
    </row>
    <row r="376" spans="1:32" x14ac:dyDescent="0.25">
      <c r="A376" s="137">
        <v>44267</v>
      </c>
      <c r="B376" s="156">
        <v>7849</v>
      </c>
      <c r="C376" s="23">
        <f t="shared" si="97"/>
        <v>6270.4285714285716</v>
      </c>
      <c r="D376" s="156">
        <f t="shared" si="105"/>
        <v>2185747</v>
      </c>
      <c r="E376" s="156">
        <v>86</v>
      </c>
      <c r="F376" s="23">
        <f t="shared" si="98"/>
        <v>113.28571428571429</v>
      </c>
      <c r="G376" s="156">
        <f t="shared" si="104"/>
        <v>53551</v>
      </c>
      <c r="H376" s="156">
        <f t="shared" si="90"/>
        <v>6404</v>
      </c>
      <c r="I376" s="185">
        <v>1974866</v>
      </c>
      <c r="J376" s="156">
        <v>3417</v>
      </c>
      <c r="K376" s="23">
        <f t="shared" si="91"/>
        <v>3471</v>
      </c>
      <c r="L376" s="156">
        <v>53578</v>
      </c>
      <c r="M376" s="23">
        <f t="shared" si="91"/>
        <v>40118.142857142855</v>
      </c>
      <c r="N376" s="4">
        <f t="shared" si="99"/>
        <v>7929640</v>
      </c>
      <c r="O376" s="7">
        <v>13823</v>
      </c>
      <c r="P376" s="7">
        <v>4476389</v>
      </c>
      <c r="Q376" s="4">
        <f t="shared" si="92"/>
        <v>4490212</v>
      </c>
      <c r="R376" s="4"/>
      <c r="S376" s="4"/>
      <c r="T376" s="4"/>
      <c r="U376" s="4"/>
      <c r="V376" s="4">
        <f t="shared" si="93"/>
        <v>157330</v>
      </c>
      <c r="W376" s="47">
        <f t="shared" si="101"/>
        <v>-21</v>
      </c>
      <c r="X376" s="119">
        <f t="shared" si="94"/>
        <v>1359</v>
      </c>
      <c r="Y376" s="35">
        <f t="shared" si="103"/>
        <v>2.1718680480518657E-2</v>
      </c>
      <c r="Z376" s="266">
        <f t="shared" si="89"/>
        <v>3.2363525178163988E-2</v>
      </c>
      <c r="AA376" s="266">
        <f t="shared" si="100"/>
        <v>0.15629907380700575</v>
      </c>
      <c r="AB376" s="87">
        <f t="shared" si="102"/>
        <v>0.15629907380700572</v>
      </c>
      <c r="AD376" s="87">
        <f t="shared" si="96"/>
        <v>1.9960972700339141E-2</v>
      </c>
      <c r="AF376" s="197">
        <f>MAX($B$2:B376)</f>
        <v>18326</v>
      </c>
    </row>
    <row r="377" spans="1:32" x14ac:dyDescent="0.25">
      <c r="A377" s="137">
        <v>44268</v>
      </c>
      <c r="B377" s="156">
        <v>6278</v>
      </c>
      <c r="C377" s="23">
        <f t="shared" si="97"/>
        <v>6473</v>
      </c>
      <c r="D377" s="156">
        <f t="shared" si="105"/>
        <v>2192025</v>
      </c>
      <c r="E377" s="156">
        <v>68</v>
      </c>
      <c r="F377" s="23">
        <f t="shared" si="98"/>
        <v>110.71428571428571</v>
      </c>
      <c r="G377" s="156">
        <f t="shared" si="104"/>
        <v>53619</v>
      </c>
      <c r="H377" s="156">
        <f t="shared" si="90"/>
        <v>6291</v>
      </c>
      <c r="I377" s="185">
        <v>1981157</v>
      </c>
      <c r="J377" s="156">
        <v>3454</v>
      </c>
      <c r="K377" s="23">
        <f t="shared" si="91"/>
        <v>3468</v>
      </c>
      <c r="L377" s="156">
        <v>42812</v>
      </c>
      <c r="M377" s="23">
        <f t="shared" si="91"/>
        <v>40844.142857142855</v>
      </c>
      <c r="N377" s="4">
        <f t="shared" si="99"/>
        <v>7972452</v>
      </c>
      <c r="O377" s="7">
        <v>13891</v>
      </c>
      <c r="P377" s="7">
        <v>4502329</v>
      </c>
      <c r="Q377" s="4">
        <f t="shared" si="92"/>
        <v>4516220</v>
      </c>
      <c r="R377" s="4"/>
      <c r="S377" s="4"/>
      <c r="T377" s="4"/>
      <c r="U377" s="4"/>
      <c r="V377" s="4">
        <f t="shared" si="93"/>
        <v>157249</v>
      </c>
      <c r="W377" s="47">
        <f t="shared" si="101"/>
        <v>37</v>
      </c>
      <c r="X377" s="119">
        <f t="shared" si="94"/>
        <v>-81</v>
      </c>
      <c r="Y377" s="35">
        <f t="shared" si="103"/>
        <v>2.1965163530451703E-2</v>
      </c>
      <c r="Z377" s="266">
        <f t="shared" si="89"/>
        <v>7.1916917035319772E-2</v>
      </c>
      <c r="AA377" s="266">
        <f t="shared" si="100"/>
        <v>0.15848049554228794</v>
      </c>
      <c r="AB377" s="87">
        <f t="shared" si="102"/>
        <v>0.15848049554228794</v>
      </c>
      <c r="AC377" s="218">
        <f t="shared" ref="AC377:AC402" si="106">F377/C363</f>
        <v>1.7786651978334709E-2</v>
      </c>
      <c r="AD377" s="87">
        <f t="shared" si="96"/>
        <v>2.4069865128001355E-2</v>
      </c>
      <c r="AF377" s="197">
        <f>MAX($B$2:B377)</f>
        <v>18326</v>
      </c>
    </row>
    <row r="378" spans="1:32" x14ac:dyDescent="0.25">
      <c r="A378" s="137">
        <v>44269</v>
      </c>
      <c r="B378" s="156">
        <v>3697</v>
      </c>
      <c r="C378" s="23">
        <f t="shared" si="97"/>
        <v>6583.7142857142853</v>
      </c>
      <c r="D378" s="156">
        <f t="shared" si="105"/>
        <v>2195722</v>
      </c>
      <c r="E378" s="156">
        <v>24</v>
      </c>
      <c r="F378" s="23">
        <f t="shared" si="98"/>
        <v>112.71428571428571</v>
      </c>
      <c r="G378" s="156">
        <f t="shared" si="104"/>
        <v>53643</v>
      </c>
      <c r="H378" s="156">
        <f t="shared" si="90"/>
        <v>5746</v>
      </c>
      <c r="I378" s="185">
        <v>1986903</v>
      </c>
      <c r="J378" s="156">
        <v>3479</v>
      </c>
      <c r="K378" s="23">
        <f t="shared" si="91"/>
        <v>3469.7142857142858</v>
      </c>
      <c r="L378" s="4">
        <v>26221</v>
      </c>
      <c r="M378" s="23">
        <f t="shared" si="91"/>
        <v>41327.285714285717</v>
      </c>
      <c r="N378" s="4">
        <f t="shared" si="99"/>
        <v>7998673</v>
      </c>
      <c r="O378" s="7">
        <v>13964</v>
      </c>
      <c r="P378" s="7">
        <v>4518854</v>
      </c>
      <c r="Q378" s="4">
        <f t="shared" si="92"/>
        <v>4532818</v>
      </c>
      <c r="R378" s="4"/>
      <c r="S378" s="4"/>
      <c r="T378" s="4"/>
      <c r="U378" s="4"/>
      <c r="V378" s="4">
        <f t="shared" si="93"/>
        <v>155176</v>
      </c>
      <c r="W378" s="47">
        <f t="shared" si="101"/>
        <v>25</v>
      </c>
      <c r="X378" s="119">
        <f t="shared" si="94"/>
        <v>-2073</v>
      </c>
      <c r="Y378" s="35">
        <f t="shared" si="103"/>
        <v>2.2419704077950197E-2</v>
      </c>
      <c r="Z378" s="266">
        <f t="shared" si="89"/>
        <v>8.0030934358229056E-2</v>
      </c>
      <c r="AA378" s="266">
        <f t="shared" si="100"/>
        <v>0.15930671884019895</v>
      </c>
      <c r="AB378" s="87">
        <f t="shared" si="102"/>
        <v>0.15930671884019898</v>
      </c>
      <c r="AC378" s="218">
        <f t="shared" si="106"/>
        <v>1.833561850758755E-2</v>
      </c>
      <c r="AD378" s="87">
        <f t="shared" si="96"/>
        <v>2.7887073910681792E-2</v>
      </c>
      <c r="AF378" s="197">
        <f>MAX($B$2:B378)</f>
        <v>18326</v>
      </c>
    </row>
    <row r="379" spans="1:32" x14ac:dyDescent="0.25">
      <c r="A379" s="137">
        <v>44270</v>
      </c>
      <c r="B379" s="156">
        <v>6164</v>
      </c>
      <c r="C379" s="23">
        <f t="shared" si="97"/>
        <v>6741.7142857142853</v>
      </c>
      <c r="D379" s="156">
        <f t="shared" si="105"/>
        <v>2201886</v>
      </c>
      <c r="E379" s="156">
        <v>166</v>
      </c>
      <c r="F379" s="23">
        <f t="shared" si="98"/>
        <v>102.28571428571429</v>
      </c>
      <c r="G379" s="156">
        <f t="shared" si="104"/>
        <v>53809</v>
      </c>
      <c r="H379" s="156">
        <f t="shared" si="90"/>
        <v>6312</v>
      </c>
      <c r="I379" s="185">
        <v>1993215</v>
      </c>
      <c r="J379" s="156">
        <v>3469</v>
      </c>
      <c r="K379" s="23">
        <f t="shared" si="91"/>
        <v>3467.5714285714284</v>
      </c>
      <c r="L379" s="4">
        <v>34040</v>
      </c>
      <c r="M379" s="23">
        <f t="shared" si="91"/>
        <v>42132</v>
      </c>
      <c r="N379" s="4">
        <f t="shared" si="99"/>
        <v>8032713</v>
      </c>
      <c r="O379" s="7">
        <v>14058</v>
      </c>
      <c r="P379" s="7">
        <v>4540295</v>
      </c>
      <c r="Q379" s="4">
        <f t="shared" si="92"/>
        <v>4554353</v>
      </c>
      <c r="R379" s="4"/>
      <c r="S379" s="4"/>
      <c r="T379" s="4"/>
      <c r="U379" s="4"/>
      <c r="V379" s="4">
        <f t="shared" si="93"/>
        <v>154862</v>
      </c>
      <c r="W379" s="47">
        <f t="shared" si="101"/>
        <v>-10</v>
      </c>
      <c r="X379" s="119">
        <f t="shared" si="94"/>
        <v>-314</v>
      </c>
      <c r="Y379" s="35">
        <f t="shared" si="103"/>
        <v>2.2400588911417909E-2</v>
      </c>
      <c r="Z379" s="266">
        <f t="shared" ref="Z379:Z398" si="107">C379/C373-1</f>
        <v>8.9255626081938599E-2</v>
      </c>
      <c r="AA379" s="266">
        <f t="shared" si="100"/>
        <v>0.16001410532883048</v>
      </c>
      <c r="AB379" s="87">
        <f t="shared" si="102"/>
        <v>0.16001410532883048</v>
      </c>
      <c r="AC379" s="218">
        <f t="shared" si="106"/>
        <v>1.6937925813777441E-2</v>
      </c>
      <c r="AD379" s="87">
        <f t="shared" si="96"/>
        <v>3.1993655913261865E-2</v>
      </c>
      <c r="AF379" s="197">
        <f>MAX($B$2:B379)</f>
        <v>18326</v>
      </c>
    </row>
    <row r="380" spans="1:32" x14ac:dyDescent="0.25">
      <c r="A380" s="137">
        <v>44271</v>
      </c>
      <c r="B380" s="156">
        <v>8235</v>
      </c>
      <c r="C380" s="23">
        <f t="shared" si="97"/>
        <v>6874.2857142857147</v>
      </c>
      <c r="D380" s="156">
        <f t="shared" si="105"/>
        <v>2210121</v>
      </c>
      <c r="E380" s="156">
        <v>202</v>
      </c>
      <c r="F380" s="23">
        <f t="shared" si="98"/>
        <v>112.42857142857143</v>
      </c>
      <c r="G380" s="156">
        <f t="shared" si="104"/>
        <v>54011</v>
      </c>
      <c r="H380" s="156">
        <f t="shared" si="90"/>
        <v>5379</v>
      </c>
      <c r="I380" s="185">
        <v>1998594</v>
      </c>
      <c r="J380" s="156">
        <v>3469</v>
      </c>
      <c r="K380" s="23">
        <f t="shared" si="91"/>
        <v>3459.5714285714284</v>
      </c>
      <c r="L380" s="4">
        <v>49875</v>
      </c>
      <c r="M380" s="23">
        <f t="shared" si="91"/>
        <v>43176.285714285717</v>
      </c>
      <c r="N380" s="4">
        <f t="shared" si="99"/>
        <v>8082588</v>
      </c>
      <c r="O380" s="7">
        <v>14170</v>
      </c>
      <c r="P380" s="7">
        <v>4569928</v>
      </c>
      <c r="Q380" s="4">
        <f t="shared" si="92"/>
        <v>4584098</v>
      </c>
      <c r="R380" s="4"/>
      <c r="S380" s="4"/>
      <c r="T380" s="4"/>
      <c r="U380" s="4"/>
      <c r="V380" s="4">
        <f t="shared" si="93"/>
        <v>157516</v>
      </c>
      <c r="W380" s="47">
        <f t="shared" si="101"/>
        <v>0</v>
      </c>
      <c r="X380" s="119">
        <f t="shared" si="94"/>
        <v>2654</v>
      </c>
      <c r="Y380" s="35">
        <f t="shared" si="103"/>
        <v>2.2023159552045507E-2</v>
      </c>
      <c r="Z380" s="266">
        <f t="shared" si="107"/>
        <v>0.11484373190000707</v>
      </c>
      <c r="AA380" s="266">
        <f t="shared" si="100"/>
        <v>0.15921438355711137</v>
      </c>
      <c r="AB380" s="87">
        <f t="shared" si="102"/>
        <v>0.15921438355711137</v>
      </c>
      <c r="AC380" s="218">
        <f t="shared" si="106"/>
        <v>1.8987647172360549E-2</v>
      </c>
      <c r="AD380" s="87">
        <f t="shared" si="96"/>
        <v>3.5022932464221501E-2</v>
      </c>
      <c r="AF380" s="197">
        <f>MAX($B$2:B380)</f>
        <v>18326</v>
      </c>
    </row>
    <row r="381" spans="1:32" x14ac:dyDescent="0.25">
      <c r="A381" s="137">
        <v>44272</v>
      </c>
      <c r="B381" s="156">
        <v>8304</v>
      </c>
      <c r="C381" s="23">
        <f t="shared" si="97"/>
        <v>6961.5714285714284</v>
      </c>
      <c r="D381" s="156">
        <f t="shared" si="105"/>
        <v>2218425</v>
      </c>
      <c r="E381" s="156">
        <v>195</v>
      </c>
      <c r="F381" s="23">
        <f t="shared" si="98"/>
        <v>125</v>
      </c>
      <c r="G381" s="156">
        <f t="shared" si="104"/>
        <v>54206</v>
      </c>
      <c r="H381" s="156">
        <f t="shared" si="90"/>
        <v>4527</v>
      </c>
      <c r="I381" s="185">
        <v>2003121</v>
      </c>
      <c r="J381" s="156">
        <v>3485</v>
      </c>
      <c r="K381" s="23">
        <f t="shared" si="91"/>
        <v>3458.7142857142858</v>
      </c>
      <c r="L381" s="4">
        <v>55017</v>
      </c>
      <c r="M381" s="23">
        <f t="shared" si="91"/>
        <v>44541.571428571428</v>
      </c>
      <c r="N381" s="4">
        <f t="shared" si="99"/>
        <v>8137605</v>
      </c>
      <c r="O381" s="7">
        <v>14274</v>
      </c>
      <c r="P381" s="7">
        <v>4602424</v>
      </c>
      <c r="Q381" s="4">
        <f t="shared" si="92"/>
        <v>4616698</v>
      </c>
      <c r="R381" s="4"/>
      <c r="S381" s="4"/>
      <c r="T381" s="4"/>
      <c r="U381" s="4"/>
      <c r="V381" s="4">
        <f t="shared" si="93"/>
        <v>161098</v>
      </c>
      <c r="W381" s="47">
        <f t="shared" si="101"/>
        <v>16</v>
      </c>
      <c r="X381" s="119">
        <f t="shared" si="94"/>
        <v>3582</v>
      </c>
      <c r="Y381" s="35">
        <f t="shared" si="103"/>
        <v>2.1632794944692051E-2</v>
      </c>
      <c r="Z381" s="266">
        <f t="shared" si="107"/>
        <v>0.10916126095368162</v>
      </c>
      <c r="AA381" s="266">
        <f t="shared" si="100"/>
        <v>0.15629379937201524</v>
      </c>
      <c r="AB381" s="87">
        <f t="shared" si="102"/>
        <v>0.15629379937201524</v>
      </c>
      <c r="AC381" s="218">
        <f t="shared" si="106"/>
        <v>2.1279182879377429E-2</v>
      </c>
      <c r="AD381" s="87">
        <f t="shared" si="96"/>
        <v>4.1202665408504258E-2</v>
      </c>
      <c r="AF381" s="197">
        <f>MAX($B$2:B381)</f>
        <v>18326</v>
      </c>
    </row>
    <row r="382" spans="1:32" x14ac:dyDescent="0.25">
      <c r="A382" s="137">
        <v>44273</v>
      </c>
      <c r="B382" s="156">
        <v>8328</v>
      </c>
      <c r="C382" s="23">
        <f t="shared" si="97"/>
        <v>6979.2857142857147</v>
      </c>
      <c r="D382" s="156">
        <f t="shared" si="105"/>
        <v>2226753</v>
      </c>
      <c r="E382" s="322">
        <v>153</v>
      </c>
      <c r="F382" s="23">
        <f t="shared" si="98"/>
        <v>127.71428571428571</v>
      </c>
      <c r="G382" s="156">
        <f t="shared" si="104"/>
        <v>54359</v>
      </c>
      <c r="H382" s="156">
        <f t="shared" si="90"/>
        <v>6756</v>
      </c>
      <c r="I382" s="185">
        <v>2009877</v>
      </c>
      <c r="J382" s="156">
        <v>3522</v>
      </c>
      <c r="K382" s="23">
        <f t="shared" si="91"/>
        <v>3470.7142857142858</v>
      </c>
      <c r="L382" s="4">
        <v>52192</v>
      </c>
      <c r="M382" s="23">
        <f t="shared" si="91"/>
        <v>44819.285714285717</v>
      </c>
      <c r="N382" s="4">
        <f t="shared" si="99"/>
        <v>8189797</v>
      </c>
      <c r="O382" s="7">
        <v>14378</v>
      </c>
      <c r="P382" s="7">
        <v>4634650</v>
      </c>
      <c r="Q382" s="4">
        <f t="shared" si="92"/>
        <v>4649028</v>
      </c>
      <c r="R382" s="4"/>
      <c r="S382" s="4"/>
      <c r="T382" s="4"/>
      <c r="U382" s="4"/>
      <c r="V382" s="4">
        <f t="shared" si="93"/>
        <v>162517</v>
      </c>
      <c r="W382" s="47">
        <f t="shared" si="101"/>
        <v>37</v>
      </c>
      <c r="X382" s="119">
        <f t="shared" si="94"/>
        <v>1419</v>
      </c>
      <c r="Y382" s="35">
        <f t="shared" si="103"/>
        <v>2.167157897327664E-2</v>
      </c>
      <c r="Z382" s="266">
        <f t="shared" si="107"/>
        <v>0.11304763857562716</v>
      </c>
      <c r="AA382" s="266">
        <f t="shared" si="100"/>
        <v>0.15572059221954834</v>
      </c>
      <c r="AB382" s="87">
        <f t="shared" si="102"/>
        <v>0.15572059221954834</v>
      </c>
      <c r="AC382" s="218">
        <f t="shared" si="106"/>
        <v>2.2173718934470957E-2</v>
      </c>
      <c r="AD382" s="87">
        <f t="shared" si="96"/>
        <v>4.1969340454315329E-2</v>
      </c>
      <c r="AF382" s="197">
        <f>MAX($B$2:B382)</f>
        <v>18326</v>
      </c>
    </row>
    <row r="383" spans="1:32" x14ac:dyDescent="0.25">
      <c r="A383" s="137">
        <v>44274</v>
      </c>
      <c r="B383" s="156">
        <v>8160</v>
      </c>
      <c r="C383" s="23">
        <f t="shared" si="97"/>
        <v>7023.7142857142853</v>
      </c>
      <c r="D383" s="156">
        <f t="shared" si="105"/>
        <v>2234913</v>
      </c>
      <c r="E383" s="156">
        <v>113</v>
      </c>
      <c r="F383" s="23">
        <f t="shared" si="98"/>
        <v>131.57142857142858</v>
      </c>
      <c r="G383" s="156">
        <f t="shared" si="104"/>
        <v>54472</v>
      </c>
      <c r="H383" s="156">
        <f t="shared" si="90"/>
        <v>6852</v>
      </c>
      <c r="I383" s="185">
        <v>2016729</v>
      </c>
      <c r="J383" s="156">
        <v>3534</v>
      </c>
      <c r="K383" s="23">
        <f t="shared" si="91"/>
        <v>3487.4285714285716</v>
      </c>
      <c r="L383" s="4">
        <v>61579</v>
      </c>
      <c r="M383" s="23">
        <f t="shared" si="91"/>
        <v>45962.285714285717</v>
      </c>
      <c r="N383" s="4">
        <f t="shared" si="99"/>
        <v>8251376</v>
      </c>
      <c r="O383" s="7">
        <v>14496</v>
      </c>
      <c r="P383" s="7">
        <v>4671212</v>
      </c>
      <c r="Q383" s="4">
        <f t="shared" si="92"/>
        <v>4685708</v>
      </c>
      <c r="R383" s="4"/>
      <c r="S383" s="4"/>
      <c r="T383" s="4"/>
      <c r="U383" s="4"/>
      <c r="V383" s="4">
        <f t="shared" si="93"/>
        <v>163712</v>
      </c>
      <c r="W383" s="47">
        <f t="shared" si="101"/>
        <v>12</v>
      </c>
      <c r="X383" s="119">
        <f t="shared" si="94"/>
        <v>1195</v>
      </c>
      <c r="Y383" s="35">
        <f t="shared" si="103"/>
        <v>2.1586688819390149E-2</v>
      </c>
      <c r="Z383" s="266">
        <f t="shared" si="107"/>
        <v>8.5078678466597557E-2</v>
      </c>
      <c r="AA383" s="266">
        <f t="shared" si="100"/>
        <v>0.15281473008926572</v>
      </c>
      <c r="AB383" s="87">
        <f t="shared" si="102"/>
        <v>0.15281473008926574</v>
      </c>
      <c r="AC383" s="218">
        <f t="shared" si="106"/>
        <v>2.1356026526921115E-2</v>
      </c>
      <c r="AD383" s="87">
        <f t="shared" si="96"/>
        <v>4.0564418737685015E-2</v>
      </c>
      <c r="AF383" s="197">
        <f>MAX($B$2:B383)</f>
        <v>18326</v>
      </c>
    </row>
    <row r="384" spans="1:32" x14ac:dyDescent="0.25">
      <c r="A384" s="137">
        <v>44275</v>
      </c>
      <c r="B384" s="156">
        <v>6826</v>
      </c>
      <c r="C384" s="23">
        <f t="shared" si="97"/>
        <v>7102</v>
      </c>
      <c r="D384" s="156">
        <f t="shared" si="105"/>
        <v>2241739</v>
      </c>
      <c r="E384" s="156">
        <v>42</v>
      </c>
      <c r="F384" s="23">
        <f t="shared" si="98"/>
        <v>127.85714285714286</v>
      </c>
      <c r="G384" s="156">
        <f t="shared" si="104"/>
        <v>54514</v>
      </c>
      <c r="H384" s="156">
        <f t="shared" si="90"/>
        <v>6935</v>
      </c>
      <c r="I384" s="185">
        <v>2023664</v>
      </c>
      <c r="J384" s="156">
        <v>3534</v>
      </c>
      <c r="K384" s="23">
        <f t="shared" si="91"/>
        <v>3498.8571428571427</v>
      </c>
      <c r="L384" s="4">
        <v>57789</v>
      </c>
      <c r="M384" s="23">
        <f t="shared" si="91"/>
        <v>48101.857142857145</v>
      </c>
      <c r="N384" s="4">
        <f t="shared" si="99"/>
        <v>8309165</v>
      </c>
      <c r="O384" s="7">
        <v>14641</v>
      </c>
      <c r="P384" s="7">
        <v>4709648</v>
      </c>
      <c r="Q384" s="4">
        <f t="shared" si="92"/>
        <v>4724289</v>
      </c>
      <c r="R384" s="4"/>
      <c r="S384" s="4"/>
      <c r="T384" s="4"/>
      <c r="U384" s="4"/>
      <c r="V384" s="4">
        <f t="shared" si="93"/>
        <v>163561</v>
      </c>
      <c r="W384" s="47">
        <f t="shared" si="101"/>
        <v>0</v>
      </c>
      <c r="X384" s="119">
        <f t="shared" si="94"/>
        <v>-151</v>
      </c>
      <c r="Y384" s="35">
        <f t="shared" si="103"/>
        <v>2.1606617714491842E-2</v>
      </c>
      <c r="Z384" s="266">
        <f t="shared" si="107"/>
        <v>7.8722388577876279E-2</v>
      </c>
      <c r="AA384" s="266">
        <f t="shared" si="100"/>
        <v>0.14764502707053187</v>
      </c>
      <c r="AB384" s="87">
        <f t="shared" si="102"/>
        <v>0.14764502707053187</v>
      </c>
      <c r="AC384" s="218">
        <f t="shared" si="106"/>
        <v>2.1050403368064539E-2</v>
      </c>
      <c r="AD384" s="87">
        <f t="shared" si="96"/>
        <v>4.0140159873830683E-2</v>
      </c>
      <c r="AF384" s="197">
        <f>MAX($B$2:B384)</f>
        <v>18326</v>
      </c>
    </row>
    <row r="385" spans="1:32" x14ac:dyDescent="0.25">
      <c r="A385" s="137">
        <v>44276</v>
      </c>
      <c r="B385" s="156">
        <v>4032</v>
      </c>
      <c r="C385" s="23">
        <f t="shared" si="97"/>
        <v>7149.8571428571431</v>
      </c>
      <c r="D385" s="156">
        <f t="shared" si="105"/>
        <v>2245771</v>
      </c>
      <c r="E385" s="156">
        <v>28</v>
      </c>
      <c r="F385" s="23">
        <f t="shared" si="98"/>
        <v>128.42857142857142</v>
      </c>
      <c r="G385" s="156">
        <f t="shared" si="104"/>
        <v>54542</v>
      </c>
      <c r="H385" s="156">
        <f t="shared" si="90"/>
        <v>6489</v>
      </c>
      <c r="I385" s="185">
        <v>2030153</v>
      </c>
      <c r="J385" s="156">
        <v>3534</v>
      </c>
      <c r="K385" s="23">
        <f t="shared" si="91"/>
        <v>3506.7142857142858</v>
      </c>
      <c r="L385" s="4">
        <v>31233</v>
      </c>
      <c r="M385" s="23">
        <f t="shared" si="91"/>
        <v>48817.857142857145</v>
      </c>
      <c r="N385" s="4">
        <f t="shared" si="99"/>
        <v>8340398</v>
      </c>
      <c r="O385" s="7">
        <v>14672</v>
      </c>
      <c r="P385" s="7">
        <v>4732074</v>
      </c>
      <c r="Q385" s="4">
        <f t="shared" si="92"/>
        <v>4746746</v>
      </c>
      <c r="R385" s="4"/>
      <c r="S385" s="4"/>
      <c r="T385" s="4"/>
      <c r="U385" s="4"/>
      <c r="V385" s="4">
        <f t="shared" si="93"/>
        <v>161076</v>
      </c>
      <c r="W385" s="47">
        <f t="shared" si="101"/>
        <v>0</v>
      </c>
      <c r="X385" s="119">
        <f t="shared" si="94"/>
        <v>-2485</v>
      </c>
      <c r="Y385" s="35">
        <f t="shared" si="103"/>
        <v>2.1939953810623556E-2</v>
      </c>
      <c r="Z385" s="266">
        <f t="shared" si="107"/>
        <v>6.053992202068148E-2</v>
      </c>
      <c r="AA385" s="266">
        <f t="shared" si="100"/>
        <v>0.14645987270466018</v>
      </c>
      <c r="AB385" s="87">
        <f t="shared" si="102"/>
        <v>0.14645987270466018</v>
      </c>
      <c r="AC385" s="218">
        <f t="shared" si="106"/>
        <v>2.126753566274751E-2</v>
      </c>
      <c r="AD385" s="87">
        <f t="shared" si="96"/>
        <v>3.8021343506727812E-2</v>
      </c>
      <c r="AF385" s="197">
        <f>MAX($B$2:B385)</f>
        <v>18326</v>
      </c>
    </row>
    <row r="386" spans="1:32" x14ac:dyDescent="0.25">
      <c r="A386" s="137">
        <v>44277</v>
      </c>
      <c r="B386" s="156">
        <v>6401</v>
      </c>
      <c r="C386" s="23">
        <f t="shared" si="97"/>
        <v>7183.7142857142853</v>
      </c>
      <c r="D386" s="156">
        <f t="shared" si="105"/>
        <v>2252172</v>
      </c>
      <c r="E386" s="156">
        <v>125</v>
      </c>
      <c r="F386" s="23">
        <f t="shared" si="98"/>
        <v>122.57142857142857</v>
      </c>
      <c r="G386" s="156">
        <f t="shared" si="104"/>
        <v>54667</v>
      </c>
      <c r="H386" s="156">
        <f t="shared" si="90"/>
        <v>7533</v>
      </c>
      <c r="I386" s="185">
        <v>2037686</v>
      </c>
      <c r="J386" s="156">
        <v>3530</v>
      </c>
      <c r="K386" s="23">
        <f t="shared" si="91"/>
        <v>3515.4285714285716</v>
      </c>
      <c r="L386" s="4">
        <v>43438</v>
      </c>
      <c r="M386" s="23">
        <f t="shared" si="91"/>
        <v>50160.428571428572</v>
      </c>
      <c r="N386" s="4">
        <f t="shared" si="99"/>
        <v>8383836</v>
      </c>
      <c r="O386" s="7">
        <v>14773</v>
      </c>
      <c r="P386" s="7">
        <v>4756568</v>
      </c>
      <c r="Q386" s="4">
        <f t="shared" si="92"/>
        <v>4771341</v>
      </c>
      <c r="R386" s="4"/>
      <c r="S386" s="4"/>
      <c r="T386" s="4"/>
      <c r="U386" s="4"/>
      <c r="V386" s="4">
        <f t="shared" si="93"/>
        <v>159819</v>
      </c>
      <c r="W386" s="47">
        <f t="shared" si="101"/>
        <v>-4</v>
      </c>
      <c r="X386" s="119">
        <f t="shared" si="94"/>
        <v>-1257</v>
      </c>
      <c r="Y386" s="35">
        <f t="shared" si="103"/>
        <v>2.2087486469068135E-2</v>
      </c>
      <c r="Z386" s="266">
        <f t="shared" si="107"/>
        <v>4.5012468827930086E-2</v>
      </c>
      <c r="AA386" s="266">
        <f t="shared" si="100"/>
        <v>0.14321477089225143</v>
      </c>
      <c r="AB386" s="87">
        <f t="shared" si="102"/>
        <v>0.14321477089225143</v>
      </c>
      <c r="AC386" s="218">
        <f t="shared" si="106"/>
        <v>2.0107332849007523E-2</v>
      </c>
      <c r="AD386" s="87">
        <f t="shared" si="96"/>
        <v>3.2009143624646352E-2</v>
      </c>
      <c r="AF386" s="197">
        <f>MAX($B$2:B386)</f>
        <v>18326</v>
      </c>
    </row>
    <row r="387" spans="1:32" x14ac:dyDescent="0.25">
      <c r="A387" s="137">
        <v>44278</v>
      </c>
      <c r="B387" s="156">
        <v>9405</v>
      </c>
      <c r="C387" s="23">
        <f t="shared" si="97"/>
        <v>7350.8571428571431</v>
      </c>
      <c r="D387" s="156">
        <f t="shared" si="105"/>
        <v>2261577</v>
      </c>
      <c r="E387" s="156">
        <v>153</v>
      </c>
      <c r="F387" s="23">
        <f t="shared" si="98"/>
        <v>115.57142857142857</v>
      </c>
      <c r="G387" s="156">
        <f t="shared" si="104"/>
        <v>54820</v>
      </c>
      <c r="H387" s="156">
        <f t="shared" ref="H387:H407" si="108">I387-I386</f>
        <v>6271</v>
      </c>
      <c r="I387" s="185">
        <v>2043957</v>
      </c>
      <c r="J387" s="156">
        <v>3591</v>
      </c>
      <c r="K387" s="23">
        <f t="shared" si="91"/>
        <v>3532.8571428571427</v>
      </c>
      <c r="L387" s="4">
        <v>49703</v>
      </c>
      <c r="M387" s="23">
        <f t="shared" si="91"/>
        <v>50135.857142857145</v>
      </c>
      <c r="N387" s="4">
        <f t="shared" si="99"/>
        <v>8433539</v>
      </c>
      <c r="O387" s="7">
        <v>14892</v>
      </c>
      <c r="P387" s="7">
        <v>4786032</v>
      </c>
      <c r="Q387" s="4">
        <f t="shared" si="92"/>
        <v>4800924</v>
      </c>
      <c r="R387" s="4"/>
      <c r="S387" s="4"/>
      <c r="T387" s="4"/>
      <c r="U387" s="4"/>
      <c r="V387" s="4">
        <f t="shared" si="93"/>
        <v>162800</v>
      </c>
      <c r="W387" s="47">
        <f t="shared" si="101"/>
        <v>61</v>
      </c>
      <c r="X387" s="119">
        <f t="shared" si="94"/>
        <v>2981</v>
      </c>
      <c r="Y387" s="35">
        <f t="shared" si="103"/>
        <v>2.2057739557739559E-2</v>
      </c>
      <c r="Z387" s="266">
        <f t="shared" si="107"/>
        <v>5.5919230058894875E-2</v>
      </c>
      <c r="AA387" s="266">
        <f t="shared" si="100"/>
        <v>0.14661875874409819</v>
      </c>
      <c r="AB387" s="87">
        <f t="shared" si="102"/>
        <v>0.14661875874409819</v>
      </c>
      <c r="AC387" s="218">
        <f t="shared" si="106"/>
        <v>1.8672821696480092E-2</v>
      </c>
      <c r="AD387" s="87">
        <f t="shared" si="96"/>
        <v>3.3545798522054859E-2</v>
      </c>
      <c r="AF387" s="197">
        <f>MAX($B$2:B387)</f>
        <v>18326</v>
      </c>
    </row>
    <row r="388" spans="1:32" x14ac:dyDescent="0.25">
      <c r="A388" s="137">
        <v>44279</v>
      </c>
      <c r="B388" s="156">
        <v>8300</v>
      </c>
      <c r="C388" s="23">
        <f t="shared" si="97"/>
        <v>7350.2857142857147</v>
      </c>
      <c r="D388" s="156">
        <f t="shared" si="105"/>
        <v>2269877</v>
      </c>
      <c r="E388" s="156">
        <v>123</v>
      </c>
      <c r="F388" s="23">
        <f t="shared" si="98"/>
        <v>105.28571428571429</v>
      </c>
      <c r="G388" s="156">
        <f t="shared" si="104"/>
        <v>54943</v>
      </c>
      <c r="H388" s="156">
        <f t="shared" si="108"/>
        <v>5078</v>
      </c>
      <c r="I388" s="185">
        <v>2049035</v>
      </c>
      <c r="J388" s="156">
        <v>3574</v>
      </c>
      <c r="K388" s="23">
        <f t="shared" si="91"/>
        <v>3545.5714285714284</v>
      </c>
      <c r="L388" s="4">
        <v>44058</v>
      </c>
      <c r="M388" s="23">
        <f t="shared" si="91"/>
        <v>48570.285714285717</v>
      </c>
      <c r="N388" s="4">
        <f>N389-L389</f>
        <v>8477597</v>
      </c>
      <c r="O388" s="7">
        <v>15009</v>
      </c>
      <c r="P388" s="7">
        <v>4813948</v>
      </c>
      <c r="Q388" s="4">
        <f t="shared" si="92"/>
        <v>4828957</v>
      </c>
      <c r="R388" s="4"/>
      <c r="S388" s="4"/>
      <c r="T388" s="4"/>
      <c r="U388" s="4"/>
      <c r="V388" s="4">
        <f t="shared" si="93"/>
        <v>165899</v>
      </c>
      <c r="W388" s="47">
        <f t="shared" si="101"/>
        <v>-17</v>
      </c>
      <c r="X388" s="119">
        <f t="shared" si="94"/>
        <v>3099</v>
      </c>
      <c r="Y388" s="35">
        <f t="shared" si="103"/>
        <v>2.1543228108668527E-2</v>
      </c>
      <c r="Z388" s="266">
        <f t="shared" si="107"/>
        <v>5.3157302220857572E-2</v>
      </c>
      <c r="AA388" s="266">
        <f t="shared" si="100"/>
        <v>0.15133297254053035</v>
      </c>
      <c r="AB388" s="87">
        <f t="shared" si="102"/>
        <v>0.15133297254053035</v>
      </c>
      <c r="AC388" s="218">
        <f t="shared" si="106"/>
        <v>1.7074809443273175E-2</v>
      </c>
      <c r="AD388" s="87">
        <f t="shared" si="96"/>
        <v>2.9801735589517042E-2</v>
      </c>
      <c r="AF388" s="197">
        <f>MAX($B$2:B388)</f>
        <v>18326</v>
      </c>
    </row>
    <row r="389" spans="1:32" x14ac:dyDescent="0.25">
      <c r="A389" s="137">
        <v>44280</v>
      </c>
      <c r="B389" s="156">
        <v>8238</v>
      </c>
      <c r="C389" s="23">
        <f t="shared" si="97"/>
        <v>7337.4285714285716</v>
      </c>
      <c r="D389" s="156">
        <f t="shared" si="105"/>
        <v>2278115</v>
      </c>
      <c r="E389" s="156">
        <v>146</v>
      </c>
      <c r="F389" s="23">
        <f t="shared" si="98"/>
        <v>104.28571428571429</v>
      </c>
      <c r="G389" s="156">
        <f t="shared" si="104"/>
        <v>55089</v>
      </c>
      <c r="H389" s="156">
        <f t="shared" si="108"/>
        <v>7437</v>
      </c>
      <c r="I389" s="185">
        <v>2056472</v>
      </c>
      <c r="J389" s="156">
        <v>3585</v>
      </c>
      <c r="K389" s="23">
        <f t="shared" si="91"/>
        <v>3554.5714285714284</v>
      </c>
      <c r="L389" s="4">
        <v>40224</v>
      </c>
      <c r="M389" s="23">
        <f t="shared" si="91"/>
        <v>46860.571428571428</v>
      </c>
      <c r="N389" s="4">
        <v>8517821</v>
      </c>
      <c r="O389" s="8">
        <v>15109</v>
      </c>
      <c r="P389" s="7">
        <v>4837873</v>
      </c>
      <c r="Q389" s="4">
        <f t="shared" si="92"/>
        <v>4852982</v>
      </c>
      <c r="R389" s="4"/>
      <c r="S389" s="4"/>
      <c r="T389" s="4"/>
      <c r="U389" s="4"/>
      <c r="V389" s="4">
        <f t="shared" si="93"/>
        <v>166554</v>
      </c>
      <c r="W389" s="47">
        <f t="shared" si="101"/>
        <v>11</v>
      </c>
      <c r="X389" s="119">
        <f t="shared" si="94"/>
        <v>655</v>
      </c>
      <c r="Y389" s="35">
        <f t="shared" si="103"/>
        <v>2.1524550596203035E-2</v>
      </c>
      <c r="Z389" s="266">
        <f t="shared" si="107"/>
        <v>4.4665012406947868E-2</v>
      </c>
      <c r="AA389" s="266">
        <f t="shared" si="100"/>
        <v>0.15658000634099944</v>
      </c>
      <c r="AB389" s="87">
        <f t="shared" si="102"/>
        <v>0.15658000634099944</v>
      </c>
      <c r="AC389" s="218">
        <f t="shared" si="106"/>
        <v>1.6615454648913168E-2</v>
      </c>
      <c r="AD389" s="87">
        <f t="shared" si="96"/>
        <v>2.484047822689317E-2</v>
      </c>
      <c r="AF389" s="197">
        <f>MAX($B$2:B389)</f>
        <v>18326</v>
      </c>
    </row>
    <row r="390" spans="1:32" x14ac:dyDescent="0.25">
      <c r="A390" s="139">
        <v>44281</v>
      </c>
      <c r="B390" s="163">
        <v>12936</v>
      </c>
      <c r="C390" s="23">
        <f t="shared" si="97"/>
        <v>8019.7142857142853</v>
      </c>
      <c r="D390" s="163">
        <f t="shared" si="105"/>
        <v>2291051</v>
      </c>
      <c r="E390" s="163">
        <v>143</v>
      </c>
      <c r="F390" s="23">
        <f t="shared" si="98"/>
        <v>108.57142857142857</v>
      </c>
      <c r="G390" s="163">
        <f t="shared" si="104"/>
        <v>55232</v>
      </c>
      <c r="H390" s="163">
        <f t="shared" si="108"/>
        <v>8007</v>
      </c>
      <c r="I390" s="186">
        <v>2064479</v>
      </c>
      <c r="J390" s="163">
        <v>3508</v>
      </c>
      <c r="K390" s="23">
        <f t="shared" si="91"/>
        <v>3550.8571428571427</v>
      </c>
      <c r="L390" s="28">
        <v>88074</v>
      </c>
      <c r="M390" s="23">
        <f t="shared" si="91"/>
        <v>50645.571428571428</v>
      </c>
      <c r="N390" s="28">
        <f>N389+L390</f>
        <v>8605895</v>
      </c>
      <c r="O390" s="345">
        <v>15194</v>
      </c>
      <c r="P390" s="38">
        <v>4887389</v>
      </c>
      <c r="Q390" s="28">
        <f t="shared" si="92"/>
        <v>4902583</v>
      </c>
      <c r="R390" s="28"/>
      <c r="S390" s="28"/>
      <c r="T390" s="28"/>
      <c r="U390" s="28"/>
      <c r="V390" s="28">
        <f t="shared" si="93"/>
        <v>171340</v>
      </c>
      <c r="W390" s="81">
        <f t="shared" si="101"/>
        <v>-77</v>
      </c>
      <c r="X390" s="151">
        <f t="shared" si="94"/>
        <v>4786</v>
      </c>
      <c r="Y390" s="91">
        <f t="shared" si="103"/>
        <v>2.0473911520952494E-2</v>
      </c>
      <c r="Z390" s="346">
        <f t="shared" si="107"/>
        <v>0.1292191334432955</v>
      </c>
      <c r="AA390" s="346">
        <f t="shared" si="100"/>
        <v>0.15834976404649681</v>
      </c>
      <c r="AB390" s="87">
        <f t="shared" si="102"/>
        <v>0.15834976404649681</v>
      </c>
      <c r="AC390" s="218">
        <f t="shared" si="106"/>
        <v>1.7314833800378193E-2</v>
      </c>
      <c r="AD390" s="87">
        <f t="shared" si="96"/>
        <v>4.659401876465985E-2</v>
      </c>
      <c r="AF390" s="197">
        <f>MAX($B$2:B390)</f>
        <v>18326</v>
      </c>
    </row>
    <row r="391" spans="1:32" x14ac:dyDescent="0.25">
      <c r="A391" s="137">
        <v>44282</v>
      </c>
      <c r="B391" s="156">
        <v>10338</v>
      </c>
      <c r="C391" s="7">
        <f t="shared" si="97"/>
        <v>8521.4285714285706</v>
      </c>
      <c r="D391" s="156">
        <f t="shared" si="105"/>
        <v>2301389</v>
      </c>
      <c r="E391" s="156">
        <v>133</v>
      </c>
      <c r="F391" s="7">
        <f t="shared" si="98"/>
        <v>121.57142857142857</v>
      </c>
      <c r="G391" s="156">
        <f t="shared" si="104"/>
        <v>55365</v>
      </c>
      <c r="H391" s="156">
        <f t="shared" si="108"/>
        <v>7749</v>
      </c>
      <c r="I391" s="185">
        <v>2072228</v>
      </c>
      <c r="J391" s="156">
        <v>3506</v>
      </c>
      <c r="K391" s="7">
        <f t="shared" si="91"/>
        <v>3546.8571428571427</v>
      </c>
      <c r="L391" s="4">
        <v>44828</v>
      </c>
      <c r="M391" s="7">
        <f t="shared" si="91"/>
        <v>48794</v>
      </c>
      <c r="N391" s="4">
        <f>N390+L391</f>
        <v>8650723</v>
      </c>
      <c r="O391" s="7">
        <v>15244</v>
      </c>
      <c r="P391" s="7">
        <v>4915050</v>
      </c>
      <c r="Q391" s="4">
        <f t="shared" si="92"/>
        <v>4930294</v>
      </c>
      <c r="R391" s="4"/>
      <c r="S391" s="4"/>
      <c r="T391" s="4"/>
      <c r="U391" s="4"/>
      <c r="V391" s="4">
        <f t="shared" si="93"/>
        <v>173796</v>
      </c>
      <c r="W391" s="47">
        <f t="shared" si="101"/>
        <v>-2</v>
      </c>
      <c r="X391" s="119">
        <f t="shared" si="94"/>
        <v>2456</v>
      </c>
      <c r="Y391" s="35">
        <f t="shared" si="103"/>
        <v>2.0173076480471359E-2</v>
      </c>
      <c r="Z391" s="266">
        <f t="shared" si="107"/>
        <v>0.19183200463545713</v>
      </c>
      <c r="AA391" s="266">
        <f t="shared" si="100"/>
        <v>0.17464091018216524</v>
      </c>
      <c r="AB391" s="87">
        <f t="shared" si="102"/>
        <v>0.17464091018216527</v>
      </c>
      <c r="AC391" s="218">
        <f t="shared" si="106"/>
        <v>1.8781311381342279E-2</v>
      </c>
      <c r="AD391" s="87">
        <f t="shared" si="96"/>
        <v>6.2576041965994422E-2</v>
      </c>
      <c r="AF391" s="197">
        <f>MAX($B$2:B391)</f>
        <v>18326</v>
      </c>
    </row>
    <row r="392" spans="1:32" x14ac:dyDescent="0.25">
      <c r="A392" s="137">
        <v>44283</v>
      </c>
      <c r="B392" s="156">
        <v>7208</v>
      </c>
      <c r="C392" s="7">
        <f t="shared" si="97"/>
        <v>8975.1428571428569</v>
      </c>
      <c r="D392" s="156">
        <f t="shared" si="105"/>
        <v>2308597</v>
      </c>
      <c r="E392" s="156">
        <v>81</v>
      </c>
      <c r="F392" s="7">
        <f t="shared" si="98"/>
        <v>129.14285714285714</v>
      </c>
      <c r="G392" s="156">
        <f t="shared" si="104"/>
        <v>55446</v>
      </c>
      <c r="H392" s="156">
        <f t="shared" si="108"/>
        <v>7287</v>
      </c>
      <c r="I392" s="185">
        <v>2079515</v>
      </c>
      <c r="J392" s="156">
        <v>3505</v>
      </c>
      <c r="K392" s="7">
        <f t="shared" si="91"/>
        <v>3542.7142857142858</v>
      </c>
      <c r="L392" s="4">
        <v>37193</v>
      </c>
      <c r="M392" s="7">
        <f t="shared" si="91"/>
        <v>49645.428571428572</v>
      </c>
      <c r="N392" s="4">
        <f>N391+L392</f>
        <v>8687916</v>
      </c>
      <c r="O392" s="7">
        <v>15262</v>
      </c>
      <c r="P392" s="7">
        <v>4937915</v>
      </c>
      <c r="Q392" s="4">
        <f t="shared" si="92"/>
        <v>4953177</v>
      </c>
      <c r="R392" s="4"/>
      <c r="S392" s="4"/>
      <c r="T392" s="4"/>
      <c r="U392" s="4"/>
      <c r="V392" s="4">
        <f t="shared" si="93"/>
        <v>173636</v>
      </c>
      <c r="W392" s="47">
        <f t="shared" si="101"/>
        <v>-1</v>
      </c>
      <c r="X392" s="119">
        <f t="shared" si="94"/>
        <v>-160</v>
      </c>
      <c r="Y392" s="35">
        <f t="shared" si="103"/>
        <v>2.0185906148494553E-2</v>
      </c>
      <c r="Z392" s="266">
        <f t="shared" si="107"/>
        <v>0.24937358310464153</v>
      </c>
      <c r="AA392" s="266">
        <f t="shared" si="100"/>
        <v>0.18078488020764391</v>
      </c>
      <c r="AB392" s="87">
        <f t="shared" si="102"/>
        <v>0.18078488020764391</v>
      </c>
      <c r="AC392" s="218">
        <f t="shared" si="106"/>
        <v>1.9615501453803759E-2</v>
      </c>
      <c r="AD392" s="87">
        <f t="shared" si="96"/>
        <v>7.7975613995877824E-2</v>
      </c>
      <c r="AE392" s="87">
        <f t="shared" ref="AE392:AE407" si="109">B392/B385-1</f>
        <v>0.78769841269841279</v>
      </c>
      <c r="AF392" s="197">
        <f>MAX($B$2:B392)</f>
        <v>18326</v>
      </c>
    </row>
    <row r="393" spans="1:32" x14ac:dyDescent="0.25">
      <c r="A393" s="137">
        <v>44284</v>
      </c>
      <c r="B393" s="156">
        <v>14014</v>
      </c>
      <c r="C393" s="7">
        <f t="shared" si="97"/>
        <v>10062.714285714286</v>
      </c>
      <c r="D393" s="156">
        <f t="shared" si="105"/>
        <v>2322611</v>
      </c>
      <c r="E393" s="156">
        <v>163</v>
      </c>
      <c r="F393" s="7">
        <f t="shared" si="98"/>
        <v>134.57142857142858</v>
      </c>
      <c r="G393" s="156">
        <f t="shared" si="104"/>
        <v>55609</v>
      </c>
      <c r="H393" s="156">
        <f t="shared" si="108"/>
        <v>8741</v>
      </c>
      <c r="I393" s="185">
        <v>2088256</v>
      </c>
      <c r="J393" s="156">
        <v>3639</v>
      </c>
      <c r="K393" s="7">
        <f t="shared" ref="K393:M405" si="110">AVERAGE(J387:J393)</f>
        <v>3558.2857142857142</v>
      </c>
      <c r="L393" s="4">
        <v>57830</v>
      </c>
      <c r="M393" s="7">
        <f t="shared" si="110"/>
        <v>51701.428571428572</v>
      </c>
      <c r="N393" s="4">
        <f t="shared" ref="N393:N402" si="111">N392+L393</f>
        <v>8745746</v>
      </c>
      <c r="O393" s="7">
        <v>15319</v>
      </c>
      <c r="P393" s="7">
        <v>4975797</v>
      </c>
      <c r="Q393" s="4">
        <f t="shared" si="92"/>
        <v>4991116</v>
      </c>
      <c r="R393" s="4"/>
      <c r="S393" s="4"/>
      <c r="T393" s="4"/>
      <c r="U393" s="4"/>
      <c r="V393" s="4">
        <f t="shared" si="93"/>
        <v>178746</v>
      </c>
      <c r="W393" s="47">
        <f t="shared" si="101"/>
        <v>134</v>
      </c>
      <c r="X393" s="119">
        <f t="shared" si="94"/>
        <v>5110</v>
      </c>
      <c r="Y393" s="35">
        <f t="shared" si="103"/>
        <v>2.0358497532811923E-2</v>
      </c>
      <c r="Z393" s="266">
        <f t="shared" si="107"/>
        <v>0.36891713308457708</v>
      </c>
      <c r="AA393" s="266">
        <f t="shared" si="100"/>
        <v>0.19463126191594596</v>
      </c>
      <c r="AB393" s="87">
        <f t="shared" si="102"/>
        <v>0.19463126191594596</v>
      </c>
      <c r="AC393" s="218">
        <f t="shared" si="106"/>
        <v>1.9961010340735722E-2</v>
      </c>
      <c r="AD393" s="87">
        <f t="shared" si="96"/>
        <v>0.11842772135978819</v>
      </c>
      <c r="AE393" s="87">
        <f t="shared" si="109"/>
        <v>1.1893454147789408</v>
      </c>
      <c r="AF393" s="197">
        <f>MAX($B$2:B393)</f>
        <v>18326</v>
      </c>
    </row>
    <row r="394" spans="1:32" x14ac:dyDescent="0.25">
      <c r="A394" s="137">
        <v>44285</v>
      </c>
      <c r="B394" s="156">
        <v>10154</v>
      </c>
      <c r="C394" s="7">
        <f t="shared" si="97"/>
        <v>10169.714285714286</v>
      </c>
      <c r="D394" s="156">
        <f t="shared" si="105"/>
        <v>2332765</v>
      </c>
      <c r="E394" s="156">
        <v>125</v>
      </c>
      <c r="F394" s="7">
        <f t="shared" si="98"/>
        <v>130.57142857142858</v>
      </c>
      <c r="G394" s="156">
        <f t="shared" si="104"/>
        <v>55734</v>
      </c>
      <c r="H394" s="156">
        <f t="shared" si="108"/>
        <v>7597</v>
      </c>
      <c r="I394" s="185">
        <v>2095853</v>
      </c>
      <c r="J394" s="156">
        <v>3702</v>
      </c>
      <c r="K394" s="7">
        <f t="shared" si="110"/>
        <v>3574.1428571428573</v>
      </c>
      <c r="L394" s="4">
        <v>78400</v>
      </c>
      <c r="M394" s="7">
        <f t="shared" si="110"/>
        <v>55801</v>
      </c>
      <c r="N394" s="4">
        <f t="shared" si="111"/>
        <v>8824146</v>
      </c>
      <c r="O394" s="7">
        <v>15377</v>
      </c>
      <c r="P394" s="7">
        <v>5003806</v>
      </c>
      <c r="Q394" s="4">
        <f t="shared" si="92"/>
        <v>5019183</v>
      </c>
      <c r="R394" s="4"/>
      <c r="S394" s="4"/>
      <c r="T394" s="4"/>
      <c r="U394" s="4"/>
      <c r="V394" s="4">
        <f t="shared" si="93"/>
        <v>181178</v>
      </c>
      <c r="W394" s="47">
        <f t="shared" si="101"/>
        <v>63</v>
      </c>
      <c r="X394" s="119">
        <f t="shared" si="94"/>
        <v>2432</v>
      </c>
      <c r="Y394" s="35">
        <f t="shared" si="103"/>
        <v>2.0432944397222621E-2</v>
      </c>
      <c r="Z394" s="266">
        <f t="shared" si="107"/>
        <v>0.38358081318510462</v>
      </c>
      <c r="AA394" s="266">
        <f t="shared" si="100"/>
        <v>0.18224967806516526</v>
      </c>
      <c r="AB394" s="87">
        <f t="shared" si="102"/>
        <v>0.18224967806516523</v>
      </c>
      <c r="AC394" s="218">
        <f t="shared" si="106"/>
        <v>1.8994181213632586E-2</v>
      </c>
      <c r="AD394" s="87">
        <f t="shared" si="96"/>
        <v>0.11288697788697788</v>
      </c>
      <c r="AE394" s="87">
        <f t="shared" si="109"/>
        <v>7.9638490164805953E-2</v>
      </c>
      <c r="AF394" s="197">
        <f>MAX($B$2:B394)</f>
        <v>18326</v>
      </c>
    </row>
    <row r="395" spans="1:32" x14ac:dyDescent="0.25">
      <c r="A395" s="137">
        <v>44286</v>
      </c>
      <c r="B395" s="156">
        <v>16056</v>
      </c>
      <c r="C395" s="7">
        <f t="shared" si="97"/>
        <v>11277.714285714286</v>
      </c>
      <c r="D395" s="156">
        <f t="shared" si="105"/>
        <v>2348821</v>
      </c>
      <c r="E395" s="156">
        <v>124</v>
      </c>
      <c r="F395" s="7">
        <f t="shared" si="98"/>
        <v>130.71428571428572</v>
      </c>
      <c r="G395" s="156">
        <f t="shared" si="104"/>
        <v>55858</v>
      </c>
      <c r="H395" s="156">
        <f t="shared" si="108"/>
        <v>6763</v>
      </c>
      <c r="I395" s="185">
        <v>2102616</v>
      </c>
      <c r="J395" s="156">
        <v>3638</v>
      </c>
      <c r="K395" s="7">
        <f t="shared" si="110"/>
        <v>3583.2857142857142</v>
      </c>
      <c r="L395" s="4">
        <v>56334</v>
      </c>
      <c r="M395" s="7">
        <f t="shared" si="110"/>
        <v>57554.714285714283</v>
      </c>
      <c r="N395" s="4">
        <f t="shared" si="111"/>
        <v>8880480</v>
      </c>
      <c r="O395" s="7"/>
      <c r="P395" s="7"/>
      <c r="Q395" s="4"/>
      <c r="R395" s="4"/>
      <c r="S395" s="4"/>
      <c r="T395" s="4"/>
      <c r="U395" s="4"/>
      <c r="V395" s="4">
        <f t="shared" si="93"/>
        <v>190347</v>
      </c>
      <c r="W395" s="47">
        <f t="shared" si="101"/>
        <v>-64</v>
      </c>
      <c r="X395" s="119">
        <f t="shared" si="94"/>
        <v>9169</v>
      </c>
      <c r="Y395" s="35">
        <f t="shared" si="103"/>
        <v>1.9112463028048775E-2</v>
      </c>
      <c r="Z395" s="266">
        <f t="shared" si="107"/>
        <v>0.53701179860597326</v>
      </c>
      <c r="AA395" s="266">
        <f t="shared" si="100"/>
        <v>0.19594770690250024</v>
      </c>
      <c r="AB395" s="87">
        <f t="shared" si="102"/>
        <v>0.19594770690250024</v>
      </c>
      <c r="AC395" s="218">
        <f t="shared" si="106"/>
        <v>1.8776548808766495E-2</v>
      </c>
      <c r="AD395" s="87">
        <f t="shared" si="96"/>
        <v>0.14736677134883269</v>
      </c>
      <c r="AE395" s="87">
        <f t="shared" si="109"/>
        <v>0.93445783132530114</v>
      </c>
      <c r="AF395" s="197">
        <f>MAX($B$2:B395)</f>
        <v>18326</v>
      </c>
    </row>
    <row r="396" spans="1:32" x14ac:dyDescent="0.25">
      <c r="A396" s="137">
        <v>44287</v>
      </c>
      <c r="B396" s="156">
        <v>14430</v>
      </c>
      <c r="C396" s="7">
        <f t="shared" si="97"/>
        <v>12162.285714285714</v>
      </c>
      <c r="D396" s="156">
        <f t="shared" si="105"/>
        <v>2363251</v>
      </c>
      <c r="E396" s="156">
        <v>83</v>
      </c>
      <c r="F396" s="7">
        <f t="shared" si="98"/>
        <v>121.71428571428571</v>
      </c>
      <c r="G396" s="156">
        <f t="shared" si="104"/>
        <v>55941</v>
      </c>
      <c r="H396" s="156">
        <f t="shared" si="108"/>
        <v>9650</v>
      </c>
      <c r="I396" s="185">
        <v>2112266</v>
      </c>
      <c r="J396" s="156">
        <v>3639</v>
      </c>
      <c r="K396" s="7">
        <f t="shared" si="110"/>
        <v>3591</v>
      </c>
      <c r="L396" s="4">
        <v>52292</v>
      </c>
      <c r="M396" s="7">
        <f t="shared" si="110"/>
        <v>59278.714285714283</v>
      </c>
      <c r="N396" s="4">
        <f t="shared" si="111"/>
        <v>8932772</v>
      </c>
      <c r="O396" s="7"/>
      <c r="P396" s="7"/>
      <c r="Q396" s="4"/>
      <c r="R396" s="4"/>
      <c r="S396" s="4"/>
      <c r="T396" s="4"/>
      <c r="U396" s="4"/>
      <c r="V396" s="4">
        <f t="shared" si="93"/>
        <v>195044</v>
      </c>
      <c r="W396" s="47">
        <f t="shared" si="101"/>
        <v>1</v>
      </c>
      <c r="X396" s="119">
        <f t="shared" si="94"/>
        <v>4697</v>
      </c>
      <c r="Y396" s="35">
        <f t="shared" si="103"/>
        <v>1.8657328602776808E-2</v>
      </c>
      <c r="Z396" s="266">
        <f t="shared" si="107"/>
        <v>0.51654850546866649</v>
      </c>
      <c r="AA396" s="266">
        <f t="shared" si="100"/>
        <v>0.2051712129865936</v>
      </c>
      <c r="AB396" s="87">
        <f t="shared" si="102"/>
        <v>0.2051712129865936</v>
      </c>
      <c r="AC396" s="218">
        <f t="shared" si="106"/>
        <v>1.7439361375498924E-2</v>
      </c>
      <c r="AD396" s="87">
        <f t="shared" si="96"/>
        <v>0.17105563360831932</v>
      </c>
      <c r="AE396" s="87">
        <f t="shared" si="109"/>
        <v>0.75163874726875446</v>
      </c>
      <c r="AF396" s="197">
        <f>MAX($B$2:B396)</f>
        <v>18326</v>
      </c>
    </row>
    <row r="397" spans="1:32" x14ac:dyDescent="0.25">
      <c r="A397" s="137">
        <v>44288</v>
      </c>
      <c r="B397" s="156">
        <v>9902</v>
      </c>
      <c r="C397" s="7">
        <f t="shared" si="97"/>
        <v>11728.857142857143</v>
      </c>
      <c r="D397" s="156">
        <f t="shared" si="105"/>
        <v>2373153</v>
      </c>
      <c r="E397" s="156">
        <v>82</v>
      </c>
      <c r="F397" s="7">
        <f t="shared" si="98"/>
        <v>113</v>
      </c>
      <c r="G397" s="156">
        <f t="shared" si="104"/>
        <v>56023</v>
      </c>
      <c r="H397" s="156">
        <f t="shared" si="108"/>
        <v>9688</v>
      </c>
      <c r="I397" s="185">
        <v>2121954</v>
      </c>
      <c r="J397" s="156">
        <v>3619</v>
      </c>
      <c r="K397" s="7">
        <f t="shared" si="110"/>
        <v>3606.8571428571427</v>
      </c>
      <c r="L397" s="4">
        <v>50043</v>
      </c>
      <c r="M397" s="7">
        <f t="shared" si="110"/>
        <v>53845.714285714283</v>
      </c>
      <c r="N397" s="4">
        <f t="shared" si="111"/>
        <v>8982815</v>
      </c>
      <c r="O397" s="7"/>
      <c r="P397" s="7"/>
      <c r="Q397" s="4"/>
      <c r="R397" s="4"/>
      <c r="S397" s="4"/>
      <c r="T397" s="4"/>
      <c r="U397" s="4"/>
      <c r="V397" s="4">
        <f t="shared" si="93"/>
        <v>195176</v>
      </c>
      <c r="W397" s="47">
        <f t="shared" si="101"/>
        <v>-20</v>
      </c>
      <c r="X397" s="119">
        <f t="shared" si="94"/>
        <v>132</v>
      </c>
      <c r="Y397" s="35">
        <f t="shared" si="103"/>
        <v>1.854223879985244E-2</v>
      </c>
      <c r="Z397" s="266">
        <f t="shared" si="107"/>
        <v>0.37639564124057023</v>
      </c>
      <c r="AA397" s="266">
        <f t="shared" si="100"/>
        <v>0.21782341080335352</v>
      </c>
      <c r="AB397" s="87">
        <f t="shared" si="102"/>
        <v>0.21782341080335349</v>
      </c>
      <c r="AC397" s="218">
        <f t="shared" si="106"/>
        <v>1.6088353740389701E-2</v>
      </c>
      <c r="AD397" s="87">
        <f t="shared" si="96"/>
        <v>0.13911520952492129</v>
      </c>
      <c r="AE397" s="87">
        <f t="shared" si="109"/>
        <v>-0.23453927025355592</v>
      </c>
      <c r="AF397" s="197">
        <f>MAX($B$2:B397)</f>
        <v>18326</v>
      </c>
    </row>
    <row r="398" spans="1:32" x14ac:dyDescent="0.25">
      <c r="A398" s="137">
        <v>44289</v>
      </c>
      <c r="B398" s="156">
        <v>10384</v>
      </c>
      <c r="C398" s="7">
        <f t="shared" si="97"/>
        <v>11735.428571428571</v>
      </c>
      <c r="D398" s="156">
        <f>D397+B398</f>
        <v>2383537</v>
      </c>
      <c r="E398" s="156">
        <v>83</v>
      </c>
      <c r="F398" s="7">
        <f>AVERAGE(E392:E398)</f>
        <v>105.85714285714286</v>
      </c>
      <c r="G398" s="156">
        <f t="shared" si="104"/>
        <v>56106</v>
      </c>
      <c r="H398" s="156">
        <f t="shared" si="108"/>
        <v>8686</v>
      </c>
      <c r="I398" s="185">
        <v>2130640</v>
      </c>
      <c r="J398" s="156">
        <v>3618</v>
      </c>
      <c r="K398" s="7">
        <f>AVERAGE(J392:J398)</f>
        <v>3622.8571428571427</v>
      </c>
      <c r="L398" s="4">
        <v>54024</v>
      </c>
      <c r="M398" s="7">
        <f t="shared" si="110"/>
        <v>55159.428571428572</v>
      </c>
      <c r="N398" s="4">
        <f t="shared" si="111"/>
        <v>9036839</v>
      </c>
      <c r="O398" s="7"/>
      <c r="P398" s="7"/>
      <c r="Q398" s="4"/>
      <c r="R398" s="4"/>
      <c r="S398" s="4"/>
      <c r="T398" s="4"/>
      <c r="U398" s="4"/>
      <c r="V398" s="4">
        <f t="shared" si="93"/>
        <v>196791</v>
      </c>
      <c r="W398" s="47">
        <f t="shared" si="101"/>
        <v>-1</v>
      </c>
      <c r="X398" s="119">
        <f t="shared" si="94"/>
        <v>1615</v>
      </c>
      <c r="Y398" s="35">
        <f>J398/V398</f>
        <v>1.8384987118313337E-2</v>
      </c>
      <c r="Z398" s="266">
        <f t="shared" si="107"/>
        <v>0.30754783051602841</v>
      </c>
      <c r="AA398" s="266">
        <f t="shared" si="100"/>
        <v>0.21275471619927688</v>
      </c>
      <c r="AB398" s="87">
        <f t="shared" si="102"/>
        <v>0.21275471619927691</v>
      </c>
      <c r="AC398" s="218">
        <f t="shared" si="106"/>
        <v>1.4905258076195841E-2</v>
      </c>
      <c r="AD398" s="87">
        <f t="shared" si="96"/>
        <v>0.13231029482841961</v>
      </c>
      <c r="AE398" s="87">
        <f t="shared" si="109"/>
        <v>4.4496034049139599E-3</v>
      </c>
      <c r="AF398" s="197">
        <f>MAX($B$2:B398)</f>
        <v>18326</v>
      </c>
    </row>
    <row r="399" spans="1:32" x14ac:dyDescent="0.25">
      <c r="A399" s="137">
        <v>44290</v>
      </c>
      <c r="B399" s="156">
        <v>9955</v>
      </c>
      <c r="C399" s="7">
        <f t="shared" si="97"/>
        <v>12127.857142857143</v>
      </c>
      <c r="D399" s="156">
        <f>D398+B399</f>
        <v>2393492</v>
      </c>
      <c r="E399" s="156">
        <v>93</v>
      </c>
      <c r="F399" s="7">
        <f t="shared" ref="F399:F405" si="112">AVERAGE(E393:E399)</f>
        <v>107.57142857142857</v>
      </c>
      <c r="G399" s="156">
        <f t="shared" si="104"/>
        <v>56199</v>
      </c>
      <c r="H399" s="156">
        <f t="shared" si="108"/>
        <v>9840</v>
      </c>
      <c r="I399" s="185">
        <v>2140480</v>
      </c>
      <c r="J399" s="156">
        <v>3626</v>
      </c>
      <c r="K399" s="7">
        <f t="shared" ref="K399:K408" si="113">AVERAGE(J393:J399)</f>
        <v>3640.1428571428573</v>
      </c>
      <c r="L399" s="4">
        <v>33159</v>
      </c>
      <c r="M399" s="7">
        <f t="shared" si="110"/>
        <v>54583.142857142855</v>
      </c>
      <c r="N399" s="4">
        <f t="shared" si="111"/>
        <v>9069998</v>
      </c>
      <c r="O399" s="4">
        <f>N398+M399</f>
        <v>9091422.1428571437</v>
      </c>
      <c r="P399" s="7"/>
      <c r="Q399" s="4"/>
      <c r="R399" s="4"/>
      <c r="S399" s="4"/>
      <c r="T399" s="4"/>
      <c r="U399" s="4"/>
      <c r="V399" s="4">
        <f t="shared" ref="V399:V405" si="114">D399-G399-I399</f>
        <v>196813</v>
      </c>
      <c r="W399" s="47">
        <f t="shared" si="101"/>
        <v>8</v>
      </c>
      <c r="X399" s="119">
        <f t="shared" si="94"/>
        <v>22</v>
      </c>
      <c r="Y399" s="35">
        <f t="shared" ref="Y399:Y405" si="115">K399/V399</f>
        <v>1.8495439107898651E-2</v>
      </c>
      <c r="Z399" s="266">
        <f t="shared" ref="Z399:Z405" si="116">C399/C392-1</f>
        <v>0.35127176646611291</v>
      </c>
      <c r="AA399" s="266">
        <f t="shared" si="100"/>
        <v>0.22219052454708677</v>
      </c>
      <c r="AB399" s="87">
        <f t="shared" si="102"/>
        <v>0.22219052454708674</v>
      </c>
      <c r="AC399" s="218">
        <f t="shared" si="106"/>
        <v>1.5045255649463525E-2</v>
      </c>
      <c r="AD399" s="87">
        <f t="shared" si="96"/>
        <v>0.13348038425211373</v>
      </c>
      <c r="AE399" s="87">
        <f t="shared" si="109"/>
        <v>0.38110432852386245</v>
      </c>
      <c r="AF399" s="197">
        <f>MAX($B$2:B399)</f>
        <v>18326</v>
      </c>
    </row>
    <row r="400" spans="1:32" x14ac:dyDescent="0.25">
      <c r="A400" s="137">
        <v>44291</v>
      </c>
      <c r="B400" s="156">
        <v>13667</v>
      </c>
      <c r="C400" s="7">
        <f t="shared" si="97"/>
        <v>12078.285714285714</v>
      </c>
      <c r="D400" s="156">
        <f t="shared" ref="D400:D405" si="117">D399+C400</f>
        <v>2405570.2857142859</v>
      </c>
      <c r="E400" s="156">
        <v>272</v>
      </c>
      <c r="F400" s="7">
        <f t="shared" si="112"/>
        <v>123.14285714285714</v>
      </c>
      <c r="G400" s="156">
        <f t="shared" ref="G400:G407" si="118">G399+F400</f>
        <v>56322.142857142855</v>
      </c>
      <c r="H400" s="156">
        <f t="shared" si="108"/>
        <v>13029</v>
      </c>
      <c r="I400" s="185">
        <v>2153509</v>
      </c>
      <c r="J400" s="156">
        <v>3652</v>
      </c>
      <c r="K400" s="7">
        <f t="shared" si="113"/>
        <v>3642</v>
      </c>
      <c r="L400" s="4">
        <v>46037</v>
      </c>
      <c r="M400" s="7">
        <f t="shared" si="110"/>
        <v>52898.428571428572</v>
      </c>
      <c r="N400" s="4">
        <f t="shared" si="111"/>
        <v>9116035</v>
      </c>
      <c r="O400" s="7"/>
      <c r="P400" s="7"/>
      <c r="Q400" s="4"/>
      <c r="R400" s="4"/>
      <c r="S400" s="4"/>
      <c r="T400" s="4"/>
      <c r="U400" s="4"/>
      <c r="V400" s="7">
        <f t="shared" si="114"/>
        <v>195739.14285714319</v>
      </c>
      <c r="W400" s="47">
        <f t="shared" si="101"/>
        <v>26</v>
      </c>
      <c r="X400" s="119">
        <f t="shared" si="94"/>
        <v>-1073.8571428569267</v>
      </c>
      <c r="Y400" s="35">
        <f t="shared" si="115"/>
        <v>1.8606395975985499E-2</v>
      </c>
      <c r="Z400" s="266">
        <f t="shared" si="116"/>
        <v>0.20030096963329957</v>
      </c>
      <c r="AA400" s="266">
        <f t="shared" si="100"/>
        <v>0.22832976404916158</v>
      </c>
      <c r="AB400" s="87">
        <f t="shared" si="102"/>
        <v>0.22832976404916161</v>
      </c>
      <c r="AC400" s="218">
        <f t="shared" si="106"/>
        <v>1.7141948057113311E-2</v>
      </c>
      <c r="AD400" s="87">
        <f t="shared" si="96"/>
        <v>9.5068660877128286E-2</v>
      </c>
      <c r="AE400" s="87">
        <f t="shared" si="109"/>
        <v>-2.476095333238193E-2</v>
      </c>
      <c r="AF400" s="197">
        <f>MAX($B$2:B400)</f>
        <v>18326</v>
      </c>
    </row>
    <row r="401" spans="1:34" ht="16.5" customHeight="1" x14ac:dyDescent="0.25">
      <c r="A401" s="137">
        <v>44292</v>
      </c>
      <c r="B401" s="174">
        <v>20870</v>
      </c>
      <c r="C401" s="7">
        <f>AVERAGE(B395:B401)</f>
        <v>13609.142857142857</v>
      </c>
      <c r="D401" s="156">
        <f t="shared" si="117"/>
        <v>2419179.4285714286</v>
      </c>
      <c r="E401" s="156">
        <v>163</v>
      </c>
      <c r="F401" s="7">
        <f t="shared" si="112"/>
        <v>128.57142857142858</v>
      </c>
      <c r="G401" s="156">
        <f t="shared" si="118"/>
        <v>56450.714285714283</v>
      </c>
      <c r="H401" s="156">
        <f t="shared" si="108"/>
        <v>10536</v>
      </c>
      <c r="I401" s="185">
        <v>2164045</v>
      </c>
      <c r="J401" s="156">
        <v>3642</v>
      </c>
      <c r="K401" s="7">
        <f t="shared" si="113"/>
        <v>3633.4285714285716</v>
      </c>
      <c r="L401" s="4">
        <v>75392</v>
      </c>
      <c r="M401" s="7">
        <f t="shared" si="110"/>
        <v>52468.714285714283</v>
      </c>
      <c r="N401" s="4">
        <f t="shared" si="111"/>
        <v>9191427</v>
      </c>
      <c r="O401" s="4"/>
      <c r="P401" s="4"/>
      <c r="Q401" s="4"/>
      <c r="R401" s="4" t="e">
        <f>C401-#REF!-I401</f>
        <v>#REF!</v>
      </c>
      <c r="S401" s="47">
        <f>J401-H400</f>
        <v>-9387</v>
      </c>
      <c r="T401" s="119" t="e">
        <f>(C401-I401-#REF!)-(C400-E400-G400)</f>
        <v>#REF!</v>
      </c>
      <c r="U401" s="4"/>
      <c r="V401" s="7">
        <f t="shared" si="114"/>
        <v>198683.71428571455</v>
      </c>
      <c r="W401" s="47">
        <f t="shared" si="101"/>
        <v>-10</v>
      </c>
      <c r="X401" s="119">
        <f t="shared" si="94"/>
        <v>2944.5714285711583</v>
      </c>
      <c r="Y401" s="35">
        <f t="shared" si="115"/>
        <v>1.8287500736993301E-2</v>
      </c>
      <c r="Z401" s="266">
        <f t="shared" si="116"/>
        <v>0.33820306793279764</v>
      </c>
      <c r="AA401" s="266">
        <f t="shared" si="100"/>
        <v>0.25937633583005926</v>
      </c>
      <c r="AB401" s="87">
        <f t="shared" si="102"/>
        <v>0.25937633583005926</v>
      </c>
      <c r="AC401" s="218">
        <f t="shared" si="106"/>
        <v>1.7490671641791047E-2</v>
      </c>
      <c r="AD401" s="87">
        <f t="shared" si="96"/>
        <v>9.6621633342428792E-2</v>
      </c>
      <c r="AE401" s="87">
        <f t="shared" si="109"/>
        <v>1.055347646247784</v>
      </c>
      <c r="AF401" s="197">
        <f>MAX($B$2:B401)</f>
        <v>20870</v>
      </c>
    </row>
    <row r="402" spans="1:34" x14ac:dyDescent="0.25">
      <c r="A402" s="137">
        <v>44293</v>
      </c>
      <c r="B402" s="156">
        <v>22039</v>
      </c>
      <c r="C402" s="7">
        <f t="shared" si="97"/>
        <v>14463.857142857143</v>
      </c>
      <c r="D402" s="156">
        <f t="shared" si="117"/>
        <v>2433643.2857142859</v>
      </c>
      <c r="E402" s="156">
        <v>199</v>
      </c>
      <c r="F402" s="7">
        <f t="shared" si="112"/>
        <v>139.28571428571428</v>
      </c>
      <c r="G402" s="156">
        <f t="shared" si="118"/>
        <v>56590</v>
      </c>
      <c r="H402" s="156">
        <f t="shared" si="108"/>
        <v>10580</v>
      </c>
      <c r="I402" s="185">
        <v>2174625</v>
      </c>
      <c r="J402" s="156">
        <v>3706</v>
      </c>
      <c r="K402" s="7">
        <f t="shared" si="113"/>
        <v>3643.1428571428573</v>
      </c>
      <c r="L402" s="4">
        <v>74679</v>
      </c>
      <c r="M402" s="7">
        <f t="shared" si="110"/>
        <v>55089.428571428572</v>
      </c>
      <c r="N402" s="4">
        <f t="shared" si="111"/>
        <v>9266106</v>
      </c>
      <c r="O402" s="4"/>
      <c r="P402" s="4"/>
      <c r="Q402" s="4"/>
      <c r="R402" s="4">
        <f>D402-H402-J402</f>
        <v>2419357.2857142859</v>
      </c>
      <c r="S402" s="47">
        <f>L402-H401</f>
        <v>64143</v>
      </c>
      <c r="T402" s="119">
        <f>(D402-J402-H402)-(C401-E401-G401)</f>
        <v>2462361.8571428573</v>
      </c>
      <c r="U402" s="4"/>
      <c r="V402" s="7">
        <f t="shared" si="114"/>
        <v>202428.28571428591</v>
      </c>
      <c r="W402" s="47">
        <f t="shared" si="101"/>
        <v>64</v>
      </c>
      <c r="X402" s="119">
        <f t="shared" si="94"/>
        <v>3744.571428571362</v>
      </c>
      <c r="Y402" s="35">
        <f t="shared" si="115"/>
        <v>1.7997202536630241E-2</v>
      </c>
      <c r="Z402" s="266">
        <f t="shared" si="116"/>
        <v>0.28251672071341716</v>
      </c>
      <c r="AA402" s="266">
        <f t="shared" si="100"/>
        <v>0.26255231753045699</v>
      </c>
      <c r="AB402" s="87">
        <f t="shared" si="102"/>
        <v>0.26255231753045699</v>
      </c>
      <c r="AC402" s="218">
        <f t="shared" si="106"/>
        <v>1.8949700691907018E-2</v>
      </c>
      <c r="AD402" s="87">
        <f t="shared" si="96"/>
        <v>6.3469798390759502E-2</v>
      </c>
      <c r="AE402" s="87">
        <f t="shared" si="109"/>
        <v>0.37263328350772307</v>
      </c>
      <c r="AF402" s="197">
        <f>MAX($B$2:B402)</f>
        <v>22039</v>
      </c>
    </row>
    <row r="403" spans="1:34" x14ac:dyDescent="0.25">
      <c r="A403" s="137">
        <v>44294</v>
      </c>
      <c r="B403" s="161">
        <v>23683</v>
      </c>
      <c r="C403" s="7">
        <f t="shared" si="97"/>
        <v>15785.714285714286</v>
      </c>
      <c r="D403" s="156">
        <f t="shared" si="117"/>
        <v>2449429</v>
      </c>
      <c r="E403" s="156">
        <v>290</v>
      </c>
      <c r="F403" s="7">
        <f t="shared" si="112"/>
        <v>168.85714285714286</v>
      </c>
      <c r="G403" s="156">
        <f t="shared" si="118"/>
        <v>56758.857142857145</v>
      </c>
      <c r="H403" s="156">
        <f t="shared" si="108"/>
        <v>14358</v>
      </c>
      <c r="I403" s="185">
        <v>2188983</v>
      </c>
      <c r="J403" s="156">
        <v>3742</v>
      </c>
      <c r="K403" s="7">
        <f t="shared" si="113"/>
        <v>3657.8571428571427</v>
      </c>
      <c r="L403" s="4">
        <v>94991</v>
      </c>
      <c r="M403" s="7">
        <f t="shared" si="110"/>
        <v>61189.285714285717</v>
      </c>
      <c r="N403" s="4">
        <f t="shared" ref="N403:N408" si="119">N402+L403</f>
        <v>9361097</v>
      </c>
      <c r="V403" s="7">
        <f t="shared" si="114"/>
        <v>203687.14285714272</v>
      </c>
      <c r="W403" s="47">
        <f t="shared" si="101"/>
        <v>36</v>
      </c>
      <c r="X403" s="119">
        <f t="shared" si="94"/>
        <v>1258.8571428569267</v>
      </c>
      <c r="Y403" s="35">
        <f t="shared" si="115"/>
        <v>1.7958213226166191E-2</v>
      </c>
      <c r="Z403" s="266">
        <f t="shared" si="116"/>
        <v>0.29792332268370614</v>
      </c>
      <c r="AA403" s="266">
        <f t="shared" si="100"/>
        <v>0.25798167279519058</v>
      </c>
      <c r="AB403" s="87">
        <f>SUM(B397:B403)/SUM(L397:L403)</f>
        <v>0.25798167279519058</v>
      </c>
      <c r="AC403" s="218">
        <f>F403/C389</f>
        <v>2.3013122541957091E-2</v>
      </c>
      <c r="AD403" s="87">
        <f t="shared" si="96"/>
        <v>4.431381051015526E-2</v>
      </c>
      <c r="AE403" s="87">
        <f t="shared" si="109"/>
        <v>0.64123354123354126</v>
      </c>
      <c r="AF403" s="197">
        <f>MAX($B$2:B403)</f>
        <v>23683</v>
      </c>
    </row>
    <row r="404" spans="1:34" x14ac:dyDescent="0.25">
      <c r="A404" s="137">
        <v>44295</v>
      </c>
      <c r="B404" s="173">
        <v>24130</v>
      </c>
      <c r="C404" s="7">
        <f t="shared" si="97"/>
        <v>17818.285714285714</v>
      </c>
      <c r="D404" s="156">
        <f t="shared" si="117"/>
        <v>2467247.2857142859</v>
      </c>
      <c r="E404" s="173">
        <v>228</v>
      </c>
      <c r="F404" s="7">
        <f t="shared" si="112"/>
        <v>189.71428571428572</v>
      </c>
      <c r="G404" s="156">
        <f t="shared" si="118"/>
        <v>56948.571428571428</v>
      </c>
      <c r="H404" s="156">
        <f t="shared" si="108"/>
        <v>14943</v>
      </c>
      <c r="I404" s="189">
        <v>2203926</v>
      </c>
      <c r="J404" s="173">
        <v>3718</v>
      </c>
      <c r="K404" s="7">
        <f t="shared" si="113"/>
        <v>3672</v>
      </c>
      <c r="L404" s="51">
        <v>90657</v>
      </c>
      <c r="M404" s="7">
        <f t="shared" si="110"/>
        <v>66991.28571428571</v>
      </c>
      <c r="N404" s="4">
        <f t="shared" si="119"/>
        <v>9451754</v>
      </c>
      <c r="V404" s="7">
        <f t="shared" si="114"/>
        <v>206372.71428571455</v>
      </c>
      <c r="W404" s="47">
        <f t="shared" si="101"/>
        <v>-24</v>
      </c>
      <c r="X404" s="119">
        <f t="shared" si="94"/>
        <v>2685.5714285717695</v>
      </c>
      <c r="Y404" s="35">
        <f t="shared" si="115"/>
        <v>1.7793049884086261E-2</v>
      </c>
      <c r="Z404" s="266">
        <f t="shared" si="116"/>
        <v>0.51918345472704686</v>
      </c>
      <c r="AA404" s="266">
        <f t="shared" si="100"/>
        <v>0.26597915720381543</v>
      </c>
      <c r="AB404" s="87">
        <f>SUM(B398:B404)/SUM(L398:L404)</f>
        <v>0.26597915720381543</v>
      </c>
      <c r="AC404" s="218">
        <f>F404/C390</f>
        <v>2.3655990594606151E-2</v>
      </c>
      <c r="AD404" s="87">
        <f t="shared" si="96"/>
        <v>5.7367269980502567E-2</v>
      </c>
      <c r="AE404" s="87">
        <f t="shared" si="109"/>
        <v>1.4368814380933146</v>
      </c>
      <c r="AF404" s="197">
        <f>MAX($B$2:B404)</f>
        <v>24130</v>
      </c>
    </row>
    <row r="405" spans="1:34" x14ac:dyDescent="0.25">
      <c r="A405" s="137">
        <v>44296</v>
      </c>
      <c r="B405" s="173">
        <v>19419</v>
      </c>
      <c r="C405" s="7">
        <f t="shared" si="97"/>
        <v>19109</v>
      </c>
      <c r="D405" s="156">
        <f t="shared" si="117"/>
        <v>2486356.2857142859</v>
      </c>
      <c r="E405" s="173">
        <v>229</v>
      </c>
      <c r="F405" s="7">
        <f t="shared" si="112"/>
        <v>210.57142857142858</v>
      </c>
      <c r="G405" s="156">
        <f t="shared" si="118"/>
        <v>57159.142857142855</v>
      </c>
      <c r="H405" s="156">
        <f t="shared" si="108"/>
        <v>13857</v>
      </c>
      <c r="I405" s="189">
        <v>2217783</v>
      </c>
      <c r="J405" s="173">
        <v>3761</v>
      </c>
      <c r="K405" s="7">
        <f t="shared" si="113"/>
        <v>3692.4285714285716</v>
      </c>
      <c r="L405" s="51">
        <v>75713</v>
      </c>
      <c r="M405" s="7">
        <f t="shared" si="110"/>
        <v>70089.71428571429</v>
      </c>
      <c r="N405" s="4">
        <f t="shared" si="119"/>
        <v>9527467</v>
      </c>
      <c r="V405" s="7">
        <f t="shared" si="114"/>
        <v>211414.14285714319</v>
      </c>
      <c r="W405" s="378">
        <f>J405-J404</f>
        <v>43</v>
      </c>
      <c r="X405" s="119">
        <f t="shared" si="94"/>
        <v>5041.4285714285215</v>
      </c>
      <c r="Y405" s="35">
        <f t="shared" si="115"/>
        <v>1.7465381083438775E-2</v>
      </c>
      <c r="Z405" s="266">
        <f t="shared" si="116"/>
        <v>0.62831718361980826</v>
      </c>
      <c r="AA405" s="266">
        <f t="shared" si="100"/>
        <v>0.27263629470800688</v>
      </c>
      <c r="AB405" s="87">
        <f>SUM(B399:B405)/SUM(L399:L405)</f>
        <v>0.27263629470800688</v>
      </c>
      <c r="AC405" s="218">
        <f>F405/C386</f>
        <v>2.931233345265084E-2</v>
      </c>
      <c r="AD405" s="87">
        <f>V405/V398-1</f>
        <v>7.4307985919799036E-2</v>
      </c>
      <c r="AE405" s="87">
        <f t="shared" si="109"/>
        <v>0.87008859784283521</v>
      </c>
      <c r="AF405" s="197">
        <f>MAX($B$2:B405)</f>
        <v>24130</v>
      </c>
      <c r="AG405" s="87"/>
      <c r="AH405" s="87"/>
    </row>
    <row r="406" spans="1:34" x14ac:dyDescent="0.25">
      <c r="A406" s="137">
        <v>44297</v>
      </c>
      <c r="B406" s="173">
        <v>15262</v>
      </c>
      <c r="C406" s="7">
        <f t="shared" ref="C406" si="120">AVERAGE(B400:B406)</f>
        <v>19867.142857142859</v>
      </c>
      <c r="D406" s="156">
        <f t="shared" ref="D406" si="121">D405+C406</f>
        <v>2506223.4285714286</v>
      </c>
      <c r="E406" s="173">
        <v>132</v>
      </c>
      <c r="F406" s="7">
        <f t="shared" ref="F406" si="122">AVERAGE(E400:E406)</f>
        <v>216.14285714285714</v>
      </c>
      <c r="G406" s="156">
        <f t="shared" si="118"/>
        <v>57375.28571428571</v>
      </c>
      <c r="H406" s="156">
        <f t="shared" si="108"/>
        <v>15357</v>
      </c>
      <c r="I406" s="189">
        <v>2233140</v>
      </c>
      <c r="J406" s="173">
        <v>3789</v>
      </c>
      <c r="K406" s="7">
        <f t="shared" si="113"/>
        <v>3715.7142857142858</v>
      </c>
      <c r="L406" s="51">
        <v>63270</v>
      </c>
      <c r="M406" s="7">
        <f t="shared" ref="M406" si="123">AVERAGE(L400:L406)</f>
        <v>74391.28571428571</v>
      </c>
      <c r="N406" s="4">
        <f t="shared" si="119"/>
        <v>9590737</v>
      </c>
      <c r="V406" s="7">
        <f t="shared" ref="V406:V407" si="124">D406-G406-I406</f>
        <v>215708.14285714272</v>
      </c>
      <c r="W406" s="378">
        <f>J406-J405</f>
        <v>28</v>
      </c>
      <c r="X406" s="119">
        <f t="shared" ref="X406:X407" si="125">(D406-I406-G406)-(D405-G405-I405)</f>
        <v>4293.9999999997381</v>
      </c>
      <c r="Y406" s="35">
        <f t="shared" ref="Y406:Y407" si="126">K406/V406</f>
        <v>1.7225656094842445E-2</v>
      </c>
      <c r="Z406" s="266">
        <f>C406/C399-1</f>
        <v>0.63814123328817951</v>
      </c>
      <c r="AA406" s="266">
        <f t="shared" ref="AA406:AA407" si="127">C406/M406</f>
        <v>0.26706277040897652</v>
      </c>
      <c r="AB406" s="87">
        <f t="shared" ref="AB406:AB407" si="128">SUM(B400:B406)/SUM(L400:L406)</f>
        <v>0.26706277040897647</v>
      </c>
      <c r="AC406" s="218">
        <f t="shared" ref="AC406:AC407" si="129">F406/C387</f>
        <v>2.9403762437810944E-2</v>
      </c>
      <c r="AD406" s="87">
        <f t="shared" ref="AD406:AD407" si="130">V406/V399-1</f>
        <v>9.6005562931019472E-2</v>
      </c>
      <c r="AE406" s="87">
        <f t="shared" si="109"/>
        <v>0.53309894525364143</v>
      </c>
      <c r="AF406" s="197">
        <f>MAX($B$2:B406)</f>
        <v>24130</v>
      </c>
    </row>
    <row r="407" spans="1:34" x14ac:dyDescent="0.25">
      <c r="A407" s="137">
        <v>44298</v>
      </c>
      <c r="B407" s="173">
        <v>19437</v>
      </c>
      <c r="C407" s="7">
        <f t="shared" ref="C407" si="131">AVERAGE(B401:B407)</f>
        <v>20691.428571428572</v>
      </c>
      <c r="D407" s="156">
        <f t="shared" ref="D407" si="132">D406+C407</f>
        <v>2526914.8571428573</v>
      </c>
      <c r="E407" s="173">
        <v>179</v>
      </c>
      <c r="F407" s="7">
        <f t="shared" ref="F407" si="133">AVERAGE(E401:E407)</f>
        <v>202.85714285714286</v>
      </c>
      <c r="G407" s="156">
        <f t="shared" si="118"/>
        <v>57578.142857142855</v>
      </c>
      <c r="H407" s="156">
        <f t="shared" si="108"/>
        <v>13984</v>
      </c>
      <c r="I407" s="189">
        <v>2247124</v>
      </c>
      <c r="J407" s="173">
        <v>3819</v>
      </c>
      <c r="K407" s="7">
        <f t="shared" si="113"/>
        <v>3739.5714285714284</v>
      </c>
      <c r="L407" s="51">
        <v>64947</v>
      </c>
      <c r="M407" s="7">
        <f t="shared" ref="M407" si="134">AVERAGE(L401:L407)</f>
        <v>77092.71428571429</v>
      </c>
      <c r="N407" s="4">
        <f t="shared" si="119"/>
        <v>9655684</v>
      </c>
      <c r="V407" s="7">
        <f t="shared" si="124"/>
        <v>222212.71428571455</v>
      </c>
      <c r="W407" s="47">
        <f t="shared" si="101"/>
        <v>30</v>
      </c>
      <c r="X407" s="119">
        <f t="shared" si="125"/>
        <v>6504.5714285717113</v>
      </c>
      <c r="Y407" s="35">
        <f t="shared" si="126"/>
        <v>1.6828791460434606E-2</v>
      </c>
      <c r="Z407" s="266">
        <f t="shared" ref="Z407" si="135">C407/C400-1</f>
        <v>0.71310971282585056</v>
      </c>
      <c r="AA407" s="266">
        <f t="shared" si="127"/>
        <v>0.26839668006426398</v>
      </c>
      <c r="AB407" s="87">
        <f t="shared" si="128"/>
        <v>0.26839668006426398</v>
      </c>
      <c r="AC407" s="218">
        <f t="shared" si="129"/>
        <v>2.7598538443597914E-2</v>
      </c>
      <c r="AD407" s="87">
        <f t="shared" si="130"/>
        <v>0.13524924571623687</v>
      </c>
      <c r="AE407" s="87">
        <f t="shared" si="109"/>
        <v>0.42218482476037167</v>
      </c>
      <c r="AF407" s="197">
        <f>MAX($B$2:B407)</f>
        <v>24130</v>
      </c>
    </row>
    <row r="408" spans="1:34" x14ac:dyDescent="0.25">
      <c r="A408" s="137">
        <v>44299</v>
      </c>
      <c r="B408" s="173">
        <v>27001</v>
      </c>
      <c r="C408" s="7">
        <f>AVERAGE(B402:B408)</f>
        <v>21567.285714285714</v>
      </c>
      <c r="D408" s="156">
        <f t="shared" ref="D408" si="136">D407+C408</f>
        <v>2548482.1428571432</v>
      </c>
      <c r="E408" s="173">
        <v>217</v>
      </c>
      <c r="F408" s="7">
        <f t="shared" ref="F408" si="137">AVERAGE(E402:E408)</f>
        <v>210.57142857142858</v>
      </c>
      <c r="G408" s="156">
        <f t="shared" ref="G408" si="138">G407+F408</f>
        <v>57788.714285714283</v>
      </c>
      <c r="H408" s="156">
        <f t="shared" ref="H408" si="139">I408-I407</f>
        <v>15751</v>
      </c>
      <c r="I408" s="189">
        <v>2262875</v>
      </c>
      <c r="J408" s="173">
        <v>3836</v>
      </c>
      <c r="K408" s="7">
        <f t="shared" si="113"/>
        <v>3767.2857142857142</v>
      </c>
      <c r="L408" s="51">
        <v>87661</v>
      </c>
      <c r="M408" s="7">
        <f t="shared" ref="M408" si="140">AVERAGE(L402:L408)</f>
        <v>78845.428571428565</v>
      </c>
      <c r="N408" s="4">
        <f t="shared" si="119"/>
        <v>9743345</v>
      </c>
      <c r="V408" s="7">
        <f t="shared" ref="V408" si="141">D408-G408-I408</f>
        <v>227818.4285714291</v>
      </c>
      <c r="W408" s="47">
        <f t="shared" si="101"/>
        <v>17</v>
      </c>
      <c r="X408" s="119">
        <f t="shared" ref="X408" si="142">(D408-I408-G408)-(D407-G407-I407)</f>
        <v>5605.7142857143481</v>
      </c>
      <c r="Y408" s="35">
        <f t="shared" ref="Y408" si="143">K408/V408</f>
        <v>1.6536351944436915E-2</v>
      </c>
      <c r="Z408" s="266">
        <f>C408/C401-1</f>
        <v>0.58476444407121253</v>
      </c>
      <c r="AA408" s="266">
        <f t="shared" ref="AA408" si="144">C408/M408</f>
        <v>0.27353882279614</v>
      </c>
      <c r="AB408" s="87">
        <f t="shared" ref="AB408" si="145">SUM(B402:B408)/SUM(L402:L408)</f>
        <v>0.27353882279614</v>
      </c>
      <c r="AC408" s="218">
        <f t="shared" ref="AC408" si="146">F408/C389</f>
        <v>2.8698259413574238E-2</v>
      </c>
      <c r="AD408" s="87">
        <f t="shared" ref="AD408" si="147">V408/V401-1</f>
        <v>0.14663866331700315</v>
      </c>
      <c r="AE408" s="87">
        <f>B408/B401-1</f>
        <v>0.29377096310493522</v>
      </c>
      <c r="AF408" s="197">
        <f>MAX($B$2:B408)</f>
        <v>27001</v>
      </c>
    </row>
    <row r="409" spans="1:34" x14ac:dyDescent="0.25">
      <c r="V409" s="23">
        <f>V408-V398</f>
        <v>31027.428571429104</v>
      </c>
    </row>
    <row r="411" spans="1:34" x14ac:dyDescent="0.25">
      <c r="I411" s="189">
        <f>SUM(B399:B408)-SUM(H399:H408)-SUM(E399:E408)</f>
        <v>61226</v>
      </c>
    </row>
  </sheetData>
  <autoFilter ref="A1:V388" xr:uid="{00000000-0009-0000-0000-000000000000}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CE29-96EF-42D0-B521-6AC2F93E36F5}">
  <dimension ref="A1:O50"/>
  <sheetViews>
    <sheetView zoomScale="55" zoomScaleNormal="55" workbookViewId="0">
      <selection activeCell="D3" sqref="D3"/>
    </sheetView>
  </sheetViews>
  <sheetFormatPr baseColWidth="10" defaultRowHeight="15" x14ac:dyDescent="0.25"/>
  <cols>
    <col min="1" max="1" width="3.85546875" style="272" customWidth="1"/>
    <col min="2" max="2" width="27" style="264" bestFit="1" customWidth="1"/>
    <col min="3" max="5" width="11.42578125" style="50"/>
    <col min="6" max="6" width="0" style="50" hidden="1" customWidth="1"/>
    <col min="7" max="7" width="11.42578125" style="50"/>
    <col min="8" max="8" width="11.42578125" style="50" customWidth="1"/>
    <col min="9" max="9" width="5.5703125" style="272" customWidth="1"/>
    <col min="10" max="10" width="24.140625" style="50" bestFit="1" customWidth="1"/>
    <col min="11" max="14" width="11.42578125" style="50"/>
    <col min="15" max="15" width="3.42578125" style="272" customWidth="1"/>
    <col min="16" max="16384" width="11.42578125" style="50"/>
  </cols>
  <sheetData>
    <row r="1" spans="1:15" s="272" customFormat="1" ht="15.75" thickBot="1" x14ac:dyDescent="0.3">
      <c r="B1" s="282"/>
    </row>
    <row r="2" spans="1:15" s="51" customFormat="1" ht="48" thickBot="1" x14ac:dyDescent="0.3">
      <c r="A2" s="271"/>
      <c r="B2" s="59" t="s">
        <v>198</v>
      </c>
      <c r="C2" s="273" t="s">
        <v>201</v>
      </c>
      <c r="D2" s="273" t="s">
        <v>202</v>
      </c>
      <c r="E2" s="274" t="s">
        <v>199</v>
      </c>
      <c r="F2" s="275" t="s">
        <v>122</v>
      </c>
      <c r="G2" s="276" t="s">
        <v>200</v>
      </c>
      <c r="H2" s="268" t="s">
        <v>123</v>
      </c>
      <c r="I2" s="271"/>
      <c r="J2" s="59" t="s">
        <v>198</v>
      </c>
      <c r="K2" s="273" t="s">
        <v>201</v>
      </c>
      <c r="L2" s="273" t="s">
        <v>202</v>
      </c>
      <c r="M2" s="274" t="s">
        <v>199</v>
      </c>
      <c r="N2" s="276" t="s">
        <v>200</v>
      </c>
      <c r="O2" s="271"/>
    </row>
    <row r="3" spans="1:15" ht="21" customHeight="1" thickBot="1" x14ac:dyDescent="0.3">
      <c r="B3" s="269" t="s">
        <v>124</v>
      </c>
      <c r="C3" s="284">
        <v>39</v>
      </c>
      <c r="D3" s="284">
        <v>34</v>
      </c>
      <c r="E3" s="253">
        <v>1.1000000000000001</v>
      </c>
      <c r="F3" s="270" t="s">
        <v>125</v>
      </c>
      <c r="G3" s="277">
        <v>281</v>
      </c>
      <c r="H3" s="267" t="s">
        <v>126</v>
      </c>
      <c r="J3" s="269" t="s">
        <v>174</v>
      </c>
      <c r="K3" s="284">
        <v>177</v>
      </c>
      <c r="L3" s="284">
        <v>128</v>
      </c>
      <c r="M3" s="253">
        <v>1.4</v>
      </c>
      <c r="N3" s="277">
        <v>432</v>
      </c>
    </row>
    <row r="4" spans="1:15" ht="21" customHeight="1" thickBot="1" x14ac:dyDescent="0.3">
      <c r="B4" s="269" t="s">
        <v>127</v>
      </c>
      <c r="C4" s="284">
        <v>460</v>
      </c>
      <c r="D4" s="284">
        <v>461</v>
      </c>
      <c r="E4" s="253">
        <v>1</v>
      </c>
      <c r="F4" s="270" t="s">
        <v>128</v>
      </c>
      <c r="G4" s="277">
        <v>348</v>
      </c>
      <c r="H4" s="267" t="s">
        <v>126</v>
      </c>
      <c r="J4" s="269" t="s">
        <v>175</v>
      </c>
      <c r="K4" s="284">
        <v>73</v>
      </c>
      <c r="L4" s="284">
        <v>67</v>
      </c>
      <c r="M4" s="253">
        <v>1.1000000000000001</v>
      </c>
      <c r="N4" s="277">
        <v>370</v>
      </c>
    </row>
    <row r="5" spans="1:15" ht="21" customHeight="1" thickBot="1" x14ac:dyDescent="0.3">
      <c r="B5" s="269" t="s">
        <v>129</v>
      </c>
      <c r="C5" s="284">
        <v>497</v>
      </c>
      <c r="D5" s="284">
        <v>462</v>
      </c>
      <c r="E5" s="253">
        <v>1.1000000000000001</v>
      </c>
      <c r="F5" s="270" t="s">
        <v>130</v>
      </c>
      <c r="G5" s="277">
        <v>357</v>
      </c>
      <c r="H5" s="267" t="s">
        <v>126</v>
      </c>
      <c r="J5" s="269" t="s">
        <v>176</v>
      </c>
      <c r="K5" s="284">
        <v>35</v>
      </c>
      <c r="L5" s="284">
        <v>42</v>
      </c>
      <c r="M5" s="253">
        <v>0.8</v>
      </c>
      <c r="N5" s="277">
        <v>519</v>
      </c>
    </row>
    <row r="6" spans="1:15" ht="21" customHeight="1" thickBot="1" x14ac:dyDescent="0.3">
      <c r="B6" s="269" t="s">
        <v>131</v>
      </c>
      <c r="C6" s="284">
        <v>297</v>
      </c>
      <c r="D6" s="284">
        <v>225</v>
      </c>
      <c r="E6" s="253">
        <v>1.3</v>
      </c>
      <c r="F6" s="270" t="s">
        <v>132</v>
      </c>
      <c r="G6" s="277">
        <v>332</v>
      </c>
      <c r="H6" s="267" t="s">
        <v>133</v>
      </c>
      <c r="J6" s="269" t="s">
        <v>177</v>
      </c>
      <c r="K6" s="284">
        <v>620</v>
      </c>
      <c r="L6" s="284">
        <v>542</v>
      </c>
      <c r="M6" s="253">
        <v>1.1000000000000001</v>
      </c>
      <c r="N6" s="277">
        <v>391</v>
      </c>
    </row>
    <row r="7" spans="1:15" ht="21" customHeight="1" thickBot="1" x14ac:dyDescent="0.3">
      <c r="B7" s="269" t="s">
        <v>134</v>
      </c>
      <c r="C7" s="284">
        <v>484</v>
      </c>
      <c r="D7" s="284">
        <v>415</v>
      </c>
      <c r="E7" s="253">
        <v>1.2</v>
      </c>
      <c r="F7" s="270" t="s">
        <v>135</v>
      </c>
      <c r="G7" s="277">
        <v>382</v>
      </c>
      <c r="H7" s="267" t="s">
        <v>133</v>
      </c>
      <c r="J7" s="269" t="s">
        <v>178</v>
      </c>
      <c r="K7" s="284">
        <v>177</v>
      </c>
      <c r="L7" s="284">
        <v>153</v>
      </c>
      <c r="M7" s="253">
        <v>1.2</v>
      </c>
      <c r="N7" s="277">
        <v>271</v>
      </c>
    </row>
    <row r="8" spans="1:15" ht="21" customHeight="1" thickBot="1" x14ac:dyDescent="0.3">
      <c r="B8" s="269" t="s">
        <v>136</v>
      </c>
      <c r="C8" s="284">
        <v>157</v>
      </c>
      <c r="D8" s="284">
        <v>150</v>
      </c>
      <c r="E8" s="253">
        <v>1</v>
      </c>
      <c r="F8" s="270" t="s">
        <v>137</v>
      </c>
      <c r="G8" s="277">
        <v>350</v>
      </c>
      <c r="H8" s="267" t="s">
        <v>126</v>
      </c>
      <c r="J8" s="269" t="s">
        <v>179</v>
      </c>
      <c r="K8" s="284">
        <v>155</v>
      </c>
      <c r="L8" s="284">
        <v>122</v>
      </c>
      <c r="M8" s="253">
        <v>1.3</v>
      </c>
      <c r="N8" s="277">
        <v>309</v>
      </c>
    </row>
    <row r="9" spans="1:15" ht="21" customHeight="1" thickBot="1" x14ac:dyDescent="0.3">
      <c r="B9" s="269" t="s">
        <v>138</v>
      </c>
      <c r="C9" s="284">
        <v>158</v>
      </c>
      <c r="D9" s="284">
        <v>155</v>
      </c>
      <c r="E9" s="253">
        <v>1</v>
      </c>
      <c r="F9" s="270" t="s">
        <v>139</v>
      </c>
      <c r="G9" s="277">
        <v>334</v>
      </c>
      <c r="H9" s="267" t="s">
        <v>126</v>
      </c>
      <c r="J9" s="269" t="s">
        <v>180</v>
      </c>
      <c r="K9" s="284">
        <v>135</v>
      </c>
      <c r="L9" s="284">
        <v>131</v>
      </c>
      <c r="M9" s="253">
        <v>1</v>
      </c>
      <c r="N9" s="277">
        <v>278</v>
      </c>
    </row>
    <row r="10" spans="1:15" ht="21" customHeight="1" thickBot="1" x14ac:dyDescent="0.3">
      <c r="B10" s="269" t="s">
        <v>140</v>
      </c>
      <c r="C10" s="284">
        <v>599</v>
      </c>
      <c r="D10" s="284">
        <v>600</v>
      </c>
      <c r="E10" s="253">
        <v>1</v>
      </c>
      <c r="F10" s="270" t="s">
        <v>141</v>
      </c>
      <c r="G10" s="277">
        <v>339</v>
      </c>
      <c r="H10" s="267" t="s">
        <v>126</v>
      </c>
      <c r="J10" s="269" t="s">
        <v>181</v>
      </c>
      <c r="K10" s="284">
        <v>164</v>
      </c>
      <c r="L10" s="284">
        <v>153</v>
      </c>
      <c r="M10" s="253">
        <v>1.1000000000000001</v>
      </c>
      <c r="N10" s="277">
        <v>556</v>
      </c>
    </row>
    <row r="11" spans="1:15" ht="21" customHeight="1" thickBot="1" x14ac:dyDescent="0.3">
      <c r="B11" s="269" t="s">
        <v>142</v>
      </c>
      <c r="C11" s="284">
        <v>92</v>
      </c>
      <c r="D11" s="284">
        <v>112</v>
      </c>
      <c r="E11" s="253">
        <v>0.8</v>
      </c>
      <c r="F11" s="270" t="s">
        <v>143</v>
      </c>
      <c r="G11" s="277">
        <v>334</v>
      </c>
      <c r="H11" s="267" t="s">
        <v>126</v>
      </c>
      <c r="J11" s="269" t="s">
        <v>182</v>
      </c>
      <c r="K11" s="284">
        <v>84</v>
      </c>
      <c r="L11" s="284">
        <v>79</v>
      </c>
      <c r="M11" s="253">
        <v>1.1000000000000001</v>
      </c>
      <c r="N11" s="277">
        <v>415</v>
      </c>
    </row>
    <row r="12" spans="1:15" ht="21" customHeight="1" thickBot="1" x14ac:dyDescent="0.3">
      <c r="B12" s="269" t="s">
        <v>144</v>
      </c>
      <c r="C12" s="284">
        <v>55</v>
      </c>
      <c r="D12" s="284">
        <v>59</v>
      </c>
      <c r="E12" s="253">
        <v>0.9</v>
      </c>
      <c r="F12" s="270" t="s">
        <v>145</v>
      </c>
      <c r="G12" s="277">
        <v>294</v>
      </c>
      <c r="H12" s="267" t="s">
        <v>126</v>
      </c>
      <c r="J12" s="269" t="s">
        <v>183</v>
      </c>
      <c r="K12" s="284">
        <v>141</v>
      </c>
      <c r="L12" s="284">
        <v>107</v>
      </c>
      <c r="M12" s="253">
        <v>1.3</v>
      </c>
      <c r="N12" s="277">
        <v>401</v>
      </c>
    </row>
    <row r="13" spans="1:15" ht="21" customHeight="1" thickBot="1" x14ac:dyDescent="0.3">
      <c r="B13" s="269" t="s">
        <v>146</v>
      </c>
      <c r="C13" s="284">
        <v>193</v>
      </c>
      <c r="D13" s="284">
        <v>144</v>
      </c>
      <c r="E13" s="253">
        <v>1.3</v>
      </c>
      <c r="F13" s="270" t="s">
        <v>147</v>
      </c>
      <c r="G13" s="277">
        <v>369</v>
      </c>
      <c r="H13" s="267" t="s">
        <v>133</v>
      </c>
      <c r="J13" s="269" t="s">
        <v>184</v>
      </c>
      <c r="K13" s="284">
        <v>54</v>
      </c>
      <c r="L13" s="284">
        <v>59</v>
      </c>
      <c r="M13" s="253">
        <v>0.9</v>
      </c>
      <c r="N13" s="277">
        <v>389</v>
      </c>
    </row>
    <row r="14" spans="1:15" ht="21" customHeight="1" thickBot="1" x14ac:dyDescent="0.3">
      <c r="B14" s="269" t="s">
        <v>148</v>
      </c>
      <c r="C14" s="284">
        <v>180</v>
      </c>
      <c r="D14" s="284">
        <v>168</v>
      </c>
      <c r="E14" s="253">
        <v>1.1000000000000001</v>
      </c>
      <c r="F14" s="270" t="s">
        <v>149</v>
      </c>
      <c r="G14" s="277">
        <v>409</v>
      </c>
      <c r="H14" s="267" t="s">
        <v>126</v>
      </c>
      <c r="J14" s="269" t="s">
        <v>185</v>
      </c>
      <c r="K14" s="284">
        <v>296</v>
      </c>
      <c r="L14" s="284">
        <v>264</v>
      </c>
      <c r="M14" s="253">
        <v>1.1000000000000001</v>
      </c>
      <c r="N14" s="277">
        <v>362</v>
      </c>
    </row>
    <row r="15" spans="1:15" ht="21" customHeight="1" thickBot="1" x14ac:dyDescent="0.3">
      <c r="B15" s="269" t="s">
        <v>150</v>
      </c>
      <c r="C15" s="284">
        <v>542</v>
      </c>
      <c r="D15" s="284">
        <v>483</v>
      </c>
      <c r="E15" s="253">
        <v>1.1000000000000001</v>
      </c>
      <c r="F15" s="270" t="s">
        <v>151</v>
      </c>
      <c r="G15" s="277">
        <v>330</v>
      </c>
      <c r="H15" s="267" t="s">
        <v>126</v>
      </c>
      <c r="J15" s="269" t="s">
        <v>186</v>
      </c>
      <c r="K15" s="284">
        <v>202</v>
      </c>
      <c r="L15" s="284">
        <v>158</v>
      </c>
      <c r="M15" s="253">
        <v>1.3</v>
      </c>
      <c r="N15" s="277">
        <v>367</v>
      </c>
    </row>
    <row r="16" spans="1:15" ht="21" customHeight="1" thickBot="1" x14ac:dyDescent="0.3">
      <c r="B16" s="269" t="s">
        <v>152</v>
      </c>
      <c r="C16" s="284">
        <v>109</v>
      </c>
      <c r="D16" s="284">
        <v>108</v>
      </c>
      <c r="E16" s="253">
        <v>1</v>
      </c>
      <c r="F16" s="270" t="s">
        <v>153</v>
      </c>
      <c r="G16" s="277">
        <v>291</v>
      </c>
      <c r="H16" s="267" t="s">
        <v>126</v>
      </c>
      <c r="J16" s="269" t="s">
        <v>187</v>
      </c>
      <c r="K16" s="284">
        <v>263</v>
      </c>
      <c r="L16" s="284">
        <v>235</v>
      </c>
      <c r="M16" s="253">
        <v>1.1000000000000001</v>
      </c>
      <c r="N16" s="277">
        <v>395</v>
      </c>
    </row>
    <row r="17" spans="2:14" ht="21" customHeight="1" thickBot="1" x14ac:dyDescent="0.3">
      <c r="B17" s="269" t="s">
        <v>154</v>
      </c>
      <c r="C17" s="284">
        <v>157</v>
      </c>
      <c r="D17" s="284">
        <v>142</v>
      </c>
      <c r="E17" s="253">
        <v>1.1000000000000001</v>
      </c>
      <c r="F17" s="270" t="s">
        <v>155</v>
      </c>
      <c r="G17" s="277">
        <v>355</v>
      </c>
      <c r="H17" s="267" t="s">
        <v>126</v>
      </c>
      <c r="J17" s="269" t="s">
        <v>188</v>
      </c>
      <c r="K17" s="284">
        <v>102</v>
      </c>
      <c r="L17" s="284">
        <v>97</v>
      </c>
      <c r="M17" s="253">
        <v>1.1000000000000001</v>
      </c>
      <c r="N17" s="277">
        <v>292</v>
      </c>
    </row>
    <row r="18" spans="2:14" ht="21" customHeight="1" thickBot="1" x14ac:dyDescent="0.3">
      <c r="B18" s="269" t="s">
        <v>156</v>
      </c>
      <c r="C18" s="284">
        <v>248</v>
      </c>
      <c r="D18" s="284">
        <v>194</v>
      </c>
      <c r="E18" s="253">
        <v>1.3</v>
      </c>
      <c r="F18" s="270" t="s">
        <v>157</v>
      </c>
      <c r="G18" s="277">
        <v>386</v>
      </c>
      <c r="H18" s="267" t="s">
        <v>133</v>
      </c>
      <c r="J18" s="269" t="s">
        <v>189</v>
      </c>
      <c r="K18" s="284">
        <v>333</v>
      </c>
      <c r="L18" s="284">
        <v>336</v>
      </c>
      <c r="M18" s="253">
        <v>1</v>
      </c>
      <c r="N18" s="277">
        <v>263</v>
      </c>
    </row>
    <row r="19" spans="2:14" ht="21" customHeight="1" thickBot="1" x14ac:dyDescent="0.3">
      <c r="B19" s="269" t="s">
        <v>158</v>
      </c>
      <c r="C19" s="284">
        <v>143</v>
      </c>
      <c r="D19" s="284">
        <v>147</v>
      </c>
      <c r="E19" s="253">
        <v>1</v>
      </c>
      <c r="F19" s="270" t="s">
        <v>159</v>
      </c>
      <c r="G19" s="277">
        <v>354</v>
      </c>
      <c r="H19" s="267" t="s">
        <v>126</v>
      </c>
      <c r="J19" s="269" t="s">
        <v>190</v>
      </c>
      <c r="K19" s="284">
        <v>106</v>
      </c>
      <c r="L19" s="284">
        <v>121</v>
      </c>
      <c r="M19" s="253">
        <v>0.9</v>
      </c>
      <c r="N19" s="277">
        <v>326</v>
      </c>
    </row>
    <row r="20" spans="2:14" ht="21" customHeight="1" thickBot="1" x14ac:dyDescent="0.3">
      <c r="B20" s="269" t="s">
        <v>160</v>
      </c>
      <c r="C20" s="284">
        <v>124</v>
      </c>
      <c r="D20" s="284">
        <v>118</v>
      </c>
      <c r="E20" s="253">
        <v>1.1000000000000001</v>
      </c>
      <c r="F20" s="270" t="s">
        <v>161</v>
      </c>
      <c r="G20" s="277">
        <v>367</v>
      </c>
      <c r="H20" s="267" t="s">
        <v>126</v>
      </c>
      <c r="J20" s="269" t="s">
        <v>191</v>
      </c>
      <c r="K20" s="284">
        <v>72</v>
      </c>
      <c r="L20" s="284">
        <v>65</v>
      </c>
      <c r="M20" s="253">
        <v>1.1000000000000001</v>
      </c>
      <c r="N20" s="277">
        <v>336</v>
      </c>
    </row>
    <row r="21" spans="2:14" ht="21" customHeight="1" thickBot="1" x14ac:dyDescent="0.3">
      <c r="B21" s="269" t="s">
        <v>162</v>
      </c>
      <c r="C21" s="284">
        <v>157</v>
      </c>
      <c r="D21" s="284">
        <v>147</v>
      </c>
      <c r="E21" s="253">
        <v>1.1000000000000001</v>
      </c>
      <c r="F21" s="270" t="s">
        <v>163</v>
      </c>
      <c r="G21" s="277">
        <v>372</v>
      </c>
      <c r="H21" s="267" t="s">
        <v>126</v>
      </c>
      <c r="J21" s="269" t="s">
        <v>192</v>
      </c>
      <c r="K21" s="284">
        <v>128</v>
      </c>
      <c r="L21" s="284">
        <v>124</v>
      </c>
      <c r="M21" s="253">
        <v>1</v>
      </c>
      <c r="N21" s="277">
        <v>323</v>
      </c>
    </row>
    <row r="22" spans="2:14" ht="21" customHeight="1" thickBot="1" x14ac:dyDescent="0.3">
      <c r="B22" s="269" t="s">
        <v>164</v>
      </c>
      <c r="C22" s="284">
        <v>168</v>
      </c>
      <c r="D22" s="284">
        <v>150</v>
      </c>
      <c r="E22" s="253">
        <v>1.1000000000000001</v>
      </c>
      <c r="F22" s="270" t="s">
        <v>165</v>
      </c>
      <c r="G22" s="277">
        <v>320</v>
      </c>
      <c r="H22" s="267" t="s">
        <v>126</v>
      </c>
      <c r="J22" s="269" t="s">
        <v>193</v>
      </c>
      <c r="K22" s="284">
        <v>46</v>
      </c>
      <c r="L22" s="284">
        <v>50</v>
      </c>
      <c r="M22" s="253">
        <v>0.9</v>
      </c>
      <c r="N22" s="277">
        <v>342</v>
      </c>
    </row>
    <row r="23" spans="2:14" ht="21" customHeight="1" thickBot="1" x14ac:dyDescent="0.3">
      <c r="B23" s="269" t="s">
        <v>166</v>
      </c>
      <c r="C23" s="284">
        <v>879</v>
      </c>
      <c r="D23" s="284">
        <v>816</v>
      </c>
      <c r="E23" s="253">
        <v>1.1000000000000001</v>
      </c>
      <c r="F23" s="270" t="s">
        <v>167</v>
      </c>
      <c r="G23" s="277">
        <v>389</v>
      </c>
      <c r="H23" s="267" t="s">
        <v>126</v>
      </c>
      <c r="J23" s="269" t="s">
        <v>194</v>
      </c>
      <c r="K23" s="284">
        <v>73</v>
      </c>
      <c r="L23" s="284">
        <v>63</v>
      </c>
      <c r="M23" s="253">
        <v>1.2</v>
      </c>
      <c r="N23" s="277">
        <v>519</v>
      </c>
    </row>
    <row r="24" spans="2:14" ht="21" customHeight="1" thickBot="1" x14ac:dyDescent="0.3">
      <c r="B24" s="269" t="s">
        <v>168</v>
      </c>
      <c r="C24" s="284">
        <v>168</v>
      </c>
      <c r="D24" s="284">
        <v>133</v>
      </c>
      <c r="E24" s="253">
        <v>1.3</v>
      </c>
      <c r="F24" s="270" t="s">
        <v>169</v>
      </c>
      <c r="G24" s="277">
        <v>316</v>
      </c>
      <c r="H24" s="267" t="s">
        <v>133</v>
      </c>
      <c r="J24" s="269" t="s">
        <v>195</v>
      </c>
      <c r="K24" s="284">
        <v>93</v>
      </c>
      <c r="L24" s="284">
        <v>97</v>
      </c>
      <c r="M24" s="253">
        <v>1</v>
      </c>
      <c r="N24" s="277">
        <v>281</v>
      </c>
    </row>
    <row r="25" spans="2:14" ht="21" customHeight="1" thickBot="1" x14ac:dyDescent="0.3">
      <c r="B25" s="269" t="s">
        <v>170</v>
      </c>
      <c r="C25" s="284">
        <v>184</v>
      </c>
      <c r="D25" s="284">
        <v>163</v>
      </c>
      <c r="E25" s="253">
        <v>1.1000000000000001</v>
      </c>
      <c r="F25" s="270" t="s">
        <v>171</v>
      </c>
      <c r="G25" s="277">
        <v>327</v>
      </c>
      <c r="H25" s="267" t="s">
        <v>126</v>
      </c>
      <c r="J25" s="269" t="s">
        <v>196</v>
      </c>
      <c r="K25" s="284">
        <v>141</v>
      </c>
      <c r="L25" s="284">
        <v>101</v>
      </c>
      <c r="M25" s="253">
        <v>1.4</v>
      </c>
      <c r="N25" s="277">
        <v>302</v>
      </c>
    </row>
    <row r="26" spans="2:14" ht="21" customHeight="1" thickBot="1" x14ac:dyDescent="0.3">
      <c r="B26" s="278" t="s">
        <v>172</v>
      </c>
      <c r="C26" s="285">
        <v>72</v>
      </c>
      <c r="D26" s="285">
        <v>50</v>
      </c>
      <c r="E26" s="279">
        <v>1.4</v>
      </c>
      <c r="F26" s="280" t="s">
        <v>173</v>
      </c>
      <c r="G26" s="281">
        <v>410</v>
      </c>
      <c r="H26" s="267" t="s">
        <v>133</v>
      </c>
      <c r="J26" s="278" t="s">
        <v>197</v>
      </c>
      <c r="K26" s="285">
        <v>319</v>
      </c>
      <c r="L26" s="285">
        <v>270</v>
      </c>
      <c r="M26" s="279">
        <v>1.2</v>
      </c>
      <c r="N26" s="281">
        <v>346</v>
      </c>
    </row>
    <row r="27" spans="2:14" s="272" customFormat="1" x14ac:dyDescent="0.25">
      <c r="B27" s="282"/>
      <c r="H27" s="283" t="s">
        <v>133</v>
      </c>
    </row>
    <row r="28" spans="2:14" s="272" customFormat="1" x14ac:dyDescent="0.25">
      <c r="B28" s="282"/>
      <c r="H28" s="283" t="s">
        <v>126</v>
      </c>
    </row>
    <row r="29" spans="2:14" s="272" customFormat="1" x14ac:dyDescent="0.25">
      <c r="B29" s="282"/>
      <c r="H29" s="283" t="s">
        <v>126</v>
      </c>
    </row>
    <row r="30" spans="2:14" x14ac:dyDescent="0.25">
      <c r="H30" s="267" t="s">
        <v>126</v>
      </c>
    </row>
    <row r="31" spans="2:14" x14ac:dyDescent="0.25">
      <c r="H31" s="267" t="s">
        <v>133</v>
      </c>
    </row>
    <row r="32" spans="2:14" x14ac:dyDescent="0.25">
      <c r="H32" s="267" t="s">
        <v>133</v>
      </c>
    </row>
    <row r="33" spans="8:8" x14ac:dyDescent="0.25">
      <c r="H33" s="267" t="s">
        <v>126</v>
      </c>
    </row>
    <row r="34" spans="8:8" x14ac:dyDescent="0.25">
      <c r="H34" s="267" t="s">
        <v>126</v>
      </c>
    </row>
    <row r="35" spans="8:8" x14ac:dyDescent="0.25">
      <c r="H35" s="267" t="s">
        <v>126</v>
      </c>
    </row>
    <row r="36" spans="8:8" x14ac:dyDescent="0.25">
      <c r="H36" s="267" t="s">
        <v>133</v>
      </c>
    </row>
    <row r="37" spans="8:8" x14ac:dyDescent="0.25">
      <c r="H37" s="267" t="s">
        <v>126</v>
      </c>
    </row>
    <row r="38" spans="8:8" x14ac:dyDescent="0.25">
      <c r="H38" s="267" t="s">
        <v>126</v>
      </c>
    </row>
    <row r="39" spans="8:8" x14ac:dyDescent="0.25">
      <c r="H39" s="267" t="s">
        <v>133</v>
      </c>
    </row>
    <row r="40" spans="8:8" x14ac:dyDescent="0.25">
      <c r="H40" s="267" t="s">
        <v>126</v>
      </c>
    </row>
    <row r="41" spans="8:8" x14ac:dyDescent="0.25">
      <c r="H41" s="267" t="s">
        <v>126</v>
      </c>
    </row>
    <row r="42" spans="8:8" x14ac:dyDescent="0.25">
      <c r="H42" s="267" t="s">
        <v>126</v>
      </c>
    </row>
    <row r="43" spans="8:8" x14ac:dyDescent="0.25">
      <c r="H43" s="267" t="s">
        <v>126</v>
      </c>
    </row>
    <row r="44" spans="8:8" x14ac:dyDescent="0.25">
      <c r="H44" s="267" t="s">
        <v>126</v>
      </c>
    </row>
    <row r="45" spans="8:8" x14ac:dyDescent="0.25">
      <c r="H45" s="267" t="s">
        <v>126</v>
      </c>
    </row>
    <row r="46" spans="8:8" x14ac:dyDescent="0.25">
      <c r="H46" s="267" t="s">
        <v>126</v>
      </c>
    </row>
    <row r="47" spans="8:8" x14ac:dyDescent="0.25">
      <c r="H47" s="267" t="s">
        <v>133</v>
      </c>
    </row>
    <row r="48" spans="8:8" x14ac:dyDescent="0.25">
      <c r="H48" s="267" t="s">
        <v>126</v>
      </c>
    </row>
    <row r="49" spans="8:8" x14ac:dyDescent="0.25">
      <c r="H49" s="267" t="s">
        <v>133</v>
      </c>
    </row>
    <row r="50" spans="8:8" x14ac:dyDescent="0.25">
      <c r="H50" s="267" t="s">
        <v>133</v>
      </c>
    </row>
  </sheetData>
  <conditionalFormatting sqref="G3:G26 N3:N26">
    <cfRule type="cellIs" dxfId="117" priority="3" operator="lessThan">
      <formula>150</formula>
    </cfRule>
    <cfRule type="cellIs" dxfId="116" priority="4" operator="greaterThanOrEqual">
      <formula>150</formula>
    </cfRule>
  </conditionalFormatting>
  <conditionalFormatting sqref="E3:E26 M3:M26">
    <cfRule type="cellIs" dxfId="115" priority="1" operator="lessThan">
      <formula>1.2</formula>
    </cfRule>
    <cfRule type="cellIs" dxfId="114" priority="2" operator="greaterThanOrEqual">
      <formula>1.2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B8F7-542C-4D7E-903B-3163DF62C08D}">
  <dimension ref="A1:BN29"/>
  <sheetViews>
    <sheetView topLeftCell="AS1" zoomScale="70" zoomScaleNormal="70" workbookViewId="0">
      <selection activeCell="BI1" sqref="BI1:BN1048576"/>
    </sheetView>
  </sheetViews>
  <sheetFormatPr baseColWidth="10" defaultRowHeight="15" x14ac:dyDescent="0.25"/>
  <cols>
    <col min="1" max="1" width="19" style="50" customWidth="1"/>
    <col min="2" max="40" width="11.42578125" style="50" hidden="1" customWidth="1"/>
    <col min="41" max="53" width="11.42578125" style="50" customWidth="1"/>
    <col min="54" max="16384" width="11.42578125" style="50"/>
  </cols>
  <sheetData>
    <row r="1" spans="1:66" ht="15.75" thickBot="1" x14ac:dyDescent="0.3">
      <c r="A1" s="249" t="s">
        <v>24</v>
      </c>
      <c r="B1" s="250">
        <v>44219</v>
      </c>
      <c r="C1" s="250">
        <v>44220</v>
      </c>
      <c r="D1" s="250">
        <v>44221</v>
      </c>
      <c r="E1" s="250">
        <v>44222</v>
      </c>
      <c r="F1" s="250">
        <v>44223</v>
      </c>
      <c r="G1" s="250">
        <v>44224</v>
      </c>
      <c r="H1" s="250">
        <v>44225</v>
      </c>
      <c r="I1" s="250">
        <v>44226</v>
      </c>
      <c r="J1" s="250">
        <v>44227</v>
      </c>
      <c r="K1" s="250">
        <v>44228</v>
      </c>
      <c r="L1" s="250">
        <v>44229</v>
      </c>
      <c r="M1" s="250">
        <v>44230</v>
      </c>
      <c r="N1" s="250">
        <v>44231</v>
      </c>
      <c r="O1" s="250">
        <v>44232</v>
      </c>
      <c r="P1" s="250">
        <v>44233</v>
      </c>
      <c r="Q1" s="250">
        <v>44234</v>
      </c>
      <c r="R1" s="250">
        <v>44235</v>
      </c>
      <c r="S1" s="250">
        <v>44236</v>
      </c>
      <c r="T1" s="250">
        <v>44237</v>
      </c>
      <c r="U1" s="250">
        <v>44238</v>
      </c>
      <c r="V1" s="250">
        <v>44239</v>
      </c>
      <c r="W1" s="250">
        <v>44240</v>
      </c>
      <c r="X1" s="250">
        <v>44241</v>
      </c>
      <c r="Y1" s="250">
        <v>44242</v>
      </c>
      <c r="Z1" s="250">
        <v>44243</v>
      </c>
      <c r="AA1" s="250">
        <v>44244</v>
      </c>
      <c r="AB1" s="250">
        <v>44245</v>
      </c>
      <c r="AC1" s="250">
        <v>44246</v>
      </c>
      <c r="AD1" s="250">
        <v>44247</v>
      </c>
      <c r="AE1" s="250">
        <v>44248</v>
      </c>
      <c r="AF1" s="250">
        <v>44249</v>
      </c>
      <c r="AG1" s="250">
        <v>44250</v>
      </c>
      <c r="AH1" s="250">
        <v>44251</v>
      </c>
      <c r="AI1" s="250">
        <v>44252</v>
      </c>
      <c r="AJ1" s="250">
        <v>44253</v>
      </c>
      <c r="AK1" s="250">
        <v>44254</v>
      </c>
      <c r="AL1" s="250">
        <v>44255</v>
      </c>
      <c r="AM1" s="250">
        <v>44256</v>
      </c>
      <c r="AN1" s="250">
        <v>44257</v>
      </c>
      <c r="AO1" s="250">
        <v>44258</v>
      </c>
      <c r="AP1" s="250">
        <v>44259</v>
      </c>
      <c r="AQ1" s="250">
        <v>44260</v>
      </c>
      <c r="AR1" s="250">
        <v>44261</v>
      </c>
      <c r="AS1" s="250">
        <v>44262</v>
      </c>
      <c r="AT1" s="250">
        <v>44263</v>
      </c>
      <c r="AU1" s="250">
        <v>44264</v>
      </c>
      <c r="AV1" s="250">
        <v>44265</v>
      </c>
      <c r="AW1" s="250">
        <v>44266</v>
      </c>
      <c r="AX1" s="250">
        <v>44267</v>
      </c>
      <c r="AY1" s="250">
        <v>44268</v>
      </c>
      <c r="AZ1" s="250">
        <v>44269</v>
      </c>
      <c r="BA1" s="250">
        <v>44270</v>
      </c>
      <c r="BB1" s="250">
        <v>44271</v>
      </c>
      <c r="BC1" s="250">
        <v>44272</v>
      </c>
      <c r="BD1" s="250">
        <v>44273</v>
      </c>
      <c r="BE1" s="250">
        <v>44274</v>
      </c>
      <c r="BF1" s="250">
        <v>44275</v>
      </c>
      <c r="BG1" s="250">
        <v>44276</v>
      </c>
      <c r="BH1" s="250">
        <v>44277</v>
      </c>
      <c r="BI1" s="250">
        <v>44278</v>
      </c>
      <c r="BJ1" s="250">
        <v>44279</v>
      </c>
      <c r="BK1" s="250">
        <v>44280</v>
      </c>
      <c r="BL1" s="250">
        <v>44281</v>
      </c>
      <c r="BM1" s="250">
        <v>44282</v>
      </c>
      <c r="BN1" s="250">
        <v>44283</v>
      </c>
    </row>
    <row r="2" spans="1:66" ht="15.75" thickBot="1" x14ac:dyDescent="0.3">
      <c r="A2" s="251" t="s">
        <v>16</v>
      </c>
      <c r="B2" s="196">
        <v>1.0990031330105383</v>
      </c>
      <c r="C2" s="196">
        <v>1.0502371951671485</v>
      </c>
      <c r="D2" s="196">
        <v>1.036354590849625</v>
      </c>
      <c r="E2" s="196">
        <v>1.0026419123102257</v>
      </c>
      <c r="F2" s="196">
        <v>0.99338884774480229</v>
      </c>
      <c r="G2" s="196">
        <v>0.96709182759485512</v>
      </c>
      <c r="H2" s="196">
        <v>0.90940790141846373</v>
      </c>
      <c r="I2" s="196">
        <v>0.88018707342466662</v>
      </c>
      <c r="J2" s="196">
        <v>0.86598444535407282</v>
      </c>
      <c r="K2" s="196">
        <v>0.85872571643671958</v>
      </c>
      <c r="L2" s="196">
        <v>0.8484335169805115</v>
      </c>
      <c r="M2" s="196">
        <v>0.83337193144974531</v>
      </c>
      <c r="N2" s="196">
        <v>0.82756889714371773</v>
      </c>
      <c r="O2" s="196">
        <v>0.82646645085843096</v>
      </c>
      <c r="P2" s="196">
        <v>0.83700478584633464</v>
      </c>
      <c r="Q2" s="196">
        <v>0.84432289369210412</v>
      </c>
      <c r="R2" s="196">
        <v>0.83916506649598177</v>
      </c>
      <c r="S2" s="196">
        <v>0.82995542240430253</v>
      </c>
      <c r="T2" s="196">
        <v>0.8147467951631967</v>
      </c>
      <c r="U2" s="196">
        <v>0.81100305640455683</v>
      </c>
      <c r="V2" s="196">
        <v>0.79116256561069132</v>
      </c>
      <c r="W2" s="196">
        <v>0.7864666453878072</v>
      </c>
      <c r="X2" s="196">
        <v>0.77993949706938925</v>
      </c>
      <c r="Y2" s="196">
        <v>0.76338409346471248</v>
      </c>
      <c r="Z2" s="196">
        <v>0.72296419779410337</v>
      </c>
      <c r="AA2" s="196">
        <v>0.7187717104349034</v>
      </c>
      <c r="AB2" s="196">
        <v>0.7229568522787011</v>
      </c>
      <c r="AC2" s="196">
        <v>0.73459929456156181</v>
      </c>
      <c r="AD2" s="196">
        <v>0.73043657756218394</v>
      </c>
      <c r="AE2" s="196">
        <v>0.7395929114770543</v>
      </c>
      <c r="AF2" s="196">
        <v>0.74780711047078263</v>
      </c>
      <c r="AG2" s="196">
        <v>0.76836932176484662</v>
      </c>
      <c r="AH2" s="253">
        <v>0.79384917535206556</v>
      </c>
      <c r="AI2" s="253">
        <v>0.81480973916221278</v>
      </c>
      <c r="AJ2" s="253">
        <v>0.81294405495694722</v>
      </c>
      <c r="AK2" s="253">
        <v>0.82400687547746376</v>
      </c>
      <c r="AL2" s="253">
        <v>0.82926474509708858</v>
      </c>
      <c r="AM2" s="253">
        <v>0.86990063414390573</v>
      </c>
      <c r="AN2" s="253">
        <v>0.97281282676890901</v>
      </c>
      <c r="AO2" s="253">
        <v>1.0256828035679766</v>
      </c>
      <c r="AP2" s="253">
        <v>1.0334768989819891</v>
      </c>
      <c r="AQ2" s="253">
        <v>1.0300374071799452</v>
      </c>
      <c r="AR2" s="253">
        <v>1.0343921324817724</v>
      </c>
      <c r="AS2" s="253">
        <v>1.0197507840976519</v>
      </c>
      <c r="AT2" s="253">
        <v>1.022297775888936</v>
      </c>
      <c r="AU2" s="253">
        <v>1.013867270411773</v>
      </c>
      <c r="AV2" s="253">
        <v>1.0005060444194547</v>
      </c>
      <c r="AW2" s="253">
        <v>1.0030834781633682</v>
      </c>
      <c r="AX2" s="253">
        <v>1.0693966140934741</v>
      </c>
      <c r="AY2" s="253">
        <v>1.0788040329122726</v>
      </c>
      <c r="AZ2" s="253">
        <v>1.0960301683816651</v>
      </c>
      <c r="BA2" s="253">
        <v>1.0934477513417329</v>
      </c>
      <c r="BB2" s="253">
        <v>1.0730920816911502</v>
      </c>
      <c r="BC2" s="253">
        <v>1.071306795118123</v>
      </c>
      <c r="BD2" s="253">
        <v>1.0742045639330045</v>
      </c>
      <c r="BE2" s="253">
        <v>1.0742045639330045</v>
      </c>
      <c r="BF2" s="253">
        <v>1.1092806600551868</v>
      </c>
      <c r="BG2" s="253">
        <v>1.1435300637295649</v>
      </c>
      <c r="BH2" s="253">
        <v>1.1614101213901669</v>
      </c>
      <c r="BI2" s="253">
        <v>1.2041032798325191</v>
      </c>
      <c r="BJ2" s="253">
        <v>1.2300775542317635</v>
      </c>
      <c r="BK2" s="253">
        <v>1.2303822937625755</v>
      </c>
      <c r="BL2" s="253">
        <v>1.2571915676670364</v>
      </c>
      <c r="BM2" s="253">
        <v>1.3183478354280804</v>
      </c>
      <c r="BN2" s="253">
        <v>1.3551329581521885</v>
      </c>
    </row>
    <row r="3" spans="1:66" ht="15.75" thickBot="1" x14ac:dyDescent="0.3">
      <c r="A3" s="251" t="s">
        <v>43</v>
      </c>
      <c r="B3" s="196">
        <v>1.1267855967349087</v>
      </c>
      <c r="C3" s="196">
        <v>1.0551241247612986</v>
      </c>
      <c r="D3" s="196">
        <v>1.0629996193376474</v>
      </c>
      <c r="E3" s="196">
        <v>1.0099852977211468</v>
      </c>
      <c r="F3" s="196">
        <v>1.0047410649161197</v>
      </c>
      <c r="G3" s="196">
        <v>0.98677344982405046</v>
      </c>
      <c r="H3" s="196">
        <v>0.938364122226095</v>
      </c>
      <c r="I3" s="196">
        <v>0.89346694284274752</v>
      </c>
      <c r="J3" s="196">
        <v>0.85527400648601115</v>
      </c>
      <c r="K3" s="196">
        <v>0.83031427324312523</v>
      </c>
      <c r="L3" s="196">
        <v>0.82644628099173556</v>
      </c>
      <c r="M3" s="196">
        <v>0.82201379310344824</v>
      </c>
      <c r="N3" s="196">
        <v>0.83256700684086571</v>
      </c>
      <c r="O3" s="196">
        <v>0.84215926580402445</v>
      </c>
      <c r="P3" s="196">
        <v>0.85196003972658763</v>
      </c>
      <c r="Q3" s="196">
        <v>0.87198359073359077</v>
      </c>
      <c r="R3" s="196">
        <v>0.83909280811698006</v>
      </c>
      <c r="S3" s="196">
        <v>0.83429368593437259</v>
      </c>
      <c r="T3" s="196">
        <v>0.81203871748336354</v>
      </c>
      <c r="U3" s="196">
        <v>0.80472208558780123</v>
      </c>
      <c r="V3" s="196">
        <v>0.78654119977713122</v>
      </c>
      <c r="W3" s="196">
        <v>0.77036340852130325</v>
      </c>
      <c r="X3" s="196">
        <v>0.78374035989717228</v>
      </c>
      <c r="Y3" s="196">
        <v>0.7765803653568143</v>
      </c>
      <c r="Z3" s="196">
        <v>0.72761589403973514</v>
      </c>
      <c r="AA3" s="196">
        <v>0.71682663265991009</v>
      </c>
      <c r="AB3" s="196">
        <v>0.69100215517241381</v>
      </c>
      <c r="AC3" s="196">
        <v>0.67828617842155137</v>
      </c>
      <c r="AD3" s="196">
        <v>0.67777549201124598</v>
      </c>
      <c r="AE3" s="196">
        <v>0.66818873668188739</v>
      </c>
      <c r="AF3" s="196">
        <v>0.69592431894160323</v>
      </c>
      <c r="AG3" s="196">
        <v>0.69981824790985092</v>
      </c>
      <c r="AH3" s="253">
        <v>0.72368323027639125</v>
      </c>
      <c r="AI3" s="253">
        <v>0.7512224938875306</v>
      </c>
      <c r="AJ3" s="253">
        <v>0.75773317591499412</v>
      </c>
      <c r="AK3" s="253">
        <v>0.78641724278161851</v>
      </c>
      <c r="AL3" s="253">
        <v>0.77482574825748263</v>
      </c>
      <c r="AM3" s="253">
        <v>0.79455068539515994</v>
      </c>
      <c r="AN3" s="253">
        <v>0.87403294802948939</v>
      </c>
      <c r="AO3" s="253">
        <v>0.90805243445692885</v>
      </c>
      <c r="AP3" s="253">
        <v>0.93294346978557507</v>
      </c>
      <c r="AQ3" s="253">
        <v>0.95679073944716098</v>
      </c>
      <c r="AR3" s="253">
        <v>0.97561715904492108</v>
      </c>
      <c r="AS3" s="253">
        <v>1.0065230896665975</v>
      </c>
      <c r="AT3" s="253">
        <v>0.98006950122649228</v>
      </c>
      <c r="AU3" s="253">
        <v>1.0012466237274049</v>
      </c>
      <c r="AV3" s="253">
        <v>0.98507309038501134</v>
      </c>
      <c r="AW3" s="253">
        <v>0.96724979658258747</v>
      </c>
      <c r="AX3" s="253">
        <v>1.0109068245559365</v>
      </c>
      <c r="AY3" s="253">
        <v>1.0285448340055849</v>
      </c>
      <c r="AZ3" s="253">
        <v>1.0650862525134934</v>
      </c>
      <c r="BA3" s="253">
        <v>1.1414270500532482</v>
      </c>
      <c r="BB3" s="253">
        <v>1.1489117983963344</v>
      </c>
      <c r="BC3" s="253">
        <v>1.1858545758462182</v>
      </c>
      <c r="BD3" s="253">
        <v>1.1860659157279934</v>
      </c>
      <c r="BE3" s="253">
        <v>1.1860659157279934</v>
      </c>
      <c r="BF3" s="253">
        <v>1.1991081613605725</v>
      </c>
      <c r="BG3" s="253">
        <v>1.2094434728937351</v>
      </c>
      <c r="BH3" s="253">
        <v>1.2471582021065803</v>
      </c>
      <c r="BI3" s="253">
        <v>1.2722556547001453</v>
      </c>
      <c r="BJ3" s="253">
        <v>1.2782944926324591</v>
      </c>
      <c r="BK3" s="253">
        <v>1.3464773922187172</v>
      </c>
      <c r="BL3" s="253">
        <v>1.3749486230990546</v>
      </c>
      <c r="BM3" s="253">
        <v>1.4138763197586728</v>
      </c>
      <c r="BN3" s="253">
        <v>1.4456478537360891</v>
      </c>
    </row>
    <row r="4" spans="1:66" ht="15.75" thickBot="1" x14ac:dyDescent="0.3">
      <c r="A4" s="251" t="s">
        <v>28</v>
      </c>
      <c r="B4" s="196">
        <v>2.6351351351351351</v>
      </c>
      <c r="C4" s="196">
        <v>2.6097152428810722</v>
      </c>
      <c r="D4" s="196">
        <v>2.608040201005025</v>
      </c>
      <c r="E4" s="196">
        <v>2.3408748114630469</v>
      </c>
      <c r="F4" s="196">
        <v>2.3815201192250375</v>
      </c>
      <c r="G4" s="196">
        <v>2.4077961019490255</v>
      </c>
      <c r="H4" s="196">
        <v>1.2485875706214689</v>
      </c>
      <c r="I4" s="196">
        <v>0.9446227929373997</v>
      </c>
      <c r="J4" s="196">
        <v>0.90375939849624065</v>
      </c>
      <c r="K4" s="196">
        <v>0.95040116703136401</v>
      </c>
      <c r="L4" s="196">
        <v>0.87704918032786883</v>
      </c>
      <c r="M4" s="196">
        <v>0.88235294117647056</v>
      </c>
      <c r="N4" s="196">
        <v>0.86383787207093099</v>
      </c>
      <c r="O4" s="196">
        <v>0.90228426395939088</v>
      </c>
      <c r="P4" s="196">
        <v>0.92692307692307696</v>
      </c>
      <c r="Q4" s="196">
        <v>0.93709884467265725</v>
      </c>
      <c r="R4" s="196">
        <v>1.0038535645472062</v>
      </c>
      <c r="S4" s="196">
        <v>1.0109536082474226</v>
      </c>
      <c r="T4" s="196">
        <v>0.94305381727158943</v>
      </c>
      <c r="U4" s="196">
        <v>0.94707347447073476</v>
      </c>
      <c r="V4" s="196">
        <v>1.1523378582202111</v>
      </c>
      <c r="W4" s="196">
        <v>1.2914188615123194</v>
      </c>
      <c r="X4" s="196">
        <v>1.1730449251247921</v>
      </c>
      <c r="Y4" s="196">
        <v>1.0245587106676899</v>
      </c>
      <c r="Z4" s="196">
        <v>0.93769470404984423</v>
      </c>
      <c r="AA4" s="196">
        <v>0.85842696629213489</v>
      </c>
      <c r="AB4" s="196">
        <v>0.79912023460410553</v>
      </c>
      <c r="AC4" s="196">
        <v>0.7580872011251758</v>
      </c>
      <c r="AD4" s="196">
        <v>0.72821576763485474</v>
      </c>
      <c r="AE4" s="196">
        <v>0.75342465753424659</v>
      </c>
      <c r="AF4" s="196">
        <v>0.67306461932181705</v>
      </c>
      <c r="AG4" s="196">
        <v>0.65710643722116002</v>
      </c>
      <c r="AH4" s="253">
        <v>0.69741207697412078</v>
      </c>
      <c r="AI4" s="253">
        <v>0.70874424720578566</v>
      </c>
      <c r="AJ4" s="253">
        <v>0.67997382198952883</v>
      </c>
      <c r="AK4" s="253">
        <v>0.70986842105263159</v>
      </c>
      <c r="AL4" s="253">
        <v>0.7737588652482269</v>
      </c>
      <c r="AM4" s="253">
        <v>0.86891385767790263</v>
      </c>
      <c r="AN4" s="253">
        <v>1.037375415282392</v>
      </c>
      <c r="AO4" s="253">
        <v>1.0654450261780104</v>
      </c>
      <c r="AP4" s="253">
        <v>1.1119266055045871</v>
      </c>
      <c r="AQ4" s="253">
        <v>1.1419294990723563</v>
      </c>
      <c r="AR4" s="253">
        <v>1.1633428300094968</v>
      </c>
      <c r="AS4" s="253">
        <v>1.0554545454545454</v>
      </c>
      <c r="AT4" s="253">
        <v>1.0941064638783271</v>
      </c>
      <c r="AU4" s="253">
        <v>1.1454898157129001</v>
      </c>
      <c r="AV4" s="253">
        <v>1.1208372978116079</v>
      </c>
      <c r="AW4" s="253">
        <v>1.049165120593692</v>
      </c>
      <c r="AX4" s="253">
        <v>1.1058710298363812</v>
      </c>
      <c r="AY4" s="253">
        <v>1.051899907321594</v>
      </c>
      <c r="AZ4" s="253">
        <v>1.0485792850595783</v>
      </c>
      <c r="BA4" s="253">
        <v>0.93189655172413788</v>
      </c>
      <c r="BB4" s="253">
        <v>0.89271417133706965</v>
      </c>
      <c r="BC4" s="253">
        <v>1.0033003300330032</v>
      </c>
      <c r="BD4" s="253">
        <v>0.98700243704305446</v>
      </c>
      <c r="BE4" s="253">
        <v>0.98700243704305446</v>
      </c>
      <c r="BF4" s="253">
        <v>1.0138775510204081</v>
      </c>
      <c r="BG4" s="253">
        <v>1.0749354005167959</v>
      </c>
      <c r="BH4" s="253">
        <v>1.0721112076455257</v>
      </c>
      <c r="BI4" s="253">
        <v>1.0372565622353938</v>
      </c>
      <c r="BJ4" s="253">
        <v>1.0390492359932089</v>
      </c>
      <c r="BK4" s="253">
        <v>1.0848806366047745</v>
      </c>
      <c r="BL4" s="253">
        <v>1.0652741514360313</v>
      </c>
      <c r="BM4" s="253">
        <v>1.0317180616740087</v>
      </c>
      <c r="BN4" s="253">
        <v>1.0472027972027973</v>
      </c>
    </row>
    <row r="5" spans="1:66" ht="15.75" thickBot="1" x14ac:dyDescent="0.3">
      <c r="A5" s="251" t="s">
        <v>15</v>
      </c>
      <c r="B5" s="196">
        <v>0.99257007767646066</v>
      </c>
      <c r="C5" s="196">
        <v>0.93608046722907201</v>
      </c>
      <c r="D5" s="196">
        <v>0.90112359550561794</v>
      </c>
      <c r="E5" s="196">
        <v>0.88328998699609884</v>
      </c>
      <c r="F5" s="196">
        <v>0.826645264847512</v>
      </c>
      <c r="G5" s="196">
        <v>0.76202531645569616</v>
      </c>
      <c r="H5" s="196">
        <v>0.72572298325722984</v>
      </c>
      <c r="I5" s="196">
        <v>0.70541931577353922</v>
      </c>
      <c r="J5" s="196">
        <v>0.66696402022004164</v>
      </c>
      <c r="K5" s="196">
        <v>0.65935716431360769</v>
      </c>
      <c r="L5" s="196">
        <v>0.66152422091946927</v>
      </c>
      <c r="M5" s="196">
        <v>0.66232114467408587</v>
      </c>
      <c r="N5" s="196">
        <v>0.62258687258687262</v>
      </c>
      <c r="O5" s="196">
        <v>0.63903743315508021</v>
      </c>
      <c r="P5" s="196">
        <v>0.64103436543041847</v>
      </c>
      <c r="Q5" s="196">
        <v>0.64194107452339688</v>
      </c>
      <c r="R5" s="196">
        <v>0.65550409690060563</v>
      </c>
      <c r="S5" s="196">
        <v>0.67132867132867136</v>
      </c>
      <c r="T5" s="196">
        <v>0.70718446601941742</v>
      </c>
      <c r="U5" s="196">
        <v>0.75664451827242529</v>
      </c>
      <c r="V5" s="196">
        <v>0.72944630872483218</v>
      </c>
      <c r="W5" s="196">
        <v>0.72875536480686698</v>
      </c>
      <c r="X5" s="196">
        <v>0.75434685688809633</v>
      </c>
      <c r="Y5" s="196">
        <v>0.75717539863325745</v>
      </c>
      <c r="Z5" s="196">
        <v>0.73320895522388063</v>
      </c>
      <c r="AA5" s="196">
        <v>0.74843975036005761</v>
      </c>
      <c r="AB5" s="196">
        <v>0.78863049095607241</v>
      </c>
      <c r="AC5" s="196">
        <v>0.80125523012552302</v>
      </c>
      <c r="AD5" s="196">
        <v>0.83014861995753719</v>
      </c>
      <c r="AE5" s="196">
        <v>0.83153347732181426</v>
      </c>
      <c r="AF5" s="196">
        <v>0.86956521739130432</v>
      </c>
      <c r="AG5" s="196">
        <v>0.89364035087719296</v>
      </c>
      <c r="AH5" s="253">
        <v>0.9022515101592532</v>
      </c>
      <c r="AI5" s="253">
        <v>0.92151481888035125</v>
      </c>
      <c r="AJ5" s="253">
        <v>0.95629672225416906</v>
      </c>
      <c r="AK5" s="253">
        <v>0.99705535924617195</v>
      </c>
      <c r="AL5" s="253">
        <v>1.0029550827423168</v>
      </c>
      <c r="AM5" s="253">
        <v>1.0276774969915765</v>
      </c>
      <c r="AN5" s="253">
        <v>1.11323155216285</v>
      </c>
      <c r="AO5" s="253">
        <v>1.1674150096215523</v>
      </c>
      <c r="AP5" s="253">
        <v>1.245740498034076</v>
      </c>
      <c r="AQ5" s="253">
        <v>1.2454308093994777</v>
      </c>
      <c r="AR5" s="253">
        <v>1.1854219948849105</v>
      </c>
      <c r="AS5" s="253">
        <v>1.2058441558441559</v>
      </c>
      <c r="AT5" s="253">
        <v>1.1575</v>
      </c>
      <c r="AU5" s="253">
        <v>1.0791411042944785</v>
      </c>
      <c r="AV5" s="253">
        <v>1.0602556299452222</v>
      </c>
      <c r="AW5" s="253">
        <v>1.0172721858248959</v>
      </c>
      <c r="AX5" s="253">
        <v>1.058929645219483</v>
      </c>
      <c r="AY5" s="253">
        <v>1.060838747784997</v>
      </c>
      <c r="AZ5" s="253">
        <v>1.0601060695344726</v>
      </c>
      <c r="BA5" s="253">
        <v>1.0802107728337236</v>
      </c>
      <c r="BB5" s="253">
        <v>1.0605714285714285</v>
      </c>
      <c r="BC5" s="253">
        <v>0.95791688584955281</v>
      </c>
      <c r="BD5" s="253">
        <v>0.95125786163522008</v>
      </c>
      <c r="BE5" s="253">
        <v>0.95125786163522008</v>
      </c>
      <c r="BF5" s="253">
        <v>1.0048543689320388</v>
      </c>
      <c r="BG5" s="253">
        <v>1.0226171243941842</v>
      </c>
      <c r="BH5" s="253">
        <v>1.0140388768898487</v>
      </c>
      <c r="BI5" s="253">
        <v>1.0886867538374077</v>
      </c>
      <c r="BJ5" s="253">
        <v>1.1228473019517795</v>
      </c>
      <c r="BK5" s="253">
        <v>1.1364168618266979</v>
      </c>
      <c r="BL5" s="253">
        <v>1.1039182282793867</v>
      </c>
      <c r="BM5" s="253">
        <v>1.1319599109131404</v>
      </c>
      <c r="BN5" s="253">
        <v>1.1345191773207337</v>
      </c>
    </row>
    <row r="6" spans="1:66" ht="15.75" thickBot="1" x14ac:dyDescent="0.3">
      <c r="A6" s="251" t="s">
        <v>29</v>
      </c>
      <c r="B6" s="196">
        <v>0.93</v>
      </c>
      <c r="C6" s="196">
        <v>0.90751976466262185</v>
      </c>
      <c r="D6" s="196">
        <v>0.86200618969597664</v>
      </c>
      <c r="E6" s="196">
        <v>0.81125888139916191</v>
      </c>
      <c r="F6" s="196">
        <v>0.78846504836649023</v>
      </c>
      <c r="G6" s="196">
        <v>0.73522543560265852</v>
      </c>
      <c r="H6" s="196">
        <v>0.69597132127005801</v>
      </c>
      <c r="I6" s="196">
        <v>0.70762639245929737</v>
      </c>
      <c r="J6" s="196">
        <v>0.70331950207468885</v>
      </c>
      <c r="K6" s="196">
        <v>0.72558386411889597</v>
      </c>
      <c r="L6" s="196">
        <v>0.75286083425618311</v>
      </c>
      <c r="M6" s="196">
        <v>0.76559833112080411</v>
      </c>
      <c r="N6" s="196">
        <v>0.7610379550735864</v>
      </c>
      <c r="O6" s="196">
        <v>0.72695517174461477</v>
      </c>
      <c r="P6" s="196">
        <v>0.73715651135005977</v>
      </c>
      <c r="Q6" s="196">
        <v>0.74068071312803885</v>
      </c>
      <c r="R6" s="196">
        <v>0.7581837381203802</v>
      </c>
      <c r="S6" s="196">
        <v>0.79070289692342244</v>
      </c>
      <c r="T6" s="196">
        <v>0.76157407407407407</v>
      </c>
      <c r="U6" s="196">
        <v>0.78524309797214753</v>
      </c>
      <c r="V6" s="196">
        <v>0.74908020603384839</v>
      </c>
      <c r="W6" s="196">
        <v>0.71034148704286748</v>
      </c>
      <c r="X6" s="196">
        <v>0.71902654867256632</v>
      </c>
      <c r="Y6" s="196">
        <v>0.67544501341136309</v>
      </c>
      <c r="Z6" s="196">
        <v>0.60897278744790395</v>
      </c>
      <c r="AA6" s="196">
        <v>0.58459251919742383</v>
      </c>
      <c r="AB6" s="196">
        <v>0.61068702290076338</v>
      </c>
      <c r="AC6" s="196">
        <v>0.61505605979711697</v>
      </c>
      <c r="AD6" s="196">
        <v>0.59562398703403563</v>
      </c>
      <c r="AE6" s="196">
        <v>0.59600656455142231</v>
      </c>
      <c r="AF6" s="196">
        <v>0.57994428969359335</v>
      </c>
      <c r="AG6" s="196">
        <v>0.56944049985799494</v>
      </c>
      <c r="AH6" s="253">
        <v>0.61610942249240119</v>
      </c>
      <c r="AI6" s="253">
        <v>0.60018668326073432</v>
      </c>
      <c r="AJ6" s="253">
        <v>0.57891290111329408</v>
      </c>
      <c r="AK6" s="253">
        <v>0.59086259802250252</v>
      </c>
      <c r="AL6" s="253">
        <v>0.5675213675213675</v>
      </c>
      <c r="AM6" s="253">
        <v>0.61949458483754516</v>
      </c>
      <c r="AN6" s="253">
        <v>0.72705314009661837</v>
      </c>
      <c r="AO6" s="253">
        <v>0.74661016949152548</v>
      </c>
      <c r="AP6" s="253">
        <v>0.63791666666666669</v>
      </c>
      <c r="AQ6" s="253">
        <v>0.63454861111111116</v>
      </c>
      <c r="AR6" s="253">
        <v>0.65623582766439914</v>
      </c>
      <c r="AS6" s="253">
        <v>0.66681964203763189</v>
      </c>
      <c r="AT6" s="253">
        <v>0.66330451488952935</v>
      </c>
      <c r="AU6" s="253">
        <v>0.65137157107231924</v>
      </c>
      <c r="AV6" s="253">
        <v>0.59940799210656137</v>
      </c>
      <c r="AW6" s="253">
        <v>0.61067910834629346</v>
      </c>
      <c r="AX6" s="253">
        <v>0.68721719457013575</v>
      </c>
      <c r="AY6" s="253">
        <v>0.70571263704558573</v>
      </c>
      <c r="AZ6" s="253">
        <v>0.74518072289156623</v>
      </c>
      <c r="BA6" s="253">
        <v>0.72435897435897434</v>
      </c>
      <c r="BB6" s="253">
        <v>0.67109634551495012</v>
      </c>
      <c r="BC6" s="253">
        <v>0.79359895493141741</v>
      </c>
      <c r="BD6" s="253">
        <v>0.84404924760601918</v>
      </c>
      <c r="BE6" s="253">
        <v>0.84404924760601918</v>
      </c>
      <c r="BF6" s="253">
        <v>0.84865238424326195</v>
      </c>
      <c r="BG6" s="253">
        <v>0.82794218857536128</v>
      </c>
      <c r="BH6" s="253">
        <v>0.90441708906589424</v>
      </c>
      <c r="BI6" s="253">
        <v>1</v>
      </c>
      <c r="BJ6" s="253">
        <v>1.0798353909465022</v>
      </c>
      <c r="BK6" s="253">
        <v>1.134125636672326</v>
      </c>
      <c r="BL6" s="253">
        <v>1.1382716049382715</v>
      </c>
      <c r="BM6" s="253">
        <v>1.1340964840556009</v>
      </c>
      <c r="BN6" s="253">
        <v>1.1592562651576395</v>
      </c>
    </row>
    <row r="7" spans="1:66" ht="15.75" thickBot="1" x14ac:dyDescent="0.3">
      <c r="A7" s="251" t="s">
        <v>30</v>
      </c>
      <c r="B7" s="196">
        <v>2.1220976781425138</v>
      </c>
      <c r="C7" s="196">
        <v>2.2863140218303948</v>
      </c>
      <c r="D7" s="196">
        <v>2.3720439189189189</v>
      </c>
      <c r="E7" s="196">
        <v>0.84586255259467036</v>
      </c>
      <c r="F7" s="196">
        <v>2.361972357116175</v>
      </c>
      <c r="G7" s="196">
        <v>2.1829632084852504</v>
      </c>
      <c r="H7" s="196">
        <v>2.1659402241594021</v>
      </c>
      <c r="I7" s="196">
        <v>2.2334483840602446</v>
      </c>
      <c r="J7" s="196">
        <v>2.2496147919876734</v>
      </c>
      <c r="K7" s="196">
        <v>2.1650253655625185</v>
      </c>
      <c r="L7" s="196">
        <v>1.8626073380171742</v>
      </c>
      <c r="M7" s="196">
        <v>1.6313481071098799</v>
      </c>
      <c r="N7" s="196">
        <v>1.4567176692517292</v>
      </c>
      <c r="O7" s="196">
        <v>1.3683481701285856</v>
      </c>
      <c r="P7" s="196">
        <v>1.2876815695151858</v>
      </c>
      <c r="Q7" s="196">
        <v>1.2462357693720161</v>
      </c>
      <c r="R7" s="196">
        <v>1.1830158447569876</v>
      </c>
      <c r="S7" s="196">
        <v>1.1047919084728901</v>
      </c>
      <c r="T7" s="196">
        <v>1.0651589435394591</v>
      </c>
      <c r="U7" s="196">
        <v>1.0192833282720923</v>
      </c>
      <c r="V7" s="196">
        <v>0.97110823630875376</v>
      </c>
      <c r="W7" s="196">
        <v>0.99339702163529087</v>
      </c>
      <c r="X7" s="196">
        <v>0.95958904109589038</v>
      </c>
      <c r="Y7" s="196">
        <v>0.9416953824948312</v>
      </c>
      <c r="Z7" s="196">
        <v>0.91701592623637884</v>
      </c>
      <c r="AA7" s="196">
        <v>0.90547615678505733</v>
      </c>
      <c r="AB7" s="196">
        <v>0.9661870503597122</v>
      </c>
      <c r="AC7" s="196">
        <v>1.0106982796009831</v>
      </c>
      <c r="AD7" s="196">
        <v>1.0443891004980954</v>
      </c>
      <c r="AE7" s="196">
        <v>1.076027700014734</v>
      </c>
      <c r="AF7" s="196">
        <v>1.1297215951843491</v>
      </c>
      <c r="AG7" s="196">
        <v>1.1487318024913702</v>
      </c>
      <c r="AH7" s="253">
        <v>1.1300668151447661</v>
      </c>
      <c r="AI7" s="253">
        <v>1.1963354684939669</v>
      </c>
      <c r="AJ7" s="253">
        <v>1.1542332741267023</v>
      </c>
      <c r="AK7" s="253">
        <v>1.0998444350162637</v>
      </c>
      <c r="AL7" s="253">
        <v>1.1182012847965739</v>
      </c>
      <c r="AM7" s="253">
        <v>1.1857435597189696</v>
      </c>
      <c r="AN7" s="253">
        <v>1.3065204143814748</v>
      </c>
      <c r="AO7" s="253">
        <v>1.3809970307860604</v>
      </c>
      <c r="AP7" s="253">
        <v>1.2933730454207</v>
      </c>
      <c r="AQ7" s="253">
        <v>1.2284365612930912</v>
      </c>
      <c r="AR7" s="253">
        <v>1.1795483237480713</v>
      </c>
      <c r="AS7" s="253">
        <v>0.99685675797036377</v>
      </c>
      <c r="AT7" s="253">
        <v>0.99519020550940096</v>
      </c>
      <c r="AU7" s="253">
        <v>1.1069324875396467</v>
      </c>
      <c r="AV7" s="253">
        <v>1.1910112359550562</v>
      </c>
      <c r="AW7" s="253">
        <v>1.1665926254997778</v>
      </c>
      <c r="AX7" s="253">
        <v>1.2055417700578992</v>
      </c>
      <c r="AY7" s="253">
        <v>1.198659834450138</v>
      </c>
      <c r="AZ7" s="253">
        <v>1.2381332269644993</v>
      </c>
      <c r="BA7" s="253">
        <v>1.337386018237082</v>
      </c>
      <c r="BB7" s="253">
        <v>1.6270746887966805</v>
      </c>
      <c r="BC7" s="253">
        <v>1.4339093881363849</v>
      </c>
      <c r="BD7" s="253">
        <v>1.504367816091954</v>
      </c>
      <c r="BE7" s="253">
        <v>1.504367816091954</v>
      </c>
      <c r="BF7" s="253">
        <v>1.4952851369555455</v>
      </c>
      <c r="BG7" s="253">
        <v>1.4806306306306307</v>
      </c>
      <c r="BH7" s="253">
        <v>1.4358523725834798</v>
      </c>
      <c r="BI7" s="253">
        <v>1.2795742939009416</v>
      </c>
      <c r="BJ7" s="253">
        <v>1.1833962264150943</v>
      </c>
      <c r="BK7" s="253">
        <v>1.1778370144706778</v>
      </c>
      <c r="BL7" s="253">
        <v>1.1499142367066895</v>
      </c>
      <c r="BM7" s="253">
        <v>1.0101940151266031</v>
      </c>
      <c r="BN7" s="253">
        <v>1.1040592783505154</v>
      </c>
    </row>
    <row r="8" spans="1:66" ht="15.75" thickBot="1" x14ac:dyDescent="0.3">
      <c r="A8" s="251" t="s">
        <v>20</v>
      </c>
      <c r="B8" s="196">
        <v>0.66171456405260598</v>
      </c>
      <c r="C8" s="196">
        <v>0.5954324931960715</v>
      </c>
      <c r="D8" s="196">
        <v>0.57846844717560864</v>
      </c>
      <c r="E8" s="196">
        <v>1.1401120896717374</v>
      </c>
      <c r="F8" s="196">
        <v>0.4310829817158931</v>
      </c>
      <c r="G8" s="196">
        <v>0.35390753344285381</v>
      </c>
      <c r="H8" s="196">
        <v>0.28509017587095331</v>
      </c>
      <c r="I8" s="196">
        <v>0.23464818763326226</v>
      </c>
      <c r="J8" s="196">
        <v>0.20363247863247863</v>
      </c>
      <c r="K8" s="196">
        <v>0.21875</v>
      </c>
      <c r="L8" s="196">
        <v>0.2503899220155969</v>
      </c>
      <c r="M8" s="196">
        <v>0.29109225874867445</v>
      </c>
      <c r="N8" s="196">
        <v>0.33571322326342407</v>
      </c>
      <c r="O8" s="196">
        <v>0.39745762711864407</v>
      </c>
      <c r="P8" s="196">
        <v>0.45638571954361429</v>
      </c>
      <c r="Q8" s="196">
        <v>0.48290937996820349</v>
      </c>
      <c r="R8" s="196">
        <v>0.48049029622063327</v>
      </c>
      <c r="S8" s="196">
        <v>0.54868913857677903</v>
      </c>
      <c r="T8" s="196">
        <v>0.60603588907014683</v>
      </c>
      <c r="U8" s="196">
        <v>0.72612732095490717</v>
      </c>
      <c r="V8" s="196">
        <v>0.81257367387033397</v>
      </c>
      <c r="W8" s="196">
        <v>0.8764198091776465</v>
      </c>
      <c r="X8" s="196">
        <v>1.036726128016789</v>
      </c>
      <c r="Y8" s="196">
        <v>1.0404595404595405</v>
      </c>
      <c r="Z8" s="196">
        <v>1.1471011020603736</v>
      </c>
      <c r="AA8" s="196">
        <v>1.1161202185792349</v>
      </c>
      <c r="AB8" s="196">
        <v>1.0642445724412937</v>
      </c>
      <c r="AC8" s="196">
        <v>0.96673773987206824</v>
      </c>
      <c r="AD8" s="196">
        <v>0.844758064516129</v>
      </c>
      <c r="AE8" s="196">
        <v>0.91646090534979419</v>
      </c>
      <c r="AF8" s="196">
        <v>0.97236394557823125</v>
      </c>
      <c r="AG8" s="196">
        <v>0.94155290102389078</v>
      </c>
      <c r="AH8" s="253">
        <v>0.9982054733064154</v>
      </c>
      <c r="AI8" s="253">
        <v>1.0278538812785387</v>
      </c>
      <c r="AJ8" s="253">
        <v>1.1692456479690523</v>
      </c>
      <c r="AK8" s="253">
        <v>1.3151892172109902</v>
      </c>
      <c r="AL8" s="253">
        <v>1.2687246963562753</v>
      </c>
      <c r="AM8" s="253">
        <v>1.1056168987037926</v>
      </c>
      <c r="AN8" s="253">
        <v>0.80534670008354214</v>
      </c>
      <c r="AO8" s="253">
        <v>0.77192982456140347</v>
      </c>
      <c r="AP8" s="253">
        <v>0.89134054954204833</v>
      </c>
      <c r="AQ8" s="253">
        <v>0.95941773268636965</v>
      </c>
      <c r="AR8" s="253">
        <v>1.0630071599045345</v>
      </c>
      <c r="AS8" s="253">
        <v>1.1318636176913597</v>
      </c>
      <c r="AT8" s="253">
        <v>1.1130944451844944</v>
      </c>
      <c r="AU8" s="253">
        <v>1.0749934674679906</v>
      </c>
      <c r="AV8" s="253">
        <v>1.0722638286690316</v>
      </c>
      <c r="AW8" s="253">
        <v>0.96911966131241445</v>
      </c>
      <c r="AX8" s="253">
        <v>1.0251346499102334</v>
      </c>
      <c r="AY8" s="253">
        <v>1.0356178474990356</v>
      </c>
      <c r="AZ8" s="253">
        <v>1.0214477211796247</v>
      </c>
      <c r="BA8" s="253">
        <v>0.98642142945315392</v>
      </c>
      <c r="BB8" s="253">
        <v>0.93540111940298509</v>
      </c>
      <c r="BC8" s="253">
        <v>0.93459988485895218</v>
      </c>
      <c r="BD8" s="253">
        <v>0.93991616208663253</v>
      </c>
      <c r="BE8" s="253">
        <v>0.93991616208663253</v>
      </c>
      <c r="BF8" s="253">
        <v>0.97633487929599239</v>
      </c>
      <c r="BG8" s="253">
        <v>1.0112509073312363</v>
      </c>
      <c r="BH8" s="253">
        <v>1.0147199617041647</v>
      </c>
      <c r="BI8" s="253">
        <v>1.0448468643655811</v>
      </c>
      <c r="BJ8" s="253">
        <v>1.0681289057713514</v>
      </c>
      <c r="BK8" s="253">
        <v>1.1232172684054991</v>
      </c>
      <c r="BL8" s="253">
        <v>1.1533650237678259</v>
      </c>
      <c r="BM8" s="253">
        <v>1.1708467842066055</v>
      </c>
      <c r="BN8" s="253">
        <v>1.1988501437320336</v>
      </c>
    </row>
    <row r="9" spans="1:66" ht="15.75" thickBot="1" x14ac:dyDescent="0.3">
      <c r="A9" s="251" t="s">
        <v>31</v>
      </c>
      <c r="B9" s="196">
        <v>1.0749810174639332</v>
      </c>
      <c r="C9" s="196">
        <v>1.0126304228445908</v>
      </c>
      <c r="D9" s="196">
        <v>1.0349560761346999</v>
      </c>
      <c r="E9" s="196">
        <v>0.97865528281750269</v>
      </c>
      <c r="F9" s="196">
        <v>0.90145228215767637</v>
      </c>
      <c r="G9" s="196">
        <v>0.85579561042524011</v>
      </c>
      <c r="H9" s="196">
        <v>0.77905073649754497</v>
      </c>
      <c r="I9" s="196">
        <v>0.74605954465849389</v>
      </c>
      <c r="J9" s="196">
        <v>0.7103600758054327</v>
      </c>
      <c r="K9" s="196">
        <v>0.7024544734758511</v>
      </c>
      <c r="L9" s="196">
        <v>0.68840579710144922</v>
      </c>
      <c r="M9" s="196">
        <v>0.6413881748071979</v>
      </c>
      <c r="N9" s="196">
        <v>0.6190397895429135</v>
      </c>
      <c r="O9" s="196">
        <v>0.61885315637229876</v>
      </c>
      <c r="P9" s="196">
        <v>0.62917181705809644</v>
      </c>
      <c r="Q9" s="196">
        <v>0.62346348517715111</v>
      </c>
      <c r="R9" s="196">
        <v>0.56887709991158264</v>
      </c>
      <c r="S9" s="196">
        <v>0.56070519810977826</v>
      </c>
      <c r="T9" s="196">
        <v>0.57288070579209815</v>
      </c>
      <c r="U9" s="196">
        <v>0.56822280104187539</v>
      </c>
      <c r="V9" s="196">
        <v>0.56701680672268906</v>
      </c>
      <c r="W9" s="196">
        <v>0.54822876653862573</v>
      </c>
      <c r="X9" s="196">
        <v>0.56847487772343264</v>
      </c>
      <c r="Y9" s="196">
        <v>0.54350766456266908</v>
      </c>
      <c r="Z9" s="196">
        <v>0.52163742690058479</v>
      </c>
      <c r="AA9" s="196">
        <v>0.51352705410821642</v>
      </c>
      <c r="AB9" s="196">
        <v>0.53784860557768921</v>
      </c>
      <c r="AC9" s="196">
        <v>0.52955732746769313</v>
      </c>
      <c r="AD9" s="196">
        <v>0.50912152680325573</v>
      </c>
      <c r="AE9" s="196">
        <v>0.52073064656422152</v>
      </c>
      <c r="AF9" s="196">
        <v>0.57071806030463168</v>
      </c>
      <c r="AG9" s="196">
        <v>0.57698541329011344</v>
      </c>
      <c r="AH9" s="253">
        <v>0.59055908938734514</v>
      </c>
      <c r="AI9" s="253">
        <v>0.62023977433004229</v>
      </c>
      <c r="AJ9" s="253">
        <v>0.62319377547239718</v>
      </c>
      <c r="AK9" s="253">
        <v>0.65550797975866093</v>
      </c>
      <c r="AL9" s="253">
        <v>0.63394603050449749</v>
      </c>
      <c r="AM9" s="253">
        <v>0.69680630443799252</v>
      </c>
      <c r="AN9" s="253">
        <v>0.75156950672645739</v>
      </c>
      <c r="AO9" s="253">
        <v>0.8546341463414634</v>
      </c>
      <c r="AP9" s="253">
        <v>0.86716049382716054</v>
      </c>
      <c r="AQ9" s="253">
        <v>0.89356178608515058</v>
      </c>
      <c r="AR9" s="253">
        <v>0.94046306504961408</v>
      </c>
      <c r="AS9" s="253">
        <v>0.93262806236080176</v>
      </c>
      <c r="AT9" s="253">
        <v>0.89869281045751637</v>
      </c>
      <c r="AU9" s="253">
        <v>0.9353932584269663</v>
      </c>
      <c r="AV9" s="253">
        <v>0.94047619047619047</v>
      </c>
      <c r="AW9" s="253">
        <v>0.93234792495736218</v>
      </c>
      <c r="AX9" s="253">
        <v>1.0101070154577882</v>
      </c>
      <c r="AY9" s="253">
        <v>1.0065320665083135</v>
      </c>
      <c r="AZ9" s="253">
        <v>1.0518198642813079</v>
      </c>
      <c r="BA9" s="253">
        <v>1.0321428571428573</v>
      </c>
      <c r="BB9" s="253">
        <v>1.0948687350835322</v>
      </c>
      <c r="BC9" s="253">
        <v>1.076879271070615</v>
      </c>
      <c r="BD9" s="253">
        <v>1.1690877396862289</v>
      </c>
      <c r="BE9" s="253">
        <v>1.1690877396862289</v>
      </c>
      <c r="BF9" s="253">
        <v>1.2080890973036342</v>
      </c>
      <c r="BG9" s="253">
        <v>1.2728358208955224</v>
      </c>
      <c r="BH9" s="253">
        <v>1.3454545454545455</v>
      </c>
      <c r="BI9" s="253">
        <v>1.3453453453453454</v>
      </c>
      <c r="BJ9" s="253">
        <v>1.3224834237492464</v>
      </c>
      <c r="BK9" s="253">
        <v>1.3347560975609756</v>
      </c>
      <c r="BL9" s="253">
        <v>1.3337257210123603</v>
      </c>
      <c r="BM9" s="253">
        <v>1.3728613569321535</v>
      </c>
      <c r="BN9" s="253">
        <v>1.3771260997067449</v>
      </c>
    </row>
    <row r="10" spans="1:66" ht="15.75" thickBot="1" x14ac:dyDescent="0.3">
      <c r="A10" s="251" t="s">
        <v>41</v>
      </c>
      <c r="B10" s="196">
        <v>11.760869565217391</v>
      </c>
      <c r="C10" s="196">
        <v>6.6883116883116882</v>
      </c>
      <c r="D10" s="196">
        <v>5.4395604395604398</v>
      </c>
      <c r="E10" s="196">
        <v>2.7861635220125787</v>
      </c>
      <c r="F10" s="196">
        <v>1.892018779342723</v>
      </c>
      <c r="G10" s="196">
        <v>1.1808510638297873</v>
      </c>
      <c r="H10" s="196">
        <v>0.83480825958702065</v>
      </c>
      <c r="I10" s="196">
        <v>0.6975476839237057</v>
      </c>
      <c r="J10" s="196">
        <v>0.40723981900452488</v>
      </c>
      <c r="K10" s="196">
        <v>0.37582417582417582</v>
      </c>
      <c r="L10" s="196">
        <v>0.36462882096069871</v>
      </c>
      <c r="M10" s="196">
        <v>0.33190578158458245</v>
      </c>
      <c r="N10" s="196">
        <v>0.19001919385796545</v>
      </c>
      <c r="O10" s="196">
        <v>0.12589928057553956</v>
      </c>
      <c r="P10" s="196">
        <v>0.1256931608133087</v>
      </c>
      <c r="Q10" s="196">
        <v>0.13980582524271845</v>
      </c>
      <c r="R10" s="196">
        <v>0.15757575757575756</v>
      </c>
      <c r="S10" s="196">
        <v>0.1670428893905192</v>
      </c>
      <c r="T10" s="196">
        <v>0.16129032258064516</v>
      </c>
      <c r="U10" s="196">
        <v>0.23723723723723725</v>
      </c>
      <c r="V10" s="196">
        <v>0.33922261484098942</v>
      </c>
      <c r="W10" s="196">
        <v>0.44921875</v>
      </c>
      <c r="X10" s="196">
        <v>0.69444444444444442</v>
      </c>
      <c r="Y10" s="196">
        <v>0.74269005847953218</v>
      </c>
      <c r="Z10" s="196">
        <v>0.76047904191616766</v>
      </c>
      <c r="AA10" s="196">
        <v>0.85806451612903223</v>
      </c>
      <c r="AB10" s="196">
        <v>1.8383838383838385</v>
      </c>
      <c r="AC10" s="196">
        <v>2.7142857142857144</v>
      </c>
      <c r="AD10" s="196">
        <v>2.9705882352941178</v>
      </c>
      <c r="AE10" s="196">
        <v>2.7916666666666665</v>
      </c>
      <c r="AF10" s="196">
        <v>3.2179487179487181</v>
      </c>
      <c r="AG10" s="196">
        <v>3.7837837837837838</v>
      </c>
      <c r="AH10" s="253">
        <v>4.3384615384615381</v>
      </c>
      <c r="AI10" s="253">
        <v>3.4556962025316458</v>
      </c>
      <c r="AJ10" s="253">
        <v>2.8229166666666665</v>
      </c>
      <c r="AK10" s="253">
        <v>2.2782608695652176</v>
      </c>
      <c r="AL10" s="253">
        <v>2.024</v>
      </c>
      <c r="AM10" s="253">
        <v>2.1181102362204722</v>
      </c>
      <c r="AN10" s="253">
        <v>2.1968503937007875</v>
      </c>
      <c r="AO10" s="253">
        <v>2.2406015037593985</v>
      </c>
      <c r="AP10" s="253">
        <v>1.4780219780219781</v>
      </c>
      <c r="AQ10" s="253">
        <v>1.4736842105263157</v>
      </c>
      <c r="AR10" s="253">
        <v>1.3366336633663367</v>
      </c>
      <c r="AS10" s="253">
        <v>1.4378109452736318</v>
      </c>
      <c r="AT10" s="253">
        <v>1.0199203187250996</v>
      </c>
      <c r="AU10" s="253">
        <v>0.9</v>
      </c>
      <c r="AV10" s="253">
        <v>0.8971631205673759</v>
      </c>
      <c r="AW10" s="253">
        <v>1.0695970695970696</v>
      </c>
      <c r="AX10" s="253">
        <v>1.088560885608856</v>
      </c>
      <c r="AY10" s="253">
        <v>1.1526717557251909</v>
      </c>
      <c r="AZ10" s="253">
        <v>1.3675889328063242</v>
      </c>
      <c r="BA10" s="253">
        <v>1.3234200743494424</v>
      </c>
      <c r="BB10" s="253">
        <v>1.3225806451612903</v>
      </c>
      <c r="BC10" s="253">
        <v>1.3048327137546469</v>
      </c>
      <c r="BD10" s="253">
        <v>1.2428571428571429</v>
      </c>
      <c r="BE10" s="253">
        <v>1.2428571428571429</v>
      </c>
      <c r="BF10" s="253">
        <v>1.2925925925925925</v>
      </c>
      <c r="BG10" s="253">
        <v>1.1314878892733564</v>
      </c>
      <c r="BH10" s="253">
        <v>1.26953125</v>
      </c>
      <c r="BI10" s="253">
        <v>1.3055555555555556</v>
      </c>
      <c r="BJ10" s="253">
        <v>1.3478260869565217</v>
      </c>
      <c r="BK10" s="253">
        <v>1.1952054794520548</v>
      </c>
      <c r="BL10" s="253">
        <v>1.3966101694915254</v>
      </c>
      <c r="BM10" s="253">
        <v>1.4072847682119205</v>
      </c>
      <c r="BN10" s="253">
        <v>1.1907514450867052</v>
      </c>
    </row>
    <row r="11" spans="1:66" ht="15.75" thickBot="1" x14ac:dyDescent="0.3">
      <c r="A11" s="251" t="s">
        <v>32</v>
      </c>
      <c r="B11" s="196">
        <v>2.3975903614457832</v>
      </c>
      <c r="C11" s="196">
        <v>2.2611111111111111</v>
      </c>
      <c r="D11" s="196">
        <v>2.0463917525773194</v>
      </c>
      <c r="E11" s="196">
        <v>2.2346938775510203</v>
      </c>
      <c r="F11" s="196">
        <v>2.4607329842931938</v>
      </c>
      <c r="G11" s="196">
        <v>2.3413461538461537</v>
      </c>
      <c r="H11" s="196">
        <v>2.2811059907834101</v>
      </c>
      <c r="I11" s="196">
        <v>2.0543933054393304</v>
      </c>
      <c r="J11" s="196">
        <v>1.5238095238095237</v>
      </c>
      <c r="K11" s="196">
        <v>1.2413793103448276</v>
      </c>
      <c r="L11" s="196">
        <v>1.2118644067796611</v>
      </c>
      <c r="M11" s="196">
        <v>1.1187335092348285</v>
      </c>
      <c r="N11" s="196">
        <v>0.99511002444987773</v>
      </c>
      <c r="O11" s="196">
        <v>1.0552763819095476</v>
      </c>
      <c r="P11" s="196">
        <v>1.1030150753768844</v>
      </c>
      <c r="Q11" s="196">
        <v>1.0491400491400491</v>
      </c>
      <c r="R11" s="196">
        <v>1.1259445843828715</v>
      </c>
      <c r="S11" s="196">
        <v>0.99315068493150682</v>
      </c>
      <c r="T11" s="196">
        <v>0.90851063829787237</v>
      </c>
      <c r="U11" s="196">
        <v>0.85010266940451751</v>
      </c>
      <c r="V11" s="196">
        <v>0.84848484848484851</v>
      </c>
      <c r="W11" s="196">
        <v>0.8716904276985743</v>
      </c>
      <c r="X11" s="196">
        <v>1.0267857142857142</v>
      </c>
      <c r="Y11" s="196">
        <v>1.0393518518518519</v>
      </c>
      <c r="Z11" s="196">
        <v>1.0629370629370629</v>
      </c>
      <c r="AA11" s="196">
        <v>1.1155660377358489</v>
      </c>
      <c r="AB11" s="196">
        <v>1.203931203931204</v>
      </c>
      <c r="AC11" s="196">
        <v>1.1857142857142857</v>
      </c>
      <c r="AD11" s="196">
        <v>1.2277904328018223</v>
      </c>
      <c r="AE11" s="196">
        <v>1.3934426229508197</v>
      </c>
      <c r="AF11" s="196">
        <v>1.378076062639821</v>
      </c>
      <c r="AG11" s="196">
        <v>1.5862068965517242</v>
      </c>
      <c r="AH11" s="253">
        <v>1.7611241217798594</v>
      </c>
      <c r="AI11" s="253">
        <v>2.0072463768115942</v>
      </c>
      <c r="AJ11" s="253">
        <v>2.092857142857143</v>
      </c>
      <c r="AK11" s="253">
        <v>2.2126168224299065</v>
      </c>
      <c r="AL11" s="253">
        <v>2.1369565217391306</v>
      </c>
      <c r="AM11" s="253">
        <v>2.22271714922049</v>
      </c>
      <c r="AN11" s="253">
        <v>2.3267543859649122</v>
      </c>
      <c r="AO11" s="253">
        <v>2.3340380549682873</v>
      </c>
      <c r="AP11" s="253">
        <v>2.3387755102040817</v>
      </c>
      <c r="AQ11" s="253">
        <v>2.3594377510040161</v>
      </c>
      <c r="AR11" s="253">
        <v>2.1576994434137293</v>
      </c>
      <c r="AS11" s="253">
        <v>1.9260504201680673</v>
      </c>
      <c r="AT11" s="253">
        <v>1.8392857142857142</v>
      </c>
      <c r="AU11" s="253">
        <v>1.5681159420289854</v>
      </c>
      <c r="AV11" s="253">
        <v>1.4095744680851063</v>
      </c>
      <c r="AW11" s="253">
        <v>1.2286401925391095</v>
      </c>
      <c r="AX11" s="253">
        <v>1.1501706484641638</v>
      </c>
      <c r="AY11" s="253">
        <v>0.99788806758183735</v>
      </c>
      <c r="AZ11" s="253">
        <v>0.94506612410986779</v>
      </c>
      <c r="BA11" s="253">
        <v>0.91482965931863724</v>
      </c>
      <c r="BB11" s="253">
        <v>0.82469368520263897</v>
      </c>
      <c r="BC11" s="253">
        <v>0.71640488656195467</v>
      </c>
      <c r="BD11" s="253">
        <v>0.67404255319148931</v>
      </c>
      <c r="BE11" s="253">
        <v>0.67404255319148931</v>
      </c>
      <c r="BF11" s="253">
        <v>0.66036113499570082</v>
      </c>
      <c r="BG11" s="253">
        <v>0.6657940663176265</v>
      </c>
      <c r="BH11" s="253">
        <v>0.6575463371579876</v>
      </c>
      <c r="BI11" s="253">
        <v>0.67190388170055448</v>
      </c>
      <c r="BJ11" s="253">
        <v>0.63113207547169814</v>
      </c>
      <c r="BK11" s="253">
        <v>0.62683643486777674</v>
      </c>
      <c r="BL11" s="253">
        <v>0.6162215628090999</v>
      </c>
      <c r="BM11" s="253">
        <v>0.67407407407407405</v>
      </c>
      <c r="BN11" s="253">
        <v>0.66200215285252961</v>
      </c>
    </row>
    <row r="12" spans="1:66" ht="15.75" thickBot="1" x14ac:dyDescent="0.3">
      <c r="A12" s="251" t="s">
        <v>33</v>
      </c>
      <c r="B12" s="196">
        <v>0.60602937387271327</v>
      </c>
      <c r="C12" s="196">
        <v>0.60437532946758044</v>
      </c>
      <c r="D12" s="196">
        <v>0.57825283716020059</v>
      </c>
      <c r="E12" s="196">
        <v>0.5056179775280899</v>
      </c>
      <c r="F12" s="196">
        <v>0.49156626506024098</v>
      </c>
      <c r="G12" s="196">
        <v>0.46068329718004336</v>
      </c>
      <c r="H12" s="196">
        <v>0.43368881596937381</v>
      </c>
      <c r="I12" s="196">
        <v>0.43305322128851542</v>
      </c>
      <c r="J12" s="196">
        <v>0.40941309895094979</v>
      </c>
      <c r="K12" s="196">
        <v>0.39696188019489825</v>
      </c>
      <c r="L12" s="196">
        <v>0.39330543933054396</v>
      </c>
      <c r="M12" s="196">
        <v>0.42251223491027734</v>
      </c>
      <c r="N12" s="196">
        <v>0.47636103151862463</v>
      </c>
      <c r="O12" s="196">
        <v>0.51581413510347518</v>
      </c>
      <c r="P12" s="196">
        <v>0.54421768707482998</v>
      </c>
      <c r="Q12" s="196">
        <v>0.56476232010466643</v>
      </c>
      <c r="R12" s="196">
        <v>0.59196713829301684</v>
      </c>
      <c r="S12" s="196">
        <v>0.67183462532299743</v>
      </c>
      <c r="T12" s="196">
        <v>0.67156862745098034</v>
      </c>
      <c r="U12" s="196">
        <v>0.72807533843437311</v>
      </c>
      <c r="V12" s="196">
        <v>0.77301387137452715</v>
      </c>
      <c r="W12" s="196">
        <v>0.82664941785252266</v>
      </c>
      <c r="X12" s="196">
        <v>0.88296398891966754</v>
      </c>
      <c r="Y12" s="196">
        <v>0.8895306859205776</v>
      </c>
      <c r="Z12" s="196">
        <v>0.90957446808510634</v>
      </c>
      <c r="AA12" s="196">
        <v>0.88030888030888033</v>
      </c>
      <c r="AB12" s="196">
        <v>0.80150375939849627</v>
      </c>
      <c r="AC12" s="196">
        <v>0.79182437547312645</v>
      </c>
      <c r="AD12" s="196">
        <v>0.81328124999999996</v>
      </c>
      <c r="AE12" s="196">
        <v>0.77374517374517371</v>
      </c>
      <c r="AF12" s="196">
        <v>0.74787972243639167</v>
      </c>
      <c r="AG12" s="196">
        <v>0.71846153846153848</v>
      </c>
      <c r="AH12" s="253">
        <v>0.78021086780210869</v>
      </c>
      <c r="AI12" s="253">
        <v>0.85852869846402591</v>
      </c>
      <c r="AJ12" s="253">
        <v>0.85154975530179444</v>
      </c>
      <c r="AK12" s="253">
        <v>0.76291079812206575</v>
      </c>
      <c r="AL12" s="253">
        <v>0.76549019607843138</v>
      </c>
      <c r="AM12" s="253">
        <v>0.82792207792207795</v>
      </c>
      <c r="AN12" s="253">
        <v>0.87802840434419382</v>
      </c>
      <c r="AO12" s="253">
        <v>0.9754385964912281</v>
      </c>
      <c r="AP12" s="253">
        <v>1.0440900562851783</v>
      </c>
      <c r="AQ12" s="253">
        <v>1.1022944550669216</v>
      </c>
      <c r="AR12" s="253">
        <v>1.0826128722382324</v>
      </c>
      <c r="AS12" s="253">
        <v>1.1487025948103793</v>
      </c>
      <c r="AT12" s="253">
        <v>1.1845360824742268</v>
      </c>
      <c r="AU12" s="253">
        <v>1.2805139186295502</v>
      </c>
      <c r="AV12" s="253">
        <v>1.2390852390852392</v>
      </c>
      <c r="AW12" s="253">
        <v>1.0084745762711864</v>
      </c>
      <c r="AX12" s="253">
        <v>1.0804597701149425</v>
      </c>
      <c r="AY12" s="253">
        <v>1.2</v>
      </c>
      <c r="AZ12" s="253">
        <v>1.1782786885245902</v>
      </c>
      <c r="BA12" s="253">
        <v>1.165686274509804</v>
      </c>
      <c r="BB12" s="253">
        <v>1.159847764034253</v>
      </c>
      <c r="BC12" s="253">
        <v>1.1293800539083558</v>
      </c>
      <c r="BD12" s="253">
        <v>1.0537727666955767</v>
      </c>
      <c r="BE12" s="253">
        <v>1.0537727666955767</v>
      </c>
      <c r="BF12" s="253">
        <v>1.1047027506654836</v>
      </c>
      <c r="BG12" s="253">
        <v>1.0842745438748913</v>
      </c>
      <c r="BH12" s="253">
        <v>1.0844212358572671</v>
      </c>
      <c r="BI12" s="253">
        <v>1.028428093645485</v>
      </c>
      <c r="BJ12" s="253">
        <v>1.0151006711409396</v>
      </c>
      <c r="BK12" s="253">
        <v>1.1167133520074697</v>
      </c>
      <c r="BL12" s="253">
        <v>1.051418439716312</v>
      </c>
      <c r="BM12" s="253">
        <v>1.023076923076923</v>
      </c>
      <c r="BN12" s="253">
        <v>1.057391304347826</v>
      </c>
    </row>
    <row r="13" spans="1:66" ht="15.75" thickBot="1" x14ac:dyDescent="0.3">
      <c r="A13" s="251" t="s">
        <v>21</v>
      </c>
      <c r="B13" s="196">
        <v>1.4710144927536233</v>
      </c>
      <c r="C13" s="196">
        <v>1.5342465753424657</v>
      </c>
      <c r="D13" s="196">
        <v>1.3806451612903226</v>
      </c>
      <c r="E13" s="196">
        <v>1.3416149068322982</v>
      </c>
      <c r="F13" s="196">
        <v>1.4876543209876543</v>
      </c>
      <c r="G13" s="196">
        <v>1.4484848484848485</v>
      </c>
      <c r="H13" s="196">
        <v>1.51875</v>
      </c>
      <c r="I13" s="196">
        <v>1.5214723926380369</v>
      </c>
      <c r="J13" s="196">
        <v>1.3043478260869565</v>
      </c>
      <c r="K13" s="196">
        <v>1.2383419689119171</v>
      </c>
      <c r="L13" s="196">
        <v>1.2291666666666667</v>
      </c>
      <c r="M13" s="196">
        <v>1.0610328638497653</v>
      </c>
      <c r="N13" s="196">
        <v>1.0426540284360191</v>
      </c>
      <c r="O13" s="196">
        <v>1.1365853658536584</v>
      </c>
      <c r="P13" s="196">
        <v>1.2364532019704433</v>
      </c>
      <c r="Q13" s="196">
        <v>1.1026785714285714</v>
      </c>
      <c r="R13" s="196">
        <v>1.1869158878504673</v>
      </c>
      <c r="S13" s="196">
        <v>1.1666666666666667</v>
      </c>
      <c r="T13" s="196">
        <v>1.0124481327800829</v>
      </c>
      <c r="U13" s="196">
        <v>1.0753138075313808</v>
      </c>
      <c r="V13" s="196">
        <v>1.1069958847736625</v>
      </c>
      <c r="W13" s="196">
        <v>1.1451612903225807</v>
      </c>
      <c r="X13" s="196">
        <v>1.2458333333333333</v>
      </c>
      <c r="Y13" s="196">
        <v>1.2635983263598327</v>
      </c>
      <c r="Z13" s="196">
        <v>1.3389830508474576</v>
      </c>
      <c r="AA13" s="196">
        <v>1.4646017699115044</v>
      </c>
      <c r="AB13" s="196">
        <v>1.5772727272727274</v>
      </c>
      <c r="AC13" s="196">
        <v>1.5278969957081545</v>
      </c>
      <c r="AD13" s="196">
        <v>1.3585657370517927</v>
      </c>
      <c r="AE13" s="196">
        <v>1.3522267206477734</v>
      </c>
      <c r="AF13" s="196">
        <v>1.3858267716535433</v>
      </c>
      <c r="AG13" s="196">
        <v>1.4523809523809523</v>
      </c>
      <c r="AH13" s="253">
        <v>1.610655737704918</v>
      </c>
      <c r="AI13" s="253">
        <v>1.5291828793774318</v>
      </c>
      <c r="AJ13" s="253">
        <v>1.4312267657992566</v>
      </c>
      <c r="AK13" s="253">
        <v>1.2605633802816902</v>
      </c>
      <c r="AL13" s="253">
        <v>1.2608695652173914</v>
      </c>
      <c r="AM13" s="253">
        <v>1.2582781456953642</v>
      </c>
      <c r="AN13" s="253">
        <v>1.2120253164556962</v>
      </c>
      <c r="AO13" s="253">
        <v>1.1208459214501512</v>
      </c>
      <c r="AP13" s="253">
        <v>1.0403458213256485</v>
      </c>
      <c r="AQ13" s="253">
        <v>0.9859550561797753</v>
      </c>
      <c r="AR13" s="253">
        <v>1.0469208211143695</v>
      </c>
      <c r="AS13" s="253">
        <v>1.0299401197604789</v>
      </c>
      <c r="AT13" s="253">
        <v>0.94602272727272729</v>
      </c>
      <c r="AU13" s="253">
        <v>0.88524590163934425</v>
      </c>
      <c r="AV13" s="253">
        <v>0.7531806615776081</v>
      </c>
      <c r="AW13" s="253">
        <v>0.77353689567430028</v>
      </c>
      <c r="AX13" s="253">
        <v>0.82337662337662343</v>
      </c>
      <c r="AY13" s="253">
        <v>0.92458100558659218</v>
      </c>
      <c r="AZ13" s="253">
        <v>0.82493368700265257</v>
      </c>
      <c r="BA13" s="253">
        <v>0.81052631578947365</v>
      </c>
      <c r="BB13" s="253">
        <v>0.78851174934725854</v>
      </c>
      <c r="BC13" s="253">
        <v>0.86980609418282551</v>
      </c>
      <c r="BD13" s="253">
        <v>0.90313390313390318</v>
      </c>
      <c r="BE13" s="253">
        <v>0.90313390313390318</v>
      </c>
      <c r="BF13" s="253">
        <v>0.90196078431372551</v>
      </c>
      <c r="BG13" s="253">
        <v>0.96220930232558144</v>
      </c>
      <c r="BH13" s="253">
        <v>0.99099099099099097</v>
      </c>
      <c r="BI13" s="253">
        <v>1.0524691358024691</v>
      </c>
      <c r="BJ13" s="253">
        <v>1.1452702702702702</v>
      </c>
      <c r="BK13" s="253">
        <v>1.138157894736842</v>
      </c>
      <c r="BL13" s="253">
        <v>1.0694006309148265</v>
      </c>
      <c r="BM13" s="253">
        <v>1.0574018126888218</v>
      </c>
      <c r="BN13" s="253">
        <v>1.180064308681672</v>
      </c>
    </row>
    <row r="14" spans="1:66" ht="15.75" thickBot="1" x14ac:dyDescent="0.3">
      <c r="A14" s="251" t="s">
        <v>17</v>
      </c>
      <c r="B14" s="196">
        <v>1.1340579710144927</v>
      </c>
      <c r="C14" s="196">
        <v>1.1094586555621653</v>
      </c>
      <c r="D14" s="196">
        <v>1.0620245757753073</v>
      </c>
      <c r="E14" s="196">
        <v>0.99254587155963303</v>
      </c>
      <c r="F14" s="196">
        <v>1.0028985507246377</v>
      </c>
      <c r="G14" s="196">
        <v>0.95045558086560367</v>
      </c>
      <c r="H14" s="196">
        <v>0.89297297297297296</v>
      </c>
      <c r="I14" s="196">
        <v>0.83072916666666663</v>
      </c>
      <c r="J14" s="196">
        <v>0.84285714285714286</v>
      </c>
      <c r="K14" s="196">
        <v>0.84778012684989434</v>
      </c>
      <c r="L14" s="196">
        <v>0.84986737400530499</v>
      </c>
      <c r="M14" s="196">
        <v>0.81100726895119424</v>
      </c>
      <c r="N14" s="196">
        <v>0.82291666666666663</v>
      </c>
      <c r="O14" s="196">
        <v>0.82101977107180024</v>
      </c>
      <c r="P14" s="196">
        <v>0.85090521831735888</v>
      </c>
      <c r="Q14" s="196">
        <v>0.84343163538874</v>
      </c>
      <c r="R14" s="196">
        <v>0.90137741046831954</v>
      </c>
      <c r="S14" s="196">
        <v>0.9924898902368573</v>
      </c>
      <c r="T14" s="196">
        <v>1.0150289017341041</v>
      </c>
      <c r="U14" s="196">
        <v>1.0802875973636907</v>
      </c>
      <c r="V14" s="196">
        <v>1.1071428571428572</v>
      </c>
      <c r="W14" s="196">
        <v>1.161128526645768</v>
      </c>
      <c r="X14" s="196">
        <v>1.1613308223477714</v>
      </c>
      <c r="Y14" s="196">
        <v>1.1153366583541147</v>
      </c>
      <c r="Z14" s="196">
        <v>1.0543071161048689</v>
      </c>
      <c r="AA14" s="196">
        <v>1.0659411011523687</v>
      </c>
      <c r="AB14" s="196">
        <v>1.0373417721518987</v>
      </c>
      <c r="AC14" s="196">
        <v>1.0126742712294043</v>
      </c>
      <c r="AD14" s="196">
        <v>1.0037546933667083</v>
      </c>
      <c r="AE14" s="196">
        <v>1.0203432930705658</v>
      </c>
      <c r="AF14" s="196">
        <v>0.95660146699266502</v>
      </c>
      <c r="AG14" s="196">
        <v>0.8742724097788126</v>
      </c>
      <c r="AH14" s="253">
        <v>0.84282460136674264</v>
      </c>
      <c r="AI14" s="253">
        <v>0.86078757626178592</v>
      </c>
      <c r="AJ14" s="253">
        <v>0.84472389283761617</v>
      </c>
      <c r="AK14" s="253">
        <v>0.84503239740820735</v>
      </c>
      <c r="AL14" s="253">
        <v>0.85027027027027025</v>
      </c>
      <c r="AM14" s="253">
        <v>0.92230296254890998</v>
      </c>
      <c r="AN14" s="253">
        <v>1.0361160449970397</v>
      </c>
      <c r="AO14" s="253">
        <v>1.0948948948948949</v>
      </c>
      <c r="AP14" s="253">
        <v>1.1336180597925565</v>
      </c>
      <c r="AQ14" s="253">
        <v>1.1764705882352942</v>
      </c>
      <c r="AR14" s="253">
        <v>1.1701995012468829</v>
      </c>
      <c r="AS14" s="253">
        <v>1.1800623052959502</v>
      </c>
      <c r="AT14" s="253">
        <v>1.2421725239616614</v>
      </c>
      <c r="AU14" s="253">
        <v>1.3428761651131824</v>
      </c>
      <c r="AV14" s="253">
        <v>1.4189189189189189</v>
      </c>
      <c r="AW14" s="253">
        <v>1.3389175257731958</v>
      </c>
      <c r="AX14" s="253">
        <v>1.3650485436893205</v>
      </c>
      <c r="AY14" s="253">
        <v>1.3565495207667733</v>
      </c>
      <c r="AZ14" s="253">
        <v>1.3553719008264462</v>
      </c>
      <c r="BA14" s="253">
        <v>1.3084848484848486</v>
      </c>
      <c r="BB14" s="253">
        <v>1.2445714285714287</v>
      </c>
      <c r="BC14" s="253">
        <v>1.1512378902045211</v>
      </c>
      <c r="BD14" s="253">
        <v>1.1654255319148936</v>
      </c>
      <c r="BE14" s="253">
        <v>1.1654255319148936</v>
      </c>
      <c r="BF14" s="253">
        <v>1.1758124667021843</v>
      </c>
      <c r="BG14" s="253">
        <v>1.174234424498416</v>
      </c>
      <c r="BH14" s="253">
        <v>1.1414609053497942</v>
      </c>
      <c r="BI14" s="253">
        <v>1.1239464551313831</v>
      </c>
      <c r="BJ14" s="253">
        <v>1.0419047619047619</v>
      </c>
      <c r="BK14" s="253">
        <v>1.0476419634263716</v>
      </c>
      <c r="BL14" s="253">
        <v>1.1119013750592699</v>
      </c>
      <c r="BM14" s="253">
        <v>1.138954309938766</v>
      </c>
      <c r="BN14" s="253">
        <v>1.1604127579737336</v>
      </c>
    </row>
    <row r="15" spans="1:66" ht="15.75" thickBot="1" x14ac:dyDescent="0.3">
      <c r="A15" s="251" t="s">
        <v>23</v>
      </c>
      <c r="B15" s="196">
        <v>5.6858789625360231</v>
      </c>
      <c r="C15" s="196">
        <v>4.6589861751152073</v>
      </c>
      <c r="D15" s="196">
        <v>4.6973684210526319</v>
      </c>
      <c r="E15" s="196">
        <v>4.75</v>
      </c>
      <c r="F15" s="196">
        <v>5.2547770700636942</v>
      </c>
      <c r="G15" s="196">
        <v>3.5147058823529411</v>
      </c>
      <c r="H15" s="196">
        <v>3.1926020408163267</v>
      </c>
      <c r="I15" s="196">
        <v>2.7721382289416847</v>
      </c>
      <c r="J15" s="196">
        <v>2.3948863636363638</v>
      </c>
      <c r="K15" s="196">
        <v>2.161400512382579</v>
      </c>
      <c r="L15" s="196">
        <v>1.8354700854700854</v>
      </c>
      <c r="M15" s="196">
        <v>1.615819209039548</v>
      </c>
      <c r="N15" s="196">
        <v>1.4775440591245026</v>
      </c>
      <c r="O15" s="196">
        <v>1.3770234986945169</v>
      </c>
      <c r="P15" s="196">
        <v>1.2924480486568677</v>
      </c>
      <c r="Q15" s="196">
        <v>1.2833827893175074</v>
      </c>
      <c r="R15" s="196">
        <v>1.1699346405228759</v>
      </c>
      <c r="S15" s="196">
        <v>1.076514816452897</v>
      </c>
      <c r="T15" s="196">
        <v>0.9175757575757576</v>
      </c>
      <c r="U15" s="196">
        <v>0.94686192468619246</v>
      </c>
      <c r="V15" s="196">
        <v>0.85936875749101083</v>
      </c>
      <c r="W15" s="196">
        <v>0.79548110634982472</v>
      </c>
      <c r="X15" s="196">
        <v>0.80150257018584425</v>
      </c>
      <c r="Y15" s="196">
        <v>0.78625049387593837</v>
      </c>
      <c r="Z15" s="196">
        <v>0.70663562281722936</v>
      </c>
      <c r="AA15" s="196">
        <v>0.67055167055167053</v>
      </c>
      <c r="AB15" s="196">
        <v>0.62639476721816079</v>
      </c>
      <c r="AC15" s="196">
        <v>0.58172165339400839</v>
      </c>
      <c r="AD15" s="196">
        <v>0.59098039215686271</v>
      </c>
      <c r="AE15" s="196">
        <v>0.54720616570327552</v>
      </c>
      <c r="AF15" s="196">
        <v>0.5949720670391061</v>
      </c>
      <c r="AG15" s="196">
        <v>0.61791290057518489</v>
      </c>
      <c r="AH15" s="253">
        <v>0.67811536767943636</v>
      </c>
      <c r="AI15" s="253">
        <v>0.68272205037560763</v>
      </c>
      <c r="AJ15" s="253">
        <v>0.72338447233844727</v>
      </c>
      <c r="AK15" s="253">
        <v>0.77473065621939274</v>
      </c>
      <c r="AL15" s="253">
        <v>0.75875678342377895</v>
      </c>
      <c r="AM15" s="253">
        <v>0.76934673366834172</v>
      </c>
      <c r="AN15" s="253">
        <v>0.86216364634816034</v>
      </c>
      <c r="AO15" s="253">
        <v>0.921784472769409</v>
      </c>
      <c r="AP15" s="253">
        <v>1.0036855036855037</v>
      </c>
      <c r="AQ15" s="253">
        <v>1.0691003911342893</v>
      </c>
      <c r="AR15" s="253">
        <v>1.0935633709356336</v>
      </c>
      <c r="AS15" s="253">
        <v>1.1549295774647887</v>
      </c>
      <c r="AT15" s="253">
        <v>1.0878604963112006</v>
      </c>
      <c r="AU15" s="253">
        <v>1.0871010638297873</v>
      </c>
      <c r="AV15" s="253">
        <v>1.061038961038961</v>
      </c>
      <c r="AW15" s="253">
        <v>1.0576051779935276</v>
      </c>
      <c r="AX15" s="253">
        <v>1.0623393316195373</v>
      </c>
      <c r="AY15" s="253">
        <v>1.041087231352718</v>
      </c>
      <c r="AZ15" s="253">
        <v>1.1027308192457737</v>
      </c>
      <c r="BA15" s="253">
        <v>1.1156107119529719</v>
      </c>
      <c r="BB15" s="253">
        <v>1.0541401273885351</v>
      </c>
      <c r="BC15" s="253">
        <v>1.0201958384332925</v>
      </c>
      <c r="BD15" s="253">
        <v>1.0219512195121951</v>
      </c>
      <c r="BE15" s="253">
        <v>1.0219512195121951</v>
      </c>
      <c r="BF15" s="253">
        <v>1.0078883495145632</v>
      </c>
      <c r="BG15" s="253">
        <v>1.0201219512195121</v>
      </c>
      <c r="BH15" s="253">
        <v>1.0302096177558571</v>
      </c>
      <c r="BI15" s="253">
        <v>1.0226299694189602</v>
      </c>
      <c r="BJ15" s="253">
        <v>1.0385556915544676</v>
      </c>
      <c r="BK15" s="253">
        <v>1.0361077111383108</v>
      </c>
      <c r="BL15" s="253">
        <v>1.0332728372655777</v>
      </c>
      <c r="BM15" s="253">
        <v>1.037037037037037</v>
      </c>
      <c r="BN15" s="253">
        <v>1.0188679245283019</v>
      </c>
    </row>
    <row r="16" spans="1:66" ht="15.75" thickBot="1" x14ac:dyDescent="0.3">
      <c r="A16" s="251" t="s">
        <v>19</v>
      </c>
      <c r="B16" s="196">
        <v>1.0491308974813764</v>
      </c>
      <c r="C16" s="196">
        <v>1.0086430423509076</v>
      </c>
      <c r="D16" s="196">
        <v>0.99966577540106949</v>
      </c>
      <c r="E16" s="196">
        <v>0.96179812283879462</v>
      </c>
      <c r="F16" s="196">
        <v>0.98305084745762716</v>
      </c>
      <c r="G16" s="196">
        <v>0.95119570522205954</v>
      </c>
      <c r="H16" s="196">
        <v>0.90004641807210273</v>
      </c>
      <c r="I16" s="196">
        <v>0.9027648337993166</v>
      </c>
      <c r="J16" s="196">
        <v>0.93045830681094843</v>
      </c>
      <c r="K16" s="196">
        <v>0.89190446650124067</v>
      </c>
      <c r="L16" s="196">
        <v>0.94202196382428938</v>
      </c>
      <c r="M16" s="196">
        <v>0.93487087867467922</v>
      </c>
      <c r="N16" s="196">
        <v>0.93956314665790774</v>
      </c>
      <c r="O16" s="196">
        <v>0.9291286307053942</v>
      </c>
      <c r="P16" s="196">
        <v>0.95638207945900255</v>
      </c>
      <c r="Q16" s="196">
        <v>0.97172236503856046</v>
      </c>
      <c r="R16" s="196">
        <v>0.90103644266131733</v>
      </c>
      <c r="S16" s="196">
        <v>0.88906009244992301</v>
      </c>
      <c r="T16" s="196">
        <v>0.85209601081812036</v>
      </c>
      <c r="U16" s="196">
        <v>0.83701043270053022</v>
      </c>
      <c r="V16" s="196">
        <v>0.81124290871583293</v>
      </c>
      <c r="W16" s="196">
        <v>0.79611149346180321</v>
      </c>
      <c r="X16" s="196">
        <v>0.78775440396784679</v>
      </c>
      <c r="Y16" s="196">
        <v>0.76178055990262561</v>
      </c>
      <c r="Z16" s="196">
        <v>0.68472484141950973</v>
      </c>
      <c r="AA16" s="196">
        <v>0.65375260597637253</v>
      </c>
      <c r="AB16" s="196">
        <v>0.6236671910505156</v>
      </c>
      <c r="AC16" s="196">
        <v>0.62718828152911754</v>
      </c>
      <c r="AD16" s="196">
        <v>0.59625243061693478</v>
      </c>
      <c r="AE16" s="196">
        <v>0.58677248677248672</v>
      </c>
      <c r="AF16" s="196">
        <v>0.60575139146567714</v>
      </c>
      <c r="AG16" s="196">
        <v>0.60523782014249949</v>
      </c>
      <c r="AH16" s="253">
        <v>0.59869073596508626</v>
      </c>
      <c r="AI16" s="253">
        <v>0.59317531671434409</v>
      </c>
      <c r="AJ16" s="253">
        <v>0.58614113159567705</v>
      </c>
      <c r="AK16" s="253">
        <v>0.57618327209855202</v>
      </c>
      <c r="AL16" s="253">
        <v>0.54559270516717329</v>
      </c>
      <c r="AM16" s="253">
        <v>0.57338507190139243</v>
      </c>
      <c r="AN16" s="253">
        <v>0.64496745117676513</v>
      </c>
      <c r="AO16" s="253">
        <v>0.67153866595801226</v>
      </c>
      <c r="AP16" s="253">
        <v>0.68581838565022424</v>
      </c>
      <c r="AQ16" s="253">
        <v>0.67416690401594992</v>
      </c>
      <c r="AR16" s="253">
        <v>0.68069967388081831</v>
      </c>
      <c r="AS16" s="253">
        <v>0.69522091974752032</v>
      </c>
      <c r="AT16" s="253">
        <v>0.68330781010719754</v>
      </c>
      <c r="AU16" s="253">
        <v>0.69996818326439703</v>
      </c>
      <c r="AV16" s="253">
        <v>0.69449966865473822</v>
      </c>
      <c r="AW16" s="253">
        <v>0.70995521873923528</v>
      </c>
      <c r="AX16" s="253">
        <v>0.73861171366594358</v>
      </c>
      <c r="AY16" s="253">
        <v>0.76631657914478624</v>
      </c>
      <c r="AZ16" s="253">
        <v>0.81018702745722249</v>
      </c>
      <c r="BA16" s="253">
        <v>0.80095541401273884</v>
      </c>
      <c r="BB16" s="253">
        <v>0.76203416149068326</v>
      </c>
      <c r="BC16" s="253">
        <v>0.76052308949734371</v>
      </c>
      <c r="BD16" s="253">
        <v>0.77651035065483731</v>
      </c>
      <c r="BE16" s="253">
        <v>0.77651035065483731</v>
      </c>
      <c r="BF16" s="253">
        <v>0.79921602787456447</v>
      </c>
      <c r="BG16" s="253">
        <v>0.76178123648940765</v>
      </c>
      <c r="BH16" s="253">
        <v>0.79426266248319144</v>
      </c>
      <c r="BI16" s="253">
        <v>0.79954545454545456</v>
      </c>
      <c r="BJ16" s="253">
        <v>0.82729007633587781</v>
      </c>
      <c r="BK16" s="253">
        <v>0.79961183891314891</v>
      </c>
      <c r="BL16" s="253">
        <v>0.80323054331864907</v>
      </c>
      <c r="BM16" s="253">
        <v>0.8120411160058737</v>
      </c>
      <c r="BN16" s="253">
        <v>0.81483300589390961</v>
      </c>
    </row>
    <row r="17" spans="1:66" ht="15.75" thickBot="1" x14ac:dyDescent="0.3">
      <c r="A17" s="251" t="s">
        <v>18</v>
      </c>
      <c r="B17" s="196">
        <v>1.1002638522427441</v>
      </c>
      <c r="C17" s="196">
        <v>1.0682196339434276</v>
      </c>
      <c r="D17" s="196">
        <v>1.0244527247321844</v>
      </c>
      <c r="E17" s="196">
        <v>1.0136574074074074</v>
      </c>
      <c r="F17" s="196">
        <v>1.0057790106333795</v>
      </c>
      <c r="G17" s="196">
        <v>0.94077042974838565</v>
      </c>
      <c r="H17" s="196">
        <v>0.89598811292719172</v>
      </c>
      <c r="I17" s="196">
        <v>0.84732824427480913</v>
      </c>
      <c r="J17" s="196">
        <v>0.83208645054031583</v>
      </c>
      <c r="K17" s="196">
        <v>0.83909962484368483</v>
      </c>
      <c r="L17" s="196">
        <v>0.81207218419415061</v>
      </c>
      <c r="M17" s="196">
        <v>0.76874231872183529</v>
      </c>
      <c r="N17" s="196">
        <v>0.78400852878464822</v>
      </c>
      <c r="O17" s="196">
        <v>0.79286029087703835</v>
      </c>
      <c r="P17" s="196">
        <v>0.75168955744495314</v>
      </c>
      <c r="Q17" s="196">
        <v>0.75634178905206939</v>
      </c>
      <c r="R17" s="196">
        <v>0.76312798363264378</v>
      </c>
      <c r="S17" s="196">
        <v>0.72390956839461063</v>
      </c>
      <c r="T17" s="196">
        <v>0.6954723052171915</v>
      </c>
      <c r="U17" s="196">
        <v>0.69538461538461538</v>
      </c>
      <c r="V17" s="196">
        <v>0.65458422174840081</v>
      </c>
      <c r="W17" s="196">
        <v>0.65644022400779156</v>
      </c>
      <c r="X17" s="196">
        <v>0.67657342657342656</v>
      </c>
      <c r="Y17" s="196">
        <v>0.62046696472925977</v>
      </c>
      <c r="Z17" s="196">
        <v>0.59182630906768841</v>
      </c>
      <c r="AA17" s="196">
        <v>0.58300026645350389</v>
      </c>
      <c r="AB17" s="196">
        <v>0.60375305955942349</v>
      </c>
      <c r="AC17" s="196">
        <v>0.59032795997776544</v>
      </c>
      <c r="AD17" s="196">
        <v>0.59947795823665895</v>
      </c>
      <c r="AE17" s="196">
        <v>0.61106207708149451</v>
      </c>
      <c r="AF17" s="196">
        <v>0.5907059874888293</v>
      </c>
      <c r="AG17" s="196">
        <v>0.61419558359621451</v>
      </c>
      <c r="AH17" s="253">
        <v>0.62524785194976862</v>
      </c>
      <c r="AI17" s="253">
        <v>0.6123213070115725</v>
      </c>
      <c r="AJ17" s="253">
        <v>0.64784654361201588</v>
      </c>
      <c r="AK17" s="253">
        <v>0.65281899109792285</v>
      </c>
      <c r="AL17" s="253">
        <v>0.63824289405684753</v>
      </c>
      <c r="AM17" s="253">
        <v>0.70176140912730189</v>
      </c>
      <c r="AN17" s="253">
        <v>0.7596029348295209</v>
      </c>
      <c r="AO17" s="253">
        <v>0.81992687385740404</v>
      </c>
      <c r="AP17" s="253">
        <v>0.76801801801801806</v>
      </c>
      <c r="AQ17" s="253">
        <v>0.81214689265536721</v>
      </c>
      <c r="AR17" s="253">
        <v>0.8306724721819061</v>
      </c>
      <c r="AS17" s="253">
        <v>0.80019258545979777</v>
      </c>
      <c r="AT17" s="253">
        <v>0.83408976298537574</v>
      </c>
      <c r="AU17" s="253">
        <v>0.8341037493579867</v>
      </c>
      <c r="AV17" s="253">
        <v>0.84778012684989434</v>
      </c>
      <c r="AW17" s="253">
        <v>0.86881600889382993</v>
      </c>
      <c r="AX17" s="253">
        <v>0.85418994413407823</v>
      </c>
      <c r="AY17" s="253">
        <v>0.84090909090909094</v>
      </c>
      <c r="AZ17" s="253">
        <v>0.84499710815500284</v>
      </c>
      <c r="BA17" s="253">
        <v>0.82373074729035933</v>
      </c>
      <c r="BB17" s="253">
        <v>0.81761363636363638</v>
      </c>
      <c r="BC17" s="253">
        <v>0.79237536656891494</v>
      </c>
      <c r="BD17" s="253">
        <v>0.73275362318840576</v>
      </c>
      <c r="BE17" s="253">
        <v>0.73275362318840576</v>
      </c>
      <c r="BF17" s="253">
        <v>0.74315666860803731</v>
      </c>
      <c r="BG17" s="253">
        <v>0.77316486161251508</v>
      </c>
      <c r="BH17" s="253">
        <v>0.77025392986698915</v>
      </c>
      <c r="BI17" s="253">
        <v>0.76970443349753692</v>
      </c>
      <c r="BJ17" s="253">
        <v>0.74127182044887785</v>
      </c>
      <c r="BK17" s="253">
        <v>0.75751759436980171</v>
      </c>
      <c r="BL17" s="253">
        <v>0.78155657292347935</v>
      </c>
      <c r="BM17" s="253">
        <v>0.83445945945945943</v>
      </c>
      <c r="BN17" s="253">
        <v>0.85078713210130053</v>
      </c>
    </row>
    <row r="18" spans="1:66" ht="15.75" thickBot="1" x14ac:dyDescent="0.3">
      <c r="A18" s="251" t="s">
        <v>34</v>
      </c>
      <c r="B18" s="196">
        <v>1.4034749034749034</v>
      </c>
      <c r="C18" s="196">
        <v>1.4581673306772909</v>
      </c>
      <c r="D18" s="196">
        <v>1.298342541436464</v>
      </c>
      <c r="E18" s="196">
        <v>1.3592592592592592</v>
      </c>
      <c r="F18" s="196">
        <v>1.318918918918919</v>
      </c>
      <c r="G18" s="196">
        <v>1.4048059149722736</v>
      </c>
      <c r="H18" s="196">
        <v>1.2713310580204777</v>
      </c>
      <c r="I18" s="196">
        <v>1.152037617554859</v>
      </c>
      <c r="J18" s="196">
        <v>1.0729166666666667</v>
      </c>
      <c r="K18" s="196">
        <v>1.0683506686478454</v>
      </c>
      <c r="L18" s="196">
        <v>1.0548340548340549</v>
      </c>
      <c r="M18" s="196">
        <v>1.0333333333333334</v>
      </c>
      <c r="N18" s="196">
        <v>1.0509641873278237</v>
      </c>
      <c r="O18" s="196">
        <v>1.0796221322537112</v>
      </c>
      <c r="P18" s="196">
        <v>1.1458046767537826</v>
      </c>
      <c r="Q18" s="196">
        <v>1.1612021857923498</v>
      </c>
      <c r="R18" s="196">
        <v>1.2113475177304964</v>
      </c>
      <c r="S18" s="196">
        <v>1.2029972752043596</v>
      </c>
      <c r="T18" s="196">
        <v>1.2540983606557377</v>
      </c>
      <c r="U18" s="196">
        <v>1.2223684210526315</v>
      </c>
      <c r="V18" s="196">
        <v>1.3100671140939597</v>
      </c>
      <c r="W18" s="196">
        <v>1.3945578231292517</v>
      </c>
      <c r="X18" s="196">
        <v>1.4299583911234397</v>
      </c>
      <c r="Y18" s="196">
        <v>1.4311543810848402</v>
      </c>
      <c r="Z18" s="196">
        <v>1.3926128590971272</v>
      </c>
      <c r="AA18" s="196">
        <v>1.293010752688172</v>
      </c>
      <c r="AB18" s="196">
        <v>1.254259501965924</v>
      </c>
      <c r="AC18" s="196">
        <v>1.2737499999999999</v>
      </c>
      <c r="AD18" s="196">
        <v>1.2881152460984393</v>
      </c>
      <c r="AE18" s="196">
        <v>1.3094117647058823</v>
      </c>
      <c r="AF18" s="196">
        <v>1.3594847775175645</v>
      </c>
      <c r="AG18" s="196">
        <v>1.318233295583239</v>
      </c>
      <c r="AH18" s="253">
        <v>1.3366013071895424</v>
      </c>
      <c r="AI18" s="253">
        <v>1.3670613562970937</v>
      </c>
      <c r="AJ18" s="253">
        <v>1.2776639344262295</v>
      </c>
      <c r="AK18" s="253">
        <v>1.2253658536585366</v>
      </c>
      <c r="AL18" s="253">
        <v>1.2647914645974783</v>
      </c>
      <c r="AM18" s="253">
        <v>1.3041788143828961</v>
      </c>
      <c r="AN18" s="253">
        <v>1.3742632612966601</v>
      </c>
      <c r="AO18" s="253">
        <v>1.5644490644490645</v>
      </c>
      <c r="AP18" s="253">
        <v>1.6562173458725182</v>
      </c>
      <c r="AQ18" s="253">
        <v>1.576054955839058</v>
      </c>
      <c r="AR18" s="253">
        <v>1.418452935694315</v>
      </c>
      <c r="AS18" s="253">
        <v>1.3081761006289307</v>
      </c>
      <c r="AT18" s="253">
        <v>1.227390180878553</v>
      </c>
      <c r="AU18" s="253">
        <v>1.2525773195876289</v>
      </c>
      <c r="AV18" s="253">
        <v>1.1988590057049715</v>
      </c>
      <c r="AW18" s="253">
        <v>1.1598425196850393</v>
      </c>
      <c r="AX18" s="253">
        <v>1.2068965517241379</v>
      </c>
      <c r="AY18" s="253">
        <v>1.2205414012738853</v>
      </c>
      <c r="AZ18" s="253">
        <v>1.1395705521472392</v>
      </c>
      <c r="BA18" s="253">
        <v>1.1125186289120714</v>
      </c>
      <c r="BB18" s="253">
        <v>1.087205146533238</v>
      </c>
      <c r="BC18" s="253">
        <v>0.93375394321766558</v>
      </c>
      <c r="BD18" s="253">
        <v>0.8511830635118306</v>
      </c>
      <c r="BE18" s="253">
        <v>0.8511830635118306</v>
      </c>
      <c r="BF18" s="253">
        <v>0.9329829172141918</v>
      </c>
      <c r="BG18" s="253">
        <v>0.99244505494505497</v>
      </c>
      <c r="BH18" s="253">
        <v>1.0463157894736843</v>
      </c>
      <c r="BI18" s="253">
        <v>1.0233196159122084</v>
      </c>
      <c r="BJ18" s="253">
        <v>0.9551325628823929</v>
      </c>
      <c r="BK18" s="253">
        <v>0.90563475899524781</v>
      </c>
      <c r="BL18" s="253">
        <v>0.9102990033222591</v>
      </c>
      <c r="BM18" s="253">
        <v>0.86888454011741678</v>
      </c>
      <c r="BN18" s="253">
        <v>0.90915208613728127</v>
      </c>
    </row>
    <row r="19" spans="1:66" ht="15.75" thickBot="1" x14ac:dyDescent="0.3">
      <c r="A19" s="251" t="s">
        <v>35</v>
      </c>
      <c r="B19" s="196">
        <v>0.80122532334921714</v>
      </c>
      <c r="C19" s="196">
        <v>0.78475033738191635</v>
      </c>
      <c r="D19" s="196">
        <v>0.81593794076163606</v>
      </c>
      <c r="E19" s="196">
        <v>0.77744133232399693</v>
      </c>
      <c r="F19" s="196">
        <v>0.69011976047904189</v>
      </c>
      <c r="G19" s="196">
        <v>0.67056245434623818</v>
      </c>
      <c r="H19" s="196">
        <v>0.59850034083162917</v>
      </c>
      <c r="I19" s="196">
        <v>0.5587655942219304</v>
      </c>
      <c r="J19" s="196">
        <v>0.57535164099129266</v>
      </c>
      <c r="K19" s="196">
        <v>0.55495978552278824</v>
      </c>
      <c r="L19" s="196">
        <v>0.60189919649379109</v>
      </c>
      <c r="M19" s="196">
        <v>0.58210059171597628</v>
      </c>
      <c r="N19" s="196">
        <v>0.61192873741285825</v>
      </c>
      <c r="O19" s="196">
        <v>0.62418300653594772</v>
      </c>
      <c r="P19" s="196">
        <v>0.63211554800339842</v>
      </c>
      <c r="Q19" s="196">
        <v>0.63972484952708508</v>
      </c>
      <c r="R19" s="196">
        <v>0.61538461538461542</v>
      </c>
      <c r="S19" s="196">
        <v>0.68354430379746833</v>
      </c>
      <c r="T19" s="196">
        <v>0.75488069414316705</v>
      </c>
      <c r="U19" s="196">
        <v>0.76470588235294112</v>
      </c>
      <c r="V19" s="196">
        <v>0.78815489749430523</v>
      </c>
      <c r="W19" s="196">
        <v>0.78143360752056401</v>
      </c>
      <c r="X19" s="196">
        <v>0.76949941792782306</v>
      </c>
      <c r="Y19" s="196">
        <v>0.74758454106280192</v>
      </c>
      <c r="Z19" s="196">
        <v>0.70388349514563109</v>
      </c>
      <c r="AA19" s="196">
        <v>0.76620076238881829</v>
      </c>
      <c r="AB19" s="196">
        <v>0.75696202531645573</v>
      </c>
      <c r="AC19" s="196">
        <v>0.81413612565445026</v>
      </c>
      <c r="AD19" s="196">
        <v>0.85483870967741937</v>
      </c>
      <c r="AE19" s="196">
        <v>0.84677419354838712</v>
      </c>
      <c r="AF19" s="196">
        <v>0.9171348314606742</v>
      </c>
      <c r="AG19" s="196">
        <v>0.93447293447293445</v>
      </c>
      <c r="AH19" s="253">
        <v>0.98275862068965514</v>
      </c>
      <c r="AI19" s="253">
        <v>0.9330484330484331</v>
      </c>
      <c r="AJ19" s="253">
        <v>0.90895953757225434</v>
      </c>
      <c r="AK19" s="253">
        <v>0.95488721804511278</v>
      </c>
      <c r="AL19" s="253">
        <v>0.95763993948562787</v>
      </c>
      <c r="AM19" s="253">
        <v>1.0920840064620356</v>
      </c>
      <c r="AN19" s="253">
        <v>1.1775862068965517</v>
      </c>
      <c r="AO19" s="253">
        <v>1.097844112769486</v>
      </c>
      <c r="AP19" s="253">
        <v>1.0635451505016722</v>
      </c>
      <c r="AQ19" s="253">
        <v>1.0112540192926045</v>
      </c>
      <c r="AR19" s="253">
        <v>0.95597484276729561</v>
      </c>
      <c r="AS19" s="253">
        <v>0.97619047619047616</v>
      </c>
      <c r="AT19" s="253">
        <v>0.95252679938744256</v>
      </c>
      <c r="AU19" s="253">
        <v>0.9375</v>
      </c>
      <c r="AV19" s="253">
        <v>0.88742690058479534</v>
      </c>
      <c r="AW19" s="253">
        <v>0.94045801526717554</v>
      </c>
      <c r="AX19" s="253">
        <v>1.0047694753577106</v>
      </c>
      <c r="AY19" s="253">
        <v>0.99370078740157475</v>
      </c>
      <c r="AZ19" s="253">
        <v>0.99526066350710896</v>
      </c>
      <c r="BA19" s="253">
        <v>0.96301775147928992</v>
      </c>
      <c r="BB19" s="253">
        <v>0.98682284040995605</v>
      </c>
      <c r="BC19" s="253">
        <v>1.1336477987421383</v>
      </c>
      <c r="BD19" s="253">
        <v>1.1939586645468998</v>
      </c>
      <c r="BE19" s="253">
        <v>1.1939586645468998</v>
      </c>
      <c r="BF19" s="253">
        <v>1.294407894736842</v>
      </c>
      <c r="BG19" s="253">
        <v>1.269918699186992</v>
      </c>
      <c r="BH19" s="253">
        <v>1.252411575562701</v>
      </c>
      <c r="BI19" s="253">
        <v>1.3121951219512196</v>
      </c>
      <c r="BJ19" s="253">
        <v>1.2751235584843492</v>
      </c>
      <c r="BK19" s="253">
        <v>1.3084415584415585</v>
      </c>
      <c r="BL19" s="253">
        <v>1.4446202531645569</v>
      </c>
      <c r="BM19" s="253">
        <v>1.4801901743264658</v>
      </c>
      <c r="BN19" s="253">
        <v>1.5111111111111111</v>
      </c>
    </row>
    <row r="20" spans="1:66" ht="15.75" thickBot="1" x14ac:dyDescent="0.3">
      <c r="A20" s="251" t="s">
        <v>36</v>
      </c>
      <c r="B20" s="196">
        <v>3.4409594095940959</v>
      </c>
      <c r="C20" s="196">
        <v>3.728515625</v>
      </c>
      <c r="D20" s="196">
        <v>3.9122486288848264</v>
      </c>
      <c r="E20" s="196">
        <v>3.9300184162062615</v>
      </c>
      <c r="F20" s="196">
        <v>4.0092081031307547</v>
      </c>
      <c r="G20" s="196">
        <v>3.8435852372583481</v>
      </c>
      <c r="H20" s="196">
        <v>3.6498316498316496</v>
      </c>
      <c r="I20" s="196">
        <v>3.5243506493506493</v>
      </c>
      <c r="J20" s="196">
        <v>3.2846153846153845</v>
      </c>
      <c r="K20" s="196">
        <v>2.9696092619392185</v>
      </c>
      <c r="L20" s="196">
        <v>2.7952973720608574</v>
      </c>
      <c r="M20" s="196">
        <v>2.5176470588235293</v>
      </c>
      <c r="N20" s="196">
        <v>1.8823529411764706</v>
      </c>
      <c r="O20" s="196">
        <v>0.83641536273115225</v>
      </c>
      <c r="P20" s="196">
        <v>0.3774798927613941</v>
      </c>
      <c r="Q20" s="196">
        <v>0.34206390780513357</v>
      </c>
      <c r="R20" s="196">
        <v>0.16775700934579441</v>
      </c>
      <c r="S20" s="196">
        <v>0.15042174320524837</v>
      </c>
      <c r="T20" s="196">
        <v>0.11254019292604502</v>
      </c>
      <c r="U20" s="196">
        <v>9.0534979423868317E-2</v>
      </c>
      <c r="V20" s="196">
        <v>8.9483394833948335E-2</v>
      </c>
      <c r="W20" s="196">
        <v>0.3657300783049286</v>
      </c>
      <c r="X20" s="196">
        <v>0.49882903981264637</v>
      </c>
      <c r="Y20" s="196">
        <v>0.5199805068226121</v>
      </c>
      <c r="Z20" s="196">
        <v>0.56506679861454723</v>
      </c>
      <c r="AA20" s="196">
        <v>0.59138110072689509</v>
      </c>
      <c r="AB20" s="196">
        <v>0.66666666666666663</v>
      </c>
      <c r="AC20" s="196">
        <v>0.9787414965986394</v>
      </c>
      <c r="AD20" s="196">
        <v>2.0056818181818183</v>
      </c>
      <c r="AE20" s="196">
        <v>2.1638591117917305</v>
      </c>
      <c r="AF20" s="196">
        <v>3.9832869080779942</v>
      </c>
      <c r="AG20" s="196">
        <v>4.4672897196261685</v>
      </c>
      <c r="AH20" s="253">
        <v>5.963265306122449</v>
      </c>
      <c r="AI20" s="253">
        <v>8.1212121212121211</v>
      </c>
      <c r="AJ20" s="253">
        <v>8.2525773195876297</v>
      </c>
      <c r="AK20" s="253">
        <v>1.2468513853904282</v>
      </c>
      <c r="AL20" s="253">
        <v>0.65539906103286383</v>
      </c>
      <c r="AM20" s="253">
        <v>0.64948453608247425</v>
      </c>
      <c r="AN20" s="253">
        <v>0.49124343257443082</v>
      </c>
      <c r="AO20" s="253">
        <v>0.4925373134328358</v>
      </c>
      <c r="AP20" s="253">
        <v>0.47916666666666669</v>
      </c>
      <c r="AQ20" s="253">
        <v>0.47610773240660298</v>
      </c>
      <c r="AR20" s="253">
        <v>0.20184135977337112</v>
      </c>
      <c r="AS20" s="253">
        <v>0.20028308563340411</v>
      </c>
      <c r="AT20" s="253">
        <v>0.18391608391608391</v>
      </c>
      <c r="AU20" s="253">
        <v>0.1799163179916318</v>
      </c>
      <c r="AV20" s="253">
        <v>0.15605749486652978</v>
      </c>
      <c r="AW20" s="253">
        <v>0.38743781094527363</v>
      </c>
      <c r="AX20" s="253">
        <v>0.47407870081199249</v>
      </c>
      <c r="AY20" s="253">
        <v>0.75151515151515147</v>
      </c>
      <c r="AZ20" s="253">
        <v>1.0673352435530086</v>
      </c>
      <c r="BA20" s="253">
        <v>1.0721500721500721</v>
      </c>
      <c r="BB20" s="253">
        <v>1.3155080213903743</v>
      </c>
      <c r="BC20" s="253">
        <v>1.3405797101449275</v>
      </c>
      <c r="BD20" s="253">
        <v>1.3686131386861313</v>
      </c>
      <c r="BE20" s="253">
        <v>1.3686131386861313</v>
      </c>
      <c r="BF20" s="253">
        <v>2.6315789473684212</v>
      </c>
      <c r="BG20" s="253">
        <v>2.6501766784452299</v>
      </c>
      <c r="BH20" s="253">
        <v>2.8441064638783269</v>
      </c>
      <c r="BI20" s="253">
        <v>2.8798449612403099</v>
      </c>
      <c r="BJ20" s="253">
        <v>3.2543859649122808</v>
      </c>
      <c r="BK20" s="253">
        <v>0.4317817014446228</v>
      </c>
      <c r="BL20" s="253">
        <v>0.72068511198945984</v>
      </c>
      <c r="BM20" s="253">
        <v>0.84677419354838712</v>
      </c>
      <c r="BN20" s="253">
        <v>1.1154362416107382</v>
      </c>
    </row>
    <row r="21" spans="1:66" ht="15.75" thickBot="1" x14ac:dyDescent="0.3">
      <c r="A21" s="251" t="s">
        <v>37</v>
      </c>
      <c r="B21" s="196">
        <v>0.89194658033184948</v>
      </c>
      <c r="C21" s="196">
        <v>0.8645812310797174</v>
      </c>
      <c r="D21" s="196">
        <v>0.81657392686804453</v>
      </c>
      <c r="E21" s="196">
        <v>0.77505966587112174</v>
      </c>
      <c r="F21" s="196">
        <v>0.76082977425259302</v>
      </c>
      <c r="G21" s="196">
        <v>0.75345043914680054</v>
      </c>
      <c r="H21" s="196">
        <v>0.68975903614457834</v>
      </c>
      <c r="I21" s="196">
        <v>0.67656027647895911</v>
      </c>
      <c r="J21" s="196">
        <v>0.63459220570510244</v>
      </c>
      <c r="K21" s="196">
        <v>0.60386473429951693</v>
      </c>
      <c r="L21" s="196">
        <v>0.55792495386508101</v>
      </c>
      <c r="M21" s="196">
        <v>0.53930753564154787</v>
      </c>
      <c r="N21" s="196">
        <v>0.52802855343271049</v>
      </c>
      <c r="O21" s="196">
        <v>0.53439268611232038</v>
      </c>
      <c r="P21" s="196">
        <v>0.54401088929219599</v>
      </c>
      <c r="Q21" s="196">
        <v>0.54061624649859941</v>
      </c>
      <c r="R21" s="196">
        <v>0.55536626916524701</v>
      </c>
      <c r="S21" s="196">
        <v>0.57069540672312036</v>
      </c>
      <c r="T21" s="196">
        <v>0.58380112269446671</v>
      </c>
      <c r="U21" s="196">
        <v>0.59700249791840132</v>
      </c>
      <c r="V21" s="196">
        <v>0.61368267831149925</v>
      </c>
      <c r="W21" s="196">
        <v>0.61177884615384615</v>
      </c>
      <c r="X21" s="196">
        <v>0.63279518835074389</v>
      </c>
      <c r="Y21" s="196">
        <v>0.6343333333333333</v>
      </c>
      <c r="Z21" s="196">
        <v>0.66041896361631758</v>
      </c>
      <c r="AA21" s="196">
        <v>0.56382175226586106</v>
      </c>
      <c r="AB21" s="196">
        <v>0.56699801192842947</v>
      </c>
      <c r="AC21" s="196">
        <v>0.56171079429735238</v>
      </c>
      <c r="AD21" s="196">
        <v>0.56839032527105926</v>
      </c>
      <c r="AE21" s="196">
        <v>0.60233160621761661</v>
      </c>
      <c r="AF21" s="196">
        <v>0.6073619631901841</v>
      </c>
      <c r="AG21" s="196">
        <v>0.62050359712230219</v>
      </c>
      <c r="AH21" s="253">
        <v>0.66575091575091572</v>
      </c>
      <c r="AI21" s="253">
        <v>0.68619246861924688</v>
      </c>
      <c r="AJ21" s="253">
        <v>0.67125237191650855</v>
      </c>
      <c r="AK21" s="253">
        <v>0.69695481335952847</v>
      </c>
      <c r="AL21" s="253">
        <v>0.69734867433716863</v>
      </c>
      <c r="AM21" s="253">
        <v>0.74251182343667887</v>
      </c>
      <c r="AN21" s="253">
        <v>0.81524763494713415</v>
      </c>
      <c r="AO21" s="253">
        <v>0.99598124581379777</v>
      </c>
      <c r="AP21" s="253">
        <v>1.0988779803646564</v>
      </c>
      <c r="AQ21" s="253">
        <v>1.145032632342277</v>
      </c>
      <c r="AR21" s="253">
        <v>1.103448275862069</v>
      </c>
      <c r="AS21" s="253">
        <v>1.0566308243727598</v>
      </c>
      <c r="AT21" s="253">
        <v>1.0418470418470418</v>
      </c>
      <c r="AU21" s="253">
        <v>1.0108695652173914</v>
      </c>
      <c r="AV21" s="253">
        <v>0.91609353507565339</v>
      </c>
      <c r="AW21" s="253">
        <v>0.88821138211382111</v>
      </c>
      <c r="AX21" s="253">
        <v>0.98798586572438163</v>
      </c>
      <c r="AY21" s="253">
        <v>1.0063424947145878</v>
      </c>
      <c r="AZ21" s="253">
        <v>1.043041606886657</v>
      </c>
      <c r="BA21" s="253">
        <v>1.0438782731776362</v>
      </c>
      <c r="BB21" s="253">
        <v>1.0075085324232083</v>
      </c>
      <c r="BC21" s="253">
        <v>0.91257179323548177</v>
      </c>
      <c r="BD21" s="253">
        <v>0.89487017099430022</v>
      </c>
      <c r="BE21" s="253">
        <v>0.89487017099430022</v>
      </c>
      <c r="BF21" s="253">
        <v>1.0186170212765957</v>
      </c>
      <c r="BG21" s="253">
        <v>1.0359565807327</v>
      </c>
      <c r="BH21" s="253">
        <v>1.0602493074792243</v>
      </c>
      <c r="BI21" s="253">
        <v>1.1347670250896058</v>
      </c>
      <c r="BJ21" s="253">
        <v>1.1726726726726726</v>
      </c>
      <c r="BK21" s="253">
        <v>1.1655225019069413</v>
      </c>
      <c r="BL21" s="253">
        <v>1.0622317596566524</v>
      </c>
      <c r="BM21" s="253">
        <v>1.0714285714285714</v>
      </c>
      <c r="BN21" s="253">
        <v>1.0790921595598348</v>
      </c>
    </row>
    <row r="22" spans="1:66" ht="15.75" thickBot="1" x14ac:dyDescent="0.3">
      <c r="A22" s="251" t="s">
        <v>22</v>
      </c>
      <c r="B22" s="196">
        <v>1.0530772408095828</v>
      </c>
      <c r="C22" s="196">
        <v>1.0353831469866375</v>
      </c>
      <c r="D22" s="196">
        <v>0.97170816136333382</v>
      </c>
      <c r="E22" s="196">
        <v>0.91483913328956012</v>
      </c>
      <c r="F22" s="196">
        <v>0.86580226904376012</v>
      </c>
      <c r="G22" s="196">
        <v>0.81611276348118456</v>
      </c>
      <c r="H22" s="196">
        <v>0.70864956029394044</v>
      </c>
      <c r="I22" s="196">
        <v>0.65462833099579243</v>
      </c>
      <c r="J22" s="196">
        <v>0.62396382818387341</v>
      </c>
      <c r="K22" s="196">
        <v>0.61148886283704573</v>
      </c>
      <c r="L22" s="196">
        <v>0.58020132229435939</v>
      </c>
      <c r="M22" s="196">
        <v>0.55800000000000005</v>
      </c>
      <c r="N22" s="196">
        <v>0.53704735376044566</v>
      </c>
      <c r="O22" s="196">
        <v>0.51540900443880788</v>
      </c>
      <c r="P22" s="196">
        <v>0.51389161273452311</v>
      </c>
      <c r="Q22" s="196">
        <v>0.49911108184631592</v>
      </c>
      <c r="R22" s="196">
        <v>0.5066109474549565</v>
      </c>
      <c r="S22" s="196">
        <v>0.50986865714490781</v>
      </c>
      <c r="T22" s="196">
        <v>0.50265818045675781</v>
      </c>
      <c r="U22" s="196">
        <v>0.51552844240215501</v>
      </c>
      <c r="V22" s="196">
        <v>0.5274968125796855</v>
      </c>
      <c r="W22" s="196">
        <v>0.54588466345295483</v>
      </c>
      <c r="X22" s="196">
        <v>0.56586770717205503</v>
      </c>
      <c r="Y22" s="196">
        <v>0.54812116564417179</v>
      </c>
      <c r="Z22" s="196">
        <v>0.55261266810389076</v>
      </c>
      <c r="AA22" s="196">
        <v>0.54469425437167374</v>
      </c>
      <c r="AB22" s="196">
        <v>0.55866758875057632</v>
      </c>
      <c r="AC22" s="196">
        <v>0.59781003937007871</v>
      </c>
      <c r="AD22" s="196">
        <v>0.61111817834881055</v>
      </c>
      <c r="AE22" s="196">
        <v>0.64023746701846962</v>
      </c>
      <c r="AF22" s="196">
        <v>0.66071670047329278</v>
      </c>
      <c r="AG22" s="196">
        <v>0.67581644144144148</v>
      </c>
      <c r="AH22" s="253">
        <v>0.70758230299419034</v>
      </c>
      <c r="AI22" s="253">
        <v>0.72721684339941606</v>
      </c>
      <c r="AJ22" s="253">
        <v>0.75136964228166292</v>
      </c>
      <c r="AK22" s="253">
        <v>0.75519215044971377</v>
      </c>
      <c r="AL22" s="253">
        <v>0.7466754227548843</v>
      </c>
      <c r="AM22" s="253">
        <v>0.82406435816719137</v>
      </c>
      <c r="AN22" s="253">
        <v>0.91788965261006872</v>
      </c>
      <c r="AO22" s="253">
        <v>1.0217347956131606</v>
      </c>
      <c r="AP22" s="253">
        <v>1.0730348669279968</v>
      </c>
      <c r="AQ22" s="253">
        <v>1.0745009261164848</v>
      </c>
      <c r="AR22" s="253">
        <v>1.0786844296419651</v>
      </c>
      <c r="AS22" s="253">
        <v>1.0725324541520709</v>
      </c>
      <c r="AT22" s="253">
        <v>1.0568972574703235</v>
      </c>
      <c r="AU22" s="253">
        <v>1.1006040408248281</v>
      </c>
      <c r="AV22" s="253">
        <v>1.1181052631578947</v>
      </c>
      <c r="AW22" s="253">
        <v>1.1595519864750634</v>
      </c>
      <c r="AX22" s="253">
        <v>1.2202444778039889</v>
      </c>
      <c r="AY22" s="253">
        <v>1.2520571676050238</v>
      </c>
      <c r="AZ22" s="253">
        <v>1.2860598065083553</v>
      </c>
      <c r="BA22" s="253">
        <v>1.2453310696095077</v>
      </c>
      <c r="BB22" s="253">
        <v>1.2228293867638129</v>
      </c>
      <c r="BC22" s="253">
        <v>1.1809267448567584</v>
      </c>
      <c r="BD22" s="253">
        <v>1.1754453169890826</v>
      </c>
      <c r="BE22" s="253">
        <v>1.1754453169890826</v>
      </c>
      <c r="BF22" s="253">
        <v>1.1968351987649557</v>
      </c>
      <c r="BG22" s="253">
        <v>1.1942363112391932</v>
      </c>
      <c r="BH22" s="253">
        <v>1.2321843532145624</v>
      </c>
      <c r="BI22" s="253">
        <v>1.2310749432248296</v>
      </c>
      <c r="BJ22" s="253">
        <v>1.2363020146864998</v>
      </c>
      <c r="BK22" s="253">
        <v>1.1656642974302898</v>
      </c>
      <c r="BL22" s="253">
        <v>1.1571177504393673</v>
      </c>
      <c r="BM22" s="253">
        <v>1.1758906952611554</v>
      </c>
      <c r="BN22" s="253">
        <v>1.1699435800991622</v>
      </c>
    </row>
    <row r="23" spans="1:66" ht="15.75" thickBot="1" x14ac:dyDescent="0.3">
      <c r="A23" s="251" t="s">
        <v>38</v>
      </c>
      <c r="B23" s="196">
        <v>1.1800664451827243</v>
      </c>
      <c r="C23" s="196">
        <v>1.1455368693402328</v>
      </c>
      <c r="D23" s="196">
        <v>1.0169082125603865</v>
      </c>
      <c r="E23" s="196">
        <v>0.99047619047619051</v>
      </c>
      <c r="F23" s="196">
        <v>0.92915214866434381</v>
      </c>
      <c r="G23" s="196">
        <v>0.80934065934065935</v>
      </c>
      <c r="H23" s="196">
        <v>0.69784550709406201</v>
      </c>
      <c r="I23" s="196">
        <v>0.69226694915254239</v>
      </c>
      <c r="J23" s="196">
        <v>0.63118062563067612</v>
      </c>
      <c r="K23" s="196">
        <v>0.63668699186991873</v>
      </c>
      <c r="L23" s="196">
        <v>0.6333676622039135</v>
      </c>
      <c r="M23" s="196">
        <v>0.59937727036844834</v>
      </c>
      <c r="N23" s="196">
        <v>0.60752688172043012</v>
      </c>
      <c r="O23" s="196">
        <v>0.64760254188330446</v>
      </c>
      <c r="P23" s="196">
        <v>0.57488738738738743</v>
      </c>
      <c r="Q23" s="196">
        <v>0.59006211180124224</v>
      </c>
      <c r="R23" s="196">
        <v>0.60570071258907365</v>
      </c>
      <c r="S23" s="196">
        <v>0.59555288461538458</v>
      </c>
      <c r="T23" s="196">
        <v>0.61312500000000003</v>
      </c>
      <c r="U23" s="196">
        <v>0.67820773930753564</v>
      </c>
      <c r="V23" s="196">
        <v>0.83132530120481929</v>
      </c>
      <c r="W23" s="196">
        <v>0.81943381790359604</v>
      </c>
      <c r="X23" s="196">
        <v>0.80895283772981619</v>
      </c>
      <c r="Y23" s="196">
        <v>0.74301675977653636</v>
      </c>
      <c r="Z23" s="196">
        <v>0.724390243902439</v>
      </c>
      <c r="AA23" s="196">
        <v>0.73419913419913418</v>
      </c>
      <c r="AB23" s="196">
        <v>0.74601769911504423</v>
      </c>
      <c r="AC23" s="196">
        <v>0.71989295272078502</v>
      </c>
      <c r="AD23" s="196">
        <v>0.77473065621939274</v>
      </c>
      <c r="AE23" s="196">
        <v>0.71578947368421053</v>
      </c>
      <c r="AF23" s="196">
        <v>0.71078431372549022</v>
      </c>
      <c r="AG23" s="196">
        <v>0.73965691220988905</v>
      </c>
      <c r="AH23" s="253">
        <v>0.72069317023445467</v>
      </c>
      <c r="AI23" s="253">
        <v>0.69669669669669665</v>
      </c>
      <c r="AJ23" s="253">
        <v>0.64402173913043481</v>
      </c>
      <c r="AK23" s="253">
        <v>0.68627450980392157</v>
      </c>
      <c r="AL23" s="253">
        <v>0.7865612648221344</v>
      </c>
      <c r="AM23" s="253">
        <v>0.86680988184747587</v>
      </c>
      <c r="AN23" s="253">
        <v>0.91806958473625144</v>
      </c>
      <c r="AO23" s="253">
        <v>0.972877358490566</v>
      </c>
      <c r="AP23" s="253">
        <v>0.99051008303677346</v>
      </c>
      <c r="AQ23" s="253">
        <v>1.080545229244114</v>
      </c>
      <c r="AR23" s="253">
        <v>1.102402022756005</v>
      </c>
      <c r="AS23" s="253">
        <v>1.1470588235294117</v>
      </c>
      <c r="AT23" s="253">
        <v>1.1944827586206896</v>
      </c>
      <c r="AU23" s="253">
        <v>1.159618008185539</v>
      </c>
      <c r="AV23" s="253">
        <v>1.1824611032531824</v>
      </c>
      <c r="AW23" s="253">
        <v>1.1853448275862069</v>
      </c>
      <c r="AX23" s="253">
        <v>1.1617440225035163</v>
      </c>
      <c r="AY23" s="253">
        <v>1.1074829931972789</v>
      </c>
      <c r="AZ23" s="253">
        <v>1.0075376884422111</v>
      </c>
      <c r="BA23" s="253">
        <v>1.0396530359355638</v>
      </c>
      <c r="BB23" s="253">
        <v>1.0696821515892421</v>
      </c>
      <c r="BC23" s="253">
        <v>1.1473053892215568</v>
      </c>
      <c r="BD23" s="253">
        <v>1.125</v>
      </c>
      <c r="BE23" s="253">
        <v>1.125</v>
      </c>
      <c r="BF23" s="253">
        <v>1.1720183486238531</v>
      </c>
      <c r="BG23" s="253">
        <v>1.2412587412587412</v>
      </c>
      <c r="BH23" s="253">
        <v>1.2690531177829099</v>
      </c>
      <c r="BI23" s="253">
        <v>1.3070588235294118</v>
      </c>
      <c r="BJ23" s="253">
        <v>1.3851674641148326</v>
      </c>
      <c r="BK23" s="253">
        <v>1.4848484848484849</v>
      </c>
      <c r="BL23" s="253">
        <v>1.526634382566586</v>
      </c>
      <c r="BM23" s="253">
        <v>1.6216216216216217</v>
      </c>
      <c r="BN23" s="253">
        <v>1.7182044887780548</v>
      </c>
    </row>
    <row r="24" spans="1:66" ht="15.75" thickBot="1" x14ac:dyDescent="0.3">
      <c r="A24" s="251" t="s">
        <v>39</v>
      </c>
      <c r="B24" s="196">
        <v>0.86237897648686035</v>
      </c>
      <c r="C24" s="196">
        <v>0.85125698324022347</v>
      </c>
      <c r="D24" s="196">
        <v>0.86932599724896842</v>
      </c>
      <c r="E24" s="196">
        <v>0.81824512534818938</v>
      </c>
      <c r="F24" s="196">
        <v>0.78843537414965992</v>
      </c>
      <c r="G24" s="196">
        <v>0.78546470999301188</v>
      </c>
      <c r="H24" s="196">
        <v>0.7631944444444444</v>
      </c>
      <c r="I24" s="196">
        <v>0.78409919766593728</v>
      </c>
      <c r="J24" s="196">
        <v>0.79518072289156627</v>
      </c>
      <c r="K24" s="196">
        <v>0.71470805617147082</v>
      </c>
      <c r="L24" s="196">
        <v>0.65217391304347827</v>
      </c>
      <c r="M24" s="196">
        <v>0.66640563821456533</v>
      </c>
      <c r="N24" s="196">
        <v>0.59129106187929714</v>
      </c>
      <c r="O24" s="196">
        <v>0.63008130081300817</v>
      </c>
      <c r="P24" s="196">
        <v>0.57578187650360868</v>
      </c>
      <c r="Q24" s="196">
        <v>0.5676784249384742</v>
      </c>
      <c r="R24" s="196">
        <v>0.51819620253164556</v>
      </c>
      <c r="S24" s="196">
        <v>0.5412765957446809</v>
      </c>
      <c r="T24" s="196">
        <v>0.5703192407247627</v>
      </c>
      <c r="U24" s="196">
        <v>0.59786476868327398</v>
      </c>
      <c r="V24" s="196">
        <v>0.59417652411282984</v>
      </c>
      <c r="W24" s="196">
        <v>0.60651162790697677</v>
      </c>
      <c r="X24" s="196">
        <v>0.60416666666666663</v>
      </c>
      <c r="Y24" s="196">
        <v>0.62978283350568764</v>
      </c>
      <c r="Z24" s="196">
        <v>0.64745762711864407</v>
      </c>
      <c r="AA24" s="196">
        <v>0.66039952996474738</v>
      </c>
      <c r="AB24" s="196">
        <v>0.75968992248062017</v>
      </c>
      <c r="AC24" s="196">
        <v>0.7587096774193548</v>
      </c>
      <c r="AD24" s="196">
        <v>0.84122562674094703</v>
      </c>
      <c r="AE24" s="196">
        <v>0.90173410404624277</v>
      </c>
      <c r="AF24" s="196">
        <v>0.8748091603053435</v>
      </c>
      <c r="AG24" s="196">
        <v>0.92295597484276726</v>
      </c>
      <c r="AH24" s="253">
        <v>0.77912254160363081</v>
      </c>
      <c r="AI24" s="253">
        <v>0.7455357142857143</v>
      </c>
      <c r="AJ24" s="253">
        <v>0.73660030627871365</v>
      </c>
      <c r="AK24" s="253">
        <v>0.7760736196319018</v>
      </c>
      <c r="AL24" s="253">
        <v>0.7601880877742947</v>
      </c>
      <c r="AM24" s="253">
        <v>0.83743842364532017</v>
      </c>
      <c r="AN24" s="253">
        <v>0.94764397905759157</v>
      </c>
      <c r="AO24" s="253">
        <v>0.92348754448398573</v>
      </c>
      <c r="AP24" s="253">
        <v>0.84523809523809523</v>
      </c>
      <c r="AQ24" s="253">
        <v>0.84353741496598644</v>
      </c>
      <c r="AR24" s="253">
        <v>0.7831125827814569</v>
      </c>
      <c r="AS24" s="253">
        <v>0.75320512820512819</v>
      </c>
      <c r="AT24" s="253">
        <v>0.80628272251308897</v>
      </c>
      <c r="AU24" s="253">
        <v>0.75979557069846682</v>
      </c>
      <c r="AV24" s="253">
        <v>0.82135922330097089</v>
      </c>
      <c r="AW24" s="253">
        <v>0.84830339321357284</v>
      </c>
      <c r="AX24" s="253">
        <v>0.87941787941787941</v>
      </c>
      <c r="AY24" s="253">
        <v>0.78260869565217395</v>
      </c>
      <c r="AZ24" s="253">
        <v>0.87422680412371134</v>
      </c>
      <c r="BA24" s="253">
        <v>0.83725490196078434</v>
      </c>
      <c r="BB24" s="253">
        <v>0.71823204419889508</v>
      </c>
      <c r="BC24" s="253">
        <v>0.84104627766599593</v>
      </c>
      <c r="BD24" s="253">
        <v>0.82258064516129037</v>
      </c>
      <c r="BE24" s="253">
        <v>0.82258064516129037</v>
      </c>
      <c r="BF24" s="253">
        <v>0.89640591966173366</v>
      </c>
      <c r="BG24" s="253">
        <v>0.87234042553191493</v>
      </c>
      <c r="BH24" s="253">
        <v>0.88744588744588748</v>
      </c>
      <c r="BI24" s="253">
        <v>0.94394618834080712</v>
      </c>
      <c r="BJ24" s="253">
        <v>1.1063829787234043</v>
      </c>
      <c r="BK24" s="253">
        <v>1.1223529411764706</v>
      </c>
      <c r="BL24" s="253">
        <v>1.1843971631205674</v>
      </c>
      <c r="BM24" s="253">
        <v>1.3409090909090908</v>
      </c>
      <c r="BN24" s="253">
        <v>1.3396226415094339</v>
      </c>
    </row>
    <row r="25" spans="1:66" x14ac:dyDescent="0.25">
      <c r="A25" s="251" t="s">
        <v>40</v>
      </c>
      <c r="B25" s="196">
        <v>1.0667793744716823</v>
      </c>
      <c r="C25" s="196">
        <v>1.0061703002879474</v>
      </c>
      <c r="D25" s="196">
        <v>0.91785150078988942</v>
      </c>
      <c r="E25" s="196">
        <v>0.91255515443241075</v>
      </c>
      <c r="F25" s="196">
        <v>0.87104158718046543</v>
      </c>
      <c r="G25" s="196">
        <v>0.83479532163742687</v>
      </c>
      <c r="H25" s="196">
        <v>0.73425863236289779</v>
      </c>
      <c r="I25" s="196">
        <v>0.71019320453031309</v>
      </c>
      <c r="J25" s="196">
        <v>0.69966666666666666</v>
      </c>
      <c r="K25" s="196">
        <v>0.71141868512110729</v>
      </c>
      <c r="L25" s="196">
        <v>0.71403508771929824</v>
      </c>
      <c r="M25" s="196">
        <v>0.72661610689779699</v>
      </c>
      <c r="N25" s="196">
        <v>0.77524677296886868</v>
      </c>
      <c r="O25" s="196">
        <v>0.77565353101833789</v>
      </c>
      <c r="P25" s="196">
        <v>0.79160063391442159</v>
      </c>
      <c r="Q25" s="196">
        <v>0.8282910874897792</v>
      </c>
      <c r="R25" s="196">
        <v>0.85800344234079173</v>
      </c>
      <c r="S25" s="196">
        <v>0.8351648351648352</v>
      </c>
      <c r="T25" s="196">
        <v>0.75383267630310991</v>
      </c>
      <c r="U25" s="196">
        <v>0.70577933450087571</v>
      </c>
      <c r="V25" s="196">
        <v>0.77132319041032738</v>
      </c>
      <c r="W25" s="196">
        <v>0.80018761726078802</v>
      </c>
      <c r="X25" s="196">
        <v>0.80990948070509772</v>
      </c>
      <c r="Y25" s="196">
        <v>0.77577821011673154</v>
      </c>
      <c r="Z25" s="196">
        <v>0.72678132678132679</v>
      </c>
      <c r="AA25" s="196">
        <v>0.73707753479125249</v>
      </c>
      <c r="AB25" s="196">
        <v>0.70274240940254651</v>
      </c>
      <c r="AC25" s="196">
        <v>0.72887323943661975</v>
      </c>
      <c r="AD25" s="196">
        <v>0.72522522522522526</v>
      </c>
      <c r="AE25" s="196">
        <v>0.71865745310957552</v>
      </c>
      <c r="AF25" s="196">
        <v>0.75225677031093274</v>
      </c>
      <c r="AG25" s="196">
        <v>0.81263157894736837</v>
      </c>
      <c r="AH25" s="253">
        <v>0.96165020337013363</v>
      </c>
      <c r="AI25" s="253">
        <v>1.0986352357320099</v>
      </c>
      <c r="AJ25" s="253">
        <v>1.0155409444112373</v>
      </c>
      <c r="AK25" s="253">
        <v>0.98593200468933173</v>
      </c>
      <c r="AL25" s="253">
        <v>1.0005882352941176</v>
      </c>
      <c r="AM25" s="253">
        <v>1.1278996865203761</v>
      </c>
      <c r="AN25" s="253">
        <v>1.2880324543610548</v>
      </c>
      <c r="AO25" s="253">
        <v>1.3358057990559675</v>
      </c>
      <c r="AP25" s="253">
        <v>1.4013937282229965</v>
      </c>
      <c r="AQ25" s="253">
        <v>1.435472739820566</v>
      </c>
      <c r="AR25" s="253">
        <v>1.4313319530710835</v>
      </c>
      <c r="AS25" s="253">
        <v>1.4141483516483517</v>
      </c>
      <c r="AT25" s="253">
        <v>1.3586666666666667</v>
      </c>
      <c r="AU25" s="253">
        <v>1.354922279792746</v>
      </c>
      <c r="AV25" s="253">
        <v>1.2555891238670696</v>
      </c>
      <c r="AW25" s="253">
        <v>1.1908526256352343</v>
      </c>
      <c r="AX25" s="253">
        <v>1.3437316068275456</v>
      </c>
      <c r="AY25" s="253">
        <v>1.3876337693222354</v>
      </c>
      <c r="AZ25" s="253">
        <v>1.3868312757201646</v>
      </c>
      <c r="BA25" s="253">
        <v>1.3824346859366314</v>
      </c>
      <c r="BB25" s="253">
        <v>1.3564304461942258</v>
      </c>
      <c r="BC25" s="253">
        <v>1.4276479363500747</v>
      </c>
      <c r="BD25" s="253">
        <v>1.4341346153846153</v>
      </c>
      <c r="BE25" s="253">
        <v>1.4341346153846153</v>
      </c>
      <c r="BF25" s="253">
        <v>1.5067502410800386</v>
      </c>
      <c r="BG25" s="253">
        <v>1.5410393394851869</v>
      </c>
      <c r="BH25" s="253">
        <v>1.6104023552502453</v>
      </c>
      <c r="BI25" s="253">
        <v>1.6878585086042066</v>
      </c>
      <c r="BJ25" s="253">
        <v>1.7295476419634264</v>
      </c>
      <c r="BK25" s="253">
        <v>1.701280227596017</v>
      </c>
      <c r="BL25" s="253">
        <v>1.7376259307928166</v>
      </c>
      <c r="BM25" s="253">
        <v>1.7514995715509853</v>
      </c>
      <c r="BN25" s="253">
        <v>1.810936837643069</v>
      </c>
    </row>
    <row r="26" spans="1:66" ht="15.75" x14ac:dyDescent="0.25">
      <c r="B26" s="265">
        <f t="shared" ref="B26:Y26" si="0">COUNTIF(B2:B25,"&gt;1")</f>
        <v>17</v>
      </c>
      <c r="C26" s="265">
        <f t="shared" si="0"/>
        <v>17</v>
      </c>
      <c r="D26" s="265">
        <f t="shared" si="0"/>
        <v>14</v>
      </c>
      <c r="E26" s="265">
        <f t="shared" si="0"/>
        <v>11</v>
      </c>
      <c r="F26" s="265">
        <f t="shared" si="0"/>
        <v>11</v>
      </c>
      <c r="G26" s="265">
        <f t="shared" si="0"/>
        <v>8</v>
      </c>
      <c r="H26" s="265">
        <f t="shared" si="0"/>
        <v>7</v>
      </c>
      <c r="I26" s="265">
        <f t="shared" si="0"/>
        <v>6</v>
      </c>
      <c r="J26" s="265">
        <f t="shared" si="0"/>
        <v>6</v>
      </c>
      <c r="K26" s="265">
        <f t="shared" si="0"/>
        <v>6</v>
      </c>
      <c r="L26" s="265">
        <f t="shared" si="0"/>
        <v>6</v>
      </c>
      <c r="M26" s="265">
        <f t="shared" si="0"/>
        <v>6</v>
      </c>
      <c r="N26" s="265">
        <f t="shared" si="0"/>
        <v>5</v>
      </c>
      <c r="O26" s="265">
        <f t="shared" si="0"/>
        <v>5</v>
      </c>
      <c r="P26" s="265">
        <f t="shared" si="0"/>
        <v>5</v>
      </c>
      <c r="Q26" s="265">
        <f t="shared" si="0"/>
        <v>5</v>
      </c>
      <c r="R26" s="265">
        <f t="shared" si="0"/>
        <v>6</v>
      </c>
      <c r="S26" s="265">
        <f t="shared" si="0"/>
        <v>5</v>
      </c>
      <c r="T26" s="265">
        <f t="shared" si="0"/>
        <v>4</v>
      </c>
      <c r="U26" s="265">
        <f t="shared" si="0"/>
        <v>4</v>
      </c>
      <c r="V26" s="265">
        <f t="shared" si="0"/>
        <v>4</v>
      </c>
      <c r="W26" s="265">
        <f t="shared" si="0"/>
        <v>4</v>
      </c>
      <c r="X26" s="265">
        <f t="shared" si="0"/>
        <v>6</v>
      </c>
      <c r="Y26" s="265">
        <f t="shared" si="0"/>
        <v>6</v>
      </c>
      <c r="Z26" s="265">
        <f t="shared" ref="Z26:BA26" si="1">COUNTIF(Z2:Z25,"&gt;1")</f>
        <v>5</v>
      </c>
      <c r="AA26" s="265">
        <f t="shared" si="1"/>
        <v>5</v>
      </c>
      <c r="AB26" s="265">
        <f t="shared" si="1"/>
        <v>6</v>
      </c>
      <c r="AC26" s="265">
        <f t="shared" si="1"/>
        <v>6</v>
      </c>
      <c r="AD26" s="265">
        <f t="shared" si="1"/>
        <v>7</v>
      </c>
      <c r="AE26" s="265">
        <f t="shared" si="1"/>
        <v>7</v>
      </c>
      <c r="AF26" s="265">
        <f t="shared" si="1"/>
        <v>6</v>
      </c>
      <c r="AG26" s="265">
        <f t="shared" si="1"/>
        <v>6</v>
      </c>
      <c r="AH26" s="265">
        <f t="shared" si="1"/>
        <v>6</v>
      </c>
      <c r="AI26" s="265">
        <f t="shared" si="1"/>
        <v>8</v>
      </c>
      <c r="AJ26" s="265">
        <f t="shared" si="1"/>
        <v>8</v>
      </c>
      <c r="AK26" s="265">
        <f t="shared" si="1"/>
        <v>7</v>
      </c>
      <c r="AL26" s="265">
        <f t="shared" si="1"/>
        <v>8</v>
      </c>
      <c r="AM26" s="265">
        <f t="shared" si="1"/>
        <v>9</v>
      </c>
      <c r="AN26" s="265">
        <f t="shared" si="1"/>
        <v>10</v>
      </c>
      <c r="AO26" s="265">
        <f t="shared" si="1"/>
        <v>12</v>
      </c>
      <c r="AP26" s="265">
        <f t="shared" si="1"/>
        <v>15</v>
      </c>
      <c r="AQ26" s="265">
        <f t="shared" si="1"/>
        <v>15</v>
      </c>
      <c r="AR26" s="265">
        <f t="shared" si="1"/>
        <v>16</v>
      </c>
      <c r="AS26" s="265">
        <f t="shared" si="1"/>
        <v>16</v>
      </c>
      <c r="AT26" s="265">
        <f t="shared" si="1"/>
        <v>14</v>
      </c>
      <c r="AU26" s="265">
        <f t="shared" si="1"/>
        <v>15</v>
      </c>
      <c r="AV26" s="265">
        <f t="shared" si="1"/>
        <v>13</v>
      </c>
      <c r="AW26" s="265">
        <f t="shared" si="1"/>
        <v>13</v>
      </c>
      <c r="AX26" s="265">
        <f t="shared" si="1"/>
        <v>17</v>
      </c>
      <c r="AY26" s="265">
        <f t="shared" si="1"/>
        <v>16</v>
      </c>
      <c r="AZ26" s="265">
        <f t="shared" si="1"/>
        <v>17</v>
      </c>
      <c r="BA26" s="265">
        <f t="shared" si="1"/>
        <v>15</v>
      </c>
      <c r="BB26" s="265">
        <f t="shared" ref="BB26:BH26" si="2">COUNTIF(BB2:BB25,"&gt;1")</f>
        <v>15</v>
      </c>
      <c r="BC26" s="265">
        <f t="shared" si="2"/>
        <v>14</v>
      </c>
      <c r="BD26" s="265">
        <f t="shared" si="2"/>
        <v>13</v>
      </c>
      <c r="BE26" s="265">
        <f t="shared" si="2"/>
        <v>13</v>
      </c>
      <c r="BF26" s="265">
        <f t="shared" si="2"/>
        <v>16</v>
      </c>
      <c r="BG26" s="265">
        <f t="shared" si="2"/>
        <v>17</v>
      </c>
      <c r="BH26" s="265">
        <f t="shared" si="2"/>
        <v>18</v>
      </c>
    </row>
    <row r="28" spans="1:66" x14ac:dyDescent="0.25">
      <c r="C28" s="252">
        <v>100</v>
      </c>
      <c r="E28" s="252">
        <v>1.2</v>
      </c>
    </row>
    <row r="29" spans="1:66" x14ac:dyDescent="0.25">
      <c r="C29" s="252">
        <v>120</v>
      </c>
      <c r="D29" s="50">
        <f>C29/C28</f>
        <v>1.2</v>
      </c>
    </row>
  </sheetData>
  <conditionalFormatting sqref="B2:D20">
    <cfRule type="cellIs" dxfId="113" priority="122" operator="lessThan">
      <formula>1.2</formula>
    </cfRule>
    <cfRule type="cellIs" dxfId="112" priority="123" operator="greaterThanOrEqual">
      <formula>1.2</formula>
    </cfRule>
  </conditionalFormatting>
  <conditionalFormatting sqref="B21:D25 C28:C29">
    <cfRule type="cellIs" dxfId="111" priority="120" operator="lessThan">
      <formula>1.2</formula>
    </cfRule>
    <cfRule type="cellIs" dxfId="110" priority="121" operator="greaterThanOrEqual">
      <formula>1.2</formula>
    </cfRule>
  </conditionalFormatting>
  <conditionalFormatting sqref="E2:AG25 E28">
    <cfRule type="cellIs" dxfId="109" priority="118" operator="lessThan">
      <formula>1.2</formula>
    </cfRule>
    <cfRule type="cellIs" dxfId="108" priority="119" operator="greaterThanOrEqual">
      <formula>1.2</formula>
    </cfRule>
  </conditionalFormatting>
  <conditionalFormatting sqref="BA2:BB25">
    <cfRule type="cellIs" dxfId="107" priority="98" operator="lessThan">
      <formula>1</formula>
    </cfRule>
    <cfRule type="cellIs" dxfId="106" priority="99" operator="greaterThanOrEqual">
      <formula>1.19</formula>
    </cfRule>
  </conditionalFormatting>
  <conditionalFormatting sqref="BA2:BB25">
    <cfRule type="cellIs" dxfId="105" priority="97" operator="between">
      <formula>1</formula>
      <formula>1.19</formula>
    </cfRule>
  </conditionalFormatting>
  <conditionalFormatting sqref="AH2:AH25">
    <cfRule type="cellIs" dxfId="104" priority="95" operator="lessThan">
      <formula>1</formula>
    </cfRule>
    <cfRule type="cellIs" dxfId="103" priority="96" operator="greaterThanOrEqual">
      <formula>1.19</formula>
    </cfRule>
  </conditionalFormatting>
  <conditionalFormatting sqref="AH2:AH25">
    <cfRule type="cellIs" dxfId="102" priority="94" operator="between">
      <formula>1</formula>
      <formula>1.19</formula>
    </cfRule>
  </conditionalFormatting>
  <conditionalFormatting sqref="AI2:AI25">
    <cfRule type="cellIs" dxfId="101" priority="92" operator="lessThan">
      <formula>1</formula>
    </cfRule>
    <cfRule type="cellIs" dxfId="100" priority="93" operator="greaterThanOrEqual">
      <formula>1.19</formula>
    </cfRule>
  </conditionalFormatting>
  <conditionalFormatting sqref="AI2:AI25">
    <cfRule type="cellIs" dxfId="99" priority="91" operator="between">
      <formula>1</formula>
      <formula>1.19</formula>
    </cfRule>
  </conditionalFormatting>
  <conditionalFormatting sqref="AJ2:AJ25">
    <cfRule type="cellIs" dxfId="98" priority="89" operator="lessThan">
      <formula>1</formula>
    </cfRule>
    <cfRule type="cellIs" dxfId="97" priority="90" operator="greaterThanOrEqual">
      <formula>1.19</formula>
    </cfRule>
  </conditionalFormatting>
  <conditionalFormatting sqref="AJ2:AJ25">
    <cfRule type="cellIs" dxfId="96" priority="88" operator="between">
      <formula>1</formula>
      <formula>1.19</formula>
    </cfRule>
  </conditionalFormatting>
  <conditionalFormatting sqref="AK2:AK25">
    <cfRule type="cellIs" dxfId="95" priority="86" operator="lessThan">
      <formula>1</formula>
    </cfRule>
    <cfRule type="cellIs" dxfId="94" priority="87" operator="greaterThanOrEqual">
      <formula>1.19</formula>
    </cfRule>
  </conditionalFormatting>
  <conditionalFormatting sqref="AK2:AK25">
    <cfRule type="cellIs" dxfId="93" priority="85" operator="between">
      <formula>1</formula>
      <formula>1.19</formula>
    </cfRule>
  </conditionalFormatting>
  <conditionalFormatting sqref="AL2:AL25">
    <cfRule type="cellIs" dxfId="92" priority="83" operator="lessThan">
      <formula>1</formula>
    </cfRule>
    <cfRule type="cellIs" dxfId="91" priority="84" operator="greaterThanOrEqual">
      <formula>1.19</formula>
    </cfRule>
  </conditionalFormatting>
  <conditionalFormatting sqref="AL2:AL25">
    <cfRule type="cellIs" dxfId="90" priority="82" operator="between">
      <formula>1</formula>
      <formula>1.19</formula>
    </cfRule>
  </conditionalFormatting>
  <conditionalFormatting sqref="AM2:AM25">
    <cfRule type="cellIs" dxfId="89" priority="80" operator="lessThan">
      <formula>1</formula>
    </cfRule>
    <cfRule type="cellIs" dxfId="88" priority="81" operator="greaterThanOrEqual">
      <formula>1.19</formula>
    </cfRule>
  </conditionalFormatting>
  <conditionalFormatting sqref="AM2:AM25">
    <cfRule type="cellIs" dxfId="87" priority="79" operator="between">
      <formula>1</formula>
      <formula>1.19</formula>
    </cfRule>
  </conditionalFormatting>
  <conditionalFormatting sqref="AN2:AN25">
    <cfRule type="cellIs" dxfId="86" priority="77" operator="lessThan">
      <formula>1</formula>
    </cfRule>
    <cfRule type="cellIs" dxfId="85" priority="78" operator="greaterThanOrEqual">
      <formula>1.19</formula>
    </cfRule>
  </conditionalFormatting>
  <conditionalFormatting sqref="AN2:AN25">
    <cfRule type="cellIs" dxfId="84" priority="76" operator="between">
      <formula>1</formula>
      <formula>1.19</formula>
    </cfRule>
  </conditionalFormatting>
  <conditionalFormatting sqref="AO2:AO25">
    <cfRule type="cellIs" dxfId="83" priority="74" operator="lessThan">
      <formula>1</formula>
    </cfRule>
    <cfRule type="cellIs" dxfId="82" priority="75" operator="greaterThanOrEqual">
      <formula>1.19</formula>
    </cfRule>
  </conditionalFormatting>
  <conditionalFormatting sqref="AO2:AO25">
    <cfRule type="cellIs" dxfId="81" priority="73" operator="between">
      <formula>1</formula>
      <formula>1.19</formula>
    </cfRule>
  </conditionalFormatting>
  <conditionalFormatting sqref="AP2:AP25">
    <cfRule type="cellIs" dxfId="80" priority="71" operator="lessThan">
      <formula>1</formula>
    </cfRule>
    <cfRule type="cellIs" dxfId="79" priority="72" operator="greaterThanOrEqual">
      <formula>1.19</formula>
    </cfRule>
  </conditionalFormatting>
  <conditionalFormatting sqref="AP2:AP25">
    <cfRule type="cellIs" dxfId="78" priority="70" operator="between">
      <formula>1</formula>
      <formula>1.19</formula>
    </cfRule>
  </conditionalFormatting>
  <conditionalFormatting sqref="AQ2:AQ25">
    <cfRule type="cellIs" dxfId="77" priority="68" operator="lessThan">
      <formula>1</formula>
    </cfRule>
    <cfRule type="cellIs" dxfId="76" priority="69" operator="greaterThanOrEqual">
      <formula>1.19</formula>
    </cfRule>
  </conditionalFormatting>
  <conditionalFormatting sqref="AQ2:AQ25">
    <cfRule type="cellIs" dxfId="75" priority="67" operator="between">
      <formula>1</formula>
      <formula>1.19</formula>
    </cfRule>
  </conditionalFormatting>
  <conditionalFormatting sqref="AR2:AR25">
    <cfRule type="cellIs" dxfId="74" priority="65" operator="lessThan">
      <formula>1</formula>
    </cfRule>
    <cfRule type="cellIs" dxfId="73" priority="66" operator="greaterThanOrEqual">
      <formula>1.19</formula>
    </cfRule>
  </conditionalFormatting>
  <conditionalFormatting sqref="AR2:AR25">
    <cfRule type="cellIs" dxfId="72" priority="64" operator="between">
      <formula>1</formula>
      <formula>1.19</formula>
    </cfRule>
  </conditionalFormatting>
  <conditionalFormatting sqref="AS2:AS25">
    <cfRule type="cellIs" dxfId="71" priority="62" operator="lessThan">
      <formula>1</formula>
    </cfRule>
    <cfRule type="cellIs" dxfId="70" priority="63" operator="greaterThanOrEqual">
      <formula>1.19</formula>
    </cfRule>
  </conditionalFormatting>
  <conditionalFormatting sqref="AS2:AS25">
    <cfRule type="cellIs" dxfId="69" priority="61" operator="between">
      <formula>1</formula>
      <formula>1.19</formula>
    </cfRule>
  </conditionalFormatting>
  <conditionalFormatting sqref="AT2:AT25">
    <cfRule type="cellIs" dxfId="68" priority="59" operator="lessThan">
      <formula>1</formula>
    </cfRule>
    <cfRule type="cellIs" dxfId="67" priority="60" operator="greaterThanOrEqual">
      <formula>1.19</formula>
    </cfRule>
  </conditionalFormatting>
  <conditionalFormatting sqref="AT2:AT25">
    <cfRule type="cellIs" dxfId="66" priority="58" operator="between">
      <formula>1</formula>
      <formula>1.19</formula>
    </cfRule>
  </conditionalFormatting>
  <conditionalFormatting sqref="AU2:AU25">
    <cfRule type="cellIs" dxfId="65" priority="56" operator="lessThan">
      <formula>1</formula>
    </cfRule>
    <cfRule type="cellIs" dxfId="64" priority="57" operator="greaterThanOrEqual">
      <formula>1.19</formula>
    </cfRule>
  </conditionalFormatting>
  <conditionalFormatting sqref="AU2:AU25">
    <cfRule type="cellIs" dxfId="63" priority="55" operator="between">
      <formula>1</formula>
      <formula>1.19</formula>
    </cfRule>
  </conditionalFormatting>
  <conditionalFormatting sqref="AV2:AV25">
    <cfRule type="cellIs" dxfId="62" priority="53" operator="lessThan">
      <formula>1</formula>
    </cfRule>
    <cfRule type="cellIs" dxfId="61" priority="54" operator="greaterThanOrEqual">
      <formula>1.19</formula>
    </cfRule>
  </conditionalFormatting>
  <conditionalFormatting sqref="AV2:AV25">
    <cfRule type="cellIs" dxfId="60" priority="52" operator="between">
      <formula>1</formula>
      <formula>1.19</formula>
    </cfRule>
  </conditionalFormatting>
  <conditionalFormatting sqref="AW2:AW25">
    <cfRule type="cellIs" dxfId="59" priority="50" operator="lessThan">
      <formula>1</formula>
    </cfRule>
    <cfRule type="cellIs" dxfId="58" priority="51" operator="greaterThanOrEqual">
      <formula>1.19</formula>
    </cfRule>
  </conditionalFormatting>
  <conditionalFormatting sqref="AW2:AW25">
    <cfRule type="cellIs" dxfId="57" priority="49" operator="between">
      <formula>1</formula>
      <formula>1.19</formula>
    </cfRule>
  </conditionalFormatting>
  <conditionalFormatting sqref="AX2:AX25">
    <cfRule type="cellIs" dxfId="56" priority="47" operator="lessThan">
      <formula>1</formula>
    </cfRule>
    <cfRule type="cellIs" dxfId="55" priority="48" operator="greaterThanOrEqual">
      <formula>1.19</formula>
    </cfRule>
  </conditionalFormatting>
  <conditionalFormatting sqref="AX2:AX25">
    <cfRule type="cellIs" dxfId="54" priority="46" operator="between">
      <formula>1</formula>
      <formula>1.19</formula>
    </cfRule>
  </conditionalFormatting>
  <conditionalFormatting sqref="AY2:AY25">
    <cfRule type="cellIs" dxfId="53" priority="44" operator="lessThan">
      <formula>1</formula>
    </cfRule>
    <cfRule type="cellIs" dxfId="52" priority="45" operator="greaterThanOrEqual">
      <formula>1.19</formula>
    </cfRule>
  </conditionalFormatting>
  <conditionalFormatting sqref="AY2:AY25">
    <cfRule type="cellIs" dxfId="51" priority="43" operator="between">
      <formula>1</formula>
      <formula>1.19</formula>
    </cfRule>
  </conditionalFormatting>
  <conditionalFormatting sqref="AZ2:AZ25">
    <cfRule type="cellIs" dxfId="50" priority="41" operator="lessThan">
      <formula>1</formula>
    </cfRule>
    <cfRule type="cellIs" dxfId="49" priority="42" operator="greaterThanOrEqual">
      <formula>1.19</formula>
    </cfRule>
  </conditionalFormatting>
  <conditionalFormatting sqref="AZ2:AZ25">
    <cfRule type="cellIs" dxfId="48" priority="40" operator="between">
      <formula>1</formula>
      <formula>1.19</formula>
    </cfRule>
  </conditionalFormatting>
  <conditionalFormatting sqref="BC2:BC25">
    <cfRule type="cellIs" dxfId="47" priority="38" operator="lessThan">
      <formula>1</formula>
    </cfRule>
    <cfRule type="cellIs" dxfId="46" priority="39" operator="greaterThanOrEqual">
      <formula>1.19</formula>
    </cfRule>
  </conditionalFormatting>
  <conditionalFormatting sqref="BC2:BC25">
    <cfRule type="cellIs" dxfId="45" priority="37" operator="between">
      <formula>1</formula>
      <formula>1.19</formula>
    </cfRule>
  </conditionalFormatting>
  <conditionalFormatting sqref="BD2:BD25">
    <cfRule type="cellIs" dxfId="44" priority="35" operator="lessThan">
      <formula>1</formula>
    </cfRule>
    <cfRule type="cellIs" dxfId="43" priority="36" operator="greaterThanOrEqual">
      <formula>1.19</formula>
    </cfRule>
  </conditionalFormatting>
  <conditionalFormatting sqref="BD2:BD25">
    <cfRule type="cellIs" dxfId="42" priority="34" operator="between">
      <formula>1</formula>
      <formula>1.19</formula>
    </cfRule>
  </conditionalFormatting>
  <conditionalFormatting sqref="BE2:BE25">
    <cfRule type="cellIs" dxfId="41" priority="32" operator="lessThan">
      <formula>1</formula>
    </cfRule>
    <cfRule type="cellIs" dxfId="40" priority="33" operator="greaterThanOrEqual">
      <formula>1.19</formula>
    </cfRule>
  </conditionalFormatting>
  <conditionalFormatting sqref="BE2:BE25">
    <cfRule type="cellIs" dxfId="39" priority="31" operator="between">
      <formula>1</formula>
      <formula>1.19</formula>
    </cfRule>
  </conditionalFormatting>
  <conditionalFormatting sqref="BF2:BF25">
    <cfRule type="cellIs" dxfId="38" priority="29" operator="lessThan">
      <formula>1</formula>
    </cfRule>
    <cfRule type="cellIs" dxfId="37" priority="30" operator="greaterThanOrEqual">
      <formula>1.19</formula>
    </cfRule>
  </conditionalFormatting>
  <conditionalFormatting sqref="BF2:BF25">
    <cfRule type="cellIs" dxfId="36" priority="28" operator="between">
      <formula>1</formula>
      <formula>1.19</formula>
    </cfRule>
  </conditionalFormatting>
  <conditionalFormatting sqref="BG2:BG25">
    <cfRule type="cellIs" dxfId="35" priority="26" operator="lessThan">
      <formula>1</formula>
    </cfRule>
    <cfRule type="cellIs" dxfId="34" priority="27" operator="greaterThanOrEqual">
      <formula>1.19</formula>
    </cfRule>
  </conditionalFormatting>
  <conditionalFormatting sqref="BG2:BG25">
    <cfRule type="cellIs" dxfId="33" priority="25" operator="between">
      <formula>1</formula>
      <formula>1.19</formula>
    </cfRule>
  </conditionalFormatting>
  <conditionalFormatting sqref="BH2:BH25">
    <cfRule type="cellIs" dxfId="32" priority="20" operator="lessThan">
      <formula>1</formula>
    </cfRule>
    <cfRule type="cellIs" dxfId="31" priority="21" operator="greaterThanOrEqual">
      <formula>1.19</formula>
    </cfRule>
  </conditionalFormatting>
  <conditionalFormatting sqref="BH2:BH25">
    <cfRule type="cellIs" dxfId="30" priority="19" operator="between">
      <formula>1</formula>
      <formula>1.19</formula>
    </cfRule>
  </conditionalFormatting>
  <conditionalFormatting sqref="BI2:BI25">
    <cfRule type="cellIs" dxfId="29" priority="17" operator="lessThan">
      <formula>1</formula>
    </cfRule>
    <cfRule type="cellIs" dxfId="28" priority="18" operator="greaterThanOrEqual">
      <formula>1.19</formula>
    </cfRule>
  </conditionalFormatting>
  <conditionalFormatting sqref="BI2:BI25">
    <cfRule type="cellIs" dxfId="27" priority="16" operator="between">
      <formula>1</formula>
      <formula>1.19</formula>
    </cfRule>
  </conditionalFormatting>
  <conditionalFormatting sqref="BJ2:BJ25">
    <cfRule type="cellIs" dxfId="26" priority="14" operator="lessThan">
      <formula>1</formula>
    </cfRule>
    <cfRule type="cellIs" dxfId="25" priority="15" operator="greaterThanOrEqual">
      <formula>1.19</formula>
    </cfRule>
  </conditionalFormatting>
  <conditionalFormatting sqref="BJ2:BJ25">
    <cfRule type="cellIs" dxfId="24" priority="13" operator="between">
      <formula>1</formula>
      <formula>1.19</formula>
    </cfRule>
  </conditionalFormatting>
  <conditionalFormatting sqref="BK2:BK25">
    <cfRule type="cellIs" dxfId="23" priority="11" operator="lessThan">
      <formula>1</formula>
    </cfRule>
    <cfRule type="cellIs" dxfId="22" priority="12" operator="greaterThanOrEqual">
      <formula>1.19</formula>
    </cfRule>
  </conditionalFormatting>
  <conditionalFormatting sqref="BK2:BK25">
    <cfRule type="cellIs" dxfId="21" priority="10" operator="between">
      <formula>1</formula>
      <formula>1.19</formula>
    </cfRule>
  </conditionalFormatting>
  <conditionalFormatting sqref="BL2:BL25">
    <cfRule type="cellIs" dxfId="20" priority="8" operator="lessThan">
      <formula>1</formula>
    </cfRule>
    <cfRule type="cellIs" dxfId="19" priority="9" operator="greaterThanOrEqual">
      <formula>1.19</formula>
    </cfRule>
  </conditionalFormatting>
  <conditionalFormatting sqref="BL2:BL25">
    <cfRule type="cellIs" dxfId="18" priority="7" operator="between">
      <formula>1</formula>
      <formula>1.19</formula>
    </cfRule>
  </conditionalFormatting>
  <conditionalFormatting sqref="BM2:BM25">
    <cfRule type="cellIs" dxfId="17" priority="5" operator="lessThan">
      <formula>1</formula>
    </cfRule>
    <cfRule type="cellIs" dxfId="16" priority="6" operator="greaterThanOrEqual">
      <formula>1.19</formula>
    </cfRule>
  </conditionalFormatting>
  <conditionalFormatting sqref="BM2:BM25">
    <cfRule type="cellIs" dxfId="15" priority="4" operator="between">
      <formula>1</formula>
      <formula>1.19</formula>
    </cfRule>
  </conditionalFormatting>
  <conditionalFormatting sqref="BN2:BN25">
    <cfRule type="cellIs" dxfId="14" priority="2" operator="lessThan">
      <formula>1</formula>
    </cfRule>
    <cfRule type="cellIs" dxfId="13" priority="3" operator="greaterThanOrEqual">
      <formula>1.19</formula>
    </cfRule>
  </conditionalFormatting>
  <conditionalFormatting sqref="BN2:BN25">
    <cfRule type="cellIs" dxfId="12" priority="1" operator="between">
      <formula>1</formula>
      <formula>1.19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D742F-D14B-4751-90D1-B612C9DFF448}">
  <dimension ref="A1:B24"/>
  <sheetViews>
    <sheetView workbookViewId="0">
      <selection activeCell="B7" sqref="B7"/>
    </sheetView>
  </sheetViews>
  <sheetFormatPr baseColWidth="10" defaultRowHeight="15" x14ac:dyDescent="0.25"/>
  <cols>
    <col min="1" max="1" width="23.28515625" bestFit="1" customWidth="1"/>
  </cols>
  <sheetData>
    <row r="1" spans="1:2" ht="18.75" x14ac:dyDescent="0.25">
      <c r="A1" s="64" t="s">
        <v>16</v>
      </c>
      <c r="B1" s="50">
        <v>17541141</v>
      </c>
    </row>
    <row r="2" spans="1:2" ht="18.75" x14ac:dyDescent="0.25">
      <c r="A2" s="66" t="s">
        <v>43</v>
      </c>
      <c r="B2" s="50">
        <v>3075646</v>
      </c>
    </row>
    <row r="3" spans="1:2" ht="18.75" x14ac:dyDescent="0.25">
      <c r="A3" s="66" t="s">
        <v>28</v>
      </c>
      <c r="B3" s="50">
        <v>415438</v>
      </c>
    </row>
    <row r="4" spans="1:2" ht="18.75" x14ac:dyDescent="0.25">
      <c r="A4" s="66" t="s">
        <v>15</v>
      </c>
      <c r="B4" s="50">
        <v>1204541</v>
      </c>
    </row>
    <row r="5" spans="1:2" ht="18.75" x14ac:dyDescent="0.25">
      <c r="A5" s="66" t="s">
        <v>29</v>
      </c>
      <c r="B5" s="50">
        <v>618994</v>
      </c>
    </row>
    <row r="6" spans="1:2" ht="18.75" x14ac:dyDescent="0.25">
      <c r="A6" s="66" t="s">
        <v>30</v>
      </c>
      <c r="B6" s="50">
        <v>1120801</v>
      </c>
    </row>
    <row r="7" spans="1:2" ht="18.75" x14ac:dyDescent="0.25">
      <c r="A7" s="66" t="s">
        <v>20</v>
      </c>
      <c r="B7" s="50">
        <v>3760450</v>
      </c>
    </row>
    <row r="8" spans="1:2" ht="18.75" x14ac:dyDescent="0.25">
      <c r="A8" s="66" t="s">
        <v>31</v>
      </c>
      <c r="B8" s="50">
        <v>1385961</v>
      </c>
    </row>
    <row r="9" spans="1:2" ht="18.75" x14ac:dyDescent="0.25">
      <c r="A9" s="66" t="s">
        <v>41</v>
      </c>
      <c r="B9" s="50">
        <v>605193</v>
      </c>
    </row>
    <row r="10" spans="1:2" ht="18.75" x14ac:dyDescent="0.25">
      <c r="A10" s="66" t="s">
        <v>32</v>
      </c>
      <c r="B10" s="50">
        <v>770881</v>
      </c>
    </row>
    <row r="11" spans="1:2" ht="18.75" x14ac:dyDescent="0.25">
      <c r="A11" s="66" t="s">
        <v>33</v>
      </c>
      <c r="B11" s="50">
        <v>358428</v>
      </c>
    </row>
    <row r="12" spans="1:2" ht="18.75" x14ac:dyDescent="0.25">
      <c r="A12" s="66" t="s">
        <v>21</v>
      </c>
      <c r="B12" s="50">
        <v>393531</v>
      </c>
    </row>
    <row r="13" spans="1:2" ht="18.75" x14ac:dyDescent="0.25">
      <c r="A13" s="66" t="s">
        <v>17</v>
      </c>
      <c r="B13" s="50">
        <v>1990338</v>
      </c>
    </row>
    <row r="14" spans="1:2" ht="18.75" x14ac:dyDescent="0.25">
      <c r="A14" s="66" t="s">
        <v>23</v>
      </c>
      <c r="B14" s="50">
        <v>1261294</v>
      </c>
    </row>
    <row r="15" spans="1:2" ht="18.75" x14ac:dyDescent="0.25">
      <c r="A15" s="66" t="s">
        <v>19</v>
      </c>
      <c r="B15" s="50">
        <v>664057</v>
      </c>
    </row>
    <row r="16" spans="1:2" ht="18.75" x14ac:dyDescent="0.25">
      <c r="A16" s="66" t="s">
        <v>18</v>
      </c>
      <c r="B16" s="50">
        <v>747610</v>
      </c>
    </row>
    <row r="17" spans="1:2" ht="18.75" x14ac:dyDescent="0.25">
      <c r="A17" s="66" t="s">
        <v>34</v>
      </c>
      <c r="B17" s="50">
        <v>1424397</v>
      </c>
    </row>
    <row r="18" spans="1:2" ht="18.75" x14ac:dyDescent="0.25">
      <c r="A18" s="66" t="s">
        <v>35</v>
      </c>
      <c r="B18" s="50">
        <v>781217</v>
      </c>
    </row>
    <row r="19" spans="1:2" ht="18.75" x14ac:dyDescent="0.25">
      <c r="A19" s="66" t="s">
        <v>36</v>
      </c>
      <c r="B19" s="50">
        <v>508328</v>
      </c>
    </row>
    <row r="20" spans="1:2" ht="18.75" x14ac:dyDescent="0.25">
      <c r="A20" s="66" t="s">
        <v>37</v>
      </c>
      <c r="B20" s="50">
        <v>365698</v>
      </c>
    </row>
    <row r="21" spans="1:2" ht="18.75" x14ac:dyDescent="0.25">
      <c r="A21" s="66" t="s">
        <v>22</v>
      </c>
      <c r="B21" s="50">
        <v>3536418</v>
      </c>
    </row>
    <row r="22" spans="1:2" ht="18.75" x14ac:dyDescent="0.25">
      <c r="A22" s="66" t="s">
        <v>38</v>
      </c>
      <c r="B22" s="50">
        <v>978313</v>
      </c>
    </row>
    <row r="23" spans="1:2" ht="18.75" x14ac:dyDescent="0.25">
      <c r="A23" s="66" t="s">
        <v>39</v>
      </c>
      <c r="B23" s="50">
        <v>176830</v>
      </c>
    </row>
    <row r="24" spans="1:2" ht="19.5" thickBot="1" x14ac:dyDescent="0.3">
      <c r="A24" s="67" t="s">
        <v>40</v>
      </c>
      <c r="B24" s="50">
        <v>1694656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26C9-BE40-4737-B82C-0FC4DE4EFF5B}">
  <dimension ref="C1:I26"/>
  <sheetViews>
    <sheetView workbookViewId="0">
      <selection activeCell="G9" sqref="G9:G25"/>
    </sheetView>
  </sheetViews>
  <sheetFormatPr baseColWidth="10" defaultRowHeight="15" x14ac:dyDescent="0.25"/>
  <cols>
    <col min="3" max="3" width="13.7109375" customWidth="1"/>
    <col min="4" max="5" width="11.42578125" style="51"/>
  </cols>
  <sheetData>
    <row r="1" spans="3:9" ht="15.75" thickBot="1" x14ac:dyDescent="0.3">
      <c r="C1" t="s">
        <v>24</v>
      </c>
      <c r="D1" s="51" t="s">
        <v>235</v>
      </c>
      <c r="E1" s="51" t="s">
        <v>25</v>
      </c>
      <c r="F1" t="s">
        <v>236</v>
      </c>
    </row>
    <row r="2" spans="3:9" x14ac:dyDescent="0.25">
      <c r="C2" t="s">
        <v>16</v>
      </c>
      <c r="D2" s="51">
        <v>8063</v>
      </c>
      <c r="E2" s="45">
        <v>44286</v>
      </c>
      <c r="G2" s="29">
        <v>8063</v>
      </c>
      <c r="H2" s="248"/>
    </row>
    <row r="3" spans="3:9" x14ac:dyDescent="0.25">
      <c r="C3" t="s">
        <v>43</v>
      </c>
      <c r="D3" s="51">
        <v>2109</v>
      </c>
      <c r="E3" s="45">
        <v>44284</v>
      </c>
      <c r="G3" s="4">
        <v>1707</v>
      </c>
      <c r="I3" s="248"/>
    </row>
    <row r="4" spans="3:9" x14ac:dyDescent="0.25">
      <c r="C4" t="s">
        <v>28</v>
      </c>
      <c r="D4" s="51">
        <v>395</v>
      </c>
      <c r="E4" s="45">
        <v>44211</v>
      </c>
      <c r="G4" s="4">
        <v>79</v>
      </c>
      <c r="I4" s="248"/>
    </row>
    <row r="5" spans="3:9" x14ac:dyDescent="0.25">
      <c r="C5" t="s">
        <v>15</v>
      </c>
      <c r="D5" s="51">
        <v>335</v>
      </c>
      <c r="E5" s="45">
        <v>44168</v>
      </c>
      <c r="G5" s="4">
        <v>175</v>
      </c>
      <c r="I5" s="248"/>
    </row>
    <row r="6" spans="3:9" x14ac:dyDescent="0.25">
      <c r="C6" t="s">
        <v>29</v>
      </c>
      <c r="D6" s="51">
        <v>673</v>
      </c>
      <c r="E6" s="45">
        <v>44127</v>
      </c>
      <c r="G6" s="4">
        <v>215</v>
      </c>
      <c r="I6" s="248"/>
    </row>
    <row r="7" spans="3:9" x14ac:dyDescent="0.25">
      <c r="C7" t="s">
        <v>20</v>
      </c>
      <c r="D7" s="51">
        <v>2480</v>
      </c>
      <c r="E7" s="45">
        <v>44125</v>
      </c>
      <c r="G7" s="4">
        <v>1260</v>
      </c>
      <c r="I7" s="248"/>
    </row>
    <row r="8" spans="3:9" x14ac:dyDescent="0.25">
      <c r="C8" t="s">
        <v>30</v>
      </c>
      <c r="D8" s="51">
        <v>1130</v>
      </c>
      <c r="E8" s="45">
        <v>44164</v>
      </c>
      <c r="G8" s="4">
        <v>291</v>
      </c>
      <c r="I8" s="248"/>
    </row>
    <row r="9" spans="3:9" x14ac:dyDescent="0.25">
      <c r="C9" t="s">
        <v>31</v>
      </c>
      <c r="D9" s="51">
        <v>587</v>
      </c>
      <c r="E9" s="45">
        <v>44203</v>
      </c>
      <c r="G9" s="4">
        <v>299</v>
      </c>
      <c r="I9" s="248"/>
    </row>
    <row r="10" spans="3:9" x14ac:dyDescent="0.25">
      <c r="C10" t="s">
        <v>41</v>
      </c>
      <c r="D10" s="51">
        <v>175</v>
      </c>
      <c r="E10" s="45">
        <v>44204</v>
      </c>
      <c r="G10" s="4">
        <v>175</v>
      </c>
      <c r="I10" s="248"/>
    </row>
    <row r="11" spans="3:9" x14ac:dyDescent="0.25">
      <c r="C11" t="s">
        <v>32</v>
      </c>
      <c r="D11" s="51">
        <v>357</v>
      </c>
      <c r="E11" s="45">
        <v>44286</v>
      </c>
      <c r="G11" s="4">
        <v>76</v>
      </c>
      <c r="I11" s="248"/>
    </row>
    <row r="12" spans="3:9" x14ac:dyDescent="0.25">
      <c r="C12" t="s">
        <v>33</v>
      </c>
      <c r="D12" s="51">
        <v>412</v>
      </c>
      <c r="E12" s="45">
        <v>44077</v>
      </c>
      <c r="G12" s="4">
        <v>89</v>
      </c>
      <c r="I12" s="248"/>
    </row>
    <row r="13" spans="3:9" x14ac:dyDescent="0.25">
      <c r="C13" t="s">
        <v>21</v>
      </c>
      <c r="D13" s="51">
        <v>350</v>
      </c>
      <c r="E13" s="45">
        <v>44203</v>
      </c>
      <c r="G13" s="4">
        <v>72</v>
      </c>
      <c r="I13" s="248"/>
    </row>
    <row r="14" spans="3:9" x14ac:dyDescent="0.25">
      <c r="C14" t="s">
        <v>17</v>
      </c>
      <c r="D14" s="51">
        <v>1155</v>
      </c>
      <c r="E14" s="45">
        <v>44095</v>
      </c>
      <c r="G14" s="4">
        <v>521</v>
      </c>
      <c r="I14" s="248"/>
    </row>
    <row r="15" spans="3:9" x14ac:dyDescent="0.25">
      <c r="C15" t="s">
        <v>23</v>
      </c>
      <c r="D15" s="51">
        <v>284</v>
      </c>
      <c r="E15" s="45">
        <v>44125</v>
      </c>
      <c r="G15" s="4">
        <v>134</v>
      </c>
      <c r="I15" s="248"/>
    </row>
    <row r="16" spans="3:9" x14ac:dyDescent="0.25">
      <c r="C16" t="s">
        <v>19</v>
      </c>
      <c r="D16" s="51">
        <v>1305</v>
      </c>
      <c r="E16" s="45">
        <v>44229</v>
      </c>
      <c r="G16" s="4">
        <v>140</v>
      </c>
      <c r="I16" s="248"/>
    </row>
    <row r="17" spans="3:9" x14ac:dyDescent="0.25">
      <c r="C17" t="s">
        <v>18</v>
      </c>
      <c r="D17" s="51">
        <v>539</v>
      </c>
      <c r="E17" s="45">
        <v>44124</v>
      </c>
      <c r="G17" s="4">
        <v>150</v>
      </c>
      <c r="I17" s="248"/>
    </row>
    <row r="18" spans="3:9" x14ac:dyDescent="0.25">
      <c r="C18" t="s">
        <v>34</v>
      </c>
      <c r="D18" s="51">
        <v>469</v>
      </c>
      <c r="E18" s="45">
        <v>44145</v>
      </c>
      <c r="G18" s="4">
        <v>153</v>
      </c>
      <c r="I18" s="248"/>
    </row>
    <row r="19" spans="3:9" x14ac:dyDescent="0.25">
      <c r="C19" t="s">
        <v>35</v>
      </c>
      <c r="D19" s="51">
        <v>493</v>
      </c>
      <c r="E19" s="45">
        <v>44099</v>
      </c>
      <c r="G19" s="4">
        <v>179</v>
      </c>
      <c r="I19" s="248"/>
    </row>
    <row r="20" spans="3:9" x14ac:dyDescent="0.25">
      <c r="C20" t="s">
        <v>36</v>
      </c>
      <c r="D20" s="51">
        <v>627</v>
      </c>
      <c r="E20" s="45">
        <v>44159</v>
      </c>
      <c r="G20" s="4">
        <v>203</v>
      </c>
      <c r="I20" s="248"/>
    </row>
    <row r="21" spans="3:9" x14ac:dyDescent="0.25">
      <c r="C21" t="s">
        <v>37</v>
      </c>
      <c r="D21" s="51">
        <v>528</v>
      </c>
      <c r="E21" s="45">
        <v>44240</v>
      </c>
      <c r="G21" s="4">
        <v>195</v>
      </c>
      <c r="I21" s="248"/>
    </row>
    <row r="22" spans="3:9" x14ac:dyDescent="0.25">
      <c r="C22" t="s">
        <v>22</v>
      </c>
      <c r="D22" s="51">
        <v>2673</v>
      </c>
      <c r="E22" s="45">
        <v>44201</v>
      </c>
      <c r="G22" s="4">
        <v>920</v>
      </c>
      <c r="I22" s="248"/>
    </row>
    <row r="23" spans="3:9" x14ac:dyDescent="0.25">
      <c r="C23" t="s">
        <v>38</v>
      </c>
      <c r="D23" s="51">
        <v>573</v>
      </c>
      <c r="E23" s="45">
        <v>44125</v>
      </c>
      <c r="G23" s="4">
        <v>128</v>
      </c>
      <c r="I23" s="248"/>
    </row>
    <row r="24" spans="3:9" x14ac:dyDescent="0.25">
      <c r="C24" t="s">
        <v>39</v>
      </c>
      <c r="D24" s="51">
        <v>338</v>
      </c>
      <c r="E24" s="45">
        <v>44116</v>
      </c>
      <c r="G24" s="4">
        <v>84</v>
      </c>
      <c r="I24" s="248"/>
    </row>
    <row r="25" spans="3:9" ht="15.75" thickBot="1" x14ac:dyDescent="0.3">
      <c r="C25" t="s">
        <v>40</v>
      </c>
      <c r="D25" s="51">
        <v>2217</v>
      </c>
      <c r="E25" s="45">
        <v>44128</v>
      </c>
      <c r="G25" s="32">
        <v>748</v>
      </c>
      <c r="I25" s="248"/>
    </row>
    <row r="26" spans="3:9" x14ac:dyDescent="0.25">
      <c r="E26" s="45">
        <v>44111</v>
      </c>
      <c r="I26" s="24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1AEC-D3B3-4BA3-B457-70D5C99859F5}">
  <dimension ref="A1:T26"/>
  <sheetViews>
    <sheetView workbookViewId="0">
      <selection activeCell="T2" sqref="T2"/>
    </sheetView>
  </sheetViews>
  <sheetFormatPr baseColWidth="10" defaultRowHeight="15" customHeight="1" x14ac:dyDescent="0.25"/>
  <cols>
    <col min="1" max="1" width="18" bestFit="1" customWidth="1"/>
    <col min="2" max="6" width="0" style="51" hidden="1" customWidth="1"/>
    <col min="7" max="9" width="7" style="51" hidden="1" customWidth="1"/>
    <col min="10" max="11" width="0" style="51" hidden="1" customWidth="1"/>
    <col min="12" max="12" width="16.42578125" style="87" customWidth="1"/>
    <col min="13" max="13" width="13.85546875" hidden="1" customWidth="1"/>
    <col min="14" max="14" width="12.140625" hidden="1" customWidth="1"/>
    <col min="15" max="17" width="0" hidden="1" customWidth="1"/>
    <col min="19" max="19" width="14" customWidth="1"/>
    <col min="20" max="20" width="15.28515625" customWidth="1"/>
  </cols>
  <sheetData>
    <row r="1" spans="1:20" s="195" customFormat="1" ht="45" x14ac:dyDescent="0.25">
      <c r="A1" s="310" t="s">
        <v>24</v>
      </c>
      <c r="B1" s="311" t="s">
        <v>203</v>
      </c>
      <c r="C1" s="312" t="s">
        <v>204</v>
      </c>
      <c r="D1" s="312" t="s">
        <v>205</v>
      </c>
      <c r="E1" s="312" t="s">
        <v>206</v>
      </c>
      <c r="F1" s="312" t="s">
        <v>207</v>
      </c>
      <c r="G1" s="312" t="s">
        <v>208</v>
      </c>
      <c r="H1" s="312" t="s">
        <v>209</v>
      </c>
      <c r="I1" s="312" t="s">
        <v>210</v>
      </c>
      <c r="J1" s="312" t="s">
        <v>211</v>
      </c>
      <c r="K1" s="312" t="s">
        <v>212</v>
      </c>
      <c r="L1" s="313" t="s">
        <v>228</v>
      </c>
      <c r="M1" s="313" t="s">
        <v>226</v>
      </c>
      <c r="N1" s="313" t="s">
        <v>227</v>
      </c>
      <c r="O1" s="313" t="s">
        <v>229</v>
      </c>
      <c r="P1" s="314"/>
      <c r="Q1" s="314" t="s">
        <v>230</v>
      </c>
      <c r="R1" s="314" t="s">
        <v>231</v>
      </c>
      <c r="S1" s="314" t="s">
        <v>233</v>
      </c>
      <c r="T1" s="315" t="s">
        <v>234</v>
      </c>
    </row>
    <row r="2" spans="1:20" s="17" customFormat="1" ht="19.5" customHeight="1" x14ac:dyDescent="0.25">
      <c r="A2" s="316" t="s">
        <v>16</v>
      </c>
      <c r="B2" s="317">
        <v>3132977.2</v>
      </c>
      <c r="C2" s="318">
        <v>2509397</v>
      </c>
      <c r="D2" s="318">
        <v>2255600</v>
      </c>
      <c r="E2" s="318">
        <v>1747770</v>
      </c>
      <c r="F2" s="318">
        <v>1411418</v>
      </c>
      <c r="G2" s="318">
        <v>935216</v>
      </c>
      <c r="H2" s="318">
        <v>408004</v>
      </c>
      <c r="I2" s="318">
        <v>87171</v>
      </c>
      <c r="J2" s="318">
        <v>3458</v>
      </c>
      <c r="K2" s="318">
        <v>12491011.199999999</v>
      </c>
      <c r="L2" s="292">
        <f>SUM(F2:J2)</f>
        <v>2845267</v>
      </c>
      <c r="M2" s="293" t="s">
        <v>217</v>
      </c>
      <c r="N2" s="293">
        <v>366626</v>
      </c>
      <c r="O2" s="294">
        <f>N2/L2</f>
        <v>0.12885469096573363</v>
      </c>
      <c r="P2" s="295" t="s">
        <v>217</v>
      </c>
      <c r="Q2" s="295">
        <v>137570</v>
      </c>
      <c r="R2" s="295">
        <v>23423</v>
      </c>
      <c r="S2" s="296">
        <f>R2/Q2</f>
        <v>0.17026241186305155</v>
      </c>
      <c r="T2" s="297">
        <f>R2/N2</f>
        <v>6.3887994850337942E-2</v>
      </c>
    </row>
    <row r="3" spans="1:20" s="17" customFormat="1" ht="19.5" customHeight="1" x14ac:dyDescent="0.25">
      <c r="A3" s="316" t="s">
        <v>43</v>
      </c>
      <c r="B3" s="317">
        <v>481912.6</v>
      </c>
      <c r="C3" s="318">
        <v>461360</v>
      </c>
      <c r="D3" s="318">
        <v>426854</v>
      </c>
      <c r="E3" s="318">
        <v>326370</v>
      </c>
      <c r="F3" s="318">
        <v>292000</v>
      </c>
      <c r="G3" s="318">
        <v>219513</v>
      </c>
      <c r="H3" s="318">
        <v>112336</v>
      </c>
      <c r="I3" s="318">
        <v>33129</v>
      </c>
      <c r="J3" s="318">
        <v>1722</v>
      </c>
      <c r="K3" s="318">
        <v>2355196.6</v>
      </c>
      <c r="L3" s="290">
        <f t="shared" ref="L3:L26" si="0">SUM(F3:J3)</f>
        <v>658700</v>
      </c>
      <c r="M3" s="1" t="s">
        <v>43</v>
      </c>
      <c r="N3" s="1">
        <v>112309</v>
      </c>
      <c r="O3" s="289">
        <f t="shared" ref="O3:O26" si="1">N3/L3</f>
        <v>0.17050098679216638</v>
      </c>
      <c r="P3" s="1" t="s">
        <v>43</v>
      </c>
      <c r="Q3" s="1">
        <v>45202</v>
      </c>
      <c r="R3" s="1">
        <v>6032</v>
      </c>
      <c r="S3" s="291">
        <f t="shared" ref="S3:S26" si="2">R3/Q3</f>
        <v>0.13344542276890403</v>
      </c>
      <c r="T3" s="298">
        <f t="shared" ref="T3:T26" si="3">R3/N3</f>
        <v>5.3708963662751873E-2</v>
      </c>
    </row>
    <row r="4" spans="1:20" s="17" customFormat="1" ht="19.5" customHeight="1" x14ac:dyDescent="0.25">
      <c r="A4" s="316" t="s">
        <v>28</v>
      </c>
      <c r="B4" s="317">
        <v>85553.8</v>
      </c>
      <c r="C4" s="318">
        <v>56220</v>
      </c>
      <c r="D4" s="318">
        <v>53259</v>
      </c>
      <c r="E4" s="318">
        <v>38689</v>
      </c>
      <c r="F4" s="318">
        <v>30537</v>
      </c>
      <c r="G4" s="318">
        <v>18291</v>
      </c>
      <c r="H4" s="318">
        <v>7533</v>
      </c>
      <c r="I4" s="318">
        <v>1661</v>
      </c>
      <c r="J4" s="318">
        <v>91</v>
      </c>
      <c r="K4" s="318">
        <v>291834.8</v>
      </c>
      <c r="L4" s="290">
        <f t="shared" si="0"/>
        <v>58113</v>
      </c>
      <c r="M4" s="1" t="s">
        <v>28</v>
      </c>
      <c r="N4" s="1">
        <v>10743</v>
      </c>
      <c r="O4" s="289">
        <f t="shared" si="1"/>
        <v>0.18486397191678283</v>
      </c>
      <c r="P4" s="1" t="s">
        <v>28</v>
      </c>
      <c r="Q4" s="1">
        <v>1385</v>
      </c>
      <c r="R4" s="1">
        <v>14</v>
      </c>
      <c r="S4" s="291">
        <f t="shared" si="2"/>
        <v>1.0108303249097473E-2</v>
      </c>
      <c r="T4" s="298">
        <f t="shared" si="3"/>
        <v>1.3031741599180862E-3</v>
      </c>
    </row>
    <row r="5" spans="1:20" s="17" customFormat="1" ht="19.5" customHeight="1" x14ac:dyDescent="0.25">
      <c r="A5" s="316" t="s">
        <v>15</v>
      </c>
      <c r="B5" s="317">
        <v>259957.8</v>
      </c>
      <c r="C5" s="318">
        <v>164137</v>
      </c>
      <c r="D5" s="318">
        <v>136504</v>
      </c>
      <c r="E5" s="318">
        <v>104779</v>
      </c>
      <c r="F5" s="318">
        <v>81778</v>
      </c>
      <c r="G5" s="318">
        <v>43820</v>
      </c>
      <c r="H5" s="318">
        <v>17641</v>
      </c>
      <c r="I5" s="318">
        <v>3395</v>
      </c>
      <c r="J5" s="318">
        <v>161</v>
      </c>
      <c r="K5" s="318">
        <v>812172.80000000005</v>
      </c>
      <c r="L5" s="290">
        <f t="shared" si="0"/>
        <v>146795</v>
      </c>
      <c r="M5" s="1" t="s">
        <v>15</v>
      </c>
      <c r="N5" s="1">
        <v>25232</v>
      </c>
      <c r="O5" s="289">
        <f t="shared" si="1"/>
        <v>0.17188596341837256</v>
      </c>
      <c r="P5" s="1" t="s">
        <v>15</v>
      </c>
      <c r="Q5" s="1">
        <v>5400</v>
      </c>
      <c r="R5" s="1">
        <v>712</v>
      </c>
      <c r="S5" s="291">
        <f t="shared" si="2"/>
        <v>0.13185185185185186</v>
      </c>
      <c r="T5" s="298">
        <f t="shared" si="3"/>
        <v>2.8218135700697526E-2</v>
      </c>
    </row>
    <row r="6" spans="1:20" s="17" customFormat="1" ht="19.5" customHeight="1" x14ac:dyDescent="0.25">
      <c r="A6" s="316" t="s">
        <v>29</v>
      </c>
      <c r="B6" s="317">
        <v>113678.8</v>
      </c>
      <c r="C6" s="318">
        <v>96575</v>
      </c>
      <c r="D6" s="318">
        <v>85078</v>
      </c>
      <c r="E6" s="318">
        <v>58795</v>
      </c>
      <c r="F6" s="318">
        <v>44044</v>
      </c>
      <c r="G6" s="318">
        <v>24912</v>
      </c>
      <c r="H6" s="318">
        <v>9806</v>
      </c>
      <c r="I6" s="318">
        <v>2104</v>
      </c>
      <c r="J6" s="318">
        <v>105</v>
      </c>
      <c r="K6" s="318">
        <v>435097.8</v>
      </c>
      <c r="L6" s="290">
        <f t="shared" si="0"/>
        <v>80971</v>
      </c>
      <c r="M6" s="1" t="s">
        <v>29</v>
      </c>
      <c r="N6" s="1">
        <v>14925</v>
      </c>
      <c r="O6" s="289">
        <f t="shared" si="1"/>
        <v>0.18432525225080584</v>
      </c>
      <c r="P6" s="1" t="s">
        <v>29</v>
      </c>
      <c r="Q6" s="1">
        <v>5779</v>
      </c>
      <c r="R6" s="1">
        <v>713</v>
      </c>
      <c r="S6" s="291">
        <f t="shared" si="2"/>
        <v>0.12337774701505451</v>
      </c>
      <c r="T6" s="298">
        <f t="shared" si="3"/>
        <v>4.7772194304857622E-2</v>
      </c>
    </row>
    <row r="7" spans="1:20" s="17" customFormat="1" ht="19.5" customHeight="1" x14ac:dyDescent="0.25">
      <c r="A7" s="316" t="s">
        <v>20</v>
      </c>
      <c r="B7" s="317">
        <v>707542</v>
      </c>
      <c r="C7" s="318">
        <v>545855</v>
      </c>
      <c r="D7" s="318">
        <v>476251</v>
      </c>
      <c r="E7" s="318">
        <v>369545</v>
      </c>
      <c r="F7" s="318">
        <v>305699</v>
      </c>
      <c r="G7" s="318">
        <v>212147</v>
      </c>
      <c r="H7" s="318">
        <v>91993</v>
      </c>
      <c r="I7" s="318">
        <v>19014</v>
      </c>
      <c r="J7" s="318">
        <v>766</v>
      </c>
      <c r="K7" s="318">
        <v>2728812</v>
      </c>
      <c r="L7" s="290">
        <f t="shared" si="0"/>
        <v>629619</v>
      </c>
      <c r="M7" s="1" t="s">
        <v>20</v>
      </c>
      <c r="N7" s="1">
        <v>111415</v>
      </c>
      <c r="O7" s="289">
        <f t="shared" si="1"/>
        <v>0.17695622273152495</v>
      </c>
      <c r="P7" s="1" t="s">
        <v>20</v>
      </c>
      <c r="Q7" s="1">
        <v>29582</v>
      </c>
      <c r="R7" s="1">
        <v>2601</v>
      </c>
      <c r="S7" s="291">
        <f t="shared" si="2"/>
        <v>8.7925089581502261E-2</v>
      </c>
      <c r="T7" s="298">
        <f t="shared" si="3"/>
        <v>2.3345151011982229E-2</v>
      </c>
    </row>
    <row r="8" spans="1:20" s="17" customFormat="1" ht="19.5" customHeight="1" x14ac:dyDescent="0.25">
      <c r="A8" s="316" t="s">
        <v>30</v>
      </c>
      <c r="B8" s="317">
        <v>236889.2</v>
      </c>
      <c r="C8" s="318">
        <v>149666</v>
      </c>
      <c r="D8" s="318">
        <v>126567</v>
      </c>
      <c r="E8" s="318">
        <v>103126</v>
      </c>
      <c r="F8" s="318">
        <v>82502</v>
      </c>
      <c r="G8" s="318">
        <v>48468</v>
      </c>
      <c r="H8" s="318">
        <v>19666</v>
      </c>
      <c r="I8" s="318">
        <v>4081</v>
      </c>
      <c r="J8" s="318">
        <v>235</v>
      </c>
      <c r="K8" s="318">
        <v>771200.2</v>
      </c>
      <c r="L8" s="290">
        <f t="shared" si="0"/>
        <v>154952</v>
      </c>
      <c r="M8" s="1" t="s">
        <v>30</v>
      </c>
      <c r="N8" s="1">
        <v>34386</v>
      </c>
      <c r="O8" s="289">
        <f t="shared" si="1"/>
        <v>0.22191388300893181</v>
      </c>
      <c r="P8" s="1" t="s">
        <v>30</v>
      </c>
      <c r="Q8" s="1">
        <v>3566</v>
      </c>
      <c r="R8" s="1">
        <v>255</v>
      </c>
      <c r="S8" s="291">
        <f t="shared" si="2"/>
        <v>7.1508693213684804E-2</v>
      </c>
      <c r="T8" s="298">
        <f t="shared" si="3"/>
        <v>7.4158087593788171E-3</v>
      </c>
    </row>
    <row r="9" spans="1:20" s="17" customFormat="1" ht="19.5" customHeight="1" x14ac:dyDescent="0.25">
      <c r="A9" s="316" t="s">
        <v>31</v>
      </c>
      <c r="B9" s="317">
        <v>264900</v>
      </c>
      <c r="C9" s="318">
        <v>191129</v>
      </c>
      <c r="D9" s="318">
        <v>173334</v>
      </c>
      <c r="E9" s="318">
        <v>135927</v>
      </c>
      <c r="F9" s="318">
        <v>110781</v>
      </c>
      <c r="G9" s="318">
        <v>73771</v>
      </c>
      <c r="H9" s="318">
        <v>31842</v>
      </c>
      <c r="I9" s="318">
        <v>6464</v>
      </c>
      <c r="J9" s="318">
        <v>307</v>
      </c>
      <c r="K9" s="318">
        <v>988455</v>
      </c>
      <c r="L9" s="290">
        <f t="shared" si="0"/>
        <v>223165</v>
      </c>
      <c r="M9" s="1" t="s">
        <v>215</v>
      </c>
      <c r="N9" s="1">
        <v>30463</v>
      </c>
      <c r="O9" s="289">
        <f t="shared" si="1"/>
        <v>0.13650438016714089</v>
      </c>
      <c r="P9" s="1" t="s">
        <v>215</v>
      </c>
      <c r="Q9" s="1">
        <v>7515</v>
      </c>
      <c r="R9" s="1">
        <v>791</v>
      </c>
      <c r="S9" s="291">
        <f t="shared" si="2"/>
        <v>0.10525615435795077</v>
      </c>
      <c r="T9" s="298">
        <f t="shared" si="3"/>
        <v>2.5965925877293766E-2</v>
      </c>
    </row>
    <row r="10" spans="1:20" s="17" customFormat="1" ht="19.5" customHeight="1" x14ac:dyDescent="0.25">
      <c r="A10" s="316" t="s">
        <v>41</v>
      </c>
      <c r="B10" s="317">
        <v>130932.2</v>
      </c>
      <c r="C10" s="318">
        <v>74039</v>
      </c>
      <c r="D10" s="318">
        <v>67019</v>
      </c>
      <c r="E10" s="318">
        <v>54948</v>
      </c>
      <c r="F10" s="318">
        <v>42711</v>
      </c>
      <c r="G10" s="318">
        <v>23865</v>
      </c>
      <c r="H10" s="318">
        <v>9790</v>
      </c>
      <c r="I10" s="318">
        <v>1876</v>
      </c>
      <c r="J10" s="318">
        <v>100</v>
      </c>
      <c r="K10" s="318">
        <v>405280.2</v>
      </c>
      <c r="L10" s="290">
        <f t="shared" si="0"/>
        <v>78342</v>
      </c>
      <c r="M10" s="1" t="s">
        <v>41</v>
      </c>
      <c r="N10" s="1">
        <v>21717</v>
      </c>
      <c r="O10" s="289">
        <f t="shared" si="1"/>
        <v>0.27720762809221106</v>
      </c>
      <c r="P10" s="1" t="s">
        <v>41</v>
      </c>
      <c r="Q10" s="1">
        <v>263</v>
      </c>
      <c r="R10" s="1">
        <v>21</v>
      </c>
      <c r="S10" s="291">
        <f t="shared" si="2"/>
        <v>7.9847908745247151E-2</v>
      </c>
      <c r="T10" s="298">
        <f t="shared" si="3"/>
        <v>9.6698439010913114E-4</v>
      </c>
    </row>
    <row r="11" spans="1:20" s="17" customFormat="1" ht="19.5" customHeight="1" x14ac:dyDescent="0.25">
      <c r="A11" s="316" t="s">
        <v>32</v>
      </c>
      <c r="B11" s="317">
        <v>159082.6</v>
      </c>
      <c r="C11" s="318">
        <v>106384</v>
      </c>
      <c r="D11" s="318">
        <v>98333</v>
      </c>
      <c r="E11" s="318">
        <v>68050</v>
      </c>
      <c r="F11" s="318">
        <v>52121</v>
      </c>
      <c r="G11" s="318">
        <v>31343</v>
      </c>
      <c r="H11" s="318">
        <v>12499</v>
      </c>
      <c r="I11" s="318">
        <v>2348</v>
      </c>
      <c r="J11" s="318">
        <v>104</v>
      </c>
      <c r="K11" s="318">
        <v>530264.6</v>
      </c>
      <c r="L11" s="290">
        <f t="shared" si="0"/>
        <v>98415</v>
      </c>
      <c r="M11" s="1" t="s">
        <v>32</v>
      </c>
      <c r="N11" s="1">
        <v>20186</v>
      </c>
      <c r="O11" s="289">
        <f t="shared" si="1"/>
        <v>0.20511100950058425</v>
      </c>
      <c r="P11" s="1" t="s">
        <v>32</v>
      </c>
      <c r="Q11" s="1">
        <v>4364</v>
      </c>
      <c r="R11" s="1">
        <v>717</v>
      </c>
      <c r="S11" s="291">
        <f t="shared" si="2"/>
        <v>0.16429880843263062</v>
      </c>
      <c r="T11" s="298">
        <f t="shared" si="3"/>
        <v>3.5519667096007131E-2</v>
      </c>
    </row>
    <row r="12" spans="1:20" s="17" customFormat="1" ht="19.5" customHeight="1" x14ac:dyDescent="0.25">
      <c r="A12" s="316" t="s">
        <v>33</v>
      </c>
      <c r="B12" s="317">
        <v>64693.8</v>
      </c>
      <c r="C12" s="318">
        <v>49870</v>
      </c>
      <c r="D12" s="318">
        <v>45672</v>
      </c>
      <c r="E12" s="318">
        <v>37472</v>
      </c>
      <c r="F12" s="318">
        <v>30346</v>
      </c>
      <c r="G12" s="318">
        <v>20846</v>
      </c>
      <c r="H12" s="318">
        <v>9286</v>
      </c>
      <c r="I12" s="318">
        <v>1993</v>
      </c>
      <c r="J12" s="318">
        <v>89</v>
      </c>
      <c r="K12" s="318">
        <v>260267.8</v>
      </c>
      <c r="L12" s="290">
        <f t="shared" si="0"/>
        <v>62560</v>
      </c>
      <c r="M12" s="1" t="s">
        <v>221</v>
      </c>
      <c r="N12" s="1">
        <v>13868</v>
      </c>
      <c r="O12" s="289">
        <f t="shared" si="1"/>
        <v>0.22167519181585676</v>
      </c>
      <c r="P12" s="1" t="s">
        <v>221</v>
      </c>
      <c r="Q12" s="1">
        <v>3436</v>
      </c>
      <c r="R12" s="1">
        <v>286</v>
      </c>
      <c r="S12" s="291">
        <f t="shared" si="2"/>
        <v>8.3236321303841676E-2</v>
      </c>
      <c r="T12" s="298">
        <f t="shared" si="3"/>
        <v>2.0623017017594461E-2</v>
      </c>
    </row>
    <row r="13" spans="1:20" s="17" customFormat="1" ht="19.5" customHeight="1" x14ac:dyDescent="0.25">
      <c r="A13" s="316" t="s">
        <v>21</v>
      </c>
      <c r="B13" s="317">
        <v>83711.8</v>
      </c>
      <c r="C13" s="318">
        <v>59274</v>
      </c>
      <c r="D13" s="318">
        <v>49715</v>
      </c>
      <c r="E13" s="318">
        <v>35757</v>
      </c>
      <c r="F13" s="318">
        <v>27391</v>
      </c>
      <c r="G13" s="318">
        <v>15610</v>
      </c>
      <c r="H13" s="318">
        <v>6227</v>
      </c>
      <c r="I13" s="318">
        <v>1331</v>
      </c>
      <c r="J13" s="318">
        <v>68</v>
      </c>
      <c r="K13" s="318">
        <v>279084.79999999999</v>
      </c>
      <c r="L13" s="290">
        <f t="shared" si="0"/>
        <v>50627</v>
      </c>
      <c r="M13" s="1" t="s">
        <v>225</v>
      </c>
      <c r="N13" s="1">
        <v>10485</v>
      </c>
      <c r="O13" s="289">
        <f t="shared" si="1"/>
        <v>0.20710292926699192</v>
      </c>
      <c r="P13" s="1" t="s">
        <v>225</v>
      </c>
      <c r="Q13" s="1">
        <v>1664</v>
      </c>
      <c r="R13" s="1">
        <v>344</v>
      </c>
      <c r="S13" s="291">
        <f t="shared" si="2"/>
        <v>0.20673076923076922</v>
      </c>
      <c r="T13" s="298">
        <f t="shared" si="3"/>
        <v>3.2808774439675725E-2</v>
      </c>
    </row>
    <row r="14" spans="1:20" s="17" customFormat="1" ht="19.5" customHeight="1" x14ac:dyDescent="0.25">
      <c r="A14" s="316" t="s">
        <v>17</v>
      </c>
      <c r="B14" s="317">
        <v>372529.6</v>
      </c>
      <c r="C14" s="318">
        <v>285498</v>
      </c>
      <c r="D14" s="318">
        <v>244705</v>
      </c>
      <c r="E14" s="318">
        <v>184482</v>
      </c>
      <c r="F14" s="318">
        <v>155701</v>
      </c>
      <c r="G14" s="318">
        <v>106963</v>
      </c>
      <c r="H14" s="318">
        <v>45135</v>
      </c>
      <c r="I14" s="318">
        <v>9607</v>
      </c>
      <c r="J14" s="318">
        <v>380</v>
      </c>
      <c r="K14" s="318">
        <v>1405000.6</v>
      </c>
      <c r="L14" s="290">
        <f t="shared" si="0"/>
        <v>317786</v>
      </c>
      <c r="M14" s="1" t="s">
        <v>17</v>
      </c>
      <c r="N14" s="1">
        <v>58251</v>
      </c>
      <c r="O14" s="289">
        <f t="shared" si="1"/>
        <v>0.18330259986280076</v>
      </c>
      <c r="P14" s="1" t="s">
        <v>17</v>
      </c>
      <c r="Q14" s="1">
        <v>11989</v>
      </c>
      <c r="R14" s="1">
        <v>1247</v>
      </c>
      <c r="S14" s="291">
        <f t="shared" si="2"/>
        <v>0.10401201101009258</v>
      </c>
      <c r="T14" s="298">
        <f t="shared" si="3"/>
        <v>2.1407357813599766E-2</v>
      </c>
    </row>
    <row r="15" spans="1:20" s="17" customFormat="1" ht="19.5" customHeight="1" x14ac:dyDescent="0.25">
      <c r="A15" s="316" t="s">
        <v>23</v>
      </c>
      <c r="B15" s="317">
        <v>273626.8</v>
      </c>
      <c r="C15" s="318">
        <v>165516</v>
      </c>
      <c r="D15" s="318">
        <v>140207</v>
      </c>
      <c r="E15" s="318">
        <v>109217</v>
      </c>
      <c r="F15" s="318">
        <v>81914</v>
      </c>
      <c r="G15" s="318">
        <v>43580</v>
      </c>
      <c r="H15" s="318">
        <v>17508</v>
      </c>
      <c r="I15" s="318">
        <v>3301</v>
      </c>
      <c r="J15" s="318">
        <v>159</v>
      </c>
      <c r="K15" s="318">
        <v>835028.8</v>
      </c>
      <c r="L15" s="290">
        <f t="shared" si="0"/>
        <v>146462</v>
      </c>
      <c r="M15" s="1" t="s">
        <v>23</v>
      </c>
      <c r="N15" s="1">
        <v>21849</v>
      </c>
      <c r="O15" s="289">
        <f t="shared" si="1"/>
        <v>0.14917862653794159</v>
      </c>
      <c r="P15" s="1" t="s">
        <v>23</v>
      </c>
      <c r="Q15" s="1">
        <v>1967</v>
      </c>
      <c r="R15" s="1">
        <v>161</v>
      </c>
      <c r="S15" s="291">
        <f t="shared" si="2"/>
        <v>8.1850533807829182E-2</v>
      </c>
      <c r="T15" s="298">
        <f t="shared" si="3"/>
        <v>7.368758295574168E-3</v>
      </c>
    </row>
    <row r="16" spans="1:20" s="17" customFormat="1" ht="19.5" customHeight="1" x14ac:dyDescent="0.25">
      <c r="A16" s="316" t="s">
        <v>213</v>
      </c>
      <c r="B16" s="317">
        <v>123541</v>
      </c>
      <c r="C16" s="318">
        <v>98247</v>
      </c>
      <c r="D16" s="318">
        <v>88824</v>
      </c>
      <c r="E16" s="318">
        <v>65924</v>
      </c>
      <c r="F16" s="318">
        <v>48096</v>
      </c>
      <c r="G16" s="318">
        <v>26620</v>
      </c>
      <c r="H16" s="318">
        <v>9881</v>
      </c>
      <c r="I16" s="318">
        <v>1994</v>
      </c>
      <c r="J16" s="318">
        <v>105</v>
      </c>
      <c r="K16" s="318">
        <v>463232</v>
      </c>
      <c r="L16" s="290">
        <f t="shared" si="0"/>
        <v>86696</v>
      </c>
      <c r="M16" s="1" t="s">
        <v>19</v>
      </c>
      <c r="N16" s="1">
        <v>21886</v>
      </c>
      <c r="O16" s="289">
        <f t="shared" si="1"/>
        <v>0.25244532619728705</v>
      </c>
      <c r="P16" s="1" t="s">
        <v>19</v>
      </c>
      <c r="Q16" s="1">
        <v>8619</v>
      </c>
      <c r="R16" s="1">
        <v>817</v>
      </c>
      <c r="S16" s="291">
        <f t="shared" si="2"/>
        <v>9.4790578953474883E-2</v>
      </c>
      <c r="T16" s="298">
        <f t="shared" si="3"/>
        <v>3.7329799872064334E-2</v>
      </c>
    </row>
    <row r="17" spans="1:20" s="17" customFormat="1" ht="19.5" customHeight="1" x14ac:dyDescent="0.25">
      <c r="A17" s="316" t="s">
        <v>18</v>
      </c>
      <c r="B17" s="317">
        <v>139251.6</v>
      </c>
      <c r="C17" s="318">
        <v>108907</v>
      </c>
      <c r="D17" s="318">
        <v>98660</v>
      </c>
      <c r="E17" s="318">
        <v>74336</v>
      </c>
      <c r="F17" s="318">
        <v>57892</v>
      </c>
      <c r="G17" s="318">
        <v>35465</v>
      </c>
      <c r="H17" s="318">
        <v>14161</v>
      </c>
      <c r="I17" s="318">
        <v>3017</v>
      </c>
      <c r="J17" s="318">
        <v>135</v>
      </c>
      <c r="K17" s="318">
        <v>531824.6</v>
      </c>
      <c r="L17" s="290">
        <f t="shared" si="0"/>
        <v>110670</v>
      </c>
      <c r="M17" s="1" t="s">
        <v>216</v>
      </c>
      <c r="N17" s="1">
        <v>19066</v>
      </c>
      <c r="O17" s="289">
        <f t="shared" si="1"/>
        <v>0.1722779434354387</v>
      </c>
      <c r="P17" s="1" t="s">
        <v>216</v>
      </c>
      <c r="Q17" s="1">
        <v>8639</v>
      </c>
      <c r="R17" s="1">
        <v>1048</v>
      </c>
      <c r="S17" s="291">
        <f t="shared" si="2"/>
        <v>0.12131033684454219</v>
      </c>
      <c r="T17" s="298">
        <f t="shared" si="3"/>
        <v>5.4966956886604426E-2</v>
      </c>
    </row>
    <row r="18" spans="1:20" s="17" customFormat="1" ht="19.5" customHeight="1" x14ac:dyDescent="0.25">
      <c r="A18" s="316" t="s">
        <v>34</v>
      </c>
      <c r="B18" s="317">
        <v>299087.2</v>
      </c>
      <c r="C18" s="318">
        <v>192069</v>
      </c>
      <c r="D18" s="318">
        <v>165088</v>
      </c>
      <c r="E18" s="318">
        <v>119452</v>
      </c>
      <c r="F18" s="318">
        <v>89297</v>
      </c>
      <c r="G18" s="318">
        <v>53814</v>
      </c>
      <c r="H18" s="318">
        <v>21890</v>
      </c>
      <c r="I18" s="318">
        <v>4285</v>
      </c>
      <c r="J18" s="318">
        <v>200</v>
      </c>
      <c r="K18" s="318">
        <v>945182.2</v>
      </c>
      <c r="L18" s="290">
        <f t="shared" si="0"/>
        <v>169486</v>
      </c>
      <c r="M18" s="1" t="s">
        <v>34</v>
      </c>
      <c r="N18" s="1">
        <v>37353</v>
      </c>
      <c r="O18" s="289">
        <f t="shared" si="1"/>
        <v>0.22038988471024154</v>
      </c>
      <c r="P18" s="1" t="s">
        <v>34</v>
      </c>
      <c r="Q18" s="1">
        <v>4787</v>
      </c>
      <c r="R18" s="1">
        <v>882</v>
      </c>
      <c r="S18" s="291">
        <f t="shared" si="2"/>
        <v>0.18424900772926675</v>
      </c>
      <c r="T18" s="298">
        <f t="shared" si="3"/>
        <v>2.3612561240061038E-2</v>
      </c>
    </row>
    <row r="19" spans="1:20" s="17" customFormat="1" ht="19.5" customHeight="1" x14ac:dyDescent="0.25">
      <c r="A19" s="316" t="s">
        <v>35</v>
      </c>
      <c r="B19" s="317">
        <v>154725.79999999999</v>
      </c>
      <c r="C19" s="318">
        <v>106946</v>
      </c>
      <c r="D19" s="318">
        <v>95810</v>
      </c>
      <c r="E19" s="318">
        <v>70656</v>
      </c>
      <c r="F19" s="318">
        <v>57729</v>
      </c>
      <c r="G19" s="318">
        <v>37992</v>
      </c>
      <c r="H19" s="318">
        <v>14327</v>
      </c>
      <c r="I19" s="318">
        <v>2625</v>
      </c>
      <c r="J19" s="318">
        <v>97</v>
      </c>
      <c r="K19" s="318">
        <v>540907.80000000005</v>
      </c>
      <c r="L19" s="290">
        <f t="shared" si="0"/>
        <v>112770</v>
      </c>
      <c r="M19" s="1" t="s">
        <v>219</v>
      </c>
      <c r="N19" s="1">
        <v>17981</v>
      </c>
      <c r="O19" s="289">
        <f t="shared" si="1"/>
        <v>0.15944843486742927</v>
      </c>
      <c r="P19" s="1" t="s">
        <v>219</v>
      </c>
      <c r="Q19" s="1">
        <v>2281</v>
      </c>
      <c r="R19" s="1">
        <v>183</v>
      </c>
      <c r="S19" s="291">
        <f t="shared" si="2"/>
        <v>8.0227970188513811E-2</v>
      </c>
      <c r="T19" s="298">
        <f t="shared" si="3"/>
        <v>1.0177409487792669E-2</v>
      </c>
    </row>
    <row r="20" spans="1:20" s="17" customFormat="1" ht="19.5" customHeight="1" x14ac:dyDescent="0.25">
      <c r="A20" s="316" t="s">
        <v>36</v>
      </c>
      <c r="B20" s="317">
        <v>100263.6</v>
      </c>
      <c r="C20" s="318">
        <v>70572</v>
      </c>
      <c r="D20" s="318">
        <v>64680</v>
      </c>
      <c r="E20" s="318">
        <v>49085</v>
      </c>
      <c r="F20" s="318">
        <v>39293</v>
      </c>
      <c r="G20" s="318">
        <v>25133</v>
      </c>
      <c r="H20" s="318">
        <v>9929</v>
      </c>
      <c r="I20" s="318">
        <v>2090</v>
      </c>
      <c r="J20" s="318">
        <v>110</v>
      </c>
      <c r="K20" s="318">
        <v>361155.6</v>
      </c>
      <c r="L20" s="290">
        <f t="shared" si="0"/>
        <v>76555</v>
      </c>
      <c r="M20" s="1" t="s">
        <v>223</v>
      </c>
      <c r="N20" s="1">
        <v>22750</v>
      </c>
      <c r="O20" s="289">
        <f t="shared" si="1"/>
        <v>0.29717196786623995</v>
      </c>
      <c r="P20" s="1" t="s">
        <v>223</v>
      </c>
      <c r="Q20" s="1">
        <v>2988</v>
      </c>
      <c r="R20" s="1">
        <v>326</v>
      </c>
      <c r="S20" s="291">
        <f t="shared" si="2"/>
        <v>0.10910307898259705</v>
      </c>
      <c r="T20" s="298">
        <f t="shared" si="3"/>
        <v>1.432967032967033E-2</v>
      </c>
    </row>
    <row r="21" spans="1:20" s="17" customFormat="1" ht="19.5" customHeight="1" x14ac:dyDescent="0.25">
      <c r="A21" s="316" t="s">
        <v>37</v>
      </c>
      <c r="B21" s="317">
        <v>68385.600000000006</v>
      </c>
      <c r="C21" s="318">
        <v>61973</v>
      </c>
      <c r="D21" s="318">
        <v>50384</v>
      </c>
      <c r="E21" s="318">
        <v>32063</v>
      </c>
      <c r="F21" s="318">
        <v>21023</v>
      </c>
      <c r="G21" s="318">
        <v>10096</v>
      </c>
      <c r="H21" s="318">
        <v>3691</v>
      </c>
      <c r="I21" s="318">
        <v>636</v>
      </c>
      <c r="J21" s="318">
        <v>25</v>
      </c>
      <c r="K21" s="318">
        <v>248276.6</v>
      </c>
      <c r="L21" s="290">
        <f t="shared" si="0"/>
        <v>35471</v>
      </c>
      <c r="M21" s="1" t="s">
        <v>224</v>
      </c>
      <c r="N21" s="1">
        <v>8405</v>
      </c>
      <c r="O21" s="289">
        <f t="shared" si="1"/>
        <v>0.23695413154407827</v>
      </c>
      <c r="P21" s="1" t="s">
        <v>224</v>
      </c>
      <c r="Q21" s="1">
        <v>4089</v>
      </c>
      <c r="R21" s="1">
        <v>463</v>
      </c>
      <c r="S21" s="291">
        <f t="shared" si="2"/>
        <v>0.1132306187331866</v>
      </c>
      <c r="T21" s="298">
        <f t="shared" si="3"/>
        <v>5.5086258179654971E-2</v>
      </c>
    </row>
    <row r="22" spans="1:20" s="17" customFormat="1" ht="19.5" customHeight="1" x14ac:dyDescent="0.25">
      <c r="A22" s="316" t="s">
        <v>22</v>
      </c>
      <c r="B22" s="317">
        <v>643081.4</v>
      </c>
      <c r="C22" s="318">
        <v>530379</v>
      </c>
      <c r="D22" s="318">
        <v>456186</v>
      </c>
      <c r="E22" s="318">
        <v>351379</v>
      </c>
      <c r="F22" s="318">
        <v>296257</v>
      </c>
      <c r="G22" s="318">
        <v>199217</v>
      </c>
      <c r="H22" s="318">
        <v>93613</v>
      </c>
      <c r="I22" s="318">
        <v>21574</v>
      </c>
      <c r="J22" s="318">
        <v>964</v>
      </c>
      <c r="K22" s="318">
        <v>2592650.4</v>
      </c>
      <c r="L22" s="290">
        <f t="shared" si="0"/>
        <v>611625</v>
      </c>
      <c r="M22" s="1" t="s">
        <v>222</v>
      </c>
      <c r="N22" s="1">
        <v>76724</v>
      </c>
      <c r="O22" s="289">
        <f t="shared" si="1"/>
        <v>0.12544287758021663</v>
      </c>
      <c r="P22" s="1" t="s">
        <v>222</v>
      </c>
      <c r="Q22" s="1">
        <v>37926</v>
      </c>
      <c r="R22" s="1">
        <v>3649</v>
      </c>
      <c r="S22" s="291">
        <f t="shared" si="2"/>
        <v>9.621367927015767E-2</v>
      </c>
      <c r="T22" s="298">
        <f t="shared" si="3"/>
        <v>4.7560085501277306E-2</v>
      </c>
    </row>
    <row r="23" spans="1:20" s="17" customFormat="1" ht="19.5" customHeight="1" x14ac:dyDescent="0.25">
      <c r="A23" s="316" t="s">
        <v>38</v>
      </c>
      <c r="B23" s="317">
        <v>211452</v>
      </c>
      <c r="C23" s="318">
        <v>129102</v>
      </c>
      <c r="D23" s="318">
        <v>115483</v>
      </c>
      <c r="E23" s="318">
        <v>81291</v>
      </c>
      <c r="F23" s="318">
        <v>65126</v>
      </c>
      <c r="G23" s="318">
        <v>39272</v>
      </c>
      <c r="H23" s="318">
        <v>16336</v>
      </c>
      <c r="I23" s="318">
        <v>3289</v>
      </c>
      <c r="J23" s="318">
        <v>180</v>
      </c>
      <c r="K23" s="318">
        <v>661531</v>
      </c>
      <c r="L23" s="290">
        <f t="shared" si="0"/>
        <v>124203</v>
      </c>
      <c r="M23" s="1" t="s">
        <v>220</v>
      </c>
      <c r="N23" s="1">
        <v>20745</v>
      </c>
      <c r="O23" s="289">
        <f t="shared" si="1"/>
        <v>0.16702495108813797</v>
      </c>
      <c r="P23" s="1" t="s">
        <v>220</v>
      </c>
      <c r="Q23" s="1">
        <v>3579</v>
      </c>
      <c r="R23" s="1">
        <v>218</v>
      </c>
      <c r="S23" s="291">
        <f t="shared" si="2"/>
        <v>6.0910868957809443E-2</v>
      </c>
      <c r="T23" s="298">
        <f t="shared" si="3"/>
        <v>1.0508556278621354E-2</v>
      </c>
    </row>
    <row r="24" spans="1:20" s="17" customFormat="1" ht="19.5" customHeight="1" x14ac:dyDescent="0.25">
      <c r="A24" s="316" t="s">
        <v>214</v>
      </c>
      <c r="B24" s="317">
        <v>33668.6</v>
      </c>
      <c r="C24" s="318">
        <v>29423</v>
      </c>
      <c r="D24" s="318">
        <v>24321</v>
      </c>
      <c r="E24" s="318">
        <v>17465</v>
      </c>
      <c r="F24" s="318">
        <v>11395</v>
      </c>
      <c r="G24" s="318">
        <v>4338</v>
      </c>
      <c r="H24" s="318">
        <v>1266</v>
      </c>
      <c r="I24" s="318">
        <v>218</v>
      </c>
      <c r="J24" s="318">
        <v>9</v>
      </c>
      <c r="K24" s="318">
        <v>122103.6</v>
      </c>
      <c r="L24" s="290">
        <f t="shared" si="0"/>
        <v>17226</v>
      </c>
      <c r="M24" s="1" t="s">
        <v>218</v>
      </c>
      <c r="N24" s="1">
        <v>4175</v>
      </c>
      <c r="O24" s="289">
        <f t="shared" si="1"/>
        <v>0.2423661906420527</v>
      </c>
      <c r="P24" s="1" t="s">
        <v>218</v>
      </c>
      <c r="Q24" s="1">
        <v>2479</v>
      </c>
      <c r="R24" s="1">
        <v>283</v>
      </c>
      <c r="S24" s="291">
        <f t="shared" si="2"/>
        <v>0.11415893505445744</v>
      </c>
      <c r="T24" s="298">
        <f t="shared" si="3"/>
        <v>6.7784431137724546E-2</v>
      </c>
    </row>
    <row r="25" spans="1:20" s="17" customFormat="1" ht="19.5" customHeight="1" thickBot="1" x14ac:dyDescent="0.3">
      <c r="A25" s="319" t="s">
        <v>40</v>
      </c>
      <c r="B25" s="317">
        <v>345170</v>
      </c>
      <c r="C25" s="318">
        <v>240125</v>
      </c>
      <c r="D25" s="318">
        <v>205092</v>
      </c>
      <c r="E25" s="318">
        <v>145319</v>
      </c>
      <c r="F25" s="318">
        <v>125487</v>
      </c>
      <c r="G25" s="318">
        <v>73101</v>
      </c>
      <c r="H25" s="318">
        <v>28916</v>
      </c>
      <c r="I25" s="318">
        <v>6139</v>
      </c>
      <c r="J25" s="318">
        <v>263</v>
      </c>
      <c r="K25" s="318">
        <v>1169612</v>
      </c>
      <c r="L25" s="299">
        <f t="shared" si="0"/>
        <v>233906</v>
      </c>
      <c r="M25" s="300" t="s">
        <v>40</v>
      </c>
      <c r="N25" s="300">
        <v>51564</v>
      </c>
      <c r="O25" s="301">
        <f t="shared" si="1"/>
        <v>0.22044753020444111</v>
      </c>
      <c r="P25" s="300" t="s">
        <v>40</v>
      </c>
      <c r="Q25" s="300">
        <v>12587</v>
      </c>
      <c r="R25" s="300">
        <v>1116</v>
      </c>
      <c r="S25" s="302">
        <f t="shared" si="2"/>
        <v>8.8662906173035669E-2</v>
      </c>
      <c r="T25" s="303">
        <f t="shared" si="3"/>
        <v>2.1643006748894578E-2</v>
      </c>
    </row>
    <row r="26" spans="1:20" s="17" customFormat="1" ht="19.5" customHeight="1" thickBot="1" x14ac:dyDescent="0.3">
      <c r="A26" s="320" t="s">
        <v>232</v>
      </c>
      <c r="B26" s="321">
        <v>8486615</v>
      </c>
      <c r="C26" s="321">
        <v>6482663</v>
      </c>
      <c r="D26" s="321">
        <v>5743626</v>
      </c>
      <c r="E26" s="321">
        <v>4381897</v>
      </c>
      <c r="F26" s="321">
        <v>3560538</v>
      </c>
      <c r="G26" s="321">
        <v>2323393</v>
      </c>
      <c r="H26" s="321">
        <v>1013276</v>
      </c>
      <c r="I26" s="321">
        <v>223342</v>
      </c>
      <c r="J26" s="321">
        <v>9833</v>
      </c>
      <c r="K26" s="321">
        <v>32225183</v>
      </c>
      <c r="L26" s="304">
        <f t="shared" si="0"/>
        <v>7130382</v>
      </c>
      <c r="M26" s="305"/>
      <c r="N26" s="305">
        <f>SUM(N2:N25)</f>
        <v>1133104</v>
      </c>
      <c r="O26" s="306">
        <f t="shared" si="1"/>
        <v>0.15891210316642221</v>
      </c>
      <c r="P26" s="307"/>
      <c r="Q26" s="305">
        <f>SUM(Q2:Q25)</f>
        <v>347656</v>
      </c>
      <c r="R26" s="305">
        <f>SUM(R2:R25)</f>
        <v>46302</v>
      </c>
      <c r="S26" s="308">
        <f t="shared" si="2"/>
        <v>0.13318337667119221</v>
      </c>
      <c r="T26" s="309">
        <f t="shared" si="3"/>
        <v>4.0862974625453623E-2</v>
      </c>
    </row>
  </sheetData>
  <sortState xmlns:xlrd2="http://schemas.microsoft.com/office/spreadsheetml/2017/richdata2" ref="M2:N25">
    <sortCondition ref="M2:M25"/>
  </sortState>
  <phoneticPr fontId="5" type="noConversion"/>
  <conditionalFormatting sqref="O2:O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L2 L3:L26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AW1072"/>
  <sheetViews>
    <sheetView topLeftCell="A10" zoomScale="85" zoomScaleNormal="85" workbookViewId="0">
      <selection activeCell="F15" sqref="F15"/>
    </sheetView>
  </sheetViews>
  <sheetFormatPr baseColWidth="10" defaultRowHeight="15" x14ac:dyDescent="0.25"/>
  <cols>
    <col min="1" max="1" width="11" bestFit="1" customWidth="1"/>
    <col min="2" max="2" width="9.28515625" customWidth="1"/>
    <col min="3" max="3" width="7" bestFit="1" customWidth="1"/>
    <col min="4" max="4" width="8.85546875" bestFit="1" customWidth="1"/>
    <col min="5" max="5" width="13.5703125" style="6" bestFit="1" customWidth="1"/>
    <col min="6" max="6" width="11.42578125" style="6"/>
    <col min="7" max="7" width="20.42578125" style="6" bestFit="1" customWidth="1"/>
    <col min="8" max="49" width="11.42578125" style="6"/>
  </cols>
  <sheetData>
    <row r="1" spans="1:7" s="16" customFormat="1" x14ac:dyDescent="0.25">
      <c r="A1" s="20" t="s">
        <v>24</v>
      </c>
      <c r="B1" s="21" t="s">
        <v>73</v>
      </c>
      <c r="C1" s="20" t="s">
        <v>74</v>
      </c>
      <c r="D1" s="20" t="s">
        <v>75</v>
      </c>
      <c r="E1" s="20" t="s">
        <v>76</v>
      </c>
      <c r="F1" s="22" t="s">
        <v>77</v>
      </c>
      <c r="G1" s="20" t="s">
        <v>44</v>
      </c>
    </row>
    <row r="2" spans="1:7" x14ac:dyDescent="0.25">
      <c r="A2" s="5" t="s">
        <v>78</v>
      </c>
      <c r="B2" s="10" t="s">
        <v>79</v>
      </c>
      <c r="C2" s="5" t="s">
        <v>80</v>
      </c>
      <c r="D2" s="9" t="s">
        <v>81</v>
      </c>
      <c r="E2" s="4">
        <v>129.33000000000001</v>
      </c>
      <c r="F2" s="7">
        <v>597969</v>
      </c>
      <c r="G2" s="19" t="s">
        <v>45</v>
      </c>
    </row>
    <row r="3" spans="1:7" x14ac:dyDescent="0.25">
      <c r="A3" s="5" t="s">
        <v>78</v>
      </c>
      <c r="B3" s="10" t="s">
        <v>79</v>
      </c>
      <c r="C3" s="5" t="s">
        <v>80</v>
      </c>
      <c r="D3" s="9" t="s">
        <v>82</v>
      </c>
      <c r="E3" s="4">
        <v>52.479999999999897</v>
      </c>
      <c r="F3" s="7">
        <v>356392</v>
      </c>
      <c r="G3" s="19" t="s">
        <v>46</v>
      </c>
    </row>
    <row r="4" spans="1:7" x14ac:dyDescent="0.25">
      <c r="A4" s="5" t="s">
        <v>78</v>
      </c>
      <c r="B4" s="10" t="s">
        <v>79</v>
      </c>
      <c r="C4" s="5" t="s">
        <v>80</v>
      </c>
      <c r="D4" s="9" t="s">
        <v>81</v>
      </c>
      <c r="E4" s="4">
        <v>221.009999999999</v>
      </c>
      <c r="F4" s="7">
        <v>365771</v>
      </c>
      <c r="G4" s="19" t="s">
        <v>47</v>
      </c>
    </row>
    <row r="5" spans="1:7" x14ac:dyDescent="0.25">
      <c r="A5" s="5" t="s">
        <v>78</v>
      </c>
      <c r="B5" s="10" t="s">
        <v>79</v>
      </c>
      <c r="C5" s="5"/>
      <c r="D5" s="9" t="s">
        <v>83</v>
      </c>
      <c r="E5" s="4">
        <v>137.59</v>
      </c>
      <c r="F5" s="7">
        <v>96701</v>
      </c>
      <c r="G5" s="19" t="s">
        <v>84</v>
      </c>
    </row>
    <row r="6" spans="1:7" x14ac:dyDescent="0.25">
      <c r="A6" s="5" t="s">
        <v>78</v>
      </c>
      <c r="B6" s="10" t="s">
        <v>79</v>
      </c>
      <c r="C6" s="5"/>
      <c r="D6" s="9"/>
      <c r="E6" s="4">
        <v>1126.02</v>
      </c>
      <c r="F6" s="7">
        <v>31023</v>
      </c>
      <c r="G6" s="19" t="s">
        <v>85</v>
      </c>
    </row>
    <row r="7" spans="1:7" x14ac:dyDescent="0.25">
      <c r="A7" s="5" t="s">
        <v>43</v>
      </c>
      <c r="B7" s="10" t="s">
        <v>79</v>
      </c>
      <c r="C7" s="5"/>
      <c r="D7" s="9" t="s">
        <v>82</v>
      </c>
      <c r="E7" s="4">
        <v>203.45</v>
      </c>
      <c r="F7" s="7">
        <v>3075646</v>
      </c>
      <c r="G7" s="19" t="s">
        <v>43</v>
      </c>
    </row>
    <row r="8" spans="1:7" x14ac:dyDescent="0.25">
      <c r="A8" s="5" t="s">
        <v>78</v>
      </c>
      <c r="B8" s="10" t="s">
        <v>79</v>
      </c>
      <c r="C8" s="5"/>
      <c r="D8" s="9"/>
      <c r="E8" s="4">
        <v>954.53999999999905</v>
      </c>
      <c r="F8" s="7">
        <v>105552</v>
      </c>
      <c r="G8" s="19" t="s">
        <v>86</v>
      </c>
    </row>
    <row r="9" spans="1:7" x14ac:dyDescent="0.25">
      <c r="A9" s="5" t="s">
        <v>78</v>
      </c>
      <c r="B9" s="10" t="s">
        <v>79</v>
      </c>
      <c r="C9" s="5"/>
      <c r="D9" s="9"/>
      <c r="E9" s="4">
        <v>1190.1099999999899</v>
      </c>
      <c r="F9" s="7">
        <v>62921</v>
      </c>
      <c r="G9" s="19" t="s">
        <v>87</v>
      </c>
    </row>
    <row r="10" spans="1:7" x14ac:dyDescent="0.25">
      <c r="A10" s="5" t="s">
        <v>78</v>
      </c>
      <c r="B10" s="10" t="s">
        <v>79</v>
      </c>
      <c r="C10" s="5"/>
      <c r="D10" s="9" t="s">
        <v>83</v>
      </c>
      <c r="E10" s="4">
        <v>99.93</v>
      </c>
      <c r="F10" s="7">
        <v>61783</v>
      </c>
      <c r="G10" s="19" t="s">
        <v>88</v>
      </c>
    </row>
    <row r="11" spans="1:7" x14ac:dyDescent="0.25">
      <c r="A11" s="5" t="s">
        <v>78</v>
      </c>
      <c r="B11" s="10" t="s">
        <v>79</v>
      </c>
      <c r="C11" s="5" t="s">
        <v>89</v>
      </c>
      <c r="D11" s="9" t="s">
        <v>83</v>
      </c>
      <c r="E11" s="4">
        <v>303.75</v>
      </c>
      <c r="F11" s="7">
        <v>255073</v>
      </c>
      <c r="G11" s="19" t="s">
        <v>48</v>
      </c>
    </row>
    <row r="12" spans="1:7" x14ac:dyDescent="0.25">
      <c r="A12" s="5" t="s">
        <v>78</v>
      </c>
      <c r="B12" s="10" t="s">
        <v>79</v>
      </c>
      <c r="C12" s="5" t="s">
        <v>80</v>
      </c>
      <c r="D12" s="9" t="s">
        <v>81</v>
      </c>
      <c r="E12" s="4">
        <v>120.22</v>
      </c>
      <c r="F12" s="7">
        <v>370900</v>
      </c>
      <c r="G12" s="19" t="s">
        <v>49</v>
      </c>
    </row>
    <row r="13" spans="1:7" x14ac:dyDescent="0.25">
      <c r="A13" s="5" t="s">
        <v>78</v>
      </c>
      <c r="B13" s="10" t="s">
        <v>79</v>
      </c>
      <c r="C13" s="5"/>
      <c r="D13" s="9"/>
      <c r="E13" s="4">
        <v>634.16999999999905</v>
      </c>
      <c r="F13" s="7">
        <v>36545</v>
      </c>
      <c r="G13" s="19" t="s">
        <v>97</v>
      </c>
    </row>
    <row r="14" spans="1:7" x14ac:dyDescent="0.25">
      <c r="A14" s="5" t="s">
        <v>78</v>
      </c>
      <c r="B14" s="10" t="s">
        <v>79</v>
      </c>
      <c r="C14" s="5" t="s">
        <v>80</v>
      </c>
      <c r="D14" s="9" t="s">
        <v>81</v>
      </c>
      <c r="E14" s="4">
        <v>236.81</v>
      </c>
      <c r="F14" s="7">
        <v>219031</v>
      </c>
      <c r="G14" s="25" t="s">
        <v>50</v>
      </c>
    </row>
    <row r="15" spans="1:7" x14ac:dyDescent="0.25">
      <c r="A15" s="5" t="s">
        <v>78</v>
      </c>
      <c r="B15" s="10" t="s">
        <v>79</v>
      </c>
      <c r="C15" s="5" t="s">
        <v>80</v>
      </c>
      <c r="D15" s="9" t="s">
        <v>81</v>
      </c>
      <c r="E15" s="4">
        <v>189.9</v>
      </c>
      <c r="F15" s="7">
        <v>517082</v>
      </c>
      <c r="G15" s="19" t="s">
        <v>51</v>
      </c>
    </row>
    <row r="16" spans="1:7" x14ac:dyDescent="0.25">
      <c r="A16" s="5" t="s">
        <v>78</v>
      </c>
      <c r="B16" s="10" t="s">
        <v>79</v>
      </c>
      <c r="C16" s="5"/>
      <c r="D16" s="9"/>
      <c r="E16" s="4">
        <v>720.1</v>
      </c>
      <c r="F16" s="7">
        <v>17412</v>
      </c>
      <c r="G16" s="19" t="s">
        <v>90</v>
      </c>
    </row>
    <row r="17" spans="1:7" x14ac:dyDescent="0.25">
      <c r="A17" s="5" t="s">
        <v>78</v>
      </c>
      <c r="B17" s="10" t="s">
        <v>79</v>
      </c>
      <c r="C17" s="5" t="s">
        <v>91</v>
      </c>
      <c r="D17" s="9" t="s">
        <v>83</v>
      </c>
      <c r="E17" s="4">
        <v>55.75</v>
      </c>
      <c r="F17" s="7">
        <v>109695</v>
      </c>
      <c r="G17" s="19" t="s">
        <v>52</v>
      </c>
    </row>
    <row r="18" spans="1:7" x14ac:dyDescent="0.25">
      <c r="A18" s="5" t="s">
        <v>78</v>
      </c>
      <c r="B18" s="10" t="s">
        <v>79</v>
      </c>
      <c r="C18" s="5" t="s">
        <v>89</v>
      </c>
      <c r="D18" s="9" t="s">
        <v>82</v>
      </c>
      <c r="E18" s="4">
        <v>2145.2800000000002</v>
      </c>
      <c r="F18" s="7">
        <v>425265</v>
      </c>
      <c r="G18" s="19" t="s">
        <v>53</v>
      </c>
    </row>
    <row r="19" spans="1:7" x14ac:dyDescent="0.25">
      <c r="A19" s="5" t="s">
        <v>78</v>
      </c>
      <c r="B19" s="10" t="s">
        <v>79</v>
      </c>
      <c r="C19" s="5" t="s">
        <v>91</v>
      </c>
      <c r="D19" s="9" t="s">
        <v>81</v>
      </c>
      <c r="E19" s="4">
        <v>35.43</v>
      </c>
      <c r="F19" s="7">
        <v>193583</v>
      </c>
      <c r="G19" s="25" t="s">
        <v>54</v>
      </c>
    </row>
    <row r="20" spans="1:7" x14ac:dyDescent="0.25">
      <c r="A20" s="5" t="s">
        <v>78</v>
      </c>
      <c r="B20" s="10" t="s">
        <v>79</v>
      </c>
      <c r="C20" s="5" t="s">
        <v>91</v>
      </c>
      <c r="D20" s="9" t="s">
        <v>81</v>
      </c>
      <c r="E20" s="4">
        <v>38.24</v>
      </c>
      <c r="F20" s="7">
        <v>180914</v>
      </c>
      <c r="G20" s="25" t="s">
        <v>55</v>
      </c>
    </row>
    <row r="21" spans="1:7" x14ac:dyDescent="0.25">
      <c r="A21" s="5" t="s">
        <v>78</v>
      </c>
      <c r="B21" s="10" t="s">
        <v>79</v>
      </c>
      <c r="C21" s="5" t="s">
        <v>89</v>
      </c>
      <c r="D21" s="9" t="s">
        <v>81</v>
      </c>
      <c r="E21" s="4">
        <v>50.159999999999897</v>
      </c>
      <c r="F21" s="7">
        <v>307443</v>
      </c>
      <c r="G21" s="25" t="s">
        <v>56</v>
      </c>
    </row>
    <row r="22" spans="1:7" x14ac:dyDescent="0.25">
      <c r="A22" s="5" t="s">
        <v>78</v>
      </c>
      <c r="B22" s="10" t="s">
        <v>79</v>
      </c>
      <c r="C22" s="5" t="s">
        <v>91</v>
      </c>
      <c r="D22" s="9" t="s">
        <v>82</v>
      </c>
      <c r="E22" s="4">
        <v>329.22</v>
      </c>
      <c r="F22" s="7">
        <v>2281194</v>
      </c>
      <c r="G22" s="19" t="s">
        <v>57</v>
      </c>
    </row>
    <row r="23" spans="1:7" x14ac:dyDescent="0.25">
      <c r="A23" s="5" t="s">
        <v>78</v>
      </c>
      <c r="B23" s="10" t="s">
        <v>79</v>
      </c>
      <c r="C23" s="5"/>
      <c r="D23" s="9" t="s">
        <v>83</v>
      </c>
      <c r="E23" s="4">
        <v>942.23</v>
      </c>
      <c r="F23" s="7">
        <v>713947</v>
      </c>
      <c r="G23" s="19" t="s">
        <v>92</v>
      </c>
    </row>
    <row r="24" spans="1:7" x14ac:dyDescent="0.25">
      <c r="A24" s="5" t="s">
        <v>78</v>
      </c>
      <c r="B24" s="10" t="s">
        <v>79</v>
      </c>
      <c r="C24" s="5" t="s">
        <v>80</v>
      </c>
      <c r="D24" s="9" t="s">
        <v>82</v>
      </c>
      <c r="E24" s="4">
        <v>48.35</v>
      </c>
      <c r="F24" s="7">
        <v>462827</v>
      </c>
      <c r="G24" s="19" t="s">
        <v>58</v>
      </c>
    </row>
    <row r="25" spans="1:7" x14ac:dyDescent="0.25">
      <c r="A25" s="5" t="s">
        <v>78</v>
      </c>
      <c r="B25" s="10" t="s">
        <v>79</v>
      </c>
      <c r="C25" s="5" t="s">
        <v>80</v>
      </c>
      <c r="D25" s="9" t="s">
        <v>82</v>
      </c>
      <c r="E25" s="4">
        <v>87.299999999999898</v>
      </c>
      <c r="F25" s="7">
        <v>648312</v>
      </c>
      <c r="G25" s="19" t="s">
        <v>98</v>
      </c>
    </row>
    <row r="26" spans="1:7" x14ac:dyDescent="0.25">
      <c r="A26" s="5" t="s">
        <v>78</v>
      </c>
      <c r="B26" s="10" t="s">
        <v>79</v>
      </c>
      <c r="C26" s="5"/>
      <c r="D26" s="9"/>
      <c r="E26" s="4">
        <v>777.13</v>
      </c>
      <c r="F26" s="7">
        <v>119805</v>
      </c>
      <c r="G26" s="19" t="s">
        <v>93</v>
      </c>
    </row>
    <row r="27" spans="1:7" x14ac:dyDescent="0.25">
      <c r="A27" s="5" t="s">
        <v>78</v>
      </c>
      <c r="B27" s="10" t="s">
        <v>79</v>
      </c>
      <c r="C27" s="5" t="s">
        <v>89</v>
      </c>
      <c r="D27" s="9" t="s">
        <v>81</v>
      </c>
      <c r="E27" s="4">
        <v>63.09</v>
      </c>
      <c r="F27" s="7">
        <v>359953</v>
      </c>
      <c r="G27" s="19" t="s">
        <v>59</v>
      </c>
    </row>
    <row r="28" spans="1:7" x14ac:dyDescent="0.25">
      <c r="A28" s="5" t="s">
        <v>78</v>
      </c>
      <c r="B28" s="10" t="s">
        <v>79</v>
      </c>
      <c r="C28" s="5" t="s">
        <v>91</v>
      </c>
      <c r="D28" s="9" t="s">
        <v>83</v>
      </c>
      <c r="E28" s="4">
        <v>455.12</v>
      </c>
      <c r="F28" s="7">
        <v>66466</v>
      </c>
      <c r="G28" s="19" t="s">
        <v>60</v>
      </c>
    </row>
    <row r="29" spans="1:7" x14ac:dyDescent="0.25">
      <c r="A29" s="5" t="s">
        <v>78</v>
      </c>
      <c r="B29" s="10" t="s">
        <v>79</v>
      </c>
      <c r="C29" s="5"/>
      <c r="D29" s="9"/>
      <c r="E29" s="4">
        <v>1049.47</v>
      </c>
      <c r="F29" s="7">
        <v>67793</v>
      </c>
      <c r="G29" s="19" t="s">
        <v>94</v>
      </c>
    </row>
    <row r="30" spans="1:7" x14ac:dyDescent="0.25">
      <c r="A30" s="5" t="s">
        <v>78</v>
      </c>
      <c r="B30" s="10" t="s">
        <v>79</v>
      </c>
      <c r="C30" s="5" t="s">
        <v>91</v>
      </c>
      <c r="D30" s="9" t="s">
        <v>81</v>
      </c>
      <c r="E30" s="4">
        <v>173.13</v>
      </c>
      <c r="F30" s="7">
        <v>606413</v>
      </c>
      <c r="G30" s="19" t="s">
        <v>61</v>
      </c>
    </row>
    <row r="31" spans="1:7" x14ac:dyDescent="0.25">
      <c r="A31" s="5" t="s">
        <v>78</v>
      </c>
      <c r="B31" s="10" t="s">
        <v>79</v>
      </c>
      <c r="C31" s="5" t="s">
        <v>91</v>
      </c>
      <c r="D31" s="9" t="s">
        <v>81</v>
      </c>
      <c r="E31" s="4">
        <v>186.13</v>
      </c>
      <c r="F31" s="7">
        <v>541691</v>
      </c>
      <c r="G31" s="19" t="s">
        <v>62</v>
      </c>
    </row>
    <row r="32" spans="1:7" x14ac:dyDescent="0.25">
      <c r="A32" s="5" t="s">
        <v>78</v>
      </c>
      <c r="B32" s="10" t="s">
        <v>79</v>
      </c>
      <c r="C32" s="5" t="s">
        <v>91</v>
      </c>
      <c r="D32" s="9" t="s">
        <v>82</v>
      </c>
      <c r="E32" s="4">
        <v>55.659999999999897</v>
      </c>
      <c r="F32" s="7">
        <v>318632</v>
      </c>
      <c r="G32" s="19" t="s">
        <v>63</v>
      </c>
    </row>
    <row r="33" spans="1:7" x14ac:dyDescent="0.25">
      <c r="A33" s="5" t="s">
        <v>78</v>
      </c>
      <c r="B33" s="10" t="s">
        <v>79</v>
      </c>
      <c r="C33" s="5" t="s">
        <v>89</v>
      </c>
      <c r="D33" s="9" t="s">
        <v>83</v>
      </c>
      <c r="E33" s="4">
        <v>383.00999999999902</v>
      </c>
      <c r="F33" s="7">
        <v>378167</v>
      </c>
      <c r="G33" s="19" t="s">
        <v>64</v>
      </c>
    </row>
    <row r="34" spans="1:7" x14ac:dyDescent="0.25">
      <c r="A34" s="5" t="s">
        <v>78</v>
      </c>
      <c r="B34" s="10" t="s">
        <v>79</v>
      </c>
      <c r="C34" s="5" t="s">
        <v>80</v>
      </c>
      <c r="D34" s="9" t="s">
        <v>83</v>
      </c>
      <c r="E34" s="4">
        <v>120.73</v>
      </c>
      <c r="F34" s="7">
        <v>105918</v>
      </c>
      <c r="G34" s="25" t="s">
        <v>65</v>
      </c>
    </row>
    <row r="35" spans="1:7" x14ac:dyDescent="0.25">
      <c r="A35" s="5" t="s">
        <v>78</v>
      </c>
      <c r="B35" s="10" t="s">
        <v>79</v>
      </c>
      <c r="C35" s="5" t="s">
        <v>80</v>
      </c>
      <c r="D35" s="9" t="s">
        <v>81</v>
      </c>
      <c r="E35" s="4">
        <v>91.489999999999895</v>
      </c>
      <c r="F35" s="7">
        <v>664783</v>
      </c>
      <c r="G35" s="19" t="s">
        <v>66</v>
      </c>
    </row>
    <row r="36" spans="1:7" x14ac:dyDescent="0.25">
      <c r="A36" s="5" t="s">
        <v>78</v>
      </c>
      <c r="B36" s="10" t="s">
        <v>79</v>
      </c>
      <c r="C36" s="5" t="s">
        <v>89</v>
      </c>
      <c r="D36" s="9" t="s">
        <v>81</v>
      </c>
      <c r="E36" s="4">
        <v>877.08</v>
      </c>
      <c r="F36" s="7">
        <v>174883</v>
      </c>
      <c r="G36" s="19" t="s">
        <v>67</v>
      </c>
    </row>
    <row r="37" spans="1:7" x14ac:dyDescent="0.25">
      <c r="A37" s="5" t="s">
        <v>78</v>
      </c>
      <c r="B37" s="10" t="s">
        <v>79</v>
      </c>
      <c r="C37" s="5" t="s">
        <v>89</v>
      </c>
      <c r="D37" s="9" t="s">
        <v>82</v>
      </c>
      <c r="E37" s="4">
        <v>51.439999999999898</v>
      </c>
      <c r="F37" s="7">
        <v>292224</v>
      </c>
      <c r="G37" s="19" t="s">
        <v>68</v>
      </c>
    </row>
    <row r="38" spans="1:7" x14ac:dyDescent="0.25">
      <c r="A38" s="5" t="s">
        <v>78</v>
      </c>
      <c r="B38" s="10" t="s">
        <v>79</v>
      </c>
      <c r="C38" s="5" t="s">
        <v>89</v>
      </c>
      <c r="D38" s="9" t="s">
        <v>81</v>
      </c>
      <c r="E38" s="4">
        <v>82.799999999999898</v>
      </c>
      <c r="F38" s="7">
        <v>304122</v>
      </c>
      <c r="G38" s="25" t="s">
        <v>69</v>
      </c>
    </row>
    <row r="39" spans="1:7" x14ac:dyDescent="0.25">
      <c r="A39" s="5" t="s">
        <v>78</v>
      </c>
      <c r="B39" s="10" t="s">
        <v>79</v>
      </c>
      <c r="C39" s="5" t="s">
        <v>80</v>
      </c>
      <c r="D39" s="9" t="s">
        <v>83</v>
      </c>
      <c r="E39" s="4">
        <v>656.26999999999896</v>
      </c>
      <c r="F39" s="7">
        <v>77161</v>
      </c>
      <c r="G39" s="19" t="s">
        <v>70</v>
      </c>
    </row>
    <row r="40" spans="1:7" x14ac:dyDescent="0.25">
      <c r="A40" s="5" t="s">
        <v>78</v>
      </c>
      <c r="B40" s="10" t="s">
        <v>79</v>
      </c>
      <c r="C40" s="5" t="s">
        <v>89</v>
      </c>
      <c r="D40" s="9" t="s">
        <v>81</v>
      </c>
      <c r="E40" s="4">
        <v>304.35000000000002</v>
      </c>
      <c r="F40" s="7">
        <v>462998</v>
      </c>
      <c r="G40" s="19" t="s">
        <v>71</v>
      </c>
    </row>
    <row r="41" spans="1:7" x14ac:dyDescent="0.25">
      <c r="A41" s="5" t="s">
        <v>78</v>
      </c>
      <c r="B41" s="10" t="s">
        <v>79</v>
      </c>
      <c r="C41" s="5" t="s">
        <v>91</v>
      </c>
      <c r="D41" s="9" t="s">
        <v>82</v>
      </c>
      <c r="E41" s="4">
        <v>43.0399999999999</v>
      </c>
      <c r="F41" s="7">
        <v>344067</v>
      </c>
      <c r="G41" s="19" t="s">
        <v>96</v>
      </c>
    </row>
    <row r="42" spans="1:7" x14ac:dyDescent="0.25">
      <c r="A42" s="5" t="s">
        <v>78</v>
      </c>
      <c r="B42" s="10" t="s">
        <v>79</v>
      </c>
      <c r="C42" s="5" t="s">
        <v>89</v>
      </c>
      <c r="D42" s="9" t="s">
        <v>82</v>
      </c>
      <c r="E42" s="4">
        <v>33.770000000000003</v>
      </c>
      <c r="F42" s="7">
        <v>267655</v>
      </c>
      <c r="G42" s="19" t="s">
        <v>72</v>
      </c>
    </row>
    <row r="43" spans="1:7" x14ac:dyDescent="0.25">
      <c r="A43" s="5" t="s">
        <v>78</v>
      </c>
      <c r="B43" s="10" t="s">
        <v>79</v>
      </c>
      <c r="C43" s="5"/>
      <c r="D43" s="9"/>
      <c r="E43" s="4">
        <v>1188.8499999999899</v>
      </c>
      <c r="F43" s="7">
        <v>128096</v>
      </c>
      <c r="G43" s="19" t="s">
        <v>95</v>
      </c>
    </row>
    <row r="937" spans="15:49" x14ac:dyDescent="0.25">
      <c r="O937" s="16"/>
      <c r="P937" s="16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 spans="15:49" x14ac:dyDescent="0.25">
      <c r="O938"/>
      <c r="P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 spans="15:49" x14ac:dyDescent="0.25">
      <c r="O939"/>
      <c r="P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 spans="15:49" x14ac:dyDescent="0.25">
      <c r="O940"/>
      <c r="P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 spans="15:49" x14ac:dyDescent="0.25">
      <c r="O941"/>
      <c r="P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 spans="15:49" x14ac:dyDescent="0.25">
      <c r="O942"/>
      <c r="P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 spans="15:49" x14ac:dyDescent="0.25">
      <c r="O943"/>
      <c r="P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 spans="15:49" x14ac:dyDescent="0.25">
      <c r="O944"/>
      <c r="P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</row>
    <row r="945" spans="15:49" x14ac:dyDescent="0.25">
      <c r="O945"/>
      <c r="P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 spans="15:49" x14ac:dyDescent="0.25">
      <c r="O946"/>
      <c r="P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 spans="15:49" x14ac:dyDescent="0.25">
      <c r="O947"/>
      <c r="P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 spans="15:49" x14ac:dyDescent="0.25">
      <c r="O948"/>
      <c r="P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</row>
    <row r="949" spans="15:49" x14ac:dyDescent="0.25">
      <c r="O949"/>
      <c r="P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 spans="15:49" x14ac:dyDescent="0.25">
      <c r="O950"/>
      <c r="P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 spans="15:49" x14ac:dyDescent="0.25">
      <c r="O951"/>
      <c r="P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 spans="15:49" x14ac:dyDescent="0.25">
      <c r="O952"/>
      <c r="P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</row>
    <row r="953" spans="15:49" x14ac:dyDescent="0.25">
      <c r="O953"/>
      <c r="P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 spans="15:49" x14ac:dyDescent="0.25">
      <c r="O954"/>
      <c r="P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 spans="15:49" x14ac:dyDescent="0.25">
      <c r="O955"/>
      <c r="P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</row>
    <row r="956" spans="15:49" x14ac:dyDescent="0.25">
      <c r="O956"/>
      <c r="P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 spans="15:49" x14ac:dyDescent="0.25">
      <c r="O957"/>
      <c r="P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 spans="15:49" x14ac:dyDescent="0.25">
      <c r="O958"/>
      <c r="P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</row>
    <row r="959" spans="15:49" x14ac:dyDescent="0.25">
      <c r="O959"/>
      <c r="P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 spans="15:49" x14ac:dyDescent="0.25">
      <c r="O960"/>
      <c r="P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 spans="15:49" x14ac:dyDescent="0.25">
      <c r="O961"/>
      <c r="P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</row>
    <row r="962" spans="15:49" x14ac:dyDescent="0.25">
      <c r="O962"/>
      <c r="P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 spans="15:49" x14ac:dyDescent="0.25">
      <c r="O963"/>
      <c r="P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 spans="15:49" x14ac:dyDescent="0.25">
      <c r="O964"/>
      <c r="P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</row>
    <row r="965" spans="15:49" x14ac:dyDescent="0.25">
      <c r="O965"/>
      <c r="P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 spans="15:49" x14ac:dyDescent="0.25">
      <c r="O966"/>
      <c r="P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 spans="15:49" x14ac:dyDescent="0.25">
      <c r="O967"/>
      <c r="P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</row>
    <row r="968" spans="15:49" x14ac:dyDescent="0.25">
      <c r="O968"/>
      <c r="P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 spans="15:49" x14ac:dyDescent="0.25">
      <c r="O969"/>
      <c r="P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 spans="15:49" x14ac:dyDescent="0.25">
      <c r="O970"/>
      <c r="P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 spans="15:49" x14ac:dyDescent="0.25">
      <c r="O971"/>
      <c r="P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</row>
    <row r="972" spans="15:49" x14ac:dyDescent="0.25">
      <c r="O972"/>
      <c r="P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 spans="15:49" x14ac:dyDescent="0.25">
      <c r="O973"/>
      <c r="P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 spans="15:49" x14ac:dyDescent="0.25">
      <c r="O974"/>
      <c r="P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 spans="15:49" x14ac:dyDescent="0.25">
      <c r="O975"/>
      <c r="P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 spans="15:49" x14ac:dyDescent="0.25">
      <c r="O976"/>
      <c r="P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 spans="15:49" x14ac:dyDescent="0.25">
      <c r="O977"/>
      <c r="P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 spans="15:49" x14ac:dyDescent="0.25">
      <c r="O978"/>
      <c r="P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 spans="15:49" x14ac:dyDescent="0.25">
      <c r="O979"/>
      <c r="P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 spans="15:49" x14ac:dyDescent="0.25">
      <c r="O980"/>
      <c r="P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 spans="15:49" x14ac:dyDescent="0.25">
      <c r="O981"/>
      <c r="P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</row>
    <row r="982" spans="15:49" x14ac:dyDescent="0.25">
      <c r="O982"/>
      <c r="P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</row>
    <row r="983" spans="15:49" x14ac:dyDescent="0.25">
      <c r="O983"/>
      <c r="P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</row>
    <row r="984" spans="15:49" x14ac:dyDescent="0.25">
      <c r="O984"/>
      <c r="P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</row>
    <row r="985" spans="15:49" x14ac:dyDescent="0.25">
      <c r="O985"/>
      <c r="P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 spans="15:49" x14ac:dyDescent="0.25">
      <c r="O986"/>
      <c r="P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</row>
    <row r="987" spans="15:49" x14ac:dyDescent="0.25">
      <c r="O987"/>
      <c r="P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 spans="15:49" x14ac:dyDescent="0.25">
      <c r="O988"/>
      <c r="P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 spans="15:49" x14ac:dyDescent="0.25">
      <c r="O989"/>
      <c r="P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</row>
    <row r="990" spans="15:49" x14ac:dyDescent="0.25">
      <c r="O990"/>
      <c r="P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</row>
    <row r="991" spans="15:49" x14ac:dyDescent="0.25">
      <c r="O991"/>
      <c r="P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</row>
    <row r="992" spans="15:49" x14ac:dyDescent="0.25">
      <c r="O992"/>
      <c r="P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</row>
    <row r="993" spans="15:49" x14ac:dyDescent="0.25">
      <c r="O993"/>
      <c r="P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</row>
    <row r="994" spans="15:49" x14ac:dyDescent="0.25">
      <c r="O994"/>
      <c r="P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 spans="15:49" x14ac:dyDescent="0.25">
      <c r="O995"/>
      <c r="P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</row>
    <row r="996" spans="15:49" x14ac:dyDescent="0.25">
      <c r="O996"/>
      <c r="P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 spans="15:49" x14ac:dyDescent="0.25">
      <c r="O997"/>
      <c r="P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 spans="15:49" x14ac:dyDescent="0.25">
      <c r="O998"/>
      <c r="P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</row>
    <row r="999" spans="15:49" x14ac:dyDescent="0.25">
      <c r="O999"/>
      <c r="P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</row>
    <row r="1000" spans="15:49" x14ac:dyDescent="0.25">
      <c r="O1000"/>
      <c r="P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</row>
    <row r="1001" spans="15:49" x14ac:dyDescent="0.25">
      <c r="O1001"/>
      <c r="P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</row>
    <row r="1002" spans="15:49" x14ac:dyDescent="0.25">
      <c r="O1002"/>
      <c r="P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 spans="15:49" x14ac:dyDescent="0.25">
      <c r="O1003"/>
      <c r="P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</row>
    <row r="1004" spans="15:49" x14ac:dyDescent="0.25">
      <c r="O1004"/>
      <c r="P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 spans="15:49" x14ac:dyDescent="0.25">
      <c r="O1005"/>
      <c r="P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 spans="15:49" x14ac:dyDescent="0.25">
      <c r="O1006"/>
      <c r="P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 spans="15:49" x14ac:dyDescent="0.25">
      <c r="O1007"/>
      <c r="P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</row>
    <row r="1008" spans="15:49" x14ac:dyDescent="0.25">
      <c r="O1008"/>
      <c r="P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 spans="15:49" x14ac:dyDescent="0.25">
      <c r="O1009"/>
      <c r="P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 spans="15:49" x14ac:dyDescent="0.25">
      <c r="O1010"/>
      <c r="P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 spans="15:49" x14ac:dyDescent="0.25">
      <c r="O1011"/>
      <c r="P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 spans="15:49" x14ac:dyDescent="0.25">
      <c r="O1012"/>
      <c r="P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 spans="15:49" x14ac:dyDescent="0.25">
      <c r="O1013"/>
      <c r="P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 spans="15:49" x14ac:dyDescent="0.25">
      <c r="O1014"/>
      <c r="P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 spans="15:49" x14ac:dyDescent="0.25">
      <c r="O1015"/>
      <c r="P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 spans="15:49" x14ac:dyDescent="0.25">
      <c r="O1016"/>
      <c r="P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 spans="15:49" x14ac:dyDescent="0.25">
      <c r="O1017"/>
      <c r="P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 spans="15:49" x14ac:dyDescent="0.25">
      <c r="O1018"/>
      <c r="P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 spans="15:49" x14ac:dyDescent="0.25">
      <c r="O1019"/>
      <c r="P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 spans="15:49" x14ac:dyDescent="0.25">
      <c r="O1020"/>
      <c r="P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 spans="15:49" x14ac:dyDescent="0.25">
      <c r="O1021"/>
      <c r="P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 spans="15:49" x14ac:dyDescent="0.25">
      <c r="O1022"/>
      <c r="P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 spans="15:49" x14ac:dyDescent="0.25">
      <c r="O1023"/>
      <c r="P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 spans="15:49" x14ac:dyDescent="0.25">
      <c r="O1024"/>
      <c r="P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 spans="15:49" x14ac:dyDescent="0.25">
      <c r="O1025"/>
      <c r="P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 spans="15:49" x14ac:dyDescent="0.25">
      <c r="O1026"/>
      <c r="P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 spans="15:49" x14ac:dyDescent="0.25">
      <c r="O1027"/>
      <c r="P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 spans="15:49" x14ac:dyDescent="0.25">
      <c r="O1028"/>
      <c r="P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 spans="15:49" x14ac:dyDescent="0.25">
      <c r="O1029"/>
      <c r="P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 spans="15:49" x14ac:dyDescent="0.25">
      <c r="O1030"/>
      <c r="P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 spans="15:49" x14ac:dyDescent="0.25">
      <c r="O1031"/>
      <c r="P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 spans="15:49" x14ac:dyDescent="0.25">
      <c r="O1032"/>
      <c r="P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 spans="15:49" x14ac:dyDescent="0.25">
      <c r="O1033"/>
      <c r="P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 spans="15:49" x14ac:dyDescent="0.25">
      <c r="O1034"/>
      <c r="P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 spans="15:49" x14ac:dyDescent="0.25">
      <c r="O1035"/>
      <c r="P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 spans="15:49" x14ac:dyDescent="0.25">
      <c r="O1036"/>
      <c r="P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 spans="15:49" x14ac:dyDescent="0.25">
      <c r="O1037"/>
      <c r="P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 spans="15:49" x14ac:dyDescent="0.25">
      <c r="O1038"/>
      <c r="P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 spans="15:49" x14ac:dyDescent="0.25">
      <c r="O1039"/>
      <c r="P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 spans="15:49" x14ac:dyDescent="0.25">
      <c r="O1040"/>
      <c r="P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 spans="15:49" x14ac:dyDescent="0.25">
      <c r="O1041"/>
      <c r="P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 spans="15:49" x14ac:dyDescent="0.25">
      <c r="O1042"/>
      <c r="P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 spans="15:49" x14ac:dyDescent="0.25">
      <c r="O1043"/>
      <c r="P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 spans="15:49" x14ac:dyDescent="0.25">
      <c r="O1044"/>
      <c r="P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 spans="15:49" x14ac:dyDescent="0.25">
      <c r="O1045"/>
      <c r="P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 spans="15:49" x14ac:dyDescent="0.25">
      <c r="O1046"/>
      <c r="P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 spans="15:49" x14ac:dyDescent="0.25">
      <c r="O1047"/>
      <c r="P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 spans="15:49" x14ac:dyDescent="0.25">
      <c r="O1048"/>
      <c r="P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 spans="15:49" x14ac:dyDescent="0.25">
      <c r="O1049"/>
      <c r="P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 spans="15:49" x14ac:dyDescent="0.25">
      <c r="O1050"/>
      <c r="P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 spans="15:49" x14ac:dyDescent="0.25">
      <c r="O1051"/>
      <c r="P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 spans="15:49" x14ac:dyDescent="0.25">
      <c r="O1052"/>
      <c r="P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 spans="15:49" x14ac:dyDescent="0.25">
      <c r="O1053"/>
      <c r="P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 spans="15:49" x14ac:dyDescent="0.25">
      <c r="O1054"/>
      <c r="P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 spans="15:49" x14ac:dyDescent="0.25"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 spans="15:49" x14ac:dyDescent="0.25"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 spans="35:49" x14ac:dyDescent="0.25"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 spans="35:49" x14ac:dyDescent="0.25"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 spans="35:49" x14ac:dyDescent="0.25"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 spans="35:49" x14ac:dyDescent="0.25"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 spans="35:49" x14ac:dyDescent="0.25"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 spans="35:49" x14ac:dyDescent="0.25"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 spans="35:49" x14ac:dyDescent="0.25"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 spans="35:49" x14ac:dyDescent="0.25"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 spans="35:49" x14ac:dyDescent="0.25"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 spans="35:49" x14ac:dyDescent="0.25"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 spans="35:49" x14ac:dyDescent="0.25"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 spans="35:49" x14ac:dyDescent="0.25"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 spans="35:49" x14ac:dyDescent="0.25"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 spans="35:49" x14ac:dyDescent="0.25">
      <c r="AU1070"/>
      <c r="AV1070"/>
      <c r="AW1070"/>
    </row>
    <row r="1071" spans="35:49" x14ac:dyDescent="0.25">
      <c r="AU1071"/>
      <c r="AV1071"/>
      <c r="AW1071"/>
    </row>
    <row r="1072" spans="35:49" x14ac:dyDescent="0.25">
      <c r="AU1072"/>
      <c r="AV1072"/>
      <c r="AW1072"/>
    </row>
  </sheetData>
  <sortState xmlns:xlrd2="http://schemas.microsoft.com/office/spreadsheetml/2017/richdata2" ref="A2:G43">
    <sortCondition ref="G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849C-765B-42DA-A42F-66367EEE7095}">
  <dimension ref="A1:C42"/>
  <sheetViews>
    <sheetView topLeftCell="A28" workbookViewId="0">
      <selection activeCell="C39" sqref="C39"/>
    </sheetView>
  </sheetViews>
  <sheetFormatPr baseColWidth="10" defaultRowHeight="15" x14ac:dyDescent="0.25"/>
  <sheetData>
    <row r="1" spans="1:3" x14ac:dyDescent="0.25">
      <c r="A1" t="s">
        <v>25</v>
      </c>
      <c r="B1" t="s">
        <v>243</v>
      </c>
      <c r="C1" t="s">
        <v>244</v>
      </c>
    </row>
    <row r="2" spans="1:3" x14ac:dyDescent="0.25">
      <c r="A2" s="18">
        <v>44256</v>
      </c>
      <c r="B2" s="347"/>
      <c r="C2" s="347">
        <v>59.7</v>
      </c>
    </row>
    <row r="3" spans="1:3" x14ac:dyDescent="0.25">
      <c r="A3" s="18">
        <v>44257</v>
      </c>
      <c r="B3" s="347"/>
      <c r="C3" s="347">
        <v>60</v>
      </c>
    </row>
    <row r="4" spans="1:3" x14ac:dyDescent="0.25">
      <c r="A4" s="18">
        <v>44258</v>
      </c>
      <c r="B4" s="347"/>
      <c r="C4" s="347">
        <v>59.3</v>
      </c>
    </row>
    <row r="5" spans="1:3" x14ac:dyDescent="0.25">
      <c r="A5" s="18">
        <v>44259</v>
      </c>
      <c r="B5" s="347"/>
      <c r="C5" s="347">
        <v>59</v>
      </c>
    </row>
    <row r="6" spans="1:3" x14ac:dyDescent="0.25">
      <c r="A6" s="18">
        <v>44260</v>
      </c>
      <c r="B6" s="347"/>
      <c r="C6" s="347">
        <v>59.3</v>
      </c>
    </row>
    <row r="7" spans="1:3" x14ac:dyDescent="0.25">
      <c r="A7" s="18">
        <v>44261</v>
      </c>
      <c r="B7" s="347"/>
      <c r="C7" s="347">
        <v>59.7</v>
      </c>
    </row>
    <row r="8" spans="1:3" x14ac:dyDescent="0.25">
      <c r="A8" s="18">
        <v>44262</v>
      </c>
      <c r="B8" s="347"/>
      <c r="C8" s="347">
        <v>59</v>
      </c>
    </row>
    <row r="9" spans="1:3" x14ac:dyDescent="0.25">
      <c r="A9" s="18">
        <v>44263</v>
      </c>
      <c r="B9" s="347"/>
      <c r="C9" s="347">
        <v>59.5</v>
      </c>
    </row>
    <row r="10" spans="1:3" x14ac:dyDescent="0.25">
      <c r="A10" s="18">
        <v>44264</v>
      </c>
      <c r="B10" s="347"/>
      <c r="C10" s="347">
        <v>60.1</v>
      </c>
    </row>
    <row r="11" spans="1:3" x14ac:dyDescent="0.25">
      <c r="A11" s="18">
        <v>44265</v>
      </c>
      <c r="B11" s="347"/>
      <c r="C11" s="347">
        <v>59.4</v>
      </c>
    </row>
    <row r="12" spans="1:3" x14ac:dyDescent="0.25">
      <c r="A12" s="18">
        <v>44266</v>
      </c>
      <c r="B12" s="347"/>
      <c r="C12" s="347">
        <v>60</v>
      </c>
    </row>
    <row r="13" spans="1:3" x14ac:dyDescent="0.25">
      <c r="A13" s="18">
        <v>44267</v>
      </c>
      <c r="B13" s="347"/>
      <c r="C13" s="347">
        <v>60</v>
      </c>
    </row>
    <row r="14" spans="1:3" x14ac:dyDescent="0.25">
      <c r="A14" s="18">
        <v>44268</v>
      </c>
      <c r="B14" s="347"/>
      <c r="C14" s="347">
        <v>60</v>
      </c>
    </row>
    <row r="15" spans="1:3" x14ac:dyDescent="0.25">
      <c r="A15" s="18">
        <v>44269</v>
      </c>
      <c r="B15" s="347"/>
      <c r="C15" s="347">
        <v>59.4</v>
      </c>
    </row>
    <row r="16" spans="1:3" x14ac:dyDescent="0.25">
      <c r="A16" s="18">
        <v>44270</v>
      </c>
      <c r="B16" s="347"/>
      <c r="C16" s="347">
        <v>58.6</v>
      </c>
    </row>
    <row r="17" spans="1:3" x14ac:dyDescent="0.25">
      <c r="A17" s="18">
        <v>44271</v>
      </c>
      <c r="B17" s="347"/>
      <c r="C17" s="347">
        <v>59.4</v>
      </c>
    </row>
    <row r="18" spans="1:3" x14ac:dyDescent="0.25">
      <c r="A18" s="18">
        <v>44272</v>
      </c>
      <c r="B18" s="347"/>
      <c r="C18" s="347">
        <v>59.8</v>
      </c>
    </row>
    <row r="19" spans="1:3" x14ac:dyDescent="0.25">
      <c r="A19" s="18">
        <v>44273</v>
      </c>
      <c r="B19" s="347"/>
      <c r="C19" s="347">
        <v>61.5</v>
      </c>
    </row>
    <row r="20" spans="1:3" x14ac:dyDescent="0.25">
      <c r="A20" s="18">
        <v>44274</v>
      </c>
      <c r="B20" s="347"/>
      <c r="C20" s="347">
        <v>60.8</v>
      </c>
    </row>
    <row r="21" spans="1:3" x14ac:dyDescent="0.25">
      <c r="A21" s="18">
        <v>44275</v>
      </c>
      <c r="B21" s="347"/>
      <c r="C21" s="347">
        <v>60.7</v>
      </c>
    </row>
    <row r="22" spans="1:3" x14ac:dyDescent="0.25">
      <c r="A22" s="18">
        <v>44276</v>
      </c>
      <c r="B22" s="347"/>
      <c r="C22" s="347">
        <v>59.9</v>
      </c>
    </row>
    <row r="23" spans="1:3" x14ac:dyDescent="0.25">
      <c r="A23" s="18">
        <v>44277</v>
      </c>
      <c r="B23" s="347"/>
      <c r="C23" s="347">
        <v>58.1</v>
      </c>
    </row>
    <row r="24" spans="1:3" x14ac:dyDescent="0.25">
      <c r="A24" s="18">
        <v>44278</v>
      </c>
      <c r="B24" s="347"/>
      <c r="C24" s="347">
        <v>58.5</v>
      </c>
    </row>
    <row r="25" spans="1:3" x14ac:dyDescent="0.25">
      <c r="A25" s="18">
        <v>44279</v>
      </c>
      <c r="B25" s="347"/>
      <c r="C25" s="347">
        <v>59.2</v>
      </c>
    </row>
    <row r="26" spans="1:3" x14ac:dyDescent="0.25">
      <c r="A26" s="18">
        <v>44280</v>
      </c>
      <c r="B26" s="347"/>
      <c r="C26" s="347">
        <v>57.8</v>
      </c>
    </row>
    <row r="27" spans="1:3" x14ac:dyDescent="0.25">
      <c r="A27" s="18">
        <v>44281</v>
      </c>
      <c r="B27" s="347"/>
      <c r="C27" s="347">
        <v>58.6</v>
      </c>
    </row>
    <row r="28" spans="1:3" x14ac:dyDescent="0.25">
      <c r="A28" s="18">
        <v>44282</v>
      </c>
      <c r="B28" s="347"/>
      <c r="C28" s="347">
        <v>59.9</v>
      </c>
    </row>
    <row r="29" spans="1:3" x14ac:dyDescent="0.25">
      <c r="A29" s="18">
        <v>44283</v>
      </c>
      <c r="B29" s="347"/>
      <c r="C29" s="347">
        <v>59.9</v>
      </c>
    </row>
    <row r="30" spans="1:3" x14ac:dyDescent="0.25">
      <c r="A30" s="18">
        <v>44284</v>
      </c>
      <c r="B30" s="347"/>
      <c r="C30" s="347">
        <v>60.3</v>
      </c>
    </row>
    <row r="31" spans="1:3" x14ac:dyDescent="0.25">
      <c r="A31" s="18">
        <v>44285</v>
      </c>
      <c r="B31" s="347"/>
      <c r="C31" s="347">
        <v>61</v>
      </c>
    </row>
    <row r="32" spans="1:3" x14ac:dyDescent="0.25">
      <c r="A32" s="18">
        <v>44286</v>
      </c>
      <c r="B32" s="347"/>
      <c r="C32" s="347">
        <v>61.5</v>
      </c>
    </row>
    <row r="33" spans="1:3" x14ac:dyDescent="0.25">
      <c r="A33" s="18">
        <v>44287</v>
      </c>
      <c r="B33" s="347"/>
      <c r="C33" s="347">
        <v>61.6</v>
      </c>
    </row>
    <row r="34" spans="1:3" x14ac:dyDescent="0.25">
      <c r="A34" s="18">
        <v>44288</v>
      </c>
      <c r="B34" s="347"/>
      <c r="C34" s="347">
        <v>61.9</v>
      </c>
    </row>
    <row r="35" spans="1:3" x14ac:dyDescent="0.25">
      <c r="A35" s="18">
        <v>44289</v>
      </c>
      <c r="B35" s="347"/>
      <c r="C35" s="347">
        <v>61.4</v>
      </c>
    </row>
    <row r="36" spans="1:3" x14ac:dyDescent="0.25">
      <c r="A36" s="18">
        <v>44290</v>
      </c>
      <c r="B36" s="347"/>
      <c r="C36" s="347">
        <v>61.5</v>
      </c>
    </row>
    <row r="37" spans="1:3" x14ac:dyDescent="0.25">
      <c r="A37" s="18">
        <v>44291</v>
      </c>
      <c r="B37" s="347"/>
      <c r="C37" s="347">
        <v>62</v>
      </c>
    </row>
    <row r="38" spans="1:3" x14ac:dyDescent="0.25">
      <c r="A38" s="18">
        <v>44292</v>
      </c>
      <c r="B38" s="347"/>
      <c r="C38" s="347">
        <v>63.5</v>
      </c>
    </row>
    <row r="39" spans="1:3" x14ac:dyDescent="0.25">
      <c r="A39" s="18">
        <v>44293</v>
      </c>
      <c r="B39" s="347">
        <v>58.1</v>
      </c>
      <c r="C39" s="347">
        <v>64.5</v>
      </c>
    </row>
    <row r="40" spans="1:3" x14ac:dyDescent="0.25">
      <c r="A40" s="18">
        <v>44294</v>
      </c>
      <c r="B40" s="347">
        <v>58.8</v>
      </c>
      <c r="C40" s="347">
        <v>66.099999999999994</v>
      </c>
    </row>
    <row r="41" spans="1:3" x14ac:dyDescent="0.25">
      <c r="A41" s="18">
        <v>44295</v>
      </c>
      <c r="B41" s="347">
        <v>59.1</v>
      </c>
      <c r="C41" s="347">
        <v>67</v>
      </c>
    </row>
    <row r="42" spans="1:3" x14ac:dyDescent="0.25">
      <c r="A42" s="18">
        <v>44296</v>
      </c>
      <c r="B42" s="347">
        <v>59.3</v>
      </c>
      <c r="C42" s="347">
        <v>68.099999999999994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argentina_gral</vt:lpstr>
      <vt:lpstr>casos_provincias</vt:lpstr>
      <vt:lpstr>Hoja1</vt:lpstr>
      <vt:lpstr>UTI</vt:lpstr>
      <vt:lpstr>Hoja6</vt:lpstr>
      <vt:lpstr>Hoja7</vt:lpstr>
      <vt:lpstr>Hoja8</vt:lpstr>
      <vt:lpstr>Hoja2</vt:lpstr>
      <vt:lpstr>argentina_gral (2)</vt:lpstr>
      <vt:lpstr>caba_ind</vt:lpstr>
      <vt:lpstr>Hoja3</vt:lpstr>
      <vt:lpstr>POBLA</vt:lpstr>
      <vt:lpstr>Hoja4</vt:lpstr>
      <vt:lpstr>POBL</vt:lpstr>
      <vt:lpstr>POBLAC_AMBA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2020-06-08T11:08:34Z</dcterms:created>
  <dcterms:modified xsi:type="dcterms:W3CDTF">2021-04-15T20:09:30Z</dcterms:modified>
</cp:coreProperties>
</file>